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xl/customProperty20.bin" ContentType="application/vnd.openxmlformats-officedocument.spreadsheetml.customProperty"/>
  <Override PartName="/xl/customProperty21.bin" ContentType="application/vnd.openxmlformats-officedocument.spreadsheetml.customProperty"/>
  <Override PartName="/xl/customProperty22.bin" ContentType="application/vnd.openxmlformats-officedocument.spreadsheetml.customProperty"/>
  <Override PartName="/xl/customProperty23.bin" ContentType="application/vnd.openxmlformats-officedocument.spreadsheetml.customProperty"/>
  <Override PartName="/xl/customProperty24.bin" ContentType="application/vnd.openxmlformats-officedocument.spreadsheetml.customProperty"/>
  <Override PartName="/xl/customProperty25.bin" ContentType="application/vnd.openxmlformats-officedocument.spreadsheetml.customProperty"/>
  <Override PartName="/xl/customProperty26.bin" ContentType="application/vnd.openxmlformats-officedocument.spreadsheetml.customProperty"/>
  <Override PartName="/xl/customProperty27.bin" ContentType="application/vnd.openxmlformats-officedocument.spreadsheetml.customProperty"/>
  <Override PartName="/xl/customProperty28.bin" ContentType="application/vnd.openxmlformats-officedocument.spreadsheetml.customProperty"/>
  <Override PartName="/xl/customProperty29.bin" ContentType="application/vnd.openxmlformats-officedocument.spreadsheetml.customProperty"/>
  <Override PartName="/xl/customProperty30.bin" ContentType="application/vnd.openxmlformats-officedocument.spreadsheetml.customProperty"/>
  <Override PartName="/xl/customProperty31.bin" ContentType="application/vnd.openxmlformats-officedocument.spreadsheetml.customProperty"/>
  <Override PartName="/xl/customProperty32.bin" ContentType="application/vnd.openxmlformats-officedocument.spreadsheetml.customProperty"/>
  <Override PartName="/xl/customProperty33.bin" ContentType="application/vnd.openxmlformats-officedocument.spreadsheetml.customProperty"/>
  <Override PartName="/xl/customProperty34.bin" ContentType="application/vnd.openxmlformats-officedocument.spreadsheetml.customProperty"/>
  <Override PartName="/xl/customProperty35.bin" ContentType="application/vnd.openxmlformats-officedocument.spreadsheetml.customProperty"/>
  <Override PartName="/xl/customProperty36.bin" ContentType="application/vnd.openxmlformats-officedocument.spreadsheetml.customProperty"/>
  <Override PartName="/xl/customProperty37.bin" ContentType="application/vnd.openxmlformats-officedocument.spreadsheetml.customProperty"/>
  <Override PartName="/xl/customProperty38.bin" ContentType="application/vnd.openxmlformats-officedocument.spreadsheetml.customProperty"/>
  <Override PartName="/xl/customProperty39.bin" ContentType="application/vnd.openxmlformats-officedocument.spreadsheetml.customProperty"/>
  <Override PartName="/xl/customProperty40.bin" ContentType="application/vnd.openxmlformats-officedocument.spreadsheetml.customProperty"/>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ustomProperty41.bin" ContentType="application/vnd.openxmlformats-officedocument.spreadsheetml.customProperty"/>
  <Override PartName="/xl/customProperty42.bin" ContentType="application/vnd.openxmlformats-officedocument.spreadsheetml.customProperty"/>
  <Override PartName="/xl/customProperty43.bin" ContentType="application/vnd.openxmlformats-officedocument.spreadsheetml.customProperty"/>
  <Override PartName="/xl/customProperty44.bin" ContentType="application/vnd.openxmlformats-officedocument.spreadsheetml.customProperty"/>
  <Override PartName="/xl/customProperty45.bin" ContentType="application/vnd.openxmlformats-officedocument.spreadsheetml.customProperty"/>
  <Override PartName="/xl/customProperty46.bin" ContentType="application/vnd.openxmlformats-officedocument.spreadsheetml.customProperty"/>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ustomProperty47.bin" ContentType="application/vnd.openxmlformats-officedocument.spreadsheetml.customProperty"/>
  <Override PartName="/xl/customProperty48.bin" ContentType="application/vnd.openxmlformats-officedocument.spreadsheetml.customProperty"/>
  <Override PartName="/xl/customProperty49.bin" ContentType="application/vnd.openxmlformats-officedocument.spreadsheetml.customProperty"/>
  <Override PartName="/xl/customProperty50.bin" ContentType="application/vnd.openxmlformats-officedocument.spreadsheetml.customProperty"/>
  <Override PartName="/xl/drawings/drawing3.xml" ContentType="application/vnd.openxmlformats-officedocument.drawing+xml"/>
  <Override PartName="/xl/customProperty51.bin" ContentType="application/vnd.openxmlformats-officedocument.spreadsheetml.customProperty"/>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CallumMatchett\python\streamlit\div7a\all_possible_loan_worksheets\"/>
    </mc:Choice>
  </mc:AlternateContent>
  <xr:revisionPtr revIDLastSave="0" documentId="8_{F37E73C3-43C9-4658-8F07-5A5545401813}" xr6:coauthVersionLast="47" xr6:coauthVersionMax="47" xr10:uidLastSave="{00000000-0000-0000-0000-000000000000}"/>
  <bookViews>
    <workbookView xWindow="120" yWindow="3120" windowWidth="28410" windowHeight="10290" firstSheet="7" activeTab="9" xr2:uid="{00000000-000D-0000-FFFF-FFFF00000000}"/>
  </bookViews>
  <sheets>
    <sheet name="Cover" sheetId="1" r:id="rId1"/>
    <sheet name="TR_1 Tax Rates" sheetId="19" state="hidden" r:id="rId2"/>
    <sheet name="D08 UPE Calculator" sheetId="34" r:id="rId3"/>
    <sheet name="Z02 List" sheetId="33" r:id="rId4"/>
    <sheet name="Z01 Blank" sheetId="32" r:id="rId5"/>
    <sheet name="H12 Loan Summary" sheetId="31" r:id="rId6"/>
    <sheet name="H15 Inter Entity Loan" sheetId="30" r:id="rId7"/>
    <sheet name="H11 Chattel Mortgage Loan" sheetId="29" r:id="rId8"/>
    <sheet name="H25 Bank Loan (1)" sheetId="28" r:id="rId9"/>
    <sheet name="D03 Company Debit Loan Summary" sheetId="35" r:id="rId10"/>
    <sheet name="G31 Div 7A Loan Calculator (1)" sheetId="27" r:id="rId11"/>
    <sheet name="CTR Company Tax Return" sheetId="20" r:id="rId12"/>
    <sheet name="C15 Losses" sheetId="21" r:id="rId13"/>
    <sheet name="C05 Divs and Franking" sheetId="22" r:id="rId14"/>
    <sheet name="J50 BAS Lodgements" sheetId="11" r:id="rId15"/>
    <sheet name="H50 ICA" sheetId="23" r:id="rId16"/>
    <sheet name="C50 ITA" sheetId="24" r:id="rId17"/>
    <sheet name="G31 Div 7A Loan Calculator" sheetId="25" r:id="rId18"/>
    <sheet name="F10 Bank" sheetId="13" r:id="rId19"/>
    <sheet name="F05 Trade Debtors" sheetId="15" r:id="rId20"/>
    <sheet name="J51 GST Rec" sheetId="16" r:id="rId21"/>
    <sheet name="N80 Wages  PAYGW" sheetId="12" r:id="rId22"/>
    <sheet name="H05 Trade Creditors" sheetId="17" r:id="rId23"/>
    <sheet name="H25 Bank Loan" sheetId="14" r:id="rId24"/>
    <sheet name="N75 Super" sheetId="18" r:id="rId25"/>
    <sheet name="Index" sheetId="2" state="hidden" r:id="rId26"/>
    <sheet name="Binder_Properties" sheetId="3" state="veryHidden" r:id="rId27"/>
    <sheet name="Home" sheetId="4" state="hidden" r:id="rId28"/>
    <sheet name="Sheet_Named_Ranges" sheetId="5" state="hidden" r:id="rId29"/>
    <sheet name="HNSW_Summary" sheetId="7" state="hidden" r:id="rId30"/>
    <sheet name="Binder_Records" sheetId="8" state="hidden" r:id="rId31"/>
    <sheet name="Binder_Categories" sheetId="9" state="hidden" r:id="rId32"/>
    <sheet name="Formula_Migrations" sheetId="10" state="veryHidden" r:id="rId33"/>
    <sheet name="Taxonomy" sheetId="26" state="hidden" r:id="rId34"/>
  </sheets>
  <externalReferences>
    <externalReference r:id="rId35"/>
  </externalReferences>
  <definedNames>
    <definedName name="_xlnm._FilterDatabase" localSheetId="13" hidden="1">'C05 Divs and Franking'!$K$268:$L$270</definedName>
    <definedName name="ATO_PeriodNos" localSheetId="14">'J50 BAS Lodgements'!$C$58:$C$79</definedName>
    <definedName name="AtRiskSensitivity" localSheetId="19">'F05 Trade Debtors'!$F$44</definedName>
    <definedName name="Auto_EffectiveRate" localSheetId="7">'H11 Chattel Mortgage Loan'!$T$35</definedName>
    <definedName name="Auto_NominalRate" localSheetId="7">'H11 Chattel Mortgage Loan'!$S$35</definedName>
    <definedName name="BAS_Dates">'J50 BAS Lodgements'!$D$33:$D$46</definedName>
    <definedName name="BAS_GST_Labels">'J50 BAS Lodgements'!$H$30:$P$30</definedName>
    <definedName name="BAS_GST_Values">'J50 BAS Lodgements'!$H$33:$P$46</definedName>
    <definedName name="BAS_PAYGI_Values">'J50 BAS Lodgements'!$X$33:$X$46</definedName>
    <definedName name="BAS_PAYGW_Labels">'J50 BAS Lodgements'!$Q$30:$U$30</definedName>
    <definedName name="BAS_PAYGW_Values">'J50 BAS Lodgements'!$Q$33:$U$46</definedName>
    <definedName name="BinderId" localSheetId="26">Binder_Properties!$B$1</definedName>
    <definedName name="BinderVersion" localSheetId="26">Binder_Properties!$B$2</definedName>
    <definedName name="CategoryList">Binder_Categories!$A$1:$A$1</definedName>
    <definedName name="CategoryNamesList" localSheetId="2">'D08 UPE Calculator'!$C$100</definedName>
    <definedName name="CategoryNamesList" localSheetId="17">'G31 Div 7A Loan Calculator'!$C$99</definedName>
    <definedName name="CategoryNamesList" localSheetId="10">'G31 Div 7A Loan Calculator (1)'!$C$99</definedName>
    <definedName name="CategoryNamesList" localSheetId="7">'H11 Chattel Mortgage Loan'!$C$26</definedName>
    <definedName name="CC15_CapLoss" localSheetId="12">'C15 Losses'!$G$51</definedName>
    <definedName name="CC15_CapLossCF" localSheetId="12">'C15 Losses'!$G$52</definedName>
    <definedName name="CC15_LossCF" localSheetId="12">'C15 Losses'!$G$31</definedName>
    <definedName name="CC15_Losses" localSheetId="12">'C15 Losses'!$G$30</definedName>
    <definedName name="CC5_FrankingAccBal" localSheetId="13">'C05 Divs and Franking'!$L$61</definedName>
    <definedName name="CC5_OpeningFrankAcctBal" localSheetId="13">'C05 Divs and Franking'!$L$25</definedName>
    <definedName name="Cl_ABNTFN">Home!$C$10</definedName>
    <definedName name="Cl_Code">Home!$C$8</definedName>
    <definedName name="Cl_Contact">Home!$C$24</definedName>
    <definedName name="Cl_Email">Home!$E$26</definedName>
    <definedName name="Cl_EntityType">Home!$C$12</definedName>
    <definedName name="Cl_Name">Home!$C$6</definedName>
    <definedName name="Cl_Phone">Home!$C$26</definedName>
    <definedName name="Cl_Software">Home!$C$32</definedName>
    <definedName name="Cl_SoftwarePassword">Home!$E$34</definedName>
    <definedName name="Cl_SoftwareUsername">Home!$C$34</definedName>
    <definedName name="Complete_Schedule" localSheetId="7">'H11 Chattel Mortgage Loan'!$C$124:$T$1686</definedName>
    <definedName name="CurrentLiability" localSheetId="7">'H11 Chattel Mortgage Loan'!$L$53</definedName>
    <definedName name="CurrentPAYGOutstanding" localSheetId="21">'N80 Wages  PAYGW'!$K$122</definedName>
    <definedName name="CurrentUnexpiredInterest" localSheetId="7">'H11 Chattel Mortgage Loan'!$L$54</definedName>
    <definedName name="D03_Number_of_Directors" localSheetId="9">'D03 Company Debit Loan Summary'!$J$71</definedName>
    <definedName name="D03_Number_of_Loans" localSheetId="9">'D03 Company Debit Loan Summary'!$J$13</definedName>
    <definedName name="D08_UPEBalance" localSheetId="2">'D08 UPE Calculator'!$K$51</definedName>
    <definedName name="DataVersion" localSheetId="26">Binder_Properties!$B$3</definedName>
    <definedName name="Dividends_SelectedMethod" localSheetId="13">'C05 Divs and Franking'!$D$81</definedName>
    <definedName name="DoubtfulDebts_SelectedMethod" localSheetId="19">'F05 Trade Debtors'!$D$60</definedName>
    <definedName name="DynamicCB" localSheetId="22">'H05 Trade Creditors'!$E$44</definedName>
    <definedName name="DynamicCB_01" localSheetId="19">'F05 Trade Debtors'!$E$128</definedName>
    <definedName name="DynamicCB_02" localSheetId="19">'F05 Trade Debtors'!$E$129</definedName>
    <definedName name="DynamicCB_03" localSheetId="19">'F05 Trade Debtors'!$I$85</definedName>
    <definedName name="DynamicCB_1" localSheetId="21">'N80 Wages  PAYGW'!$E$71:$E$73</definedName>
    <definedName name="DynamicCB_2" localSheetId="21">'N80 Wages  PAYGW'!$E$77:$E$80</definedName>
    <definedName name="DynamicList_01" localSheetId="12">'C15 Losses'!$C$17:$C$26</definedName>
    <definedName name="DynamicList_01" localSheetId="2">'D08 UPE Calculator'!$K$38</definedName>
    <definedName name="DynamicList_01" localSheetId="7">'H11 Chattel Mortgage Loan'!$N$28:$N$29</definedName>
    <definedName name="DynamicList_02" localSheetId="12">'C15 Losses'!$D$17:$D$26</definedName>
    <definedName name="DynamicList_02" localSheetId="2">'D08 UPE Calculator'!$F$36</definedName>
    <definedName name="DynamicList_02" localSheetId="17">'G31 Div 7A Loan Calculator'!$J$36</definedName>
    <definedName name="DynamicList_02" localSheetId="10">'G31 Div 7A Loan Calculator (1)'!$J$36</definedName>
    <definedName name="DynamicList_02" localSheetId="7">'H11 Chattel Mortgage Loan'!$N$32:$N$36</definedName>
    <definedName name="DynamicList_03" localSheetId="12">'C15 Losses'!$G$17:$G$26</definedName>
    <definedName name="DynamicList_03" localSheetId="17">'G31 Div 7A Loan Calculator'!$J$37</definedName>
    <definedName name="DynamicList_03" localSheetId="10">'G31 Div 7A Loan Calculator (1)'!$J$37</definedName>
    <definedName name="DynamicList_03" localSheetId="7">'H11 Chattel Mortgage Loan'!$N$23:$N$24</definedName>
    <definedName name="DynamicList_04" localSheetId="12">'C15 Losses'!$H$17:$H$26</definedName>
    <definedName name="DynamicList_04" localSheetId="17">'G31 Div 7A Loan Calculator'!$J$39</definedName>
    <definedName name="DynamicList_04" localSheetId="10">'G31 Div 7A Loan Calculator (1)'!$J$39</definedName>
    <definedName name="DynamicList_04" localSheetId="7">'H11 Chattel Mortgage Loan'!$S$28</definedName>
    <definedName name="DynamicList_05" localSheetId="12">'C15 Losses'!$C$38:$C$47</definedName>
    <definedName name="DynamicList_05" localSheetId="17">'G31 Div 7A Loan Calculator'!$J$35</definedName>
    <definedName name="DynamicList_05" localSheetId="10">'G31 Div 7A Loan Calculator (1)'!$J$35</definedName>
    <definedName name="DynamicList_05" localSheetId="7">'H11 Chattel Mortgage Loan'!$N$30</definedName>
    <definedName name="DynamicList_06" localSheetId="12">'C15 Losses'!$D$38:$F$47</definedName>
    <definedName name="DynamicList_06" localSheetId="7">'H11 Chattel Mortgage Loan'!$N$20:$O$21</definedName>
    <definedName name="DynamicList_07" localSheetId="12">'C15 Losses'!$G$38:$G$47</definedName>
    <definedName name="DynamicList_08" localSheetId="12">'C15 Losses'!$H$38:$H$47</definedName>
    <definedName name="DynamicList_2" localSheetId="21">'N80 Wages  PAYGW'!$C$77:$C$80</definedName>
    <definedName name="DynamicOB" localSheetId="22">'H05 Trade Creditors'!$F$44</definedName>
    <definedName name="DynamicOB_01" localSheetId="19">'F05 Trade Debtors'!$F$128</definedName>
    <definedName name="DynamicOB_02" localSheetId="19">'F05 Trade Debtors'!$F$129</definedName>
    <definedName name="DynamicOB_03" localSheetId="19">'F05 Trade Debtors'!$I$63</definedName>
    <definedName name="DynamicOB_1" localSheetId="21">'N80 Wages  PAYGW'!$H$71:$H$73</definedName>
    <definedName name="DynamicOB_2" localSheetId="21">'N80 Wages  PAYGW'!$H$77:$H$80</definedName>
    <definedName name="End_of_Year_Month" localSheetId="7">'H11 Chattel Mortgage Loan'!$I$23</definedName>
    <definedName name="Example" localSheetId="6">'H15 Inter Entity Loan'!$B$41</definedName>
    <definedName name="F05_GSTInDebtors" localSheetId="19">'F05 Trade Debtors'!$L$31</definedName>
    <definedName name="F05_ProvDoubtfulDebts" localSheetId="19">'F05 Trade Debtors'!$I$85</definedName>
    <definedName name="F05_TradeDebtors" localSheetId="19">'F05 Trade Debtors'!$M$35</definedName>
    <definedName name="F05_TradeDebtors0to90Days" localSheetId="19">'F05 Trade Debtors'!$Q$35</definedName>
    <definedName name="Firm_Manager">Home!$E$42</definedName>
    <definedName name="Firm_Name">Home!$C$40</definedName>
    <definedName name="Firm_Partner">Home!$C$42</definedName>
    <definedName name="Firm_Preparer">Home!$C$44</definedName>
    <definedName name="Firm_PreparerDate">Home!$C$46</definedName>
    <definedName name="Firm_Reviewer">Home!$E$44</definedName>
    <definedName name="Firm_ReviewerDate">Home!$E$46</definedName>
    <definedName name="First_payment" localSheetId="7">'H11 Chattel Mortgage Loan'!$N$30</definedName>
    <definedName name="FixedList.1_4_6" localSheetId="11">'CTR Company Tax Return'!$E$24:$J$200</definedName>
    <definedName name="Frequency" localSheetId="21">'N80 Wages  PAYGW'!$E$19</definedName>
    <definedName name="G31_LoanBalance" localSheetId="17">'G31 Div 7A Loan Calculator'!$J$50</definedName>
    <definedName name="G31_LoanBalance" localSheetId="10">'G31 Div 7A Loan Calculator (1)'!$J$50</definedName>
    <definedName name="Go_Command.GetATOIncomeTaxAccount" localSheetId="16">'C50 ITA'!$C$50</definedName>
    <definedName name="Go_Command.GetATOIntegratedClientAccount" localSheetId="15">'H50 ICA'!$C$58</definedName>
    <definedName name="Go_Command.ImportCreditors" localSheetId="22">'H05 Trade Creditors'!$C$15</definedName>
    <definedName name="Go_Command.ImportDebtors" localSheetId="19">'F05 Trade Debtors'!$C$15</definedName>
    <definedName name="Go_Command.ImportWages" localSheetId="21">'N80 Wages  PAYGW'!$J$24</definedName>
    <definedName name="Go_Index" localSheetId="13">'C05 Divs and Franking'!$L$3</definedName>
    <definedName name="Go_Index" localSheetId="12">'C15 Losses'!$I$3</definedName>
    <definedName name="Go_Index" localSheetId="16">'C50 ITA'!$M$3</definedName>
    <definedName name="Go_Index" localSheetId="11">'CTR Company Tax Return'!$J$3</definedName>
    <definedName name="Go_Index" localSheetId="9">'D03 Company Debit Loan Summary'!$M$3</definedName>
    <definedName name="Go_Index" localSheetId="2">'D08 UPE Calculator'!$L$4</definedName>
    <definedName name="Go_Index" localSheetId="19">'F05 Trade Debtors'!$R$3</definedName>
    <definedName name="Go_Index" localSheetId="18">'F10 Bank'!$J$3</definedName>
    <definedName name="Go_Index" localSheetId="17">'G31 Div 7A Loan Calculator'!$L$4</definedName>
    <definedName name="Go_Index" localSheetId="10">'G31 Div 7A Loan Calculator (1)'!$L$4</definedName>
    <definedName name="Go_Index" localSheetId="22">'H05 Trade Creditors'!$R$3</definedName>
    <definedName name="Go_Index" localSheetId="7">'H11 Chattel Mortgage Loan'!$S$3</definedName>
    <definedName name="Go_Index" localSheetId="5">'H12 Loan Summary'!$L$3</definedName>
    <definedName name="Go_Index" localSheetId="6">'H15 Inter Entity Loan'!$T$3</definedName>
    <definedName name="Go_Index" localSheetId="23">'H25 Bank Loan'!$I$3</definedName>
    <definedName name="Go_Index" localSheetId="8">'H25 Bank Loan (1)'!$I$3</definedName>
    <definedName name="Go_Index" localSheetId="15">'H50 ICA'!$N$3</definedName>
    <definedName name="Go_Index" localSheetId="14">'J50 BAS Lodgements'!$AF$3</definedName>
    <definedName name="Go_Index" localSheetId="20">'J51 GST Rec'!$O$3</definedName>
    <definedName name="Go_Index" localSheetId="24">'N75 Super'!$J$3</definedName>
    <definedName name="Go_Index" localSheetId="21">'N80 Wages  PAYGW'!$K$3:$K$3</definedName>
    <definedName name="Go_Index" localSheetId="1">'TR_1 Tax Rates'!$K$3</definedName>
    <definedName name="Go_Index" localSheetId="4">'Z01 Blank'!$J$3</definedName>
    <definedName name="Go_Index" localSheetId="3">'Z02 List'!$H$3</definedName>
    <definedName name="Go_NetTransfersReconciliation" localSheetId="16">'C50 ITA'!$B$32</definedName>
    <definedName name="Go_NetTransfersReconciliation" localSheetId="15">'H50 ICA'!$C$40</definedName>
    <definedName name="Go_RefreshSummary" localSheetId="13">'C05 Divs and Franking'!$Q$79</definedName>
    <definedName name="Go_RefreshSummary" localSheetId="9">'D03 Company Debit Loan Summary'!$P$71</definedName>
    <definedName name="Go_RefreshSummary" localSheetId="2">'D08 UPE Calculator'!$M$4</definedName>
    <definedName name="Go_RefreshSummary" localSheetId="17">'G31 Div 7A Loan Calculator'!$O$6</definedName>
    <definedName name="Go_RefreshSummary" localSheetId="10">'G31 Div 7A Loan Calculator (1)'!$O$6</definedName>
    <definedName name="Go_RefreshSummary" localSheetId="7">'H11 Chattel Mortgage Loan'!$T$3</definedName>
    <definedName name="Go_RollUp_0" localSheetId="20">'J51 GST Rec'!$A$14:$G$14</definedName>
    <definedName name="Go_RollUp_00" localSheetId="14">'J50 BAS Lodgements'!$A$16:$H$16</definedName>
    <definedName name="Go_RollUp_01" localSheetId="13">'C05 Divs and Franking'!$A$15:$D$15</definedName>
    <definedName name="Go_RollUp_01" localSheetId="16">'C50 ITA'!$A$32:$H$32</definedName>
    <definedName name="Go_RollUp_01" localSheetId="11">'CTR Company Tax Return'!$A$20:$J$20</definedName>
    <definedName name="Go_RollUp_01" localSheetId="2">'D08 UPE Calculator'!$A$17:$G$17</definedName>
    <definedName name="Go_RollUp_01" localSheetId="17">'G31 Div 7A Loan Calculator'!$A$10</definedName>
    <definedName name="Go_RollUp_01" localSheetId="10">'G31 Div 7A Loan Calculator (1)'!$A$10</definedName>
    <definedName name="Go_RollUp_01" localSheetId="15">'H50 ICA'!$A$40:$I$40</definedName>
    <definedName name="Go_RollUp_01" localSheetId="14">'J50 BAS Lodgements'!$A$51:$H$51</definedName>
    <definedName name="Go_RollUp_01" localSheetId="20">'J51 GST Rec'!$A$21:$G$21</definedName>
    <definedName name="Go_RollUp_01" localSheetId="1">'TR_1 Tax Rates'!$A$5:$E$5</definedName>
    <definedName name="Go_RollUp_02" localSheetId="11">'CTR Company Tax Return'!$A$64:$J$64</definedName>
    <definedName name="Go_RollUp_02" localSheetId="2">'D08 UPE Calculator'!$A$57:$G$57</definedName>
    <definedName name="Go_RollUp_02" localSheetId="7">'H11 Chattel Mortgage Loan'!$A$11:$N$11</definedName>
    <definedName name="Go_RollUp_02" localSheetId="1">'TR_1 Tax Rates'!$A$112:$E$112</definedName>
    <definedName name="Go_RollUp_03" localSheetId="12">'C15 Losses'!$A$13:$D$13</definedName>
    <definedName name="Go_RollUp_03" localSheetId="11">'CTR Company Tax Return'!$A$106:$J$106</definedName>
    <definedName name="Go_RollUp_03" localSheetId="2">'D08 UPE Calculator'!$A$94:$G$94</definedName>
    <definedName name="Go_RollUp_03" localSheetId="19">'F05 Trade Debtors'!$A$13:$D$13</definedName>
    <definedName name="Go_RollUp_03" localSheetId="18">'F10 Bank'!$A$23:$D$23</definedName>
    <definedName name="Go_RollUp_03" localSheetId="17">'G31 Div 7A Loan Calculator'!$A$15:$H$15</definedName>
    <definedName name="Go_RollUp_03" localSheetId="10">'G31 Div 7A Loan Calculator (1)'!$A$15:$H$15</definedName>
    <definedName name="Go_RollUp_03" localSheetId="22">'H05 Trade Creditors'!$A$13:$D$13</definedName>
    <definedName name="Go_RollUp_03" localSheetId="6">'H15 Inter Entity Loan'!$A$41:$D$41</definedName>
    <definedName name="Go_RollUp_03" localSheetId="1">'TR_1 Tax Rates'!$A$129:$E$129</definedName>
    <definedName name="Go_RollUp_04" localSheetId="13">'C05 Divs and Franking'!$A$21:$D$21</definedName>
    <definedName name="Go_RollUp_04" localSheetId="12">'C15 Losses'!$A$34:$D$34</definedName>
    <definedName name="Go_RollUp_04" localSheetId="11">'CTR Company Tax Return'!$A$141:$J$141</definedName>
    <definedName name="Go_RollUp_04" localSheetId="19">'F05 Trade Debtors'!$A$124:$D$124</definedName>
    <definedName name="Go_RollUp_04" localSheetId="18">'F10 Bank'!$A$61:$D$61</definedName>
    <definedName name="Go_RollUp_04" localSheetId="22">'H05 Trade Creditors'!$A$40:$D$40</definedName>
    <definedName name="Go_RollUp_04" localSheetId="1">'TR_1 Tax Rates'!$A$143:$E$143</definedName>
    <definedName name="Go_RollUp_05" localSheetId="13">'C05 Divs and Franking'!$A$74:$D$74</definedName>
    <definedName name="Go_RollUp_05" localSheetId="19">'F05 Trade Debtors'!$A$40:$D$40</definedName>
    <definedName name="Go_RollUp_05" localSheetId="18">'F10 Bank'!$A$99:$D$99</definedName>
    <definedName name="Go_RollUp_05" localSheetId="22">'H05 Trade Creditors'!$A$63:$D$63</definedName>
    <definedName name="Go_RollUp_05" localSheetId="1">'TR_1 Tax Rates'!$A$162:$E$162</definedName>
    <definedName name="Go_RollUp_06" localSheetId="13">'C05 Divs and Franking'!$A$257:$D$257</definedName>
    <definedName name="Go_RollUp_06" localSheetId="19">'F05 Trade Debtors'!$A$148:$D$148</definedName>
    <definedName name="Go_RollUp_06" localSheetId="18">'F10 Bank'!$A$137:$D$137</definedName>
    <definedName name="Go_RollUp_06" localSheetId="17">'G31 Div 7A Loan Calculator'!$A$55:$G$55</definedName>
    <definedName name="Go_RollUp_06" localSheetId="10">'G31 Div 7A Loan Calculator (1)'!$A$55:$G$55</definedName>
    <definedName name="Go_RollUp_07" localSheetId="11">'CTR Company Tax Return'!$A$189:$D$189</definedName>
    <definedName name="Go_RollUp_07" localSheetId="18">'F10 Bank'!$A$175:$D$175</definedName>
    <definedName name="Go_RollUp_07" localSheetId="17">'G31 Div 7A Loan Calculator'!$A$93:$G$93</definedName>
    <definedName name="Go_RollUp_07" localSheetId="10">'G31 Div 7A Loan Calculator (1)'!$A$93:$G$93</definedName>
    <definedName name="Go_RollUp_08" localSheetId="18">'F10 Bank'!$A$213:$D$213</definedName>
    <definedName name="Go_RollUp_1" localSheetId="24">'N75 Super'!$A$14:$D$14</definedName>
    <definedName name="Go_RollUp_2" localSheetId="20">'J51 GST Rec'!$A$68:$G$68</definedName>
    <definedName name="Go_RollUp_3" localSheetId="20">'J51 GST Rec'!$A$133:$G$133</definedName>
    <definedName name="Go_RollUp_3" localSheetId="21">'N80 Wages  PAYGW'!$A$15:$D$15</definedName>
    <definedName name="Go_RollUp_4" localSheetId="20">'J51 GST Rec'!$A$188:$G$188</definedName>
    <definedName name="Go_RollUp_4" localSheetId="24">'N75 Super'!$A$19:$D$19</definedName>
    <definedName name="Go_RollUp_4" localSheetId="21">'N80 Wages  PAYGW'!$A$22:$D$22</definedName>
    <definedName name="Go_RollUp_5" localSheetId="20">'J51 GST Rec'!$A$212:$G$212</definedName>
    <definedName name="Go_RollUp_5" localSheetId="24">'N75 Super'!$A$78:$D$78</definedName>
    <definedName name="Go_RollUp_5" localSheetId="21">'N80 Wages  PAYGW'!$A$64:$D$64</definedName>
    <definedName name="Go_RollUp_6" localSheetId="20">'J51 GST Rec'!$A$117:$G$117</definedName>
    <definedName name="Go_RollUp_6" localSheetId="24">'N75 Super'!$A$120:$D$120</definedName>
    <definedName name="Go_RollUp_6" localSheetId="21">'N80 Wages  PAYGW'!$A$88:$D$88</definedName>
    <definedName name="Go_RollUp_7" localSheetId="24">'N75 Super'!$A$135:$D$135</definedName>
    <definedName name="Go_RollUp_7" localSheetId="21">'N80 Wages  PAYGW'!$A$103:$D$103</definedName>
    <definedName name="Go_ShowHideRows" localSheetId="13">'C05 Divs and Franking'!$Q$81</definedName>
    <definedName name="Go_ShowHideRows" localSheetId="9">'D03 Company Debit Loan Summary'!$L$13:$M$13</definedName>
    <definedName name="Go_ShowHideRows" localSheetId="19">'F05 Trade Debtors'!$A$1</definedName>
    <definedName name="Go_ShowHideRows" localSheetId="22">'H05 Trade Creditors'!$A$1</definedName>
    <definedName name="Go_ShowHideRows" localSheetId="7">'H11 Chattel Mortgage Loan'!$S$20:$T$21</definedName>
    <definedName name="Go_ShowHideRows" localSheetId="5">'H12 Loan Summary'!$K$13:$L$13</definedName>
    <definedName name="Go_ShowHideRows" localSheetId="14">'J50 BAS Lodgements'!$I$22</definedName>
    <definedName name="Go_ShowHideRows" localSheetId="20">'J51 GST Rec'!$N$18:$O$18</definedName>
    <definedName name="Go_ShowHideRows_01" localSheetId="9">'D03 Company Debit Loan Summary'!$L$71:$M$71</definedName>
    <definedName name="Go_ShowHideRows_01" localSheetId="21">'N80 Wages  PAYGW'!$J$19</definedName>
    <definedName name="Go_ShowHideRows_02" localSheetId="19">'F05 Trade Debtors'!$H$60</definedName>
    <definedName name="Go_Step1" localSheetId="20">'J51 GST Rec'!$B$21:$G$21</definedName>
    <definedName name="Go_Step1" localSheetId="21">'N80 Wages  PAYGW'!$B$22</definedName>
    <definedName name="Go_Step2" localSheetId="20">'J51 GST Rec'!$B$68:$G$68</definedName>
    <definedName name="Go_Step2" localSheetId="21">'N80 Wages  PAYGW'!$B$64</definedName>
    <definedName name="Go_Step3" localSheetId="20">'J51 GST Rec'!$B$117</definedName>
    <definedName name="Go_Step3" localSheetId="21">'N80 Wages  PAYGW'!$B$88</definedName>
    <definedName name="Go_SumRangeDetail_CC15_CapLossCF" localSheetId="11">'CTR Company Tax Return'!$M$170</definedName>
    <definedName name="Go_SumRangeDetail_CC15_Losses" localSheetId="11">'CTR Company Tax Return'!$M$99</definedName>
    <definedName name="Go_SumRangeDetail_CC15_LossesCarryForward" localSheetId="11">'CTR Company Tax Return'!$M$169</definedName>
    <definedName name="Go_SumRangeDetail_CC20_CapLossRecouped" localSheetId="12">'C15 Losses'!$F$51</definedName>
    <definedName name="Go_SumRangeDetail_CC20_ClosingSuperPayable" localSheetId="24">'N75 Super'!$D$128</definedName>
    <definedName name="Go_SumRangeDetail_CC20_ExemptIncome" localSheetId="11">'CTR Company Tax Return'!$M$93</definedName>
    <definedName name="Go_SumRangeDetail_CC20_LossesCF" localSheetId="12">INDIRECT(_xll.CurrentCell())</definedName>
    <definedName name="Go_SumRangeDetail_CC20_LossesRecouped" localSheetId="12">'C15 Losses'!$F$30</definedName>
    <definedName name="Go_SumRangeDetail_CC20_NonDedExemptInc" localSheetId="11">'CTR Company Tax Return'!$M$73</definedName>
    <definedName name="Go_SumRangeDetail_CC20_NonDeductibleSGC" localSheetId="24">'N75 Super'!$D$129</definedName>
    <definedName name="Go_SumRangeDetail_CC20_OpeningSuperPayable" localSheetId="24">'N75 Super'!$D$127</definedName>
    <definedName name="Go_SumRangeDetail_CC20_ProfitThisYr" localSheetId="11">'CTR Company Tax Return'!$L$64:$M$64</definedName>
    <definedName name="Go_SumRangeDetail_CC20_TFNWithheld" localSheetId="13">'C05 Divs and Franking'!$F$55</definedName>
    <definedName name="Go_SumRangeDetail_CC28_SBEAggTurnover" localSheetId="11">'CTR Company Tax Return'!$M$127</definedName>
    <definedName name="Go_SumRangeDetail_CC30_PayAssocPersons" localSheetId="11">'CTR Company Tax Return'!$M$131</definedName>
    <definedName name="Go_SumRangeDetail_CC38_EnergyIncentive" localSheetId="11">'CTR Company Tax Return'!$M$98</definedName>
    <definedName name="Go_SumRangeDetail_CC45_SkillsTrainingBoost" localSheetId="11">'CTR Company Tax Return'!$M$97</definedName>
    <definedName name="Go_SumRangeDetail_CC5_FrankingAccBal" localSheetId="11">'CTR Company Tax Return'!$M$125</definedName>
    <definedName name="Go_SumRangeDetail_CC5_InterimFranked" localSheetId="11">'CTR Company Tax Return'!$M$122</definedName>
    <definedName name="Go_SumRangeDetail_CC5_InterimUnfranked" localSheetId="11">'CTR Company Tax Return'!$M$123</definedName>
    <definedName name="Go_SumRangeDetail_F05_TradeDebtors" localSheetId="11">'CTR Company Tax Return'!$M$114</definedName>
    <definedName name="Go_SumRangeDetail_G10_AccountingDepreciation" localSheetId="11">'CTR Company Tax Return'!$M$54</definedName>
    <definedName name="Go_SumRangeDetail_G10_Additions" localSheetId="11">'CTR Company Tax Return'!$M$145</definedName>
    <definedName name="Go_SumRangeDetail_G10_GeneralPoolDepn" localSheetId="11">'CTR Company Tax Return'!$M$165</definedName>
    <definedName name="Go_SumRangeDetail_G15_IntangiblesNew" localSheetId="11">'CTR Company Tax Return'!$M$144</definedName>
    <definedName name="Go_SumRangeDetail_H05_TradeCreditors" localSheetId="11">'CTR Company Tax Return'!$M$117</definedName>
    <definedName name="Go_SumRangeDetail_H20_OperatingLeases" localSheetId="11">'CTR Company Tax Return'!$M$47</definedName>
    <definedName name="Go_SumRangeDetail_H25_Loan_1" localSheetId="11">'CTR Company Tax Return'!$M$120</definedName>
    <definedName name="Go_SumRangeDetail_H35_AprBASDr" localSheetId="13">'C05 Divs and Franking'!$F$45</definedName>
    <definedName name="Go_SumRangeDetail_H35_AugBASDr" localSheetId="13">'C05 Divs and Franking'!$F$37</definedName>
    <definedName name="Go_SumRangeDetail_H35_DecBASDr" localSheetId="13">'C05 Divs and Franking'!$F$41</definedName>
    <definedName name="Go_SumRangeDetail_H35_FebBASDr" localSheetId="13">'C05 Divs and Franking'!$F$43</definedName>
    <definedName name="Go_SumRangeDetail_H35_JanBASDr" localSheetId="13">'C05 Divs and Franking'!$F$42</definedName>
    <definedName name="Go_SumRangeDetail_H35_JulBASDr" localSheetId="13">'C05 Divs and Franking'!$F$36</definedName>
    <definedName name="Go_SumRangeDetail_H35_JunPrevYrBASDr" localSheetId="13">'C05 Divs and Franking'!$F$30</definedName>
    <definedName name="Go_SumRangeDetail_H35_MarBASDr" localSheetId="13">'C05 Divs and Franking'!$F$44</definedName>
    <definedName name="Go_SumRangeDetail_H35_MarPrevYrBASDr" localSheetId="13">'C05 Divs and Franking'!$F$29</definedName>
    <definedName name="Go_SumRangeDetail_H35_MayBASDr" localSheetId="13">'C05 Divs and Franking'!$F$46</definedName>
    <definedName name="Go_SumRangeDetail_H35_NovBASDr" localSheetId="13">'C05 Divs and Franking'!$F$40</definedName>
    <definedName name="Go_SumRangeDetail_H35_OctBASDr" localSheetId="13">'C05 Divs and Franking'!$F$39</definedName>
    <definedName name="Go_SumRangeDetail_H35_PAYGIRaised" localSheetId="11">'CTR Company Tax Return'!$M$198</definedName>
    <definedName name="Go_SumRangeDetail_H35_PrevInstPaidCr" localSheetId="13">'C05 Divs and Franking'!$F$29</definedName>
    <definedName name="Go_SumRangeDetail_H35_SepBASDr" localSheetId="13">'C05 Divs and Franking'!$F$38</definedName>
    <definedName name="Go_SumRangeDetail_H35_TaxPrevYr" localSheetId="13">'C05 Divs and Franking'!$F$28</definedName>
    <definedName name="Go_SumRangeDetail_J50_NetGST" localSheetId="20">'J51 GST Rec'!$O$190</definedName>
    <definedName name="Go_SumRangeDetail_J50_PAYGW2" localSheetId="21">'N80 Wages  PAYGW'!$J$105:$K$105</definedName>
    <definedName name="Go_SumRangeDetail_M07_CashDistGross_Partnership" localSheetId="11">'CTR Company Tax Return'!$M$27</definedName>
    <definedName name="Go_SumRangeDetail_M07_CashDistGross_Trust" localSheetId="11">'CTR Company Tax Return'!$M$28</definedName>
    <definedName name="Go_SumRangeDetail_M10_FrankingCredits" localSheetId="13">'C05 Divs and Franking'!$F$53</definedName>
    <definedName name="Go_SumRangeDetail_M11_TotalDividends" localSheetId="11">'CTR Company Tax Return'!$M$32</definedName>
    <definedName name="Go_SumRangeDetail_M15_GrossInterestBank" localSheetId="11">'CTR Company Tax Return'!$M$30</definedName>
    <definedName name="Go_SumRangeDetail_M20_OtherIncome" localSheetId="11">'CTR Company Tax Return'!$M$36</definedName>
    <definedName name="Go_SumRangeDetail_M26_TotalIncome" localSheetId="11">'CTR Company Tax Return'!$M$31</definedName>
    <definedName name="Go_SumRangeDetail_M35_COGSThisYr" localSheetId="11">'CTR Company Tax Return'!$M$43</definedName>
    <definedName name="Go_SumRangeDetail_M35_CSThisYr" localSheetId="11">'CTR Company Tax Return'!$M$112</definedName>
    <definedName name="Go_SumRangeDetail_M35_OSThisYr" localSheetId="11">'CTR Company Tax Return'!$M$110</definedName>
    <definedName name="Go_SumRangeDetail_M35_PurchasesThisYr" localSheetId="11">'CTR Company Tax Return'!$M$111</definedName>
    <definedName name="Go_SumRangeDetail_M35_SalesThisYr" localSheetId="11">'CTR Company Tax Return'!$M$26</definedName>
    <definedName name="Go_SumRangeDetail_M5_FrankingCredits" localSheetId="13">'C05 Divs and Franking'!$F$54</definedName>
    <definedName name="Go_SumRangeDetail_N20_OtherExpenses" localSheetId="11">'CTR Company Tax Return'!$M$58</definedName>
    <definedName name="Go_SumRangeDetail_N60_RM" localSheetId="11">'CTR Company Tax Return'!$M$56</definedName>
    <definedName name="Go_SumRangeDetail_N75_SuperExpense" localSheetId="11">'CTR Company Tax Return'!$M$45</definedName>
    <definedName name="Go_SumRangeDetail_N80_Salaries" localSheetId="11">'CTR Company Tax Return'!$M$130</definedName>
    <definedName name="Go_SumRangeDetail_N80_Salaries" localSheetId="24">'N75 Super'!$D$82</definedName>
    <definedName name="Go_SumRangeDetail_TR18_CurrentYrGains" localSheetId="11">'CTR Company Tax Return'!$M$72</definedName>
    <definedName name="Go_SumRangeDetail_TRD1_MVHighestDedAmount" localSheetId="11">'CTR Company Tax Return'!$M$55</definedName>
    <definedName name="Go_SumRangeDetail_Tx_TaxableIncome" localSheetId="11">'CTR Company Tax Return'!$L$172</definedName>
    <definedName name="Go_Toggle_P_O" localSheetId="21">INDIRECT(_xll.CurrentCell())</definedName>
    <definedName name="Go_Toggle_P_O_W_N" localSheetId="13">INDIRECT(_xll.CurrentCell())</definedName>
    <definedName name="Go_Toggle_P_O_W_N" localSheetId="12">INDIRECT(_xll.CurrentCell())</definedName>
    <definedName name="Go_Toggle_P_O_W_N" localSheetId="19">INDIRECT(_xll.CurrentCell())</definedName>
    <definedName name="Go_Toggle_P_O_W_N" localSheetId="18">INDIRECT(_xll.CurrentCell())</definedName>
    <definedName name="Go_Toggle_P_O_W_N" localSheetId="22">INDIRECT(_xll.CurrentCell())</definedName>
    <definedName name="Go_Toggle_P_O_W_N" localSheetId="24">INDIRECT(_xll.CurrentCell())</definedName>
    <definedName name="Go_Troubleshooting" localSheetId="20">'J51 GST Rec'!$A$133:$G$133</definedName>
    <definedName name="Go_Variance" localSheetId="2">'D08 UPE Calculator'!$K$53</definedName>
    <definedName name="Go_Variance" localSheetId="22">'H05 Trade Creditors'!$M$37</definedName>
    <definedName name="Go_Variance" localSheetId="20">'J51 GST Rec'!$J$114</definedName>
    <definedName name="Go_Variance_01" localSheetId="13">'C05 Divs and Franking'!$K$252</definedName>
    <definedName name="Go_Variance_01" localSheetId="19">'F05 Trade Debtors'!$M$37</definedName>
    <definedName name="Go_Variance_01" localSheetId="18">'F10 Bank'!$J$58</definedName>
    <definedName name="Go_Variance_01" localSheetId="17">'G31 Div 7A Loan Calculator'!$J$52</definedName>
    <definedName name="Go_Variance_01" localSheetId="10">'G31 Div 7A Loan Calculator (1)'!$J$52</definedName>
    <definedName name="Go_Variance_01" localSheetId="23">'H25 Bank Loan'!$I$35</definedName>
    <definedName name="Go_Variance_01" localSheetId="8">'H25 Bank Loan (1)'!$I$35</definedName>
    <definedName name="Go_Variance_01" localSheetId="24">'N75 Super'!$E$67</definedName>
    <definedName name="Go_Variance_01" localSheetId="21">'N80 Wages  PAYGW'!$E$85</definedName>
    <definedName name="Go_Variance_02" localSheetId="13">'C05 Divs and Franking'!$Q$252</definedName>
    <definedName name="Go_Variance_02" localSheetId="19">'F05 Trade Debtors'!$I$87</definedName>
    <definedName name="Go_Variance_02" localSheetId="18">'F10 Bank'!$J$96</definedName>
    <definedName name="Go_Variance_02" localSheetId="24">'N75 Super'!$J$67</definedName>
    <definedName name="Go_Variance_02" localSheetId="21">'N80 Wages  PAYGW'!$E$100</definedName>
    <definedName name="Go_Variance_03" localSheetId="18">'F10 Bank'!$J$134</definedName>
    <definedName name="Go_Variance_04" localSheetId="18">'F10 Bank'!$J$172</definedName>
    <definedName name="Go_Variance_05" localSheetId="18">'F10 Bank'!$J$210</definedName>
    <definedName name="Go_Variance_06" localSheetId="18">'F10 Bank'!$J$248</definedName>
    <definedName name="GST_TotalSales" localSheetId="20">'J51 GST Rec'!$G$209</definedName>
    <definedName name="H05_GSTInCreditors" localSheetId="22">'H05 Trade Creditors'!$L$31</definedName>
    <definedName name="H05_TradeCreditors" localSheetId="22">'H05 Trade Creditors'!$M$35</definedName>
    <definedName name="H12_Number_of_Loans" localSheetId="5">'H12 Loan Summary'!$I$13</definedName>
    <definedName name="H25_BankFees" localSheetId="23">'H25 Bank Loan'!$I$26</definedName>
    <definedName name="H25_BankFees" localSheetId="8">'H25 Bank Loan (1)'!$I$26</definedName>
    <definedName name="H25_InterestExpense" localSheetId="23">'H25 Bank Loan'!$I$25</definedName>
    <definedName name="H25_InterestExpense" localSheetId="8">'H25 Bank Loan (1)'!$I$25</definedName>
    <definedName name="H25_Loan_1" localSheetId="23">'H25 Bank Loan'!$I$33</definedName>
    <definedName name="H25_Loan_1" localSheetId="8">'H25 Bank Loan (1)'!$I$33</definedName>
    <definedName name="H25_TotalLiability" localSheetId="23">'H25 Bank Loan'!$I$33</definedName>
    <definedName name="H25_TotalLiability" localSheetId="8">'H25 Bank Loan (1)'!$I$33</definedName>
    <definedName name="HomeVersion" localSheetId="26">Binder_Properties!$B$4</definedName>
    <definedName name="ICA_AllocationList" localSheetId="15">'H50 ICA'!$K$62:$K$82</definedName>
    <definedName name="ICA_NetTransactionAmount" localSheetId="15">'H50 ICA'!$X$62:$X$82</definedName>
    <definedName name="ICA_NetTransfers_ITA" localSheetId="15">'H50 ICA'!$X$58</definedName>
    <definedName name="ImputationRate" localSheetId="13">'C05 Divs and Franking'!$E$264</definedName>
    <definedName name="Int_Rate" localSheetId="7">'H11 Chattel Mortgage Loan'!$I$32</definedName>
    <definedName name="Int_RateDisplay" localSheetId="7">'H11 Chattel Mortgage Loan'!$T$32</definedName>
    <definedName name="Interest_For_Year_Ended" localSheetId="7">'H11 Chattel Mortgage Loan'!$L$65</definedName>
    <definedName name="Interest_Rate" localSheetId="17">'G31 Div 7A Loan Calculator'!$G$17:$J$30</definedName>
    <definedName name="Interest_Rate" localSheetId="10">'G31 Div 7A Loan Calculator (1)'!$G$17:$J$30</definedName>
    <definedName name="ITA_AllocationList" localSheetId="16">'C50 ITA'!$J$54:$J$74</definedName>
    <definedName name="ITA_NetTransactionAmount" localSheetId="16">'C50 ITA'!$W$54:$W$74</definedName>
    <definedName name="ITA_NetTransfers_ICA" localSheetId="16">'C50 ITA'!$W$50</definedName>
    <definedName name="J50_AprInst5A" localSheetId="14">'J50 BAS Lodgements'!$V$44</definedName>
    <definedName name="J50_AprInst5B" localSheetId="14">'J50 BAS Lodgements'!$W$44</definedName>
    <definedName name="J50_AugInst5A" localSheetId="14">'J50 BAS Lodgements'!$V$36</definedName>
    <definedName name="J50_AugInst5B" localSheetId="14">'J50 BAS Lodgements'!$W$36</definedName>
    <definedName name="J50_DecInst5A" localSheetId="14">'J50 BAS Lodgements'!$V$40</definedName>
    <definedName name="J50_DecInst5B" localSheetId="14">'J50 BAS Lodgements'!$W$40</definedName>
    <definedName name="J50_FebInst5A" localSheetId="14">'J50 BAS Lodgements'!$V$42</definedName>
    <definedName name="J50_FebInst5B" localSheetId="14">'J50 BAS Lodgements'!$W$42</definedName>
    <definedName name="J50_Frequency">'J50 BAS Lodgements'!$I$20</definedName>
    <definedName name="J50_JanInst5A" localSheetId="14">'J50 BAS Lodgements'!$V$41</definedName>
    <definedName name="J50_JanInst5B" localSheetId="14">'J50 BAS Lodgements'!$W$41</definedName>
    <definedName name="J50_JulInst5A" localSheetId="14">'J50 BAS Lodgements'!$V$35</definedName>
    <definedName name="J50_JulInst5B" localSheetId="14">'J50 BAS Lodgements'!$W$35</definedName>
    <definedName name="J50_JunInst5A" localSheetId="14">'J50 BAS Lodgements'!$V$46</definedName>
    <definedName name="J50_JunInst5B" localSheetId="14">'J50 BAS Lodgements'!$W$46</definedName>
    <definedName name="J50_MarInst5A" localSheetId="14">'J50 BAS Lodgements'!$V$43</definedName>
    <definedName name="J50_MarInst5B" localSheetId="14">'J50 BAS Lodgements'!$W$43</definedName>
    <definedName name="J50_MayInst5A" localSheetId="14">'J50 BAS Lodgements'!$V$45</definedName>
    <definedName name="J50_MayInst5B" localSheetId="14">'J50 BAS Lodgements'!$W$45</definedName>
    <definedName name="J50_NetGST" localSheetId="14">'J50 BAS Lodgements'!$P$47</definedName>
    <definedName name="J50_NovInst5A" localSheetId="14">'J50 BAS Lodgements'!$V$39</definedName>
    <definedName name="J50_NovInst5B" localSheetId="14">'J50 BAS Lodgements'!$W$39</definedName>
    <definedName name="J50_OctInst5A" localSheetId="14">'J50 BAS Lodgements'!$V$38</definedName>
    <definedName name="J50_OctInst5B" localSheetId="14">'J50 BAS Lodgements'!$W$38</definedName>
    <definedName name="J50_PAYGI" localSheetId="14">'J50 BAS Lodgements'!$X$47</definedName>
    <definedName name="J50_PAYGW2" localSheetId="14">'J50 BAS Lodgements'!$R$47</definedName>
    <definedName name="J50_PreYrJun5A" localSheetId="14">'J50 BAS Lodgements'!$V$33</definedName>
    <definedName name="J50_PreYrJun5B" localSheetId="14">'J50 BAS Lodgements'!$W$33</definedName>
    <definedName name="J50_SepInst5A" localSheetId="14">'J50 BAS Lodgements'!$V$37</definedName>
    <definedName name="J50_SepInst5B" localSheetId="14">'J50 BAS Lodgements'!$W$37</definedName>
    <definedName name="Jurisdiction" localSheetId="9">'D03 Company Debit Loan Summary'!$M$1</definedName>
    <definedName name="Jurisdiction" localSheetId="14">'J50 BAS Lodgements'!$I$1</definedName>
    <definedName name="Jurisdiction">Home!$E$12</definedName>
    <definedName name="Loan_Amt" localSheetId="7">'H11 Chattel Mortgage Loan'!$S$28</definedName>
    <definedName name="Manual_NominalRate" localSheetId="7">'H11 Chattel Mortgage Loan'!$S$37</definedName>
    <definedName name="Model_AS.LabelW3" localSheetId="14">'J50 BAS Lodgements'!$T$58:$T$79</definedName>
    <definedName name="Model_AS.List.DocumentId" localSheetId="14">'J50 BAS Lodgements'!$F$58:$F$79</definedName>
    <definedName name="Model_AS.List.EndDate" localSheetId="14">'J50 BAS Lodgements'!$E$58:$E$79</definedName>
    <definedName name="Model_AS.List.Label1A" localSheetId="14">'J50 BAS Lodgements'!$M$58:$M$79</definedName>
    <definedName name="Model_AS.List.Label1B" localSheetId="14">'J50 BAS Lodgements'!$N$58:$N$79</definedName>
    <definedName name="Model_AS.List.Label1C1D" localSheetId="14">'J50 BAS Lodgements'!$Y$58:$Y$79</definedName>
    <definedName name="Model_AS.List.Label1E1F" localSheetId="14">'J50 BAS Lodgements'!$Z$58:$Z$79</definedName>
    <definedName name="Model_AS.List.Label4" localSheetId="14">'J50 BAS Lodgements'!$U$58:$U$79</definedName>
    <definedName name="Model_AS.List.Label5A" localSheetId="14">'J50 BAS Lodgements'!$V$58:$V$79</definedName>
    <definedName name="Model_AS.List.Label5A5B" localSheetId="14">'J50 BAS Lodgements'!$X$58:$X$79</definedName>
    <definedName name="Model_AS.List.Label5B" localSheetId="14">'J50 BAS Lodgements'!$W$58:$W$79</definedName>
    <definedName name="Model_AS.List.Label6A" localSheetId="14">'J50 BAS Lodgements'!$AA$58:$AA$79</definedName>
    <definedName name="Model_AS.List.Label6A6B" localSheetId="14">'J50 BAS Lodgements'!$AC$58:$AC$79</definedName>
    <definedName name="Model_AS.List.Label6B" localSheetId="14">'J50 BAS Lodgements'!$AB$58:$AB$79</definedName>
    <definedName name="Model_AS.List.Label7A" localSheetId="14">'J50 BAS Lodgements'!$O$58:$O$79</definedName>
    <definedName name="Model_AS.List.Label7C" localSheetId="14">'J50 BAS Lodgements'!$AD$58:$AD$79</definedName>
    <definedName name="Model_AS.List.Label7C7D" localSheetId="14">'J50 BAS Lodgements'!$AF$58:$AF$79</definedName>
    <definedName name="Model_AS.List.Label7D" localSheetId="14">'J50 BAS Lodgements'!$AE$58:$AE$79</definedName>
    <definedName name="Model_AS.List.LabelG1" localSheetId="14">'J50 BAS Lodgements'!$H$58:$H$79</definedName>
    <definedName name="Model_AS.List.LabelG10" localSheetId="14">'J50 BAS Lodgements'!$K$58:$K$79</definedName>
    <definedName name="Model_AS.List.LabelG11" localSheetId="14">'J50 BAS Lodgements'!$L$58:$L$79</definedName>
    <definedName name="Model_AS.List.LabelG2" localSheetId="14">'J50 BAS Lodgements'!$I$58:$I$79</definedName>
    <definedName name="Model_AS.List.LabelG3" localSheetId="14">'J50 BAS Lodgements'!$J$58:$J$79</definedName>
    <definedName name="Model_AS.List.LabelW1" localSheetId="14">'J50 BAS Lodgements'!$Q$58:$Q$79</definedName>
    <definedName name="Model_AS.List.LabelW2" localSheetId="14">'J50 BAS Lodgements'!$R$58:$R$79</definedName>
    <definedName name="Model_AS.List.LabelW4" localSheetId="14">'J50 BAS Lodgements'!$S$58:$S$79</definedName>
    <definedName name="Model_AS.List.RevisionIndicator" localSheetId="14">'J50 BAS Lodgements'!$G$58:$G$79</definedName>
    <definedName name="Model_AS.List.StartDate" localSheetId="14">'J50 BAS Lodgements'!$D$58:$D$79</definedName>
    <definedName name="Model_CATS.List.AdjRoleCode" localSheetId="16">'C50 ITA'!$V$54:$V$74</definedName>
    <definedName name="Model_CATS.List.AdjRoleCode" localSheetId="15">'H50 ICA'!$W$62:$W$82</definedName>
    <definedName name="Model_CATS.List.Credit" localSheetId="16">'C50 ITA'!$L$54:$L$74</definedName>
    <definedName name="Model_CATS.List.Credit" localSheetId="15">'H50 ICA'!$M$62:$M$82</definedName>
    <definedName name="Model_CATS.List.Debit" localSheetId="16">'C50 ITA'!$K$54:$K$74</definedName>
    <definedName name="Model_CATS.List.Debit" localSheetId="15">'H50 ICA'!$L$62:$L$82</definedName>
    <definedName name="Model_CATS.List.Description" localSheetId="16">'C50 ITA'!$G$54:$G$74</definedName>
    <definedName name="Model_CATS.List.Description" localSheetId="15">'H50 ICA'!$H$62:$H$82</definedName>
    <definedName name="Model_CATS.List.EffectiveDate" localSheetId="16">'C50 ITA'!$D$54:$D$74</definedName>
    <definedName name="Model_CATS.List.EffectiveDate" localSheetId="15">'H50 ICA'!$D$62:$D$82</definedName>
    <definedName name="Model_CATS.List.GroupingCode" localSheetId="16">'C50 ITA'!$S$54:$S$74</definedName>
    <definedName name="Model_CATS.List.GroupingCode" localSheetId="15">'H50 ICA'!$T$62:$T$82</definedName>
    <definedName name="Model_CATS.List.LinkedTransactionId" localSheetId="16">'C50 ITA'!$T$54:$T$74</definedName>
    <definedName name="Model_CATS.List.LinkedTransactionId" localSheetId="15">'H50 ICA'!$U$62:$U$82</definedName>
    <definedName name="Model_CATS.List.ProcessDate" localSheetId="16">'C50 ITA'!$C$54:$C$74</definedName>
    <definedName name="Model_CATS.List.ProcessDate" localSheetId="15">'H50 ICA'!$C$62:$C$82</definedName>
    <definedName name="Model_CATS.List.RoleCode" localSheetId="16">'C50 ITA'!$U$54:$U$74</definedName>
    <definedName name="Model_CATS.List.RoleCode" localSheetId="15">'H50 ICA'!$V$62:$V$82</definedName>
    <definedName name="Model_CATS.List.RunningBalance" localSheetId="16">'C50 ITA'!$M$54:$M$74</definedName>
    <definedName name="Model_CATS.List.RunningBalance" localSheetId="15">'H50 ICA'!$N$62:$N$82</definedName>
    <definedName name="Model_Creditors.Balances.Balance" localSheetId="13">'C05 Divs and Franking'!$E$58:$E$88</definedName>
    <definedName name="Model_Creditors.Balances.Balance" localSheetId="22">'H05 Trade Creditors'!$F$20:$F$29</definedName>
    <definedName name="Model_Creditors.Balances.Band30Days" localSheetId="22">'H05 Trade Creditors'!$X$20:$X$29</definedName>
    <definedName name="Model_Creditors.Balances.Band60Days" localSheetId="22">'H05 Trade Creditors'!$Y$20:$Y$29</definedName>
    <definedName name="Model_Creditors.Balances.Band90Days" localSheetId="22">'H05 Trade Creditors'!$Z$20:$Z$29</definedName>
    <definedName name="Model_Creditors.Balances.Band90PlusDays" localSheetId="22">'H05 Trade Creditors'!$AA$20:$AA$29</definedName>
    <definedName name="Model_Creditors.Balances.Detail" localSheetId="19">'F05 Trade Debtors'!$C$19:$C$29</definedName>
    <definedName name="Model_Creditors.Balances.Detail" localSheetId="22">'H05 Trade Creditors'!$C$20:$C$29</definedName>
    <definedName name="Model_Creditors.Balances.ForeignCurrency" localSheetId="22">'H05 Trade Creditors'!$E$20:$E$29</definedName>
    <definedName name="Model_Creditors.Balances.ForeignCurrencyRate" localSheetId="22">'H05 Trade Creditors'!$G$20:$G$29</definedName>
    <definedName name="Model_Creditors.Balances.Reference" localSheetId="22">'H05 Trade Creditors'!$D$20:$D$29</definedName>
    <definedName name="Model_Debtors.Balances.Balance" localSheetId="19">'F05 Trade Debtors'!$F$20:$F$29</definedName>
    <definedName name="Model_Debtors.Balances.Band30Days" localSheetId="19">'F05 Trade Debtors'!$X$20:$X$29</definedName>
    <definedName name="Model_Debtors.Balances.Band60Days" localSheetId="19">'F05 Trade Debtors'!$Y$20:$Y$29</definedName>
    <definedName name="Model_Debtors.Balances.Band90Days" localSheetId="19">'F05 Trade Debtors'!$Z$20:$Z$29</definedName>
    <definedName name="Model_Debtors.Balances.Band90PlusDays" localSheetId="19">'F05 Trade Debtors'!$AA$20:$AA$29</definedName>
    <definedName name="Model_Debtors.Balances.Detail" localSheetId="19">'F05 Trade Debtors'!$C$20:$C$29</definedName>
    <definedName name="Model_Debtors.Balances.ForeignCurrency" localSheetId="19">'F05 Trade Debtors'!$E$20:$E$29</definedName>
    <definedName name="Model_Debtors.Balances.ForeignCurrencyRate" localSheetId="19">'F05 Trade Debtors'!$G$20:$G$29</definedName>
    <definedName name="Model_Debtors.Balances.Reference" localSheetId="19">'F05 Trade Debtors'!$D$20:$D$29</definedName>
    <definedName name="Model_WageAccounts.Accounts.AccountNoName" localSheetId="21">'N80 Wages  PAYGW'!$C$77:$C$80</definedName>
    <definedName name="Model_WageAccounts.Accounts.BalanceFormula" localSheetId="21">'N80 Wages  PAYGW'!$E$77:$E$80</definedName>
    <definedName name="Model1_Wages.Gross" localSheetId="21">'N80 Wages  PAYGW'!$E$129</definedName>
    <definedName name="Model1_Wages.Super" localSheetId="24">'N75 Super'!$E$34</definedName>
    <definedName name="Model1_Wages.Tax" localSheetId="21">'N80 Wages  PAYGW'!$F$129</definedName>
    <definedName name="Model10_Wages.Gross" localSheetId="21">'N80 Wages  PAYGW'!$E$138</definedName>
    <definedName name="Model10_Wages.Super" localSheetId="24">'N75 Super'!$E$58</definedName>
    <definedName name="Model10_Wages.Tax" localSheetId="21">'N80 Wages  PAYGW'!$F$138</definedName>
    <definedName name="Model11_Wages.Gross" localSheetId="21">'N80 Wages  PAYGW'!$E$139</definedName>
    <definedName name="Model11_Wages.Super" localSheetId="24">'N75 Super'!$E$59</definedName>
    <definedName name="Model11_Wages.Tax" localSheetId="21">'N80 Wages  PAYGW'!$F$139</definedName>
    <definedName name="Model12_Wages.Gross" localSheetId="21">'N80 Wages  PAYGW'!$E$140</definedName>
    <definedName name="Model12_Wages.Super" localSheetId="24">'N75 Super'!$E$60</definedName>
    <definedName name="Model12_Wages.Tax" localSheetId="21">'N80 Wages  PAYGW'!$F$140</definedName>
    <definedName name="Model2_Wages.Gross" localSheetId="21">'N80 Wages  PAYGW'!$E$130</definedName>
    <definedName name="Model2_Wages.Super" localSheetId="24">'N75 Super'!$E$35</definedName>
    <definedName name="Model2_Wages.Tax" localSheetId="21">'N80 Wages  PAYGW'!$F$130</definedName>
    <definedName name="Model3_Wages.Gross" localSheetId="21">'N80 Wages  PAYGW'!$E$131</definedName>
    <definedName name="Model3_Wages.Super" localSheetId="24">'N75 Super'!$E$36</definedName>
    <definedName name="Model3_Wages.Tax" localSheetId="21">'N80 Wages  PAYGW'!$F$131</definedName>
    <definedName name="Model4_Wages.Gross" localSheetId="21">'N80 Wages  PAYGW'!$E$132</definedName>
    <definedName name="Model4_Wages.Super" localSheetId="24">'N75 Super'!$E$42</definedName>
    <definedName name="Model4_Wages.Tax" localSheetId="21">'N80 Wages  PAYGW'!$F$132</definedName>
    <definedName name="Model5_Wages.Gross" localSheetId="21">'N80 Wages  PAYGW'!$E$133</definedName>
    <definedName name="Model5_Wages.Super" localSheetId="24">'N75 Super'!$E$43</definedName>
    <definedName name="Model5_Wages.Tax" localSheetId="21">'N80 Wages  PAYGW'!$F$133</definedName>
    <definedName name="Model6_Wages.Gross" localSheetId="21">'N80 Wages  PAYGW'!$E$134</definedName>
    <definedName name="Model6_Wages.Super" localSheetId="24">'N75 Super'!$E$44</definedName>
    <definedName name="Model6_Wages.Tax" localSheetId="21">'N80 Wages  PAYGW'!$F$134</definedName>
    <definedName name="Model7_Wages.Gross" localSheetId="21">'N80 Wages  PAYGW'!$E$135</definedName>
    <definedName name="Model7_Wages.Super" localSheetId="24">'N75 Super'!$E$50</definedName>
    <definedName name="Model7_Wages.Tax" localSheetId="21">'N80 Wages  PAYGW'!$F$135</definedName>
    <definedName name="Model8_Wages.Gross" localSheetId="21">'N80 Wages  PAYGW'!$E$136</definedName>
    <definedName name="Model8_Wages.Super" localSheetId="24">'N75 Super'!$E$51</definedName>
    <definedName name="Model8_Wages.Tax" localSheetId="21">'N80 Wages  PAYGW'!$F$136</definedName>
    <definedName name="Model9_Wages.Gross" localSheetId="21">'N80 Wages  PAYGW'!$E$137</definedName>
    <definedName name="Model9_Wages.Super" localSheetId="24">'N75 Super'!$E$52</definedName>
    <definedName name="Model9_Wages.Tax" localSheetId="21">'N80 Wages  PAYGW'!$F$137</definedName>
    <definedName name="Multiplier" localSheetId="21">'N80 Wages  PAYGW'!$H$28</definedName>
    <definedName name="N75_ClosingSuperPayable" localSheetId="24">'N75 Super'!$E$128</definedName>
    <definedName name="N75_DeductibleSuperExpense" localSheetId="24">'N75 Super'!$F$132</definedName>
    <definedName name="N75_NonDeductibleSGC" localSheetId="24">'N75 Super'!$E$129</definedName>
    <definedName name="N75_OpeningSuperPayable" localSheetId="24">'N75 Super'!$F$127</definedName>
    <definedName name="N75_SuperExpense" localSheetId="24">'N75 Super'!$E$65</definedName>
    <definedName name="N75_SuperPaid" localSheetId="24">'N75 Super'!$H$65</definedName>
    <definedName name="N80_PayrollWages" localSheetId="21">'N80 Wages  PAYGW'!$E$44</definedName>
    <definedName name="N80_Salaries" localSheetId="21">'N80 Wages  PAYGW'!$E$74</definedName>
    <definedName name="NetCurrentLiability" localSheetId="7">'H11 Chattel Mortgage Loan'!$L$55</definedName>
    <definedName name="NetNonCurrentLiability" localSheetId="7">'H11 Chattel Mortgage Loan'!$L$59</definedName>
    <definedName name="No_Regular_Payments" localSheetId="7">'H11 Chattel Mortgage Loan'!$N$32</definedName>
    <definedName name="NonCurrentLiability" localSheetId="7">'H11 Chattel Mortgage Loan'!$L$57</definedName>
    <definedName name="NonCurrentUnexpiredInterest" localSheetId="7">'H11 Chattel Mortgage Loan'!$L$58</definedName>
    <definedName name="Number_Payments" localSheetId="7">'H11 Chattel Mortgage Loan'!$I$29</definedName>
    <definedName name="Options_Tolerance">Home!$C$52</definedName>
    <definedName name="Pay_No" localSheetId="7">'H11 Chattel Mortgage Loan'!$K$127:$K$1686</definedName>
    <definedName name="Payment_Frequency" localSheetId="7">'H11 Chattel Mortgage Loan'!$N$28</definedName>
    <definedName name="Payroll_Tax_Registration" localSheetId="21">'N80 Wages  PAYGW'!$C$45:$G$45</definedName>
    <definedName name="Payroll_Threshold_Lookup" localSheetId="21">'N80 Wages  PAYGW'!$C$145:$E$150</definedName>
    <definedName name="PeriodEndDate">Home!$E$14</definedName>
    <definedName name="Periodic_Admin_Charge" localSheetId="7">'H11 Chattel Mortgage Loan'!$N$34</definedName>
    <definedName name="PeriodStartDate">Home!$C$14</definedName>
    <definedName name="PrimaryBalances">Taxonomy!$N:$N</definedName>
    <definedName name="_xlnm.Print_Area" localSheetId="13">'C05 Divs and Franking'!$B$3:$T$256</definedName>
    <definedName name="_xlnm.Print_Area" localSheetId="12">'C15 Losses'!$B:$J</definedName>
    <definedName name="_xlnm.Print_Area" localSheetId="16">'C50 ITA'!$B:$O</definedName>
    <definedName name="_xlnm.Print_Area" localSheetId="11">'CTR Company Tax Return'!$B$2:$K$201</definedName>
    <definedName name="_xlnm.Print_Area" localSheetId="2">'D08 UPE Calculator'!$E:$M</definedName>
    <definedName name="_xlnm.Print_Area" localSheetId="19">'F05 Trade Debtors'!$A$1:$O$122</definedName>
    <definedName name="_xlnm.Print_Area" localSheetId="18">'F10 Bank'!$B$2:$L$250</definedName>
    <definedName name="_xlnm.Print_Area" localSheetId="17">'G31 Div 7A Loan Calculator'!$B$3:$M$125</definedName>
    <definedName name="_xlnm.Print_Area" localSheetId="10">'G31 Div 7A Loan Calculator (1)'!$B$3:$M$125</definedName>
    <definedName name="_xlnm.Print_Area" localSheetId="22">'H05 Trade Creditors'!$A$2:$O$62</definedName>
    <definedName name="_xlnm.Print_Area" localSheetId="5">'H12 Loan Summary'!$A$2:$N$76</definedName>
    <definedName name="_xlnm.Print_Area" localSheetId="6">'H15 Inter Entity Loan'!$B$2:$U$39</definedName>
    <definedName name="_xlnm.Print_Area" localSheetId="23">'H25 Bank Loan'!$B$2:$J$39</definedName>
    <definedName name="_xlnm.Print_Area" localSheetId="8">'H25 Bank Loan (1)'!$B$2:$J$39</definedName>
    <definedName name="_xlnm.Print_Area" localSheetId="15">'H50 ICA'!$B:$P</definedName>
    <definedName name="_xlnm.Print_Area" localSheetId="14">'J50 BAS Lodgements'!$B:$AH</definedName>
    <definedName name="_xlnm.Print_Area" localSheetId="20">'J51 GST Rec'!$B:$P</definedName>
    <definedName name="_xlnm.Print_Area" localSheetId="24">'N75 Super'!$B:$M</definedName>
    <definedName name="_xlnm.Print_Area" localSheetId="21">'N80 Wages  PAYGW'!$B:$L</definedName>
    <definedName name="_xlnm.Print_Area" localSheetId="4">'Z01 Blank'!$B:$K</definedName>
    <definedName name="_xlnm.Print_Area" localSheetId="3">'Z02 List'!$B:$I</definedName>
    <definedName name="_xlnm.Print_Titles" localSheetId="2">'D08 UPE Calculator'!$10:$55</definedName>
    <definedName name="_xlnm.Print_Titles" localSheetId="18">'F10 Bank'!$2:$7</definedName>
    <definedName name="_xlnm.Print_Titles" localSheetId="14">'J50 BAS Lodgements'!$1:$8</definedName>
    <definedName name="_xlnm.Print_Titles" localSheetId="20">'J51 GST Rec'!$1:$8</definedName>
    <definedName name="_xlnm.Print_Titles" localSheetId="24">'N75 Super'!$1:$12</definedName>
    <definedName name="_xlnm.Print_Titles" localSheetId="21">'N80 Wages  PAYGW'!$1:$8</definedName>
    <definedName name="Rates_BenchmarkInt">'TR_1 Tax Rates'!$H$167</definedName>
    <definedName name="Rates_Carparking">'TR_1 Tax Rates'!$H$202</definedName>
    <definedName name="Rates_DeemedDepDate1">'TR_1 Tax Rates'!$F$191</definedName>
    <definedName name="Rates_DeemedDepDate2">'TR_1 Tax Rates'!$D$192</definedName>
    <definedName name="Rates_DeemedDepDate3">'TR_1 Tax Rates'!$F$192</definedName>
    <definedName name="Rates_DeemedDepDate4">'TR_1 Tax Rates'!$F$193</definedName>
    <definedName name="Rates_DeemedDepRate1">'TR_1 Tax Rates'!$H$191</definedName>
    <definedName name="Rates_DeemedDepRate2">'TR_1 Tax Rates'!$H$192</definedName>
    <definedName name="Rates_DeemedDepRate3">'TR_1 Tax Rates'!$H$193</definedName>
    <definedName name="Rates_FBTRate">'TR_1 Tax Rates'!$H$166</definedName>
    <definedName name="Rates_Indexation_ACT">'TR_1 Tax Rates'!$H$224</definedName>
    <definedName name="Rates_Indexation_NSW">'TR_1 Tax Rates'!$H$225</definedName>
    <definedName name="Rates_Indexation_NT">'TR_1 Tax Rates'!$H$226</definedName>
    <definedName name="Rates_Indexation_QLD">'TR_1 Tax Rates'!$H$227</definedName>
    <definedName name="Rates_Indexation_SA">'TR_1 Tax Rates'!$H$228</definedName>
    <definedName name="Rates_Indexation_TAS">'TR_1 Tax Rates'!$H$229</definedName>
    <definedName name="Rates_Indexation_VIC">'TR_1 Tax Rates'!$H$231</definedName>
    <definedName name="Rates_Indexation_WA">'TR_1 Tax Rates'!$H$230</definedName>
    <definedName name="Rates_MC">'TR_1 Tax Rates'!$H$197</definedName>
    <definedName name="Rates_MV1">'TR_1 Tax Rates'!$H$195</definedName>
    <definedName name="Rates_MV2">'TR_1 Tax Rates'!$H$196</definedName>
    <definedName name="Rates_Rebate">'TR_1 Tax Rates'!$H$168</definedName>
    <definedName name="Rates_Type1">'TR_1 Tax Rates'!$H$170</definedName>
    <definedName name="Rates_Type2">'TR_1 Tax Rates'!$H$171</definedName>
    <definedName name="Reconcile_AccountsPayable" localSheetId="22">'H05 Trade Creditors'!$M$35</definedName>
    <definedName name="Reconcile_AccountsReceivable" localSheetId="19">'F05 Trade Debtors'!$M$35</definedName>
    <definedName name="Reconcile_Asset_ICAReceivable" localSheetId="15">'H50 ICA'!$I$36</definedName>
    <definedName name="Reconcile_Asset_ITAReceivable" localSheetId="16">'C50 ITA'!$H$28</definedName>
    <definedName name="Reconcile_BankAccount1" localSheetId="18">'F10 Bank'!$J$56</definedName>
    <definedName name="Reconcile_BankAccount2" localSheetId="18">'F10 Bank'!$J$94</definedName>
    <definedName name="Reconcile_BankAccount3" localSheetId="18">'F10 Bank'!$J$132</definedName>
    <definedName name="Reconcile_BankAccount4" localSheetId="18">'F10 Bank'!$J$170</definedName>
    <definedName name="Reconcile_BankAccount5" localSheetId="18">'F10 Bank'!$J$208</definedName>
    <definedName name="Reconcile_BankAccount6" localSheetId="18">'F10 Bank'!$J$246</definedName>
    <definedName name="Reconcile_CurrentLiability" localSheetId="7">'H11 Chattel Mortgage Loan'!$L$53</definedName>
    <definedName name="Reconcile_CurrentUnexpiredInterest" localSheetId="7">'H11 Chattel Mortgage Loan'!$L$54</definedName>
    <definedName name="Reconcile_Director1LoanBalance" localSheetId="9">'D03 Company Debit Loan Summary'!$J$73</definedName>
    <definedName name="Reconcile_Director2LoanBalance" localSheetId="9">'D03 Company Debit Loan Summary'!$J$74</definedName>
    <definedName name="Reconcile_Director3LoanBalance" localSheetId="9">'D03 Company Debit Loan Summary'!$J$75</definedName>
    <definedName name="Reconcile_Div7AClosingBalance" localSheetId="9">'D03 Company Debit Loan Summary'!$J$87</definedName>
    <definedName name="Reconcile_DivsDeclared" localSheetId="13">'C05 Divs and Franking'!$K$250</definedName>
    <definedName name="Reconcile_DivsPayable" localSheetId="13">'C05 Divs and Franking'!$Q$250</definedName>
    <definedName name="Reconcile_Expense_SuperExpense" localSheetId="24">'N75 Super'!$E$65</definedName>
    <definedName name="Reconcile_GSTPayable" localSheetId="20">'J51 GST Rec'!$J$112</definedName>
    <definedName name="Reconcile_InterestExpense" localSheetId="7">'H11 Chattel Mortgage Loan'!$L$65</definedName>
    <definedName name="Reconcile_Liability_ICAPayable" localSheetId="15">'H50 ICA'!$I$36</definedName>
    <definedName name="Reconcile_Liability_ITAPayable" localSheetId="16">'C50 ITA'!$H$28</definedName>
    <definedName name="Reconcile_Liability_PAYGWithholding" localSheetId="21">'N80 Wages  PAYGW'!$E$98</definedName>
    <definedName name="Reconcile_Liability_SuperPayable" localSheetId="24">'N75 Super'!$J$65</definedName>
    <definedName name="Reconcile_Loan1" localSheetId="23">'H25 Bank Loan'!$I$33</definedName>
    <definedName name="Reconcile_Loan1" localSheetId="8">'H25 Bank Loan (1)'!$I$33</definedName>
    <definedName name="Reconcile_LoanBalance" localSheetId="17">'G31 Div 7A Loan Calculator'!$J$50</definedName>
    <definedName name="Reconcile_LoanBalance" localSheetId="10">'G31 Div 7A Loan Calculator (1)'!$J$50</definedName>
    <definedName name="Reconcile_NetCurrentLiability" localSheetId="7">'H11 Chattel Mortgage Loan'!$L$55</definedName>
    <definedName name="Reconcile_NetNonCurrentLiability" localSheetId="7">'H11 Chattel Mortgage Loan'!$L$59</definedName>
    <definedName name="Reconcile_NonCurrentLiability" localSheetId="7">'H11 Chattel Mortgage Loan'!$L$57</definedName>
    <definedName name="Reconcile_NonCurrentUnexpiredInterest" localSheetId="7">'H11 Chattel Mortgage Loan'!$L$58</definedName>
    <definedName name="Reconcile_ProvisionForDoubtfulDebts" localSheetId="19">'F05 Trade Debtors'!$I$85</definedName>
    <definedName name="Reconcile_Summary_CurrentLiability" localSheetId="5">'H12 Loan Summary'!$G$74</definedName>
    <definedName name="Reconcile_Summary_CurrentUnexpiredInterest" localSheetId="5">'H12 Loan Summary'!$H$74</definedName>
    <definedName name="Reconcile_Summary_InterestExpense" localSheetId="5">'H12 Loan Summary'!$F$74</definedName>
    <definedName name="Reconcile_Summary_NonCurrentLiability" localSheetId="5">'H12 Loan Summary'!$I$74</definedName>
    <definedName name="Reconcile_Summary_NonCurrentUnexpiredInterest" localSheetId="5">'H12 Loan Summary'!$J$74</definedName>
    <definedName name="Reconcile_Summary_TotalLiability" localSheetId="5">'H12 Loan Summary'!$K$74</definedName>
    <definedName name="Reconcile_Summary_TotalUnexpiredInterest" localSheetId="5">'H12 Loan Summary'!$L$74</definedName>
    <definedName name="Reconcile_TotalClosingBalance" localSheetId="9">'D03 Company Debit Loan Summary'!$J$90</definedName>
    <definedName name="Reconcile_TotalLiability" localSheetId="7">'H11 Chattel Mortgage Loan'!$L$61</definedName>
    <definedName name="Reconcile_TotalNetLiability" localSheetId="7">'H11 Chattel Mortgage Loan'!$L$63</definedName>
    <definedName name="Reconcile_TotalUnexpiredInterest" localSheetId="7">'H11 Chattel Mortgage Loan'!$M$68</definedName>
    <definedName name="Reconcile_UPEBalance" localSheetId="2">'D08 UPE Calculator'!$K$51</definedName>
    <definedName name="Reconcile_UPEClosingBalance" localSheetId="9">'D03 Company Debit Loan Summary'!$J$88</definedName>
    <definedName name="ReconcileStatus_Expense_WagesExpense" localSheetId="21">'N80 Wages  PAYGW'!$E$86</definedName>
    <definedName name="RecordInfo.RecordId">Binder_Records!$A:$A</definedName>
    <definedName name="RecordInfo.RecordTitle">Binder_Records!$D:$D</definedName>
    <definedName name="RecordInfo.SheetId">Binder_Records!$B:$B</definedName>
    <definedName name="RecordInfo.Tolerances">Binder_Records!$C:$C</definedName>
    <definedName name="Repay_Amt" localSheetId="7">'H11 Chattel Mortgage Loan'!$N$33</definedName>
    <definedName name="SelectedFrequency" localSheetId="14">'J50 BAS Lodgements'!$I$20</definedName>
    <definedName name="SelectedFrequency" localSheetId="20">'J51 GST Rec'!$N$16</definedName>
    <definedName name="SheetNamedRangesNames">Sheet_Named_Ranges!$B:$B</definedName>
    <definedName name="SheetNamedRangesSheetName">Sheet_Named_Ranges!$A:$A</definedName>
    <definedName name="SheetNamedRangesValues">Sheet_Named_Ranges!$C:$C</definedName>
    <definedName name="SingleCB" localSheetId="13">'C05 Divs and Franking'!$K$73</definedName>
    <definedName name="SingleCB_01" localSheetId="12">'C15 Losses'!$G$31</definedName>
    <definedName name="SingleCB_01" localSheetId="16">'C50 ITA'!$H$28</definedName>
    <definedName name="SingleCB_01" localSheetId="2">'D08 UPE Calculator'!$K$39</definedName>
    <definedName name="SingleCB_01" localSheetId="15">'H50 ICA'!$I$36</definedName>
    <definedName name="SingleCB_02" localSheetId="12">'C15 Losses'!$G$52</definedName>
    <definedName name="SingleCB_02" localSheetId="2">'D08 UPE Calculator'!$K$42</definedName>
    <definedName name="SingleCB_03" localSheetId="2">'D08 UPE Calculator'!$K$51</definedName>
    <definedName name="SingleCB_1" localSheetId="17">'G31 Div 7A Loan Calculator'!$J$46</definedName>
    <definedName name="SingleCB_1" localSheetId="10">'G31 Div 7A Loan Calculator (1)'!$J$46</definedName>
    <definedName name="SingleCB_1" localSheetId="23">'H25 Bank Loan'!$I$33</definedName>
    <definedName name="SingleCB_1" localSheetId="8">'H25 Bank Loan (1)'!$I$33</definedName>
    <definedName name="SingleCB_1" localSheetId="20">'J51 GST Rec'!$I$60</definedName>
    <definedName name="SingleCB_1" localSheetId="24">'N75 Super'!$J$65</definedName>
    <definedName name="SingleCB_1" localSheetId="21">'N80 Wages  PAYGW'!$E$70</definedName>
    <definedName name="SingleCB_2" localSheetId="20">'J51 GST Rec'!$J$60</definedName>
    <definedName name="SingleCB_3" localSheetId="20">'J51 GST Rec'!$N$60</definedName>
    <definedName name="SingleCB_4" localSheetId="20">'J51 GST Rec'!$O$60</definedName>
    <definedName name="SingleCB_5" localSheetId="20">'J51 GST Rec'!$G$113</definedName>
    <definedName name="SingleCB_6" localSheetId="17">'G31 Div 7A Loan Calculator'!$F$34</definedName>
    <definedName name="SingleCB_6" localSheetId="10">'G31 Div 7A Loan Calculator (1)'!$F$34</definedName>
    <definedName name="SingleCB_6" localSheetId="20">'J51 GST Rec'!$H$113</definedName>
    <definedName name="SingleCB_7" localSheetId="20">'J51 GST Rec'!$G$164</definedName>
    <definedName name="SingleCB_8" localSheetId="20">'J51 GST Rec'!$H$164</definedName>
    <definedName name="SingleOB" localSheetId="13">'C05 Divs and Franking'!$L$25</definedName>
    <definedName name="SingleOB_01" localSheetId="12">'C15 Losses'!$I$17</definedName>
    <definedName name="SingleOB_01" localSheetId="16">'C50 ITA'!$H$14</definedName>
    <definedName name="SingleOB_01" localSheetId="2">'D08 UPE Calculator'!$K$39</definedName>
    <definedName name="SingleOB_01" localSheetId="15">'H50 ICA'!$I$14</definedName>
    <definedName name="SingleOB_02" localSheetId="12">'C15 Losses'!$I$38</definedName>
    <definedName name="SingleOB_02" localSheetId="2">'D08 UPE Calculator'!$K$42</definedName>
    <definedName name="SingleOB_03" localSheetId="2">'D08 UPE Calculator'!$K$44</definedName>
    <definedName name="SingleOB_1" localSheetId="17">'G31 Div 7A Loan Calculator'!$K$41</definedName>
    <definedName name="SingleOB_1" localSheetId="10">'G31 Div 7A Loan Calculator (1)'!$K$41</definedName>
    <definedName name="SingleOB_1" localSheetId="23">'H25 Bank Loan'!$I$22</definedName>
    <definedName name="SingleOB_1" localSheetId="8">'H25 Bank Loan (1)'!$I$22</definedName>
    <definedName name="SingleOB_1" localSheetId="20">'J51 GST Rec'!$I$30</definedName>
    <definedName name="SingleOB_1" localSheetId="24">'N75 Super'!$E$28</definedName>
    <definedName name="SingleOB_1" localSheetId="21">'N80 Wages  PAYGW'!$H$70</definedName>
    <definedName name="SingleOB_2" localSheetId="17">'G31 Div 7A Loan Calculator'!$L$41</definedName>
    <definedName name="SingleOB_2" localSheetId="10">'G31 Div 7A Loan Calculator (1)'!$L$41</definedName>
    <definedName name="SingleOB_2" localSheetId="20">'J51 GST Rec'!$J$30</definedName>
    <definedName name="SingleOB_3" localSheetId="20">'J51 GST Rec'!$N$30</definedName>
    <definedName name="SingleOB_4" localSheetId="20">'J51 GST Rec'!$O$30</definedName>
    <definedName name="SingleOB_5" localSheetId="20">'J51 GST Rec'!$G$144</definedName>
    <definedName name="SingleOB_6" localSheetId="17">'G31 Div 7A Loan Calculator'!$F$34</definedName>
    <definedName name="SingleOB_6" localSheetId="10">'G31 Div 7A Loan Calculator (1)'!$F$34</definedName>
    <definedName name="SingleOB_6" localSheetId="20">'J51 GST Rec'!$H$144</definedName>
    <definedName name="SingleOB_7" localSheetId="20">'J51 GST Rec'!$G$169</definedName>
    <definedName name="SingleOB_8" localSheetId="20">'J51 GST Rec'!$H$169</definedName>
    <definedName name="Start_Date" localSheetId="7">'H11 Chattel Mortgage Loan'!$N$24</definedName>
    <definedName name="Summary_table" localSheetId="7">'H11 Chattel Mortgage Loan'!$L$76:$T$110</definedName>
    <definedName name="Tax_BaseRateEntity">Home!$C$18</definedName>
    <definedName name="Tax_SmallBusinessEntity">Home!$E$16</definedName>
    <definedName name="Tax_Year">Home!$C$16</definedName>
    <definedName name="TaxRates_CoTaxRate">'TR_1 Tax Rates'!$H$116</definedName>
    <definedName name="TaxRates_DependantDailyRate">'TR_1 Tax Rates'!$H$83</definedName>
    <definedName name="TaxRates_ForeignInc1a">'TR_1 Tax Rates'!$D$25</definedName>
    <definedName name="TaxRates_ForeignInc1b">'TR_1 Tax Rates'!$F$25</definedName>
    <definedName name="TaxRates_ForeignInc2a">'TR_1 Tax Rates'!$D$26</definedName>
    <definedName name="TaxRates_ForeignInc2b">'TR_1 Tax Rates'!$F$26</definedName>
    <definedName name="TaxRates_ForeignInc3">'TR_1 Tax Rates'!$D$27</definedName>
    <definedName name="TaxRates_ForeignRate1">'TR_1 Tax Rates'!$H$25</definedName>
    <definedName name="TaxRates_ForeignRate2">'TR_1 Tax Rates'!$H$26</definedName>
    <definedName name="TaxRates_ForeignRate3">'TR_1 Tax Rates'!$H$27</definedName>
    <definedName name="TaxRates_ForeignTax1">'TR_1 Tax Rates'!$G$25</definedName>
    <definedName name="TaxRates_ForeignTax2">'TR_1 Tax Rates'!$G$26</definedName>
    <definedName name="TaxRates_HelpLower">'TR_1 Tax Rates'!$D$90:$D$108</definedName>
    <definedName name="TaxRates_HelpRates">'TR_1 Tax Rates'!$H$90:$H$108</definedName>
    <definedName name="TaxRates_HelpUpper">'TR_1 Tax Rates'!$F$90:$F$108</definedName>
    <definedName name="TaxRates_InvalidOffset">'TR_1 Tax Rates'!$H$82</definedName>
    <definedName name="TaxRates_InvalidOffsetMaxATI">'TR_1 Tax Rates'!$H$84</definedName>
    <definedName name="TaxRates_LITOLowerInc">'TR_1 Tax Rates'!$D$55</definedName>
    <definedName name="TaxRates_LITOLowerRate">'TR_1 Tax Rates'!$H$55</definedName>
    <definedName name="TaxRates_LITOLowerRates">'TR_1 Tax Rates'!$H$55</definedName>
    <definedName name="TaxRates_LITOMidInc1">'TR_1 Tax Rates'!$D$56</definedName>
    <definedName name="TaxRates_LITOMidInc2">'TR_1 Tax Rates'!$F$56</definedName>
    <definedName name="TaxRates_LITOMidInc3">'TR_1 Tax Rates'!$D$57</definedName>
    <definedName name="TaxRates_LITOMidInc4">'TR_1 Tax Rates'!$F$57</definedName>
    <definedName name="TaxRates_LITOMidInc5">'TR_1 Tax Rates'!$D$58</definedName>
    <definedName name="TaxRates_LITOMidRate">'TR_1 Tax Rates'!$H$56</definedName>
    <definedName name="TaxRates_LITOMidRate2">'TR_1 Tax Rates'!$H$57</definedName>
    <definedName name="TaxRates_LMITOLowerInc">'TR_1 Tax Rates'!$D$63</definedName>
    <definedName name="TaxRates_LMITOLowerRates">'TR_1 Tax Rates'!$H$63</definedName>
    <definedName name="TaxRates_LMITOMidInc1">'TR_1 Tax Rates'!$D$64</definedName>
    <definedName name="TaxRates_LMITOMidInc2">'TR_1 Tax Rates'!$F$64</definedName>
    <definedName name="TaxRates_LMITOMidInc3">'TR_1 Tax Rates'!$D$65</definedName>
    <definedName name="TaxRates_LMITOMidInc4">'TR_1 Tax Rates'!$F$65</definedName>
    <definedName name="TaxRates_LMITOMidInc5">'TR_1 Tax Rates'!$D$66</definedName>
    <definedName name="TaxRates_LMITOMidInc6">'TR_1 Tax Rates'!$F$66</definedName>
    <definedName name="TaxRates_LMITOMidRates1">'TR_1 Tax Rates'!$H$64</definedName>
    <definedName name="TaxRates_LMITOMidRates2">'TR_1 Tax Rates'!$H$65</definedName>
    <definedName name="TaxRates_LMITOMidRates3">'TR_1 Tax Rates'!$H$66</definedName>
    <definedName name="TaxRates_MCareLowerInc">'TR_1 Tax Rates'!$D$48</definedName>
    <definedName name="TaxRates_MCareLowerPercentage">'TR_1 Tax Rates'!$H$48</definedName>
    <definedName name="TaxRates_MCareMidInc1">'TR_1 Tax Rates'!$D$49</definedName>
    <definedName name="TaxRates_MCareMidInc2">'TR_1 Tax Rates'!$F$49</definedName>
    <definedName name="TaxRates_MCareMidPercentage">'TR_1 Tax Rates'!$H$49</definedName>
    <definedName name="TaxRates_MCareUpperInc">'TR_1 Tax Rates'!$D$50</definedName>
    <definedName name="TaxRates_MCareUpperPercentage">'TR_1 Tax Rates'!$H$50</definedName>
    <definedName name="TaxRates_MinorInc1">'TR_1 Tax Rates'!$D$18</definedName>
    <definedName name="TaxRates_MinorInc2a">'TR_1 Tax Rates'!$D$19</definedName>
    <definedName name="TaxRates_MinorInc2b">'TR_1 Tax Rates'!$F$19</definedName>
    <definedName name="TaxRates_MinorInc3">'TR_1 Tax Rates'!$D$20</definedName>
    <definedName name="TaxRates_MinorRate1">'TR_1 Tax Rates'!$H$18</definedName>
    <definedName name="TaxRates_MinorRate2">'TR_1 Tax Rates'!$H$19</definedName>
    <definedName name="TaxRates_MinorRate3">'TR_1 Tax Rates'!$H$20</definedName>
    <definedName name="TaxRates_MinorTax1">'TR_1 Tax Rates'!$G$18</definedName>
    <definedName name="TaxRates_MinorTax2">'TR_1 Tax Rates'!$G$19</definedName>
    <definedName name="TaxRates_NonResMinorInc1">'TR_1 Tax Rates'!$D$32</definedName>
    <definedName name="TaxRates_NonResMinorInc2a">'TR_1 Tax Rates'!$D$33</definedName>
    <definedName name="TaxRates_NonResMinorInc2b">'TR_1 Tax Rates'!$F$33</definedName>
    <definedName name="TaxRates_NonResMinorInc3">'TR_1 Tax Rates'!$D$34</definedName>
    <definedName name="TaxRates_NonResMinorRate1">'TR_1 Tax Rates'!$H$32</definedName>
    <definedName name="TaxRates_NonResMinorRate2">'TR_1 Tax Rates'!$H$33</definedName>
    <definedName name="TaxRates_NonResMinorRate3">'TR_1 Tax Rates'!$H$34</definedName>
    <definedName name="TaxRates_NonResPersonalInc1">'TR_1 Tax Rates'!$F$25</definedName>
    <definedName name="TaxRates_NonResPersonalInc2a">'TR_1 Tax Rates'!$D$26</definedName>
    <definedName name="TaxRates_NonResPersonalInc2b">'TR_1 Tax Rates'!$F$26</definedName>
    <definedName name="TaxRates_NonResPersonalInc3">'TR_1 Tax Rates'!$D$27</definedName>
    <definedName name="TaxRates_NonResPersonalRate1">'TR_1 Tax Rates'!$H$25</definedName>
    <definedName name="TaxRates_NonResPersonalRate2">'TR_1 Tax Rates'!$H$26</definedName>
    <definedName name="TaxRates_NonResPersonalRate3">'TR_1 Tax Rates'!$H$27</definedName>
    <definedName name="TaxRates_PersonalInc1">'TR_1 Tax Rates'!$D$9</definedName>
    <definedName name="TaxRates_PersonalInc2a">'TR_1 Tax Rates'!$D$10</definedName>
    <definedName name="TaxRates_PersonalInc2b">'TR_1 Tax Rates'!$F$10</definedName>
    <definedName name="TaxRates_PersonalInc3a">'TR_1 Tax Rates'!$D$11</definedName>
    <definedName name="TaxRates_PersonalInc3b">'TR_1 Tax Rates'!$F$11</definedName>
    <definedName name="TaxRates_PersonalInc4a">'TR_1 Tax Rates'!$D$12</definedName>
    <definedName name="TaxRates_PersonalInc4b">'TR_1 Tax Rates'!$F$12</definedName>
    <definedName name="TaxRates_PersonalInc5">'TR_1 Tax Rates'!$D$13</definedName>
    <definedName name="TaxRates_PersonalRate1">'TR_1 Tax Rates'!$H$9</definedName>
    <definedName name="TaxRates_PersonalRate2">'TR_1 Tax Rates'!$H$10</definedName>
    <definedName name="TaxRates_PersonalRate3">'TR_1 Tax Rates'!$H$11</definedName>
    <definedName name="TaxRates_PersonalRate4">'TR_1 Tax Rates'!$H$12</definedName>
    <definedName name="TaxRates_PersonalRate5">'TR_1 Tax Rates'!$H$13</definedName>
    <definedName name="TaxRates_PersonalTax2">'TR_1 Tax Rates'!$G$10</definedName>
    <definedName name="TaxRates_PersonalTax3">'TR_1 Tax Rates'!$G$11</definedName>
    <definedName name="TaxRates_PersonalTax4">'TR_1 Tax Rates'!$G$12</definedName>
    <definedName name="TaxRates_SBECoTaxRate">'TR_1 Tax Rates'!$H$117</definedName>
    <definedName name="TaxRates_SBEMaxOffset">'TR_1 Tax Rates'!$H$124</definedName>
    <definedName name="TaxRates_SBEMaxTurnover">'TR_1 Tax Rates'!$H$125</definedName>
    <definedName name="TaxRates_SBEOffset">'TR_1 Tax Rates'!$H$123</definedName>
    <definedName name="TaxRates_SBEPercentage">'TR_1 Tax Rates'!$H$123</definedName>
    <definedName name="TaxRates_SuperfundRate">'TR_1 Tax Rates'!$H$147</definedName>
    <definedName name="TaxRates_TrustInc1">'TR_1 Tax Rates'!$D$133</definedName>
    <definedName name="TaxRates_TrustInc2a">'TR_1 Tax Rates'!$D$134</definedName>
    <definedName name="TaxRates_TrustInc2b">'TR_1 Tax Rates'!$F$134</definedName>
    <definedName name="TaxRates_TrustInc3a">'TR_1 Tax Rates'!$D$135</definedName>
    <definedName name="TaxRates_TrustInc3b">'TR_1 Tax Rates'!$F$135</definedName>
    <definedName name="TaxRates_TrustInc4a">'TR_1 Tax Rates'!$D$136</definedName>
    <definedName name="TaxRates_TrustInc4b">'TR_1 Tax Rates'!$F$136</definedName>
    <definedName name="TaxRates_TrustInc5a">'TR_1 Tax Rates'!$D$137</definedName>
    <definedName name="TaxRates_TrustInc5b">'TR_1 Tax Rates'!$F$137</definedName>
    <definedName name="TaxRates_TrustInc6">'TR_1 Tax Rates'!$D$138</definedName>
    <definedName name="TaxRates_TrustRate1">'TR_1 Tax Rates'!$H$133</definedName>
    <definedName name="TaxRates_TrustRate2">'TR_1 Tax Rates'!$H$134</definedName>
    <definedName name="TaxRates_TrustRate3">'TR_1 Tax Rates'!$H$135</definedName>
    <definedName name="TaxRates_TrustRate4">'TR_1 Tax Rates'!$H$136</definedName>
    <definedName name="TaxRates_TrustRate5">'TR_1 Tax Rates'!$H$137</definedName>
    <definedName name="TaxRates_TrustRate6">'TR_1 Tax Rates'!$H$138</definedName>
    <definedName name="TaxRates_WHMInc1a">'TR_1 Tax Rates'!$D$40</definedName>
    <definedName name="TaxRates_WHMInc1b">'TR_1 Tax Rates'!$F$40</definedName>
    <definedName name="TaxRates_WHMInc2a">'TR_1 Tax Rates'!$D$41</definedName>
    <definedName name="TaxRates_WHMInc2b">'TR_1 Tax Rates'!$F$41</definedName>
    <definedName name="TaxRates_WHMInc3a">'TR_1 Tax Rates'!$D$42</definedName>
    <definedName name="TaxRates_WHMInc3b">'TR_1 Tax Rates'!$F$42</definedName>
    <definedName name="TaxRates_WHMInc4">'TR_1 Tax Rates'!$D$43</definedName>
    <definedName name="TaxRates_WHMRate1">'TR_1 Tax Rates'!$H$40</definedName>
    <definedName name="TaxRates_WHMRate2">'TR_1 Tax Rates'!$H$41</definedName>
    <definedName name="TaxRates_WHMRate3">'TR_1 Tax Rates'!$H$42</definedName>
    <definedName name="TaxRates_WHMRate4">'TR_1 Tax Rates'!$H$43</definedName>
    <definedName name="TaxRates_WHMTax1">'TR_1 Tax Rates'!$G$40</definedName>
    <definedName name="TaxRates_WHMTax2">'TR_1 Tax Rates'!$G$41</definedName>
    <definedName name="TaxRates_WHMTax3">'TR_1 Tax Rates'!$G$42</definedName>
    <definedName name="TaxRates_WorkingHolidayInc1">'TR_1 Tax Rates'!$F$40</definedName>
    <definedName name="TaxRates_WorkingHolidayInc2a">'TR_1 Tax Rates'!$D$41</definedName>
    <definedName name="TaxRates_WorkingHolidayInc2b">'TR_1 Tax Rates'!$F$41</definedName>
    <definedName name="TaxRates_WorkingHolidayInc3a">'TR_1 Tax Rates'!$D$42</definedName>
    <definedName name="TaxRates_WorkingHolidayInc3b">'TR_1 Tax Rates'!$F$42</definedName>
    <definedName name="TaxRates_WorkingHolidayInc4">'TR_1 Tax Rates'!$D$43</definedName>
    <definedName name="TaxRates_WorkingHolidayRate1">'TR_1 Tax Rates'!$H$40</definedName>
    <definedName name="TaxRates_WorkingHolidayRate2">'TR_1 Tax Rates'!$H$41</definedName>
    <definedName name="TaxRates_WorkingHolidayRate3">'TR_1 Tax Rates'!$H$42</definedName>
    <definedName name="TaxRates_WorkingHolidayRate4">'TR_1 Tax Rates'!$H$43</definedName>
    <definedName name="TaxYearEnd" localSheetId="13">'C05 Divs and Franking'!$E$18</definedName>
    <definedName name="TaxYearEnd" localSheetId="14">'J50 BAS Lodgements'!$I$18</definedName>
    <definedName name="TaxYearEnd" localSheetId="20">'J51 GST Rec'!$F$16</definedName>
    <definedName name="TaxYearEnd" localSheetId="24">'N75 Super'!$E$16</definedName>
    <definedName name="TaxYearEnd" localSheetId="21">'N80 Wages  PAYGW'!$E$17</definedName>
    <definedName name="TaxYearStart" localSheetId="13">'C05 Divs and Franking'!$E$17</definedName>
    <definedName name="TBAccount" localSheetId="2">'D08 UPE Calculator'!$L$7</definedName>
    <definedName name="Tm_Account" localSheetId="12">'C15 Losses'!$H$6</definedName>
    <definedName name="Tm_Account" localSheetId="19">'F05 Trade Debtors'!$M$6</definedName>
    <definedName name="Tm_Account" localSheetId="17">'G31 Div 7A Loan Calculator'!$K$7</definedName>
    <definedName name="Tm_Account" localSheetId="10">'G31 Div 7A Loan Calculator (1)'!$K$7</definedName>
    <definedName name="Tm_Account" localSheetId="22">'H05 Trade Creditors'!$M$6</definedName>
    <definedName name="Tm_Account" localSheetId="6">'H15 Inter Entity Loan'!$R$6</definedName>
    <definedName name="Tm_Account" localSheetId="23">'H25 Bank Loan'!$H$6</definedName>
    <definedName name="Tm_Account" localSheetId="8">'H25 Bank Loan (1)'!$H$6</definedName>
    <definedName name="Tm_Account" localSheetId="20">'J51 GST Rec'!$M$6</definedName>
    <definedName name="Tm_Account" localSheetId="21">'N80 Wages  PAYGW'!$J$6</definedName>
    <definedName name="Tm_BalanceStatus" localSheetId="13">'C05 Divs and Franking'!$K$6</definedName>
    <definedName name="Tm_BalanceStatus" localSheetId="12">"NA"</definedName>
    <definedName name="Tm_BalanceStatus" localSheetId="16">'C50 ITA'!$M$5</definedName>
    <definedName name="Tm_BalanceStatus" localSheetId="19">'F05 Trade Debtors'!$R$5</definedName>
    <definedName name="Tm_BalanceStatus" localSheetId="17">'G31 Div 7A Loan Calculator'!$L$6</definedName>
    <definedName name="Tm_BalanceStatus" localSheetId="10">'G31 Div 7A Loan Calculator (1)'!$L$6</definedName>
    <definedName name="Tm_BalanceStatus" localSheetId="22">'H05 Trade Creditors'!$R$5</definedName>
    <definedName name="Tm_BalanceStatus" localSheetId="23">'H25 Bank Loan'!$I$5</definedName>
    <definedName name="Tm_BalanceStatus" localSheetId="8">'H25 Bank Loan (1)'!$I$5</definedName>
    <definedName name="Tm_BalanceStatus" localSheetId="15">'H50 ICA'!$N$5</definedName>
    <definedName name="Tm_BalanceStatus" localSheetId="20">'J51 GST Rec'!$O$5</definedName>
    <definedName name="Tm_BalanceStatus" localSheetId="24">'N75 Super'!$I$5</definedName>
    <definedName name="Tm_BalanceStatus" localSheetId="21">'N80 Wages  PAYGW'!$J$5</definedName>
    <definedName name="Tm_BalanceStatus_01" localSheetId="18">'F10 Bank'!$I$15</definedName>
    <definedName name="Tm_BalanceStatus_02" localSheetId="18">'F10 Bank'!$I$16</definedName>
    <definedName name="Tm_BalanceStatus_03" localSheetId="18">'F10 Bank'!$I$17</definedName>
    <definedName name="Tm_BalanceStatus_04" localSheetId="18">'F10 Bank'!$I$18</definedName>
    <definedName name="Tm_BalanceStatus_05" localSheetId="18">'F10 Bank'!$I$19</definedName>
    <definedName name="Tm_BalanceStatus_06" localSheetId="18">'F10 Bank'!$I$20</definedName>
    <definedName name="Tm_BalanceStatus2" localSheetId="19">'F05 Trade Debtors'!$Q$5</definedName>
    <definedName name="Tm_BalanceStatus2" localSheetId="24">'N75 Super'!$J$5</definedName>
    <definedName name="Tm_BalanceStatus2" localSheetId="21">'N80 Wages  PAYGW'!$K$5</definedName>
    <definedName name="Tm_Balloon_Amt" localSheetId="7">'H11 Chattel Mortgage Loan'!$N$36</definedName>
    <definedName name="Tm_CategoryList" localSheetId="2">'D08 UPE Calculator'!$F$36</definedName>
    <definedName name="Tm_CategoryList" localSheetId="17">'G31 Div 7A Loan Calculator'!$F$34</definedName>
    <definedName name="Tm_CategoryList" localSheetId="10">'G31 Div 7A Loan Calculator (1)'!$F$34</definedName>
    <definedName name="Tm_CategoryList" localSheetId="7">'H11 Chattel Mortgage Loan'!$N$20</definedName>
    <definedName name="Tm_Delete_Jurisdiction_not_01_GB" localSheetId="19">'F05 Trade Debtors'!$11:$11</definedName>
    <definedName name="Tm_Delete_Jurisdiction_not_01_GB" localSheetId="22">'H05 Trade Creditors'!$11:$11</definedName>
    <definedName name="Tm_Delete_Product_01.SmartWorkpapers" localSheetId="19">'F05 Trade Debtors'!$15:$16</definedName>
    <definedName name="Tm_Delete_Product_01.SmartWorkpapers" localSheetId="7">'H11 Chattel Mortgage Loan'!$48:$48</definedName>
    <definedName name="Tm_Delete_Product_04.SmartWorkpapers" localSheetId="21">'N80 Wages  PAYGW'!$24:$24</definedName>
    <definedName name="Tm_EndRollUp_0" localSheetId="20">'J51 GST Rec'!$A$19</definedName>
    <definedName name="Tm_EndRollUp_00" localSheetId="14">'J50 BAS Lodgements'!$A$23</definedName>
    <definedName name="Tm_EndRollUp_01" localSheetId="13">'C05 Divs and Franking'!$A$19</definedName>
    <definedName name="Tm_EndRollUp_01" localSheetId="16">'C50 ITA'!$A$45</definedName>
    <definedName name="Tm_EndRollUp_01" localSheetId="11">'CTR Company Tax Return'!$A$60</definedName>
    <definedName name="Tm_EndRollUp_01" localSheetId="2">'D08 UPE Calculator'!$B$32</definedName>
    <definedName name="Tm_EndRollUp_01" localSheetId="17">'G31 Div 7A Loan Calculator'!$A$13</definedName>
    <definedName name="Tm_EndRollUp_01" localSheetId="10">'G31 Div 7A Loan Calculator (1)'!$A$13</definedName>
    <definedName name="Tm_EndRollUp_01" localSheetId="15">'H50 ICA'!$A$53</definedName>
    <definedName name="Tm_EndRollUp_01" localSheetId="14">'J50 BAS Lodgements'!$A$80</definedName>
    <definedName name="Tm_EndRollUp_01" localSheetId="20">'J51 GST Rec'!$A$66</definedName>
    <definedName name="Tm_EndRollUp_01" localSheetId="1">'TR_1 Tax Rates'!$B$110</definedName>
    <definedName name="Tm_EndRollUp_02" localSheetId="11">'CTR Company Tax Return'!$A$102</definedName>
    <definedName name="Tm_EndRollUp_02" localSheetId="2">'D08 UPE Calculator'!$B$92</definedName>
    <definedName name="Tm_EndRollUp_02" localSheetId="7">'H11 Chattel Mortgage Loan'!$A$16</definedName>
    <definedName name="Tm_EndRollUp_02" localSheetId="1">'TR_1 Tax Rates'!$B$127</definedName>
    <definedName name="Tm_EndRollUp_03" localSheetId="12">'C15 Losses'!$A$32</definedName>
    <definedName name="Tm_EndRollUp_03" localSheetId="11">'CTR Company Tax Return'!$A$139</definedName>
    <definedName name="Tm_EndRollUp_03" localSheetId="2">'D08 UPE Calculator'!$B$113</definedName>
    <definedName name="Tm_EndRollUp_03" localSheetId="19">'F05 Trade Debtors'!$A$38</definedName>
    <definedName name="Tm_EndRollUp_03" localSheetId="18">'F10 Bank'!$A$59</definedName>
    <definedName name="Tm_EndRollUp_03" localSheetId="17">'G31 Div 7A Loan Calculator'!$B$30</definedName>
    <definedName name="Tm_EndRollUp_03" localSheetId="10">'G31 Div 7A Loan Calculator (1)'!$B$30</definedName>
    <definedName name="Tm_EndRollUp_03" localSheetId="22">'H05 Trade Creditors'!$A$38</definedName>
    <definedName name="Tm_EndRollUp_03" localSheetId="6">'H15 Inter Entity Loan'!$B$48</definedName>
    <definedName name="Tm_EndRollUp_03" localSheetId="1">'TR_1 Tax Rates'!$B$141</definedName>
    <definedName name="Tm_EndRollUp_04" localSheetId="13">'C05 Divs and Franking'!$A$65</definedName>
    <definedName name="Tm_EndRollUp_04" localSheetId="12">'C15 Losses'!$A$53</definedName>
    <definedName name="Tm_EndRollUp_04" localSheetId="11">'CTR Company Tax Return'!$A$160</definedName>
    <definedName name="Tm_EndRollUp_04" localSheetId="19">'F05 Trade Debtors'!$B$148</definedName>
    <definedName name="Tm_EndRollUp_04" localSheetId="18">'F10 Bank'!$A$97</definedName>
    <definedName name="Tm_EndRollUp_04" localSheetId="22">'H05 Trade Creditors'!$B$63</definedName>
    <definedName name="Tm_EndRollUp_04" localSheetId="1">'TR_1 Tax Rates'!$B$160</definedName>
    <definedName name="Tm_EndRollUp_05" localSheetId="13">'C05 Divs and Franking'!$A$255</definedName>
    <definedName name="Tm_EndRollUp_05" localSheetId="19">'F05 Trade Debtors'!$A$92</definedName>
    <definedName name="Tm_EndRollUp_05" localSheetId="18">'F10 Bank'!$A$135</definedName>
    <definedName name="Tm_EndRollUp_05" localSheetId="22">'H05 Trade Creditors'!$A$98</definedName>
    <definedName name="Tm_EndRollUp_05" localSheetId="1">'TR_1 Tax Rates'!$B$233</definedName>
    <definedName name="Tm_EndRollUp_06" localSheetId="13">'C05 Divs and Franking'!$A$271</definedName>
    <definedName name="Tm_EndRollUp_06" localSheetId="19">'F05 Trade Debtors'!$A$192</definedName>
    <definedName name="Tm_EndRollUp_06" localSheetId="18">'F10 Bank'!$A$173</definedName>
    <definedName name="Tm_EndRollUp_06" localSheetId="17">'G31 Div 7A Loan Calculator'!$B$91</definedName>
    <definedName name="Tm_EndRollUp_06" localSheetId="10">'G31 Div 7A Loan Calculator (1)'!$B$91</definedName>
    <definedName name="Tm_EndRollUp_07" localSheetId="11">'CTR Company Tax Return'!$A$195</definedName>
    <definedName name="Tm_EndRollUp_07" localSheetId="18">'F10 Bank'!$A$211</definedName>
    <definedName name="Tm_EndRollUp_07" localSheetId="17">'G31 Div 7A Loan Calculator'!$B$124</definedName>
    <definedName name="Tm_EndRollUp_07" localSheetId="10">'G31 Div 7A Loan Calculator (1)'!$B$124</definedName>
    <definedName name="Tm_EndRollUp_08" localSheetId="18">'F10 Bank'!$A$249</definedName>
    <definedName name="Tm_EndRollUp_1" localSheetId="24">'N75 Super'!$A$17</definedName>
    <definedName name="Tm_EndRollUp_2" localSheetId="20">'J51 GST Rec'!$A$115</definedName>
    <definedName name="Tm_EndRollUp_3" localSheetId="20">'J51 GST Rec'!$A$186</definedName>
    <definedName name="Tm_EndRollUp_3" localSheetId="21">'N80 Wages  PAYGW'!$A$20</definedName>
    <definedName name="Tm_EndRollUp_4" localSheetId="20">'J51 GST Rec'!$A$210</definedName>
    <definedName name="Tm_EndRollUp_4" localSheetId="24">'N75 Super'!$A$75</definedName>
    <definedName name="Tm_EndRollUp_4" localSheetId="21">'N80 Wages  PAYGW'!$A$62</definedName>
    <definedName name="Tm_EndRollUp_5" localSheetId="20">'J51 GST Rec'!$A$277</definedName>
    <definedName name="Tm_EndRollUp_5" localSheetId="24">'N75 Super'!$A$100</definedName>
    <definedName name="Tm_EndRollUp_5" localSheetId="21">'N80 Wages  PAYGW'!$A$86</definedName>
    <definedName name="Tm_EndRollUp_6" localSheetId="20">'J51 GST Rec'!$B$131</definedName>
    <definedName name="Tm_EndRollUp_6" localSheetId="24">'N75 Super'!$A$133</definedName>
    <definedName name="Tm_EndRollUp_6" localSheetId="21">'N80 Wages  PAYGW'!$A$101</definedName>
    <definedName name="Tm_EndRollUp_7" localSheetId="24">'N75 Super'!$A$147</definedName>
    <definedName name="Tm_EndRollUp_7" localSheetId="21">'N80 Wages  PAYGW'!$A$123</definedName>
    <definedName name="Tm_Jurisdiction" localSheetId="13">'C05 Divs and Franking'!$L$1</definedName>
    <definedName name="Tm_Jurisdiction" localSheetId="12">'C15 Losses'!$M$1</definedName>
    <definedName name="Tm_Jurisdiction" localSheetId="19">'F05 Trade Debtors'!$L$1</definedName>
    <definedName name="Tm_Jurisdiction" localSheetId="18">'F10 Bank'!$J$1</definedName>
    <definedName name="Tm_Jurisdiction" localSheetId="17">'G31 Div 7A Loan Calculator'!$L$2</definedName>
    <definedName name="Tm_Jurisdiction" localSheetId="10">'G31 Div 7A Loan Calculator (1)'!$L$2</definedName>
    <definedName name="Tm_Jurisdiction" localSheetId="22">'H05 Trade Creditors'!$L$1</definedName>
    <definedName name="Tm_Jurisdiction" localSheetId="7">'H11 Chattel Mortgage Loan'!$P$1</definedName>
    <definedName name="Tm_Jurisdiction" localSheetId="23">'H25 Bank Loan'!$I$1</definedName>
    <definedName name="Tm_Jurisdiction" localSheetId="8">'H25 Bank Loan (1)'!$I$1</definedName>
    <definedName name="Tm_NZdelete" localSheetId="22">'H05 Trade Creditors'!$11:$11</definedName>
    <definedName name="Tm_Recalculate_01" localSheetId="11">'CTR Company Tax Return'!$Q$24:$Q$217</definedName>
    <definedName name="Tm_Recalculate_02" localSheetId="11">'CTR Company Tax Return'!$R$24:$R$215</definedName>
    <definedName name="Tm_StartRollUp_0" localSheetId="20">'J51 GST Rec'!$A$15</definedName>
    <definedName name="Tm_StartRollUp_00" localSheetId="14">'J50 BAS Lodgements'!$A$17</definedName>
    <definedName name="Tm_StartRollUp_01" localSheetId="13">'C05 Divs and Franking'!$A$16</definedName>
    <definedName name="Tm_StartRollUp_01" localSheetId="16">'C50 ITA'!$A$33</definedName>
    <definedName name="Tm_StartRollUp_01" localSheetId="11">'CTR Company Tax Return'!$A$21</definedName>
    <definedName name="Tm_StartRollUp_01" localSheetId="2">'D08 UPE Calculator'!$B$18</definedName>
    <definedName name="Tm_StartRollUp_01" localSheetId="17">'G31 Div 7A Loan Calculator'!$A$11</definedName>
    <definedName name="Tm_StartRollUp_01" localSheetId="10">'G31 Div 7A Loan Calculator (1)'!$A$11</definedName>
    <definedName name="Tm_StartRollUp_01" localSheetId="15">'H50 ICA'!$A$41</definedName>
    <definedName name="Tm_StartRollUp_01" localSheetId="14">'J50 BAS Lodgements'!$A$52</definedName>
    <definedName name="Tm_StartRollUp_01" localSheetId="20">'J51 GST Rec'!$A$22</definedName>
    <definedName name="Tm_StartRollUp_01" localSheetId="1">'TR_1 Tax Rates'!$B$6</definedName>
    <definedName name="Tm_StartRollUp_02" localSheetId="11">'CTR Company Tax Return'!$A$65</definedName>
    <definedName name="Tm_StartRollUp_02" localSheetId="2">'D08 UPE Calculator'!$B$58</definedName>
    <definedName name="Tm_StartRollUp_02" localSheetId="7">'H11 Chattel Mortgage Loan'!$A$12</definedName>
    <definedName name="Tm_StartRollUp_02" localSheetId="1">'TR_1 Tax Rates'!$B$113</definedName>
    <definedName name="Tm_StartRollUp_03" localSheetId="12">'C15 Losses'!$A$14</definedName>
    <definedName name="Tm_StartRollUp_03" localSheetId="11">'CTR Company Tax Return'!$A$107</definedName>
    <definedName name="Tm_StartRollUp_03" localSheetId="2">'D08 UPE Calculator'!$B$95</definedName>
    <definedName name="Tm_StartRollUp_03" localSheetId="19">'F05 Trade Debtors'!$A$14</definedName>
    <definedName name="Tm_StartRollUp_03" localSheetId="18">'F10 Bank'!$A$24</definedName>
    <definedName name="Tm_StartRollUp_03" localSheetId="17">'G31 Div 7A Loan Calculator'!$B$16</definedName>
    <definedName name="Tm_StartRollUp_03" localSheetId="10">'G31 Div 7A Loan Calculator (1)'!$B$16</definedName>
    <definedName name="Tm_StartRollUp_03" localSheetId="22">'H05 Trade Creditors'!$A$14</definedName>
    <definedName name="Tm_StartRollUp_03" localSheetId="6">'H15 Inter Entity Loan'!$B$42</definedName>
    <definedName name="Tm_StartRollUp_03" localSheetId="1">'TR_1 Tax Rates'!$B$130</definedName>
    <definedName name="Tm_StartRollUp_04" localSheetId="13">'C05 Divs and Franking'!$A$22</definedName>
    <definedName name="Tm_StartRollUp_04" localSheetId="12">'C15 Losses'!$A$35</definedName>
    <definedName name="Tm_StartRollUp_04" localSheetId="11">'CTR Company Tax Return'!$A$142</definedName>
    <definedName name="Tm_StartRollUp_04" localSheetId="19">'F05 Trade Debtors'!$A$125</definedName>
    <definedName name="Tm_StartRollUp_04" localSheetId="18">'F10 Bank'!$A$62</definedName>
    <definedName name="Tm_StartRollUp_04" localSheetId="22">'H05 Trade Creditors'!$A$41</definedName>
    <definedName name="Tm_StartRollUp_04" localSheetId="1">'TR_1 Tax Rates'!$B$144</definedName>
    <definedName name="Tm_StartRollUp_05" localSheetId="13">'C05 Divs and Franking'!$A$75</definedName>
    <definedName name="Tm_StartRollUp_05" localSheetId="19">'F05 Trade Debtors'!$A$41</definedName>
    <definedName name="Tm_StartRollUp_05" localSheetId="18">'F10 Bank'!$A$100</definedName>
    <definedName name="Tm_StartRollUp_05" localSheetId="22">'H05 Trade Creditors'!$A$64</definedName>
    <definedName name="Tm_StartRollUp_05" localSheetId="1">'TR_1 Tax Rates'!$B$163</definedName>
    <definedName name="Tm_StartRollUp_06" localSheetId="13">'C05 Divs and Franking'!$A$258</definedName>
    <definedName name="Tm_StartRollUp_06" localSheetId="19">'F05 Trade Debtors'!$A$149</definedName>
    <definedName name="Tm_StartRollUp_06" localSheetId="18">'F10 Bank'!$A$138</definedName>
    <definedName name="Tm_StartRollUp_06" localSheetId="17">'G31 Div 7A Loan Calculator'!$B$56</definedName>
    <definedName name="Tm_StartRollUp_06" localSheetId="10">'G31 Div 7A Loan Calculator (1)'!$B$56</definedName>
    <definedName name="Tm_StartRollUp_07" localSheetId="11">'CTR Company Tax Return'!$A$190</definedName>
    <definedName name="Tm_StartRollUp_07" localSheetId="18">'F10 Bank'!$A$176</definedName>
    <definedName name="Tm_StartRollUp_07" localSheetId="17">'G31 Div 7A Loan Calculator'!$B$94</definedName>
    <definedName name="Tm_StartRollUp_07" localSheetId="10">'G31 Div 7A Loan Calculator (1)'!$B$94</definedName>
    <definedName name="Tm_StartRollUp_08" localSheetId="18">'F10 Bank'!$A$214</definedName>
    <definedName name="Tm_StartRollUp_1" localSheetId="24">'N75 Super'!$A$15</definedName>
    <definedName name="Tm_StartRollUp_2" localSheetId="20">'J51 GST Rec'!$A$69</definedName>
    <definedName name="Tm_StartRollUp_3" localSheetId="20">'J51 GST Rec'!$A$134</definedName>
    <definedName name="Tm_StartRollUp_3" localSheetId="21">'N80 Wages  PAYGW'!$A$16</definedName>
    <definedName name="Tm_StartRollUp_4" localSheetId="20">'J51 GST Rec'!$A$189</definedName>
    <definedName name="Tm_StartRollUp_4" localSheetId="24">'N75 Super'!$A$20</definedName>
    <definedName name="Tm_StartRollUp_4" localSheetId="21">'N80 Wages  PAYGW'!$A$23</definedName>
    <definedName name="Tm_StartRollUp_5" localSheetId="20">'J51 GST Rec'!$A$213</definedName>
    <definedName name="Tm_StartRollUp_5" localSheetId="24">'N75 Super'!$A$79</definedName>
    <definedName name="Tm_StartRollUp_5" localSheetId="21">'N80 Wages  PAYGW'!$A$65</definedName>
    <definedName name="Tm_StartRollUp_6" localSheetId="20">'J51 GST Rec'!$B$118</definedName>
    <definedName name="Tm_StartRollUp_6" localSheetId="24">'N75 Super'!$A$121</definedName>
    <definedName name="Tm_StartRollUp_6" localSheetId="21">'N80 Wages  PAYGW'!$A$89</definedName>
    <definedName name="Tm_StartRollUp_7" localSheetId="24">'N75 Super'!$A$136</definedName>
    <definedName name="Tm_StartRollUp_7" localSheetId="21">'N80 Wages  PAYGW'!$A$104</definedName>
    <definedName name="Tm_Status" localSheetId="13">'C05 Divs and Franking'!$K$3</definedName>
    <definedName name="Tm_Status" localSheetId="12">'C15 Losses'!$H$3</definedName>
    <definedName name="Tm_Status" localSheetId="16">'C50 ITA'!$L$3</definedName>
    <definedName name="Tm_Status" localSheetId="11">'CTR Company Tax Return'!$H$3</definedName>
    <definedName name="Tm_Status" localSheetId="2">'D08 UPE Calculator'!$K$4</definedName>
    <definedName name="Tm_Status" localSheetId="19">'F05 Trade Debtors'!$Q$3</definedName>
    <definedName name="Tm_Status" localSheetId="18">'F10 Bank'!$I$3</definedName>
    <definedName name="Tm_Status" localSheetId="17">'G31 Div 7A Loan Calculator'!$K$4</definedName>
    <definedName name="Tm_Status" localSheetId="10">'G31 Div 7A Loan Calculator (1)'!$K$4</definedName>
    <definedName name="Tm_Status" localSheetId="22">'H05 Trade Creditors'!$Q$3</definedName>
    <definedName name="Tm_Status" localSheetId="7">'H11 Chattel Mortgage Loan'!$R$3</definedName>
    <definedName name="Tm_Status" localSheetId="6">'H15 Inter Entity Loan'!$S$3</definedName>
    <definedName name="Tm_Status" localSheetId="23">'H25 Bank Loan'!$H$3</definedName>
    <definedName name="Tm_Status" localSheetId="8">'H25 Bank Loan (1)'!$H$3</definedName>
    <definedName name="Tm_Status" localSheetId="20">'J51 GST Rec'!$N$3</definedName>
    <definedName name="Tm_Status" localSheetId="24">'N75 Super'!$I$3</definedName>
    <definedName name="Tm_Status" localSheetId="21">'N80 Wages  PAYGW'!$J$3</definedName>
    <definedName name="Tm_Status" localSheetId="1">'TR_1 Tax Rates'!$J$3</definedName>
    <definedName name="Tm_Status" localSheetId="4">'Z01 Blank'!$I$3</definedName>
    <definedName name="Tm_Status" localSheetId="3">'Z02 List'!$G$3</definedName>
    <definedName name="Tm_Sub" localSheetId="12">'C15 Losses'!$I$6</definedName>
    <definedName name="Tm_Sub" localSheetId="2">'D08 UPE Calculator'!$M$7</definedName>
    <definedName name="Tm_Sub" localSheetId="19">'F05 Trade Debtors'!$N$6</definedName>
    <definedName name="Tm_Sub" localSheetId="17">'G31 Div 7A Loan Calculator'!$L$7</definedName>
    <definedName name="Tm_Sub" localSheetId="10">'G31 Div 7A Loan Calculator (1)'!$L$7</definedName>
    <definedName name="Tm_Sub" localSheetId="22">'H05 Trade Creditors'!$N$6</definedName>
    <definedName name="Tm_Sub" localSheetId="6">'H15 Inter Entity Loan'!$S$6</definedName>
    <definedName name="Tm_Sub" localSheetId="23">'H25 Bank Loan'!$I$6</definedName>
    <definedName name="Tm_Sub" localSheetId="8">'H25 Bank Loan (1)'!$I$6</definedName>
    <definedName name="Tm_Sub" localSheetId="20">'J51 GST Rec'!$N$6</definedName>
    <definedName name="Tm_Sub" localSheetId="21">'N80 Wages  PAYGW'!$K$6</definedName>
    <definedName name="Tm_SWPdelete" localSheetId="22">'H05 Trade Creditors'!$15:$16</definedName>
    <definedName name="Tm_SWPdelete_01" localSheetId="24">'N75 Super'!$21:$21</definedName>
    <definedName name="Tm_SWPdelete_1" localSheetId="20">'J51 GST Rec'!$120:$120</definedName>
    <definedName name="Tm_SWPdelete_2" localSheetId="20">'J51 GST Rec'!$101:$101</definedName>
    <definedName name="Tm_TBAccount" localSheetId="12">'C15 Losses'!$G$6</definedName>
    <definedName name="Tm_TBAccount" localSheetId="16">'C50 ITA'!$M$4</definedName>
    <definedName name="Tm_TBAccount" localSheetId="2">'D08 UPE Calculator'!$K$7</definedName>
    <definedName name="Tm_TBAccount" localSheetId="17">'G31 Div 7A Loan Calculator'!$J$7</definedName>
    <definedName name="Tm_TBAccount" localSheetId="10">'G31 Div 7A Loan Calculator (1)'!$J$7</definedName>
    <definedName name="Tm_TBAccount" localSheetId="22">'H05 Trade Creditors'!$L$6</definedName>
    <definedName name="Tm_TBAccount" localSheetId="23">'H25 Bank Loan'!$G$6</definedName>
    <definedName name="Tm_TBAccount" localSheetId="8">'H25 Bank Loan (1)'!$G$6</definedName>
    <definedName name="Tm_TBAccount" localSheetId="15">'H50 ICA'!$N$4</definedName>
    <definedName name="Tm_TBAccount" localSheetId="20">'J51 GST Rec'!$L$6</definedName>
    <definedName name="Tm_TBAccount_01" localSheetId="18">'F10 Bank'!$D$27</definedName>
    <definedName name="Tm_TBAccount_01" localSheetId="23">'H25 Bank Loan'!$F$15</definedName>
    <definedName name="Tm_TBAccount_01" localSheetId="8">'H25 Bank Loan (1)'!$F$15</definedName>
    <definedName name="Tm_TBAccount_02" localSheetId="18">'F10 Bank'!$D$65</definedName>
    <definedName name="Tm_TBAccount_03" localSheetId="18">'F10 Bank'!$D$103</definedName>
    <definedName name="Tm_TBAccount_04" localSheetId="18">'F10 Bank'!$D$141</definedName>
    <definedName name="Tm_TBAccount_05" localSheetId="18">'F10 Bank'!$D$179</definedName>
    <definedName name="Tm_TBAccount_06" localSheetId="18">'F10 Bank'!$D$217</definedName>
    <definedName name="Tm_TBBalance" localSheetId="2">'D08 UPE Calculator'!$K$52</definedName>
    <definedName name="Tm_TBBalance" localSheetId="19">'F05 Trade Debtors'!$M$36</definedName>
    <definedName name="Tm_TBBalance" localSheetId="17">'G31 Div 7A Loan Calculator'!$J$51</definedName>
    <definedName name="Tm_TBBalance" localSheetId="10">'G31 Div 7A Loan Calculator (1)'!$J$51</definedName>
    <definedName name="Tm_TBBalance" localSheetId="22">'H05 Trade Creditors'!$M$36</definedName>
    <definedName name="Tm_TBBalance" localSheetId="23">'H25 Bank Loan'!$I$34</definedName>
    <definedName name="Tm_TBBalance" localSheetId="8">'H25 Bank Loan (1)'!$I$34</definedName>
    <definedName name="Tm_TBBalance" localSheetId="20">'J51 GST Rec'!$K$112</definedName>
    <definedName name="Tm_TBBalance_01" localSheetId="18">'F10 Bank'!$J$57</definedName>
    <definedName name="Tm_TBBalance_02" localSheetId="18">'F10 Bank'!$J$95</definedName>
    <definedName name="Tm_TBBalance_03" localSheetId="18">'F10 Bank'!$J$133</definedName>
    <definedName name="Tm_TBBalance_04" localSheetId="18">'F10 Bank'!$J$171</definedName>
    <definedName name="Tm_TBBalance_05" localSheetId="18">'F10 Bank'!$J$209</definedName>
    <definedName name="Tm_TBBalance_06" localSheetId="18">'F10 Bank'!$J$247</definedName>
    <definedName name="Tm_TBBalance_DividendsDeclared" localSheetId="13">'C05 Divs and Franking'!$K$251</definedName>
    <definedName name="Tm_TBBalance_DividendsPayable" localSheetId="13">'C05 Divs and Franking'!$Q$251</definedName>
    <definedName name="Tm_TBBalance_ICAPayable" localSheetId="15">'H50 ICA'!$E$37</definedName>
    <definedName name="Tm_TBBalance_ICAReceivable" localSheetId="15">'H50 ICA'!$F$37</definedName>
    <definedName name="Tm_TBBalance_ITAPayable" localSheetId="16">'C50 ITA'!$E$29</definedName>
    <definedName name="Tm_TBBalance_ITAReceivable" localSheetId="16">'C50 ITA'!$F$29</definedName>
    <definedName name="Tm_TBBalance_PAYGWithholding" localSheetId="21">'N80 Wages  PAYGW'!$E$99</definedName>
    <definedName name="Tm_TBBalance_SuperExpense" localSheetId="24">'N75 Super'!$E$66</definedName>
    <definedName name="Tm_TBBalance_SuperPayable" localSheetId="24">'N75 Super'!$J$66</definedName>
    <definedName name="Tm_Tolerance" localSheetId="13">'C05 Divs and Franking'!$M$6</definedName>
    <definedName name="Tm_Tolerance" localSheetId="16">'C50 ITA'!$N$5</definedName>
    <definedName name="Tm_Tolerance" localSheetId="2">'D08 UPE Calculator'!$N$6</definedName>
    <definedName name="Tm_Tolerance" localSheetId="19">'F05 Trade Debtors'!$S$5</definedName>
    <definedName name="Tm_Tolerance" localSheetId="18">'F10 Bank'!$E$21</definedName>
    <definedName name="Tm_Tolerance" localSheetId="17">'G31 Div 7A Loan Calculator'!$M$6</definedName>
    <definedName name="Tm_Tolerance" localSheetId="10">'G31 Div 7A Loan Calculator (1)'!$M$6</definedName>
    <definedName name="Tm_Tolerance" localSheetId="22">'H05 Trade Creditors'!$S$5</definedName>
    <definedName name="Tm_Tolerance" localSheetId="23">'H25 Bank Loan'!$J$5</definedName>
    <definedName name="Tm_Tolerance" localSheetId="8">'H25 Bank Loan (1)'!$J$5</definedName>
    <definedName name="Tm_Tolerance" localSheetId="15">'H50 ICA'!$O$5</definedName>
    <definedName name="Tm_Tolerance" localSheetId="20">'J51 GST Rec'!$P$5</definedName>
    <definedName name="Tm_Tolerance" localSheetId="24">'N75 Super'!$L$5</definedName>
    <definedName name="Tm_Tolerance" localSheetId="21">'N80 Wages  PAYGW'!$L$5</definedName>
    <definedName name="Tm_WorksheetTitle" localSheetId="12">'C15 Losses'!$C$3</definedName>
    <definedName name="Tm_WorksheetTitle" localSheetId="11">'CTR Company Tax Return'!$D$3</definedName>
    <definedName name="Tm_WorksheetTitle" localSheetId="17">'G31 Div 7A Loan Calculator'!$E$4</definedName>
    <definedName name="Tm_WorksheetTitle" localSheetId="10">'G31 Div 7A Loan Calculator (1)'!$E$4</definedName>
    <definedName name="Tm_WorksheetTitle" localSheetId="7">'H11 Chattel Mortgage Loan'!$K$3</definedName>
    <definedName name="Tm_WorksheetTitle" localSheetId="5">'H12 Loan Summary'!$C$3</definedName>
    <definedName name="Tm_WorksheetTitle" localSheetId="23">'H25 Bank Loan'!$C$3</definedName>
    <definedName name="Tm_WorksheetTitle" localSheetId="8">'H25 Bank Loan (1)'!$C$3</definedName>
    <definedName name="Tm_WorksheetTitle" localSheetId="4">'Z01 Blank'!$C$3</definedName>
    <definedName name="Tm_WorksheetTitle" localSheetId="3">'Z02 List'!$C$3</definedName>
    <definedName name="Total_Int" localSheetId="7">'H11 Chattel Mortgage Loan'!$S$29</definedName>
    <definedName name="TR_FBTBenchmarkRate">'TR_1 Tax Rates'!$H$167</definedName>
    <definedName name="TR_FBTDepDate1">'TR_1 Tax Rates'!$F$191</definedName>
    <definedName name="TR_FBTDepDate2">'TR_1 Tax Rates'!$D$192</definedName>
    <definedName name="TR_FBTDepDate3">'TR_1 Tax Rates'!$F$192</definedName>
    <definedName name="TR_FBTDepDate4">'TR_1 Tax Rates'!$F$193</definedName>
    <definedName name="TR_FBTDepRate1">'TR_1 Tax Rates'!$H$191</definedName>
    <definedName name="TR_FBTDepRate2">'TR_1 Tax Rates'!$H$192</definedName>
    <definedName name="TR_FBTDepRate3">'TR_1 Tax Rates'!$H$193</definedName>
    <definedName name="TR_FBTType1">'TR_1 Tax Rates'!$H$170</definedName>
    <definedName name="TR_FBTType2">'TR_1 Tax Rates'!$H$171</definedName>
    <definedName name="TR1_AnnualMax">'TR_1 Tax Rates'!$H$157</definedName>
    <definedName name="TR1_BenchmarkIntRate">'TR_1 Tax Rates'!$H$167</definedName>
    <definedName name="TR1_DepnRate1">'TR_1 Tax Rates'!$H$191</definedName>
    <definedName name="TR1_DepnRate2">'TR_1 Tax Rates'!$H$192</definedName>
    <definedName name="TR1_DepnRate3">'TR_1 Tax Rates'!$H$193</definedName>
    <definedName name="TR1_FBTRate">'TR_1 Tax Rates'!$H$166</definedName>
    <definedName name="TR1_GrossUpType1">'TR_1 Tax Rates'!$H$170</definedName>
    <definedName name="TR1_GrossUpType2">'TR_1 Tax Rates'!$H$171</definedName>
    <definedName name="TR1_IncomeThreshold1">'TR_1 Tax Rates'!$D$9</definedName>
    <definedName name="TR1_IncomeThreshold2">'TR_1 Tax Rates'!$F$10</definedName>
    <definedName name="TR1_IncomeThreshold3">'TR_1 Tax Rates'!$F$11</definedName>
    <definedName name="TR1_IncomeThreshold4">'TR_1 Tax Rates'!$F$12</definedName>
    <definedName name="TR1_IncomeThreshold5">'TR_1 Tax Rates'!$D$10</definedName>
    <definedName name="TR1_IncomeThreshold6">'TR_1 Tax Rates'!$D$11</definedName>
    <definedName name="TR1_IncomeThreshold7">'TR_1 Tax Rates'!$D$12</definedName>
    <definedName name="TR1_IncomeThreshold8">'TR_1 Tax Rates'!$D$13</definedName>
    <definedName name="TR1_LITOamount">'TR_1 Tax Rates'!$H$55</definedName>
    <definedName name="TR1_LITORate">'TR_1 Tax Rates'!$H$56</definedName>
    <definedName name="TR1_LITOThreshold1">'TR_1 Tax Rates'!$D$55</definedName>
    <definedName name="TR1_LITOThreshold2">'TR_1 Tax Rates'!$F$56</definedName>
    <definedName name="TR1_MedicareRate1">'TR_1 Tax Rates'!$H$48</definedName>
    <definedName name="TR1_MedicareRate2">'TR_1 Tax Rates'!$H$49</definedName>
    <definedName name="TR1_MedicareRate3">'TR_1 Tax Rates'!$H$50</definedName>
    <definedName name="TR1_MedicareThreshold1">'TR_1 Tax Rates'!$D$48</definedName>
    <definedName name="TR1_MedicareThreshold2">'TR_1 Tax Rates'!$D$49</definedName>
    <definedName name="TR1_MedicareThreshold3">'TR_1 Tax Rates'!$F$49</definedName>
    <definedName name="TR1_MedicareThreshold4">'TR_1 Tax Rates'!$D$50</definedName>
    <definedName name="TR1_MVStatRate">'TR_1 Tax Rates'!$H$189</definedName>
    <definedName name="TR1_OldMVkmsRange1">'TR_1 Tax Rates'!$D$185</definedName>
    <definedName name="TR1_OldMVkmsRange2">'TR_1 Tax Rates'!$D$186</definedName>
    <definedName name="TR1_OldMVkmsRange3">'TR_1 Tax Rates'!$F$186</definedName>
    <definedName name="TR1_OldMVkmsRange4">'TR_1 Tax Rates'!$D$184</definedName>
    <definedName name="TR1_OldMVkmsRates1">'TR_1 Tax Rates'!$H$184</definedName>
    <definedName name="TR1_OldMVkmsRates2">'TR_1 Tax Rates'!$H$185</definedName>
    <definedName name="TR1_OldMVkmsRates3">'TR_1 Tax Rates'!$H$186</definedName>
    <definedName name="TR1_OldMVkmsRates4">'TR_1 Tax Rates'!$H$187</definedName>
    <definedName name="TR1_OldMVStat">'TR_1 Tax Rates'!$D$184:$H$187</definedName>
    <definedName name="TR1_Purchasedate1">'TR_1 Tax Rates'!$F$191</definedName>
    <definedName name="TR1_Purchasedate2">'TR_1 Tax Rates'!$F$193</definedName>
    <definedName name="TR1_Purchasedate3">'TR_1 Tax Rates'!$F$192</definedName>
    <definedName name="TR1_Purchasedate4">'TR_1 Tax Rates'!$F$193</definedName>
    <definedName name="TR1_SGCCharge">'TR_1 Tax Rates'!$H$158</definedName>
    <definedName name="TR1_SuperContCap">'TR_1 Tax Rates'!$H$152</definedName>
    <definedName name="TR1_TaxRates1">'TR_1 Tax Rates'!$H$9</definedName>
    <definedName name="TR1_TaxRates2">'TR_1 Tax Rates'!$H$10</definedName>
    <definedName name="TR1_TaxRates3">'TR_1 Tax Rates'!$H$11</definedName>
    <definedName name="TR1_TaxRates4">'TR_1 Tax Rates'!$H$12</definedName>
    <definedName name="TR1_TaxRates5">'TR_1 Tax Rates'!$H$13</definedName>
    <definedName name="TR2_CentsPerKm">'TR_1 Tax Rates'!$H$181</definedName>
    <definedName name="TR2_CPK">'TR_1 Tax Rates'!$H$181</definedName>
    <definedName name="TR2_LuxuryCar">'TR_1 Tax Rates'!$H$182</definedName>
    <definedName name="TrialBalance">Taxonomy!$A:$Q</definedName>
    <definedName name="Tx_AllRet.ABNNotQuoted" localSheetId="11">'CTR Company Tax Return'!$H$25</definedName>
    <definedName name="Tx_AllRet.AdjustValues" localSheetId="11">'CTR Company Tax Return'!$H$150</definedName>
    <definedName name="Tx_AllRet.AggTurnover" localSheetId="11">'CTR Company Tax Return'!$H$127</definedName>
    <definedName name="Tx_AllRet.AggTurnoverRange" localSheetId="11">'CTR Company Tax Return'!$H$126</definedName>
    <definedName name="Tx_AllRet.AssesBalAdj" localSheetId="11">'CTR Company Tax Return'!$H$151</definedName>
    <definedName name="Tx_AllRet.Assets" localSheetId="11">'CTR Company Tax Return'!$H$116</definedName>
    <definedName name="Tx_AllRet.AssocPersons" localSheetId="11">'CTR Company Tax Return'!$H$131</definedName>
    <definedName name="Tx_AllRet.BadDebt" localSheetId="11">'CTR Company Tax Return'!$H$46</definedName>
    <definedName name="Tx_AllRet.CapitalLossesCF" localSheetId="11">'CTR Company Tax Return'!$H$170</definedName>
    <definedName name="Tx_AllRet.CGTEvent" localSheetId="11">'CTR Company Tax Return'!$H$68</definedName>
    <definedName name="Tx_AllRet.CGTExempRollover" localSheetId="11">'CTR Company Tax Return'!$H$69</definedName>
    <definedName name="Tx_AllRet.Contractor" localSheetId="11">'CTR Company Tax Return'!$H$44</definedName>
    <definedName name="Tx_AllRet.COS" localSheetId="11">'CTR Company Tax Return'!$H$43</definedName>
    <definedName name="Tx_AllRet.CS" localSheetId="11">'CTR Company Tax Return'!$H$112</definedName>
    <definedName name="Tx_AllRet.CurrentAssets" localSheetId="11">'CTR Company Tax Return'!$H$115</definedName>
    <definedName name="Tx_AllRet.CurrentLiab" localSheetId="11">'CTR Company Tax Return'!$H$118</definedName>
    <definedName name="Tx_AllRet.DedBalAdj" localSheetId="11">'CTR Company Tax Return'!$H$152</definedName>
    <definedName name="Tx_AllRet.Depreciation" localSheetId="11">'CTR Company Tax Return'!$H$54</definedName>
    <definedName name="Tx_AllRet.EmployeeCont" localSheetId="11">'CTR Company Tax Return'!$H$33</definedName>
    <definedName name="Tx_AllRet.ExpenseForResWithholding" localSheetId="11">'CTR Company Tax Return'!$H$42</definedName>
    <definedName name="Tx_AllRet.FrankingCredits" localSheetId="11">'CTR Company Tax Return'!$H$74</definedName>
    <definedName name="Tx_AllRet.GovtIndustryPaym" localSheetId="11">'CTR Company Tax Return'!$H$34</definedName>
    <definedName name="Tx_AllRet.IncomeForResWithholding" localSheetId="11">'CTR Company Tax Return'!$H$24</definedName>
    <definedName name="Tx_AllRet.LandcareDed" localSheetId="11">'CTR Company Tax Return'!$H$91</definedName>
    <definedName name="Tx_AllRet.Liab" localSheetId="11">'CTR Company Tax Return'!$H$119</definedName>
    <definedName name="Tx_AllRet.MVExp" localSheetId="11">'CTR Company Tax Return'!$H$55</definedName>
    <definedName name="Tx_AllRet.NetCapGain" localSheetId="11">'CTR Company Tax Return'!$H$72</definedName>
    <definedName name="Tx_AllRet.OS" localSheetId="11">'CTR Company Tax Return'!$H$110</definedName>
    <definedName name="Tx_AllRet.OtherExpenses" localSheetId="11">'CTR Company Tax Return'!$H$58</definedName>
    <definedName name="Tx_AllRet.ProjectPoolDed" localSheetId="11">'CTR Company Tax Return'!$H$88</definedName>
    <definedName name="Tx_AllRet.Purchases" localSheetId="11">'CTR Company Tax Return'!$H$111</definedName>
    <definedName name="Tx_AllRet.RecalcEffectLife" localSheetId="11">'CTR Company Tax Return'!$H$149</definedName>
    <definedName name="Tx_AllRet.RentExp" localSheetId="11">'CTR Company Tax Return'!$H$49</definedName>
    <definedName name="Tx_AllRet.ReturnYear" localSheetId="11">'CTR Company Tax Return'!$J$15</definedName>
    <definedName name="Tx_AllRet.RMExp" localSheetId="11">'CTR Company Tax Return'!$H$56</definedName>
    <definedName name="Tx_AllRet.Sales" localSheetId="11">'CTR Company Tax Return'!$H$26</definedName>
    <definedName name="Tx_AllRet.Sec40880" localSheetId="11">'CTR Company Tax Return'!$H$90</definedName>
    <definedName name="Tx_AllRet.SelfAssEffectLife" localSheetId="11">'CTR Company Tax Return'!$H$146</definedName>
    <definedName name="Tx_AllRet.StockElection" localSheetId="11">'CTR Company Tax Return'!$H$113</definedName>
    <definedName name="Tx_AllRet.SubsYrAcceleratedDepn" localSheetId="11">'CTR Company Tax Return'!$H$155</definedName>
    <definedName name="Tx_AllRet.SuperExp" localSheetId="11">'CTR Company Tax Return'!$H$45</definedName>
    <definedName name="Tx_AllRet.TaxLossesCF" localSheetId="11">'CTR Company Tax Return'!$H$169</definedName>
    <definedName name="Tx_AllRet.TermValueAssets" localSheetId="11">'CTR Company Tax Return'!$H$154</definedName>
    <definedName name="Tx_AllRet.TermValueIntangibles" localSheetId="11">'CTR Company Tax Return'!$H$153</definedName>
    <definedName name="Tx_AllRet.TFN" localSheetId="11">'CTR Company Tax Return'!$J$13</definedName>
    <definedName name="Tx_AllRet.TradeCreditors" localSheetId="11">'CTR Company Tax Return'!$H$117</definedName>
    <definedName name="Tx_AllRet.TradeDebtors" localSheetId="11">'CTR Company Tax Return'!$H$114</definedName>
    <definedName name="Tx_AllRet.Wages" localSheetId="11">'CTR Company Tax Return'!$H$130</definedName>
    <definedName name="Tx_CTR.AttForIncomeListed" localSheetId="11">'CTR Company Tax Return'!$H$134</definedName>
    <definedName name="Tx_CTR.AttForIncomeTrust" localSheetId="11">'CTR Company Tax Return'!$H$136</definedName>
    <definedName name="Tx_CTR.AttForIncomeUnlisted" localSheetId="11">'CTR Company Tax Return'!$H$135</definedName>
    <definedName name="Tx_CTR.AUSFrankingCreditNZ" localSheetId="11">'CTR Company Tax Return'!$H$75</definedName>
    <definedName name="Tx_CTR.CapWorksDed" localSheetId="11">'CTR Company Tax Return'!$H$89</definedName>
    <definedName name="Tx_CTR.CBFrankingAcct" localSheetId="11">'CTR Company Tax Return'!$H$125</definedName>
    <definedName name="Tx_CTR.CommDebtForgive" localSheetId="11">'CTR Company Tax Return'!$H$121</definedName>
    <definedName name="Tx_CTR.CreditH2" localSheetId="11">'CTR Company Tax Return'!$H$190</definedName>
    <definedName name="Tx_CTR.CreditH3" localSheetId="11">'CTR Company Tax Return'!$H$191</definedName>
    <definedName name="Tx_CTR.CreditH4" localSheetId="11">'CTR Company Tax Return'!$H$192</definedName>
    <definedName name="Tx_CTR.CreditH5" localSheetId="11">'CTR Company Tax Return'!$H$193</definedName>
    <definedName name="Tx_CTR.CreditH7" localSheetId="11">'CTR Company Tax Return'!$H$194</definedName>
    <definedName name="Tx_CTR.CreditH8" localSheetId="11">'CTR Company Tax Return'!$H$195</definedName>
    <definedName name="Tx_CTR.Currency" localSheetId="11">'CTR Company Tax Return'!$H$109</definedName>
    <definedName name="Tx_CTR.CurrTranslationRate" localSheetId="11">'CTR Company Tax Return'!$H$108</definedName>
    <definedName name="Tx_CTR.Debt" localSheetId="11">'CTR Company Tax Return'!$H$120</definedName>
    <definedName name="Tx_CTR.DepreciationTax" localSheetId="11">'CTR Company Tax Return'!$H$85</definedName>
    <definedName name="Tx_CTR.DividendIncome" localSheetId="11">'CTR Company Tax Return'!$H$32</definedName>
    <definedName name="Tx_CTR.EnergyIncentive" localSheetId="11">'CTR Company Tax Return'!$H$98</definedName>
    <definedName name="Tx_CTR.EnvProtectExp" localSheetId="11">'CTR Company Tax Return'!$H$92</definedName>
    <definedName name="Tx_CTR.ExcessFrankingOffsets" localSheetId="11">'CTR Company Tax Return'!$H$128</definedName>
    <definedName name="Tx_CTR.ExemptIncome" localSheetId="11">'CTR Company Tax Return'!$H$93</definedName>
    <definedName name="Tx_CTR.ForIncome" localSheetId="11">'CTR Company Tax Return'!$H$133</definedName>
    <definedName name="Tx_CTR.ForIncomeGross" localSheetId="11">'CTR Company Tax Return'!$H$132</definedName>
    <definedName name="Tx_CTR.FrankingDefTaxOffset" localSheetId="11">'CTR Company Tax Return'!$H$184</definedName>
    <definedName name="Tx_CTR.ImmWriteOff" localSheetId="11">'CTR Company Tax Return'!$H$87</definedName>
    <definedName name="Tx_CTR.InterestExpAUS" localSheetId="11">'CTR Company Tax Return'!$H$50</definedName>
    <definedName name="Tx_CTR.InterestExpOverseas" localSheetId="11">'CTR Company Tax Return'!$H$51</definedName>
    <definedName name="Tx_CTR.InterestIncome" localSheetId="11">'CTR Company Tax Return'!$H$30</definedName>
    <definedName name="Tx_CTR.LeaseExpAUS" localSheetId="11">'CTR Company Tax Return'!$H$47</definedName>
    <definedName name="Tx_CTR.LeaseExpOverseas" localSheetId="11">'CTR Company Tax Return'!$H$48</definedName>
    <definedName name="Tx_CTR.LoansToShareholders" localSheetId="11">'CTR Company Tax Return'!$H$129</definedName>
    <definedName name="Tx_CTR.MiningAssetDepn" localSheetId="11">'CTR Company Tax Return'!$H$160</definedName>
    <definedName name="Tx_CTR.MiningCapExp" localSheetId="11">'CTR Company Tax Return'!$H$158</definedName>
    <definedName name="Tx_CTR.MiningIntangibleDepn" localSheetId="11">'CTR Company Tax Return'!$H$159</definedName>
    <definedName name="Tx_CTR.MISExp" localSheetId="11">'CTR Company Tax Return'!$H$86</definedName>
    <definedName name="Tx_CTR.MISIncome" localSheetId="11">'CTR Company Tax Return'!$H$29</definedName>
    <definedName name="Tx_CTR.NDExp" localSheetId="11">'CTR Company Tax Return'!$H$78</definedName>
    <definedName name="Tx_CTR.NonDedExempIncomeExp" localSheetId="11">'CTR Company Tax Return'!$H$73</definedName>
    <definedName name="Tx_CTR.NonRefCFTaxOffsets" localSheetId="11">'CTR Company Tax Return'!$H$180</definedName>
    <definedName name="Tx_CTR.NonRefNonCFTaxOffsets" localSheetId="11">'CTR Company Tax Return'!$H$178</definedName>
    <definedName name="Tx_CTR.OBFrankingAcct" localSheetId="11">'CTR Company Tax Return'!$H$124</definedName>
    <definedName name="Tx_CTR.OTherAssIncome" localSheetId="11">'CTR Company Tax Return'!$H$77</definedName>
    <definedName name="Tx_CTR.OtherDedExp" localSheetId="11">'CTR Company Tax Return'!$H$96</definedName>
    <definedName name="Tx_CTR.OtherIncome" localSheetId="11">'CTR Company Tax Return'!$H$36</definedName>
    <definedName name="Tx_CTR.OtherIncomeAssIncome" localSheetId="11">'CTR Company Tax Return'!$H$94</definedName>
    <definedName name="Tx_CTR.PartnershipIncome" localSheetId="11">'CTR Company Tax Return'!$H$27</definedName>
    <definedName name="Tx_CTR.PAYGI" localSheetId="11">'CTR Company Tax Return'!$H$198</definedName>
    <definedName name="Tx_CTR.RDExpAccounting" localSheetId="11">'CTR Company Tax Return'!$H$79</definedName>
    <definedName name="Tx_CTR.RefTaxOffsets" localSheetId="11">'CTR Company Tax Return'!$H$182</definedName>
    <definedName name="Tx_CTR.RentIncome" localSheetId="11">'CTR Company Tax Return'!$H$31</definedName>
    <definedName name="Tx_CTR.RoyaltyExpAUS" localSheetId="11">'CTR Company Tax Return'!$H$52</definedName>
    <definedName name="Tx_CTR.RoyaltyExpOverseas" localSheetId="11">'CTR Company Tax Return'!$H$53</definedName>
    <definedName name="Tx_CTR.Sec102AAM" localSheetId="11">'CTR Company Tax Return'!$H$187</definedName>
    <definedName name="Tx_CTR.Sec46FA" localSheetId="11">'CTR Company Tax Return'!$H$84</definedName>
    <definedName name="Tx_CTR.TaxLosses" localSheetId="11">'CTR Company Tax Return'!$H$99</definedName>
    <definedName name="Tx_CTR.TaxLossesTransferIn" localSheetId="11">'CTR Company Tax Return'!$H$100</definedName>
    <definedName name="Tx_CTR.TaxOffsetRef" localSheetId="11">'CTR Company Tax Return'!$H$197</definedName>
    <definedName name="Tx_CTR.TOFAExp" localSheetId="11">'CTR Company Tax Return'!$H$95</definedName>
    <definedName name="Tx_CTR.TOFAGains" localSheetId="11">'CTR Company Tax Return'!$H$137</definedName>
    <definedName name="Tx_CTR.TOFAGainsFinancialArrang" localSheetId="11">'CTR Company Tax Return'!$H$139</definedName>
    <definedName name="Tx_CTR.TOFAIncome" localSheetId="11">'CTR Company Tax Return'!$H$76</definedName>
    <definedName name="Tx_CTR.TOFALosses" localSheetId="11">'CTR Company Tax Return'!$H$138</definedName>
    <definedName name="Tx_CTR.TrainBoost" localSheetId="11">'CTR Company Tax Return'!$H$97</definedName>
    <definedName name="Tx_CTR.TrustIncome" localSheetId="11">'CTR Company Tax Return'!$H$28</definedName>
    <definedName name="Tx_CTR.UnrealisedGains" localSheetId="11">'CTR Company Tax Return'!$H$35</definedName>
    <definedName name="Tx_CTR.UnrealisedLosses" localSheetId="11">'CTR Company Tax Return'!$H$57</definedName>
    <definedName name="Tx_LedgerReport.AccountNames">Taxonomy!$C:$C</definedName>
    <definedName name="Tx_LedgerReport.AccountNos">Taxonomy!$B:$B</definedName>
    <definedName name="Tx_LedgerReport.Benchmark">Taxonomy!$J:$J</definedName>
    <definedName name="Tx_LedgerReport.ColumnData">Taxonomy!$O:$Q</definedName>
    <definedName name="Tx_LedgerReport.LedgerSide">Taxonomy!$K:$K</definedName>
    <definedName name="Tx_LedgerReport.MappingCode">Taxonomy!$I:$I</definedName>
    <definedName name="Tx_LedgerReport.NonDeductibles">Taxonomy!$H:$H</definedName>
    <definedName name="Tx_LedgerReport.PPs">Taxonomy!$G:$G</definedName>
    <definedName name="Tx_LedgerReport.RowType">Taxonomy!$D:$D</definedName>
    <definedName name="Tx_LedgerReport.SourceAccountId">Taxonomy!$A:$A</definedName>
    <definedName name="Tx_LedgerReport.TaxonomyBalances">Taxonomy!$L:$L</definedName>
    <definedName name="Tx_LedgerReport.TaxonomyBalancesDrCr">Taxonomy!$M:$M</definedName>
    <definedName name="Tx_LedgerReport.TaxonomyIDs">Taxonomy!$E:$E</definedName>
    <definedName name="Tx_LedgerReport.TaxonomyNames">Taxonomy!$F:$F</definedName>
    <definedName name="Z_558B4E49_BF54_4A2C_ACEB_D2B2F89A7C90_.wvu.PrintArea" localSheetId="12" hidden="1">'C15 Losses'!$C$10:$H$35</definedName>
    <definedName name="Z_558B4E49_BF54_4A2C_ACEB_D2B2F89A7C90_.wvu.PrintArea" localSheetId="11" hidden="1">'CTR Company Tax Return'!$D$3:$J$43</definedName>
    <definedName name="Z_558B4E49_BF54_4A2C_ACEB_D2B2F89A7C90_.wvu.PrintArea" localSheetId="9" hidden="1">'D03 Company Debit Loan Summary'!$C$12:$M$68</definedName>
    <definedName name="Z_558B4E49_BF54_4A2C_ACEB_D2B2F89A7C90_.wvu.PrintArea" localSheetId="18" hidden="1">'F10 Bank'!$C$8:$J$22</definedName>
    <definedName name="Z_558B4E49_BF54_4A2C_ACEB_D2B2F89A7C90_.wvu.PrintArea" localSheetId="22" hidden="1">'H05 Trade Creditors'!$C$6:$F$30</definedName>
    <definedName name="Z_558B4E49_BF54_4A2C_ACEB_D2B2F89A7C90_.wvu.PrintArea" localSheetId="7" hidden="1">'H11 Chattel Mortgage Loan'!$L$8:$S$155</definedName>
    <definedName name="Z_558B4E49_BF54_4A2C_ACEB_D2B2F89A7C90_.wvu.PrintArea" localSheetId="5" hidden="1">'H12 Loan Summary'!$C$17:$L$76</definedName>
    <definedName name="Z_558B4E49_BF54_4A2C_ACEB_D2B2F89A7C90_.wvu.PrintArea" localSheetId="6" hidden="1">'H15 Inter Entity Loan'!$C$9:$L$48</definedName>
    <definedName name="Z_558B4E49_BF54_4A2C_ACEB_D2B2F89A7C90_.wvu.PrintArea" localSheetId="23" hidden="1">'H25 Bank Loan'!$C$12:$I$39</definedName>
    <definedName name="Z_558B4E49_BF54_4A2C_ACEB_D2B2F89A7C90_.wvu.PrintArea" localSheetId="8" hidden="1">'H25 Bank Loan (1)'!$C$12:$I$39</definedName>
    <definedName name="Z_558B4E49_BF54_4A2C_ACEB_D2B2F89A7C90_.wvu.PrintArea" localSheetId="4" hidden="1">'Z01 Blank'!$C$12:$J$47</definedName>
    <definedName name="Z_558B4E49_BF54_4A2C_ACEB_D2B2F89A7C90_.wvu.PrintArea" localSheetId="3" hidden="1">'Z02 List'!$C$10:$H$49</definedName>
    <definedName name="Z_833AC96D_4EBC_4216_8F63_12A77F8DCBC4_.wvu.PrintArea" localSheetId="12" hidden="1">'C15 Losses'!$C$10:$H$35</definedName>
    <definedName name="Z_833AC96D_4EBC_4216_8F63_12A77F8DCBC4_.wvu.PrintArea" localSheetId="11" hidden="1">'CTR Company Tax Return'!$D$3:$J$43</definedName>
    <definedName name="Z_833AC96D_4EBC_4216_8F63_12A77F8DCBC4_.wvu.PrintArea" localSheetId="9" hidden="1">'D03 Company Debit Loan Summary'!$C$12:$M$68</definedName>
    <definedName name="Z_833AC96D_4EBC_4216_8F63_12A77F8DCBC4_.wvu.PrintArea" localSheetId="18" hidden="1">'F10 Bank'!$C$8:$J$22</definedName>
    <definedName name="Z_833AC96D_4EBC_4216_8F63_12A77F8DCBC4_.wvu.PrintArea" localSheetId="22" hidden="1">'H05 Trade Creditors'!$C$6:$F$30</definedName>
    <definedName name="Z_833AC96D_4EBC_4216_8F63_12A77F8DCBC4_.wvu.PrintArea" localSheetId="7" hidden="1">'H11 Chattel Mortgage Loan'!$L$8:$S$155</definedName>
    <definedName name="Z_833AC96D_4EBC_4216_8F63_12A77F8DCBC4_.wvu.PrintArea" localSheetId="5" hidden="1">'H12 Loan Summary'!$C$17:$L$76</definedName>
    <definedName name="Z_833AC96D_4EBC_4216_8F63_12A77F8DCBC4_.wvu.PrintArea" localSheetId="6" hidden="1">'H15 Inter Entity Loan'!$C$9:$L$48</definedName>
    <definedName name="Z_833AC96D_4EBC_4216_8F63_12A77F8DCBC4_.wvu.PrintArea" localSheetId="23" hidden="1">'H25 Bank Loan'!$C$12:$I$39</definedName>
    <definedName name="Z_833AC96D_4EBC_4216_8F63_12A77F8DCBC4_.wvu.PrintArea" localSheetId="8" hidden="1">'H25 Bank Loan (1)'!$C$12:$I$39</definedName>
    <definedName name="Z_833AC96D_4EBC_4216_8F63_12A77F8DCBC4_.wvu.PrintArea" localSheetId="4" hidden="1">'Z01 Blank'!$C$12:$J$47</definedName>
    <definedName name="Z_833AC96D_4EBC_4216_8F63_12A77F8DCBC4_.wvu.PrintArea" localSheetId="3" hidden="1">'Z02 List'!$C$10:$H$49</definedName>
    <definedName name="Z_CAD51596_6B73_4932_BD63_A9B6500D33A2_.wvu.PrintArea" localSheetId="12" hidden="1">'C15 Losses'!$C$10:$H$35</definedName>
    <definedName name="Z_CAD51596_6B73_4932_BD63_A9B6500D33A2_.wvu.PrintArea" localSheetId="11" hidden="1">'CTR Company Tax Return'!$D$3:$J$43</definedName>
    <definedName name="Z_CAD51596_6B73_4932_BD63_A9B6500D33A2_.wvu.PrintArea" localSheetId="9" hidden="1">'D03 Company Debit Loan Summary'!$C$12:$M$68</definedName>
    <definedName name="Z_CAD51596_6B73_4932_BD63_A9B6500D33A2_.wvu.PrintArea" localSheetId="18" hidden="1">'F10 Bank'!$C$8:$J$22</definedName>
    <definedName name="Z_CAD51596_6B73_4932_BD63_A9B6500D33A2_.wvu.PrintArea" localSheetId="22" hidden="1">'H05 Trade Creditors'!$C$6:$F$30</definedName>
    <definedName name="Z_CAD51596_6B73_4932_BD63_A9B6500D33A2_.wvu.PrintArea" localSheetId="7" hidden="1">'H11 Chattel Mortgage Loan'!$L$8:$S$155</definedName>
    <definedName name="Z_CAD51596_6B73_4932_BD63_A9B6500D33A2_.wvu.PrintArea" localSheetId="5" hidden="1">'H12 Loan Summary'!$C$17:$L$76</definedName>
    <definedName name="Z_CAD51596_6B73_4932_BD63_A9B6500D33A2_.wvu.PrintArea" localSheetId="6" hidden="1">'H15 Inter Entity Loan'!$C$9:$L$48</definedName>
    <definedName name="Z_CAD51596_6B73_4932_BD63_A9B6500D33A2_.wvu.PrintArea" localSheetId="23" hidden="1">'H25 Bank Loan'!$C$12:$I$39</definedName>
    <definedName name="Z_CAD51596_6B73_4932_BD63_A9B6500D33A2_.wvu.PrintArea" localSheetId="8" hidden="1">'H25 Bank Loan (1)'!$C$12:$I$39</definedName>
    <definedName name="Z_CAD51596_6B73_4932_BD63_A9B6500D33A2_.wvu.PrintArea" localSheetId="4" hidden="1">'Z01 Blank'!$C$12:$J$47</definedName>
    <definedName name="Z_CAD51596_6B73_4932_BD63_A9B6500D33A2_.wvu.PrintArea" localSheetId="3" hidden="1">'Z02 List'!$C$10:$H$49</definedName>
    <definedName name="Z_F06FA0EF_5DFC_4395_A5DD_F477E9A4FEF3_.wvu.PrintArea" localSheetId="6" hidden="1">'H15 Inter Entity Loan'!$C$9:$S$39</definedName>
    <definedName name="Z_F06FA0EF_5DFC_4395_A5DD_F477E9A4FEF3_.wvu.PrintTitles" localSheetId="22" hidden="1">'H05 Trade Creditors'!$6:$9</definedName>
    <definedName name="Z_F06FA0EF_5DFC_4395_A5DD_F477E9A4FEF3_.wvu.PrintTitles" localSheetId="7" hidden="1">'H11 Chattel Mortgage Loan'!$8:$9</definedName>
    <definedName name="Z_F06FA0EF_5DFC_4395_A5DD_F477E9A4FEF3_.wvu.PrintTitles" localSheetId="6" hidden="1">'H15 Inter Entity Loan'!$C:$D,'[1]Inter Entity Loan'!$10:$32</definedName>
    <definedName name="Z_F06FA0EF_5DFC_4395_A5DD_F477E9A4FEF3_.wvu.Rows" localSheetId="22" hidden="1">'H05 Trade Creditors'!$34:$34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7" l="1"/>
  <c r="E2" i="7"/>
  <c r="F2" i="7"/>
  <c r="G2" i="7"/>
  <c r="H2" i="7"/>
  <c r="I2" i="7"/>
  <c r="J2" i="7"/>
  <c r="K2" i="7"/>
  <c r="L2" i="7"/>
  <c r="A3" i="7"/>
  <c r="E3" i="7"/>
  <c r="F3" i="7"/>
  <c r="G3" i="7"/>
  <c r="H3" i="7"/>
  <c r="I3" i="7"/>
  <c r="J3" i="7"/>
  <c r="K3" i="7"/>
  <c r="L3" i="7"/>
  <c r="A4" i="7"/>
  <c r="E4" i="7"/>
  <c r="K4" i="7"/>
  <c r="M4" i="7"/>
  <c r="N4" i="7"/>
  <c r="O4" i="7"/>
  <c r="P4" i="7"/>
  <c r="Q4" i="7"/>
  <c r="R4" i="7"/>
  <c r="S4" i="7"/>
  <c r="T4" i="7"/>
  <c r="U4" i="7"/>
  <c r="V4" i="7"/>
  <c r="W4" i="7"/>
  <c r="A5" i="7"/>
  <c r="E5" i="7"/>
  <c r="F5" i="7"/>
  <c r="G5" i="7"/>
  <c r="H5" i="7"/>
  <c r="K5" i="7"/>
  <c r="L5" i="7"/>
  <c r="C1" i="5"/>
  <c r="C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4" i="5"/>
  <c r="C46" i="5"/>
  <c r="C47" i="5"/>
  <c r="C52" i="5"/>
  <c r="C53" i="5"/>
  <c r="C59" i="5"/>
  <c r="C74" i="5"/>
  <c r="C76" i="5"/>
  <c r="C80" i="5"/>
  <c r="C81" i="5"/>
  <c r="C82" i="5"/>
  <c r="C85" i="5"/>
  <c r="C86" i="5"/>
  <c r="C87" i="5"/>
  <c r="C91" i="5"/>
  <c r="C92" i="5"/>
  <c r="C93" i="5"/>
  <c r="C97" i="5"/>
  <c r="C104" i="5"/>
  <c r="C105" i="5"/>
  <c r="C106" i="5"/>
  <c r="C111" i="5"/>
  <c r="C113" i="5"/>
  <c r="C114" i="5"/>
  <c r="C122" i="5"/>
  <c r="C123" i="5"/>
  <c r="C124" i="5"/>
  <c r="C125" i="5"/>
  <c r="C147" i="5"/>
  <c r="C150" i="5"/>
  <c r="C151" i="5"/>
  <c r="C153" i="5"/>
  <c r="C158" i="5"/>
  <c r="C159" i="5"/>
  <c r="C160" i="5"/>
  <c r="C161" i="5"/>
  <c r="C164" i="5"/>
  <c r="C165" i="5"/>
  <c r="C166"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80" i="5"/>
  <c r="C281"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M1" i="35" a="1"/>
  <c r="M1" i="35" s="1"/>
  <c r="C4" i="35"/>
  <c r="C5" i="35"/>
  <c r="C17" i="35" a="1"/>
  <c r="C17" i="35" l="1"/>
  <c r="V17" i="35"/>
  <c r="V18" i="35"/>
  <c r="V19" i="35"/>
  <c r="V20" i="35"/>
  <c r="V21" i="35"/>
  <c r="V22" i="35"/>
  <c r="V23" i="35"/>
  <c r="V24" i="35"/>
  <c r="V25" i="35"/>
  <c r="V26" i="35"/>
  <c r="V27" i="35"/>
  <c r="V28" i="35"/>
  <c r="V29" i="35"/>
  <c r="V30" i="35"/>
  <c r="V31" i="35"/>
  <c r="V32" i="35"/>
  <c r="V33" i="35"/>
  <c r="V34" i="35"/>
  <c r="V35" i="35"/>
  <c r="V36" i="35"/>
  <c r="V37" i="35"/>
  <c r="V38" i="35"/>
  <c r="V39" i="35"/>
  <c r="V40" i="35"/>
  <c r="V41" i="35"/>
  <c r="V42" i="35"/>
  <c r="V43" i="35"/>
  <c r="V44" i="35"/>
  <c r="V45" i="35"/>
  <c r="V46" i="35"/>
  <c r="V47" i="35"/>
  <c r="V48" i="35"/>
  <c r="V49" i="35"/>
  <c r="V50" i="35"/>
  <c r="V51" i="35"/>
  <c r="V52" i="35"/>
  <c r="V53" i="35"/>
  <c r="V54" i="35"/>
  <c r="V55" i="35"/>
  <c r="V56" i="35"/>
  <c r="V57" i="35"/>
  <c r="V58" i="35"/>
  <c r="V59" i="35"/>
  <c r="V60" i="35"/>
  <c r="V61" i="35"/>
  <c r="V62" i="35"/>
  <c r="V63" i="35"/>
  <c r="V64" i="35"/>
  <c r="V65" i="35"/>
  <c r="V66" i="35"/>
  <c r="V73" i="35" l="1"/>
  <c r="V74" i="35"/>
  <c r="V75" i="35"/>
  <c r="V76" i="35"/>
  <c r="V77" i="35"/>
  <c r="V78" i="35"/>
  <c r="V79" i="35"/>
  <c r="V80" i="35"/>
  <c r="V81" i="35"/>
  <c r="V82" i="35"/>
  <c r="N6" i="34" l="1"/>
  <c r="L2" i="34" a="1"/>
  <c r="L2" i="34" s="1"/>
  <c r="E5" i="34"/>
  <c r="E6" i="34"/>
  <c r="K41" i="34" s="1"/>
  <c r="M5" i="34"/>
  <c r="A17" i="34"/>
  <c r="K40" i="34"/>
  <c r="L42" i="34"/>
  <c r="K43" i="34"/>
  <c r="L51" i="34" s="1"/>
  <c r="A57" i="34"/>
  <c r="K63" i="34"/>
  <c r="K64" i="34" s="1"/>
  <c r="K65" i="34" s="1"/>
  <c r="K66" i="34" s="1"/>
  <c r="K67" i="34" s="1"/>
  <c r="K68" i="34" s="1"/>
  <c r="K69" i="34" s="1"/>
  <c r="K70" i="34" s="1"/>
  <c r="K71" i="34" s="1"/>
  <c r="K72" i="34" s="1"/>
  <c r="K73" i="34" s="1"/>
  <c r="K74" i="34" s="1"/>
  <c r="K75" i="34" s="1"/>
  <c r="K76" i="34" s="1"/>
  <c r="K77" i="34" s="1"/>
  <c r="K78" i="34" s="1"/>
  <c r="K79" i="34" s="1"/>
  <c r="H91" i="34"/>
  <c r="A94" i="34"/>
  <c r="C100" i="34"/>
  <c r="D100" i="34"/>
  <c r="E100" i="34"/>
  <c r="H116" i="34" s="1"/>
  <c r="I116" i="34" s="1"/>
  <c r="G100" i="34"/>
  <c r="H100" i="34"/>
  <c r="K100" i="34"/>
  <c r="E131" i="34"/>
  <c r="F131" i="34"/>
  <c r="G131" i="34"/>
  <c r="E132" i="34"/>
  <c r="F132" i="34"/>
  <c r="G132" i="34"/>
  <c r="E133" i="34"/>
  <c r="F133" i="34"/>
  <c r="G133" i="34"/>
  <c r="E134" i="34"/>
  <c r="F134" i="34"/>
  <c r="G134" i="34"/>
  <c r="E135" i="34"/>
  <c r="F135" i="34"/>
  <c r="G135" i="34"/>
  <c r="E136" i="34"/>
  <c r="F136" i="34"/>
  <c r="G136" i="34"/>
  <c r="E137" i="34"/>
  <c r="E138" i="34"/>
  <c r="E139" i="34"/>
  <c r="E140" i="34"/>
  <c r="E141" i="34"/>
  <c r="E142" i="34"/>
  <c r="F17" i="35"/>
  <c r="F54" i="35"/>
  <c r="F30" i="35"/>
  <c r="F51" i="35"/>
  <c r="F27" i="35"/>
  <c r="F66" i="35"/>
  <c r="F50" i="35"/>
  <c r="F34" i="35"/>
  <c r="F26" i="35"/>
  <c r="F65" i="35"/>
  <c r="F57" i="35"/>
  <c r="F49" i="35"/>
  <c r="F41" i="35"/>
  <c r="F33" i="35"/>
  <c r="F25" i="35"/>
  <c r="F62" i="35"/>
  <c r="F46" i="35"/>
  <c r="F38" i="35"/>
  <c r="F22" i="35"/>
  <c r="F61" i="35"/>
  <c r="F53" i="35"/>
  <c r="F45" i="35"/>
  <c r="F37" i="35"/>
  <c r="F29" i="35"/>
  <c r="F21" i="35"/>
  <c r="F60" i="35"/>
  <c r="F52" i="35"/>
  <c r="F44" i="35"/>
  <c r="F36" i="35"/>
  <c r="F28" i="35"/>
  <c r="F20" i="35"/>
  <c r="F59" i="35"/>
  <c r="F43" i="35"/>
  <c r="F35" i="35"/>
  <c r="F19" i="35"/>
  <c r="F58" i="35"/>
  <c r="F42" i="35"/>
  <c r="F18" i="35"/>
  <c r="F64" i="35"/>
  <c r="F56" i="35"/>
  <c r="F48" i="35"/>
  <c r="F40" i="35"/>
  <c r="F32" i="35"/>
  <c r="F24" i="35"/>
  <c r="F63" i="35"/>
  <c r="F55" i="35"/>
  <c r="F47" i="35"/>
  <c r="F39" i="35"/>
  <c r="F31" i="35"/>
  <c r="F23" i="35"/>
  <c r="E48" i="35"/>
  <c r="D48" i="35" s="1"/>
  <c r="E24" i="35"/>
  <c r="D24" i="35" s="1"/>
  <c r="E52" i="35"/>
  <c r="D52" i="35" s="1"/>
  <c r="E36" i="35"/>
  <c r="D36" i="35" s="1"/>
  <c r="E35" i="35"/>
  <c r="D35" i="35" s="1"/>
  <c r="E31" i="35"/>
  <c r="D31" i="35" s="1"/>
  <c r="E27" i="35"/>
  <c r="D27" i="35" s="1"/>
  <c r="E23" i="35"/>
  <c r="D23" i="35" s="1"/>
  <c r="E19" i="35"/>
  <c r="D19" i="35" s="1"/>
  <c r="E60" i="35"/>
  <c r="D60" i="35" s="1"/>
  <c r="E39" i="35"/>
  <c r="D39" i="35" s="1"/>
  <c r="E64" i="35"/>
  <c r="D64" i="35" s="1"/>
  <c r="E28" i="35"/>
  <c r="D28" i="35" s="1"/>
  <c r="E63" i="35"/>
  <c r="D63" i="35" s="1"/>
  <c r="E55" i="35"/>
  <c r="D55" i="35" s="1"/>
  <c r="E47" i="35"/>
  <c r="D47" i="35" s="1"/>
  <c r="E66" i="35"/>
  <c r="D66" i="35" s="1"/>
  <c r="E46" i="35"/>
  <c r="D46" i="35" s="1"/>
  <c r="E38" i="35"/>
  <c r="D38" i="35" s="1"/>
  <c r="E26" i="35"/>
  <c r="D26" i="35" s="1"/>
  <c r="E22" i="35"/>
  <c r="D22" i="35" s="1"/>
  <c r="E44" i="35"/>
  <c r="D44" i="35" s="1"/>
  <c r="E58" i="35"/>
  <c r="D58" i="35" s="1"/>
  <c r="E54" i="35"/>
  <c r="D54" i="35" s="1"/>
  <c r="E40" i="35"/>
  <c r="D40" i="35" s="1"/>
  <c r="E32" i="35"/>
  <c r="D32" i="35" s="1"/>
  <c r="E20" i="35"/>
  <c r="D20" i="35" s="1"/>
  <c r="E50" i="35"/>
  <c r="D50" i="35" s="1"/>
  <c r="E34" i="35"/>
  <c r="D34" i="35" s="1"/>
  <c r="E30" i="35"/>
  <c r="D30" i="35" s="1"/>
  <c r="E65" i="35"/>
  <c r="D65" i="35" s="1"/>
  <c r="E61" i="35"/>
  <c r="D61" i="35" s="1"/>
  <c r="E57" i="35"/>
  <c r="D57" i="35" s="1"/>
  <c r="E53" i="35"/>
  <c r="D53" i="35" s="1"/>
  <c r="E49" i="35"/>
  <c r="D49" i="35" s="1"/>
  <c r="E45" i="35"/>
  <c r="D45" i="35" s="1"/>
  <c r="E41" i="35"/>
  <c r="D41" i="35" s="1"/>
  <c r="E37" i="35"/>
  <c r="D37" i="35" s="1"/>
  <c r="E33" i="35"/>
  <c r="D33" i="35" s="1"/>
  <c r="E29" i="35"/>
  <c r="D29" i="35" s="1"/>
  <c r="E25" i="35"/>
  <c r="D25" i="35" s="1"/>
  <c r="E21" i="35"/>
  <c r="D21" i="35" s="1"/>
  <c r="E56" i="35"/>
  <c r="D56" i="35" s="1"/>
  <c r="E59" i="35"/>
  <c r="D59" i="35" s="1"/>
  <c r="E51" i="35"/>
  <c r="D51" i="35" s="1"/>
  <c r="E43" i="35"/>
  <c r="D43" i="35" s="1"/>
  <c r="E62" i="35"/>
  <c r="D62" i="35" s="1"/>
  <c r="E42" i="35"/>
  <c r="D42" i="35" s="1"/>
  <c r="G88" i="35"/>
  <c r="H88" i="35"/>
  <c r="J88" i="35"/>
  <c r="I88" i="35"/>
  <c r="E18" i="35"/>
  <c r="D18" i="35" s="1"/>
  <c r="C73" i="35" l="1" a="1"/>
  <c r="C73" i="35" s="1"/>
  <c r="E116" i="34"/>
  <c r="G63" i="34" s="1"/>
  <c r="I64" i="34" s="1"/>
  <c r="K80" i="34"/>
  <c r="K81" i="34" s="1"/>
  <c r="K82" i="34" s="1"/>
  <c r="K83" i="34" s="1"/>
  <c r="G90" i="34"/>
  <c r="C4" i="33"/>
  <c r="C5" i="33"/>
  <c r="C3" i="33"/>
  <c r="D49" i="33"/>
  <c r="E17" i="35"/>
  <c r="D17" i="35" s="1"/>
  <c r="I75" i="34" l="1"/>
  <c r="I76" i="34"/>
  <c r="I67" i="34"/>
  <c r="I78" i="34"/>
  <c r="I82" i="34"/>
  <c r="I70" i="34"/>
  <c r="I74" i="34"/>
  <c r="I77" i="34"/>
  <c r="I73" i="34"/>
  <c r="I83" i="34"/>
  <c r="I79" i="34"/>
  <c r="I65" i="34"/>
  <c r="I66" i="34"/>
  <c r="I90" i="34"/>
  <c r="I69" i="34"/>
  <c r="I68" i="34"/>
  <c r="I72" i="34"/>
  <c r="I71" i="34"/>
  <c r="I80" i="34"/>
  <c r="K84" i="34"/>
  <c r="I84" i="34"/>
  <c r="I81" i="34"/>
  <c r="C4" i="32"/>
  <c r="C5" i="32"/>
  <c r="C3" i="32"/>
  <c r="K85" i="34" l="1"/>
  <c r="I85" i="34"/>
  <c r="C4" i="31"/>
  <c r="C5" i="31"/>
  <c r="K86" i="34" l="1"/>
  <c r="I86" i="34"/>
  <c r="W17" i="31"/>
  <c r="W18" i="31"/>
  <c r="W19" i="31"/>
  <c r="W20" i="31"/>
  <c r="W21" i="31"/>
  <c r="W22" i="31"/>
  <c r="W23" i="31"/>
  <c r="W24" i="31"/>
  <c r="W25" i="31"/>
  <c r="W26" i="31"/>
  <c r="W27" i="31"/>
  <c r="W28" i="31"/>
  <c r="W29" i="31"/>
  <c r="W30" i="31"/>
  <c r="W31" i="31"/>
  <c r="W32" i="31"/>
  <c r="W33" i="31"/>
  <c r="W34" i="31"/>
  <c r="W35" i="31"/>
  <c r="W36" i="31"/>
  <c r="W37" i="31"/>
  <c r="W38" i="31"/>
  <c r="W39" i="31"/>
  <c r="W40" i="31"/>
  <c r="W41" i="31"/>
  <c r="W42" i="31"/>
  <c r="W43" i="31"/>
  <c r="W44" i="31"/>
  <c r="W45" i="31"/>
  <c r="W46" i="31"/>
  <c r="W47" i="31"/>
  <c r="W48" i="31"/>
  <c r="W49" i="31"/>
  <c r="W50" i="31"/>
  <c r="W51" i="31"/>
  <c r="W52" i="31"/>
  <c r="W53" i="31"/>
  <c r="W54" i="31"/>
  <c r="W55" i="31"/>
  <c r="W56" i="31"/>
  <c r="W57" i="31"/>
  <c r="W58" i="31"/>
  <c r="W59" i="31"/>
  <c r="W60" i="31"/>
  <c r="W61" i="31"/>
  <c r="W62" i="31"/>
  <c r="W63" i="31"/>
  <c r="W64" i="31"/>
  <c r="W65" i="31"/>
  <c r="W66" i="31"/>
  <c r="F73" i="31"/>
  <c r="G73" i="31"/>
  <c r="H73" i="31"/>
  <c r="I73" i="31"/>
  <c r="J73" i="31"/>
  <c r="K87" i="34" l="1"/>
  <c r="I87" i="34"/>
  <c r="K73" i="31"/>
  <c r="L73" i="31"/>
  <c r="K88" i="34" l="1"/>
  <c r="I88" i="34"/>
  <c r="C4" i="30"/>
  <c r="C5" i="30"/>
  <c r="E21" i="30"/>
  <c r="F21" i="30"/>
  <c r="G21" i="30"/>
  <c r="H21" i="30"/>
  <c r="I21" i="30"/>
  <c r="J21" i="30"/>
  <c r="K21" i="30"/>
  <c r="L21" i="30"/>
  <c r="M21" i="30"/>
  <c r="N21" i="30"/>
  <c r="O21" i="30"/>
  <c r="P21" i="30"/>
  <c r="Q21" i="30"/>
  <c r="R21" i="30"/>
  <c r="S21" i="30"/>
  <c r="T23" i="30"/>
  <c r="T24" i="30"/>
  <c r="T25" i="30"/>
  <c r="T26" i="30"/>
  <c r="T27" i="30"/>
  <c r="T28" i="30"/>
  <c r="T29" i="30"/>
  <c r="T30" i="30"/>
  <c r="T31" i="30"/>
  <c r="T32" i="30"/>
  <c r="T33" i="30"/>
  <c r="T34" i="30"/>
  <c r="T35" i="30"/>
  <c r="T36" i="30"/>
  <c r="T37" i="30"/>
  <c r="E38" i="30"/>
  <c r="F38" i="30"/>
  <c r="G38" i="30"/>
  <c r="H38" i="30"/>
  <c r="I38" i="30"/>
  <c r="J38" i="30"/>
  <c r="K38" i="30"/>
  <c r="L38" i="30"/>
  <c r="M38" i="30"/>
  <c r="N38" i="30"/>
  <c r="O38" i="30"/>
  <c r="P38" i="30"/>
  <c r="Q38" i="30"/>
  <c r="R38" i="30"/>
  <c r="S38" i="30"/>
  <c r="A41" i="30"/>
  <c r="E43" i="30"/>
  <c r="F43" i="30"/>
  <c r="G43" i="30"/>
  <c r="E55" i="31"/>
  <c r="D55" i="31" s="1"/>
  <c r="E59" i="31"/>
  <c r="D59" i="31" s="1"/>
  <c r="E39" i="31"/>
  <c r="D39" i="31" s="1"/>
  <c r="E23" i="31"/>
  <c r="D23" i="31" s="1"/>
  <c r="E63" i="31"/>
  <c r="D63" i="31" s="1"/>
  <c r="E58" i="31"/>
  <c r="D58" i="31" s="1"/>
  <c r="E66" i="31"/>
  <c r="D66" i="31" s="1"/>
  <c r="E62" i="31"/>
  <c r="D62" i="31" s="1"/>
  <c r="E47" i="31"/>
  <c r="D47" i="31" s="1"/>
  <c r="E43" i="31"/>
  <c r="D43" i="31" s="1"/>
  <c r="E35" i="31"/>
  <c r="D35" i="31" s="1"/>
  <c r="E31" i="31"/>
  <c r="D31" i="31" s="1"/>
  <c r="E27" i="31"/>
  <c r="D27" i="31" s="1"/>
  <c r="E19" i="31"/>
  <c r="D19" i="31" s="1"/>
  <c r="E51" i="31"/>
  <c r="D51" i="31" s="1"/>
  <c r="E50" i="31"/>
  <c r="D50" i="31" s="1"/>
  <c r="E38" i="31"/>
  <c r="D38" i="31" s="1"/>
  <c r="E30" i="31"/>
  <c r="D30" i="31" s="1"/>
  <c r="E26" i="31"/>
  <c r="D26" i="31" s="1"/>
  <c r="E22" i="31"/>
  <c r="D22" i="31" s="1"/>
  <c r="E18" i="31"/>
  <c r="D18" i="31" s="1"/>
  <c r="E54" i="31"/>
  <c r="D54" i="31" s="1"/>
  <c r="E42" i="31"/>
  <c r="D42" i="31" s="1"/>
  <c r="E57" i="31"/>
  <c r="D57" i="31" s="1"/>
  <c r="E49" i="31"/>
  <c r="D49" i="31" s="1"/>
  <c r="E33" i="31"/>
  <c r="D33" i="31" s="1"/>
  <c r="E29" i="31"/>
  <c r="D29" i="31" s="1"/>
  <c r="E25" i="31"/>
  <c r="D25" i="31" s="1"/>
  <c r="E21" i="31"/>
  <c r="D21" i="31" s="1"/>
  <c r="E34" i="31"/>
  <c r="D34" i="31" s="1"/>
  <c r="E46" i="31"/>
  <c r="D46" i="31" s="1"/>
  <c r="E65" i="31"/>
  <c r="D65" i="31" s="1"/>
  <c r="E61" i="31"/>
  <c r="D61" i="31" s="1"/>
  <c r="E56" i="31"/>
  <c r="D56" i="31" s="1"/>
  <c r="E52" i="31"/>
  <c r="D52" i="31" s="1"/>
  <c r="E48" i="31"/>
  <c r="D48" i="31" s="1"/>
  <c r="E44" i="31"/>
  <c r="D44" i="31" s="1"/>
  <c r="E32" i="31"/>
  <c r="D32" i="31" s="1"/>
  <c r="E28" i="31"/>
  <c r="D28" i="31" s="1"/>
  <c r="E24" i="31"/>
  <c r="D24" i="31" s="1"/>
  <c r="E20" i="31"/>
  <c r="D20" i="31" s="1"/>
  <c r="E53" i="31"/>
  <c r="D53" i="31" s="1"/>
  <c r="E45" i="31"/>
  <c r="D45" i="31" s="1"/>
  <c r="E41" i="31"/>
  <c r="D41" i="31" s="1"/>
  <c r="E37" i="31"/>
  <c r="D37" i="31" s="1"/>
  <c r="E64" i="31"/>
  <c r="D64" i="31" s="1"/>
  <c r="E60" i="31"/>
  <c r="D60" i="31" s="1"/>
  <c r="E40" i="31"/>
  <c r="D40" i="31" s="1"/>
  <c r="E36" i="31"/>
  <c r="D36" i="31" s="1"/>
  <c r="K89" i="34" l="1"/>
  <c r="K51" i="34" s="1"/>
  <c r="I89" i="34"/>
  <c r="I91" i="34" s="1"/>
  <c r="K49" i="34" s="1"/>
  <c r="I100" i="34" s="1"/>
  <c r="T38" i="30"/>
  <c r="P1" i="29"/>
  <c r="K4" i="29"/>
  <c r="K5" i="29"/>
  <c r="Q68" i="29" s="1"/>
  <c r="I23" i="29"/>
  <c r="C26" i="29"/>
  <c r="K3" i="29"/>
  <c r="A11" i="29"/>
  <c r="I29" i="29"/>
  <c r="H30" i="29" a="1"/>
  <c r="H30" i="29" s="1"/>
  <c r="N30" i="29" s="1"/>
  <c r="N35" i="29"/>
  <c r="T37" i="29"/>
  <c r="Q53" i="29"/>
  <c r="S53" i="29" s="1"/>
  <c r="Q54" i="29"/>
  <c r="S54" i="29" s="1"/>
  <c r="Q55" i="29"/>
  <c r="T55" i="29" s="1"/>
  <c r="Q57" i="29"/>
  <c r="T57" i="29" s="1"/>
  <c r="Q58" i="29"/>
  <c r="S58" i="29" s="1"/>
  <c r="Q59" i="29"/>
  <c r="T59" i="29" s="1"/>
  <c r="Q61" i="29"/>
  <c r="S61" i="29" s="1"/>
  <c r="Q62" i="29"/>
  <c r="T62" i="29" s="1"/>
  <c r="Q63" i="29"/>
  <c r="S63" i="29" s="1"/>
  <c r="Q65" i="29"/>
  <c r="T65" i="29" s="1"/>
  <c r="Q66" i="29"/>
  <c r="S66" i="29" s="1"/>
  <c r="S75" i="29"/>
  <c r="L76" i="29" a="1"/>
  <c r="L76" i="29" s="1"/>
  <c r="L126" i="29"/>
  <c r="F126" i="29" s="1"/>
  <c r="S126" i="29"/>
  <c r="G126" i="29" s="1"/>
  <c r="K128" i="29"/>
  <c r="K129" i="29" s="1"/>
  <c r="K130" i="29" s="1"/>
  <c r="K53" i="34" l="1"/>
  <c r="K54" i="34" s="1" a="1"/>
  <c r="K54" i="34" s="1"/>
  <c r="M6" i="34" s="1"/>
  <c r="L100" i="34"/>
  <c r="L127" i="29"/>
  <c r="M127" i="29" s="1"/>
  <c r="I127" i="29"/>
  <c r="Q127" i="29" s="1" a="1"/>
  <c r="Q127" i="29" s="1"/>
  <c r="S59" i="29"/>
  <c r="S65" i="29"/>
  <c r="S57" i="29"/>
  <c r="R68" i="29"/>
  <c r="T53" i="29"/>
  <c r="S55" i="29"/>
  <c r="S62" i="29"/>
  <c r="T63" i="29"/>
  <c r="T66" i="29"/>
  <c r="T58" i="29"/>
  <c r="T54" i="29"/>
  <c r="T61" i="29"/>
  <c r="L77" i="29"/>
  <c r="K131" i="29"/>
  <c r="I130" i="29"/>
  <c r="I129" i="29"/>
  <c r="I128" i="29"/>
  <c r="S68" i="29"/>
  <c r="J5" i="28"/>
  <c r="I1" i="28"/>
  <c r="C4" i="28"/>
  <c r="C5" i="28"/>
  <c r="C33" i="28" s="1"/>
  <c r="I36" i="28"/>
  <c r="C3" i="28"/>
  <c r="I4" i="28"/>
  <c r="I27" i="28"/>
  <c r="I31" i="28"/>
  <c r="I33" i="28" s="1"/>
  <c r="I35" i="28" s="1"/>
  <c r="C17" i="31" a="1"/>
  <c r="G101" i="34" l="1"/>
  <c r="E101" i="34"/>
  <c r="F127" i="29"/>
  <c r="C17" i="31"/>
  <c r="C127" i="29" a="1"/>
  <c r="C127" i="29" s="1"/>
  <c r="L128" i="29" a="1"/>
  <c r="L128" i="29" s="1"/>
  <c r="C128" i="29" s="1" a="1"/>
  <c r="C128" i="29" s="1"/>
  <c r="N127" i="29" a="1"/>
  <c r="N127" i="29" s="1"/>
  <c r="G127" i="29" s="1"/>
  <c r="Q129" i="29" a="1"/>
  <c r="Q129" i="29" s="1"/>
  <c r="N129" i="29" a="1"/>
  <c r="N129" i="29" s="1"/>
  <c r="L78" i="29"/>
  <c r="N130" i="29" a="1"/>
  <c r="N130" i="29" s="1"/>
  <c r="Q130" i="29" a="1"/>
  <c r="Q130" i="29" s="1"/>
  <c r="P127" i="29"/>
  <c r="I131" i="29"/>
  <c r="K132" i="29"/>
  <c r="N128" i="29" a="1"/>
  <c r="N128" i="29" s="1"/>
  <c r="Q128" i="29" a="1"/>
  <c r="Q128" i="29" s="1"/>
  <c r="C22" i="28"/>
  <c r="I5" i="28"/>
  <c r="M6" i="27"/>
  <c r="L2" i="27"/>
  <c r="E5" i="27"/>
  <c r="E6" i="27"/>
  <c r="J43" i="27" s="1"/>
  <c r="L5" i="27"/>
  <c r="A10" i="27"/>
  <c r="A15" i="27"/>
  <c r="A55" i="27"/>
  <c r="G90" i="27"/>
  <c r="H90" i="27"/>
  <c r="A93" i="27"/>
  <c r="C99" i="27"/>
  <c r="D99" i="27"/>
  <c r="E129" i="27"/>
  <c r="F129" i="27"/>
  <c r="E130" i="27"/>
  <c r="F130" i="27"/>
  <c r="E131" i="27"/>
  <c r="F131" i="27"/>
  <c r="E132" i="27"/>
  <c r="F132" i="27"/>
  <c r="E133" i="27"/>
  <c r="F133" i="27"/>
  <c r="E134" i="27"/>
  <c r="F134" i="27"/>
  <c r="E135" i="27"/>
  <c r="F135" i="27"/>
  <c r="E136" i="27"/>
  <c r="F136" i="27"/>
  <c r="E137" i="27"/>
  <c r="F137" i="27"/>
  <c r="E138" i="27"/>
  <c r="F138" i="27"/>
  <c r="E139" i="27"/>
  <c r="F139" i="27"/>
  <c r="E140" i="27"/>
  <c r="F140" i="27"/>
  <c r="E141" i="27"/>
  <c r="F141" i="27"/>
  <c r="E17" i="31"/>
  <c r="D17" i="31" s="1"/>
  <c r="L129" i="29" l="1" a="1"/>
  <c r="L129" i="29" s="1"/>
  <c r="H131" i="34"/>
  <c r="I131" i="34" s="1"/>
  <c r="H117" i="34"/>
  <c r="I117" i="34" s="1"/>
  <c r="K101" i="34"/>
  <c r="I101" i="34" s="1"/>
  <c r="O127" i="29" a="1"/>
  <c r="O127" i="29" s="1"/>
  <c r="R127" i="29" s="1"/>
  <c r="B128" i="29"/>
  <c r="F128" i="29"/>
  <c r="M128" i="29"/>
  <c r="P128" i="29" s="1"/>
  <c r="K133" i="29"/>
  <c r="I132" i="29"/>
  <c r="C129" i="29" a="1"/>
  <c r="C129" i="29" s="1"/>
  <c r="F129" i="29"/>
  <c r="M129" i="29"/>
  <c r="G128" i="29"/>
  <c r="B129" i="29"/>
  <c r="Q131" i="29" a="1"/>
  <c r="Q131" i="29" s="1"/>
  <c r="N131" i="29" a="1"/>
  <c r="N131" i="29" s="1"/>
  <c r="L130" i="29" a="1"/>
  <c r="L130" i="29" s="1"/>
  <c r="B131" i="29" s="1"/>
  <c r="G130" i="29"/>
  <c r="L79" i="29"/>
  <c r="B130" i="29"/>
  <c r="G129" i="29"/>
  <c r="J40" i="27"/>
  <c r="J48" i="27" s="1"/>
  <c r="J38" i="27"/>
  <c r="F62" i="27"/>
  <c r="F89" i="27"/>
  <c r="M6" i="25"/>
  <c r="L2" i="25"/>
  <c r="E5" i="25"/>
  <c r="E6" i="25"/>
  <c r="J43" i="25" s="1"/>
  <c r="L5" i="25"/>
  <c r="A10" i="25"/>
  <c r="A15" i="25"/>
  <c r="A55" i="25"/>
  <c r="G90" i="25"/>
  <c r="H90" i="25"/>
  <c r="A93" i="25"/>
  <c r="C99" i="25"/>
  <c r="D99" i="25"/>
  <c r="E129" i="25"/>
  <c r="F129" i="25"/>
  <c r="E130" i="25"/>
  <c r="F130" i="25"/>
  <c r="E131" i="25"/>
  <c r="F131" i="25"/>
  <c r="E132" i="25"/>
  <c r="F132" i="25"/>
  <c r="E133" i="25"/>
  <c r="F133" i="25"/>
  <c r="E134" i="25"/>
  <c r="F134" i="25"/>
  <c r="E135" i="25"/>
  <c r="F135" i="25"/>
  <c r="E136" i="25"/>
  <c r="F136" i="25"/>
  <c r="E137" i="25"/>
  <c r="F137" i="25"/>
  <c r="E138" i="25"/>
  <c r="F138" i="25"/>
  <c r="E139" i="25"/>
  <c r="F139" i="25"/>
  <c r="E140" i="25"/>
  <c r="F140" i="25"/>
  <c r="E141" i="25"/>
  <c r="F141" i="25"/>
  <c r="L101" i="34" l="1"/>
  <c r="N132" i="29" a="1"/>
  <c r="N132" i="29" s="1"/>
  <c r="Q132" i="29" a="1"/>
  <c r="Q132" i="29" s="1"/>
  <c r="I133" i="29"/>
  <c r="K134" i="29"/>
  <c r="P129" i="29"/>
  <c r="L80" i="29"/>
  <c r="S127" i="29"/>
  <c r="F130" i="29"/>
  <c r="C130" i="29" a="1"/>
  <c r="C130" i="29" s="1"/>
  <c r="M130" i="29"/>
  <c r="L131" i="29" a="1"/>
  <c r="L131" i="29" s="1"/>
  <c r="B132" i="29" s="1"/>
  <c r="G131" i="29"/>
  <c r="E41" i="27"/>
  <c r="J41" i="27"/>
  <c r="J79" i="27" s="1"/>
  <c r="J40" i="25"/>
  <c r="J48" i="25" s="1"/>
  <c r="J38" i="25"/>
  <c r="F62" i="25"/>
  <c r="F89" i="25"/>
  <c r="N5" i="24"/>
  <c r="C4" i="24"/>
  <c r="C5" i="24"/>
  <c r="H17" i="24"/>
  <c r="J17" i="24" s="1"/>
  <c r="H20" i="24"/>
  <c r="H44" i="24" s="1"/>
  <c r="H25" i="24"/>
  <c r="M25" i="24" s="1"/>
  <c r="H26" i="24"/>
  <c r="L26" i="24" s="1"/>
  <c r="H29" i="24"/>
  <c r="A32" i="24"/>
  <c r="W50" i="24"/>
  <c r="V54" i="24" a="1"/>
  <c r="V54" i="24" s="1"/>
  <c r="W54" i="24"/>
  <c r="V55" i="24" a="1"/>
  <c r="V55" i="24" s="1"/>
  <c r="W55" i="24"/>
  <c r="V56" i="24" a="1"/>
  <c r="V56" i="24" s="1"/>
  <c r="W56" i="24"/>
  <c r="V57" i="24" a="1"/>
  <c r="V57" i="24"/>
  <c r="W57" i="24"/>
  <c r="V58" i="24" a="1"/>
  <c r="V58" i="24"/>
  <c r="W58" i="24"/>
  <c r="V59" i="24" a="1"/>
  <c r="V59" i="24" s="1"/>
  <c r="W59" i="24"/>
  <c r="V60" i="24" a="1"/>
  <c r="V60" i="24"/>
  <c r="W60" i="24"/>
  <c r="V61" i="24" a="1"/>
  <c r="V61" i="24" s="1"/>
  <c r="W61" i="24"/>
  <c r="V62" i="24" a="1"/>
  <c r="V62" i="24" s="1"/>
  <c r="W62" i="24"/>
  <c r="V63" i="24" a="1"/>
  <c r="V63" i="24" s="1"/>
  <c r="W63" i="24"/>
  <c r="V64" i="24" a="1"/>
  <c r="V64" i="24"/>
  <c r="W64" i="24"/>
  <c r="V65" i="24" a="1"/>
  <c r="V65" i="24" s="1"/>
  <c r="W65" i="24"/>
  <c r="V66" i="24" a="1"/>
  <c r="V66" i="24"/>
  <c r="W66" i="24"/>
  <c r="V67" i="24" a="1"/>
  <c r="V67" i="24"/>
  <c r="W67" i="24"/>
  <c r="V68" i="24" a="1"/>
  <c r="V68" i="24"/>
  <c r="W68" i="24"/>
  <c r="V69" i="24" a="1"/>
  <c r="V69" i="24" s="1"/>
  <c r="W69" i="24"/>
  <c r="V70" i="24" a="1"/>
  <c r="V70" i="24"/>
  <c r="W70" i="24"/>
  <c r="V71" i="24" a="1"/>
  <c r="V71" i="24"/>
  <c r="W71" i="24"/>
  <c r="V72" i="24" a="1"/>
  <c r="V72" i="24" s="1"/>
  <c r="W72" i="24"/>
  <c r="V73" i="24" a="1"/>
  <c r="V73" i="24"/>
  <c r="W73" i="24"/>
  <c r="V74" i="24" a="1"/>
  <c r="V74" i="24" s="1"/>
  <c r="W74" i="24"/>
  <c r="G102" i="34" l="1"/>
  <c r="E102" i="34"/>
  <c r="O128" i="29" a="1"/>
  <c r="O128" i="29" s="1"/>
  <c r="K135" i="29"/>
  <c r="I134" i="29"/>
  <c r="L81" i="29"/>
  <c r="P130" i="29"/>
  <c r="Q133" i="29" a="1"/>
  <c r="Q133" i="29" s="1"/>
  <c r="N133" i="29" a="1"/>
  <c r="N133" i="29" s="1"/>
  <c r="F131" i="29"/>
  <c r="M131" i="29"/>
  <c r="C131" i="29" a="1"/>
  <c r="C131" i="29" s="1"/>
  <c r="L132" i="29" a="1"/>
  <c r="L132" i="29" s="1"/>
  <c r="B133" i="29" s="1"/>
  <c r="G132" i="29"/>
  <c r="J62" i="27"/>
  <c r="J80" i="27"/>
  <c r="J77" i="27"/>
  <c r="J70" i="27"/>
  <c r="J84" i="27"/>
  <c r="J81" i="27"/>
  <c r="J63" i="27"/>
  <c r="J88" i="27"/>
  <c r="J85" i="27"/>
  <c r="J83" i="27"/>
  <c r="J45" i="27"/>
  <c r="I89" i="27"/>
  <c r="J67" i="27"/>
  <c r="J64" i="27"/>
  <c r="G99" i="27"/>
  <c r="J75" i="27"/>
  <c r="J82" i="27"/>
  <c r="J73" i="27"/>
  <c r="J68" i="27"/>
  <c r="J65" i="27"/>
  <c r="J71" i="27"/>
  <c r="J74" i="27"/>
  <c r="J72" i="27"/>
  <c r="J69" i="27"/>
  <c r="J86" i="27"/>
  <c r="J66" i="27"/>
  <c r="J76" i="27"/>
  <c r="J78" i="27"/>
  <c r="J87" i="27"/>
  <c r="H99" i="27"/>
  <c r="E41" i="25"/>
  <c r="H99" i="25"/>
  <c r="L25" i="24"/>
  <c r="M26" i="24"/>
  <c r="H18" i="24"/>
  <c r="H23" i="24"/>
  <c r="H19" i="24"/>
  <c r="H24" i="24"/>
  <c r="O5" i="23"/>
  <c r="I46" i="23"/>
  <c r="I51" i="23" s="1"/>
  <c r="C4" i="23"/>
  <c r="C5" i="23"/>
  <c r="H23" i="23"/>
  <c r="I26" i="23"/>
  <c r="I27" i="23"/>
  <c r="I28" i="23"/>
  <c r="I52" i="23" s="1"/>
  <c r="I33" i="23"/>
  <c r="N33" i="23" s="1"/>
  <c r="I34" i="23"/>
  <c r="N34" i="23" s="1"/>
  <c r="I37" i="23"/>
  <c r="A40" i="23"/>
  <c r="X58" i="23"/>
  <c r="W62" i="23" a="1"/>
  <c r="W62" i="23" s="1"/>
  <c r="X62" i="23"/>
  <c r="W63" i="23" a="1"/>
  <c r="W63" i="23" s="1"/>
  <c r="X63" i="23"/>
  <c r="W64" i="23" a="1"/>
  <c r="W64" i="23"/>
  <c r="X64" i="23"/>
  <c r="W65" i="23" a="1"/>
  <c r="W65" i="23" s="1"/>
  <c r="X65" i="23"/>
  <c r="W66" i="23" a="1"/>
  <c r="W66" i="23" s="1"/>
  <c r="X66" i="23"/>
  <c r="W67" i="23" a="1"/>
  <c r="W67" i="23" s="1"/>
  <c r="X67" i="23"/>
  <c r="W68" i="23" a="1"/>
  <c r="W68" i="23" s="1"/>
  <c r="X68" i="23"/>
  <c r="W69" i="23" a="1"/>
  <c r="W69" i="23"/>
  <c r="X69" i="23"/>
  <c r="W70" i="23" a="1"/>
  <c r="W70" i="23" s="1"/>
  <c r="X70" i="23"/>
  <c r="W71" i="23" a="1"/>
  <c r="W71" i="23"/>
  <c r="X71" i="23"/>
  <c r="W72" i="23" a="1"/>
  <c r="W72" i="23"/>
  <c r="X72" i="23"/>
  <c r="W73" i="23" a="1"/>
  <c r="W73" i="23" s="1"/>
  <c r="X73" i="23"/>
  <c r="W74" i="23" a="1"/>
  <c r="W74" i="23" s="1"/>
  <c r="X74" i="23"/>
  <c r="W75" i="23" a="1"/>
  <c r="W75" i="23" s="1"/>
  <c r="X75" i="23"/>
  <c r="W76" i="23" a="1"/>
  <c r="W76" i="23" s="1"/>
  <c r="X76" i="23"/>
  <c r="W77" i="23" a="1"/>
  <c r="W77" i="23" s="1"/>
  <c r="X77" i="23"/>
  <c r="W78" i="23" a="1"/>
  <c r="W78" i="23" s="1"/>
  <c r="X78" i="23"/>
  <c r="W79" i="23" a="1"/>
  <c r="W79" i="23"/>
  <c r="X79" i="23"/>
  <c r="W80" i="23" a="1"/>
  <c r="W80" i="23" s="1"/>
  <c r="X80" i="23"/>
  <c r="W81" i="23" a="1"/>
  <c r="W81" i="23" s="1"/>
  <c r="X81" i="23"/>
  <c r="W82" i="23" a="1"/>
  <c r="W82" i="23" s="1"/>
  <c r="X82" i="23"/>
  <c r="H17" i="35"/>
  <c r="H19" i="35"/>
  <c r="H23" i="35"/>
  <c r="H27" i="35"/>
  <c r="H31" i="35"/>
  <c r="H35" i="35"/>
  <c r="H39" i="35"/>
  <c r="H43" i="35"/>
  <c r="H47" i="35"/>
  <c r="H51" i="35"/>
  <c r="H55" i="35"/>
  <c r="H59" i="35"/>
  <c r="H63" i="35"/>
  <c r="H53" i="35"/>
  <c r="H57" i="35"/>
  <c r="H61" i="35"/>
  <c r="H62" i="35"/>
  <c r="H48" i="35"/>
  <c r="H33" i="35"/>
  <c r="H49" i="35"/>
  <c r="H20" i="35"/>
  <c r="H24" i="35"/>
  <c r="H28" i="35"/>
  <c r="H32" i="35"/>
  <c r="H36" i="35"/>
  <c r="H40" i="35"/>
  <c r="H44" i="35"/>
  <c r="H52" i="35"/>
  <c r="H56" i="35"/>
  <c r="H60" i="35"/>
  <c r="H64" i="35"/>
  <c r="H65" i="35"/>
  <c r="H54" i="35"/>
  <c r="H66" i="35"/>
  <c r="H21" i="35"/>
  <c r="H25" i="35"/>
  <c r="H29" i="35"/>
  <c r="H37" i="35"/>
  <c r="H41" i="35"/>
  <c r="H45" i="35"/>
  <c r="H58" i="35"/>
  <c r="H22" i="35"/>
  <c r="H26" i="35"/>
  <c r="H30" i="35"/>
  <c r="H34" i="35"/>
  <c r="H38" i="35"/>
  <c r="H42" i="35"/>
  <c r="H46" i="35"/>
  <c r="H50" i="35"/>
  <c r="H87" i="35"/>
  <c r="H18" i="35"/>
  <c r="G17" i="35"/>
  <c r="G66" i="35"/>
  <c r="G51" i="35"/>
  <c r="G20" i="35"/>
  <c r="G24" i="35"/>
  <c r="G28" i="35"/>
  <c r="G32" i="35"/>
  <c r="G36" i="35"/>
  <c r="G40" i="35"/>
  <c r="G44" i="35"/>
  <c r="G48" i="35"/>
  <c r="G52" i="35"/>
  <c r="G56" i="35"/>
  <c r="G60" i="35"/>
  <c r="G64" i="35"/>
  <c r="G45" i="35"/>
  <c r="G57" i="35"/>
  <c r="G65" i="35"/>
  <c r="G55" i="35"/>
  <c r="G59" i="35"/>
  <c r="G37" i="35"/>
  <c r="G41" i="35"/>
  <c r="G61" i="35"/>
  <c r="G42" i="35"/>
  <c r="G46" i="35"/>
  <c r="G50" i="35"/>
  <c r="G54" i="35"/>
  <c r="G35" i="35"/>
  <c r="G39" i="35"/>
  <c r="G63" i="35"/>
  <c r="G21" i="35"/>
  <c r="G25" i="35"/>
  <c r="G29" i="35"/>
  <c r="G33" i="35"/>
  <c r="G49" i="35"/>
  <c r="G53" i="35"/>
  <c r="G23" i="35"/>
  <c r="G22" i="35"/>
  <c r="G26" i="35"/>
  <c r="G30" i="35"/>
  <c r="G34" i="35"/>
  <c r="G38" i="35"/>
  <c r="G58" i="35"/>
  <c r="G62" i="35"/>
  <c r="G27" i="35"/>
  <c r="G31" i="35"/>
  <c r="G47" i="35"/>
  <c r="G19" i="35"/>
  <c r="G43" i="35"/>
  <c r="H73" i="35"/>
  <c r="H74" i="35"/>
  <c r="H77" i="35"/>
  <c r="H78" i="35"/>
  <c r="H81" i="35"/>
  <c r="H76" i="35"/>
  <c r="H79" i="35"/>
  <c r="H82" i="35"/>
  <c r="H80" i="35"/>
  <c r="H75" i="35"/>
  <c r="H90" i="35" l="1"/>
  <c r="H118" i="34"/>
  <c r="I118" i="34" s="1"/>
  <c r="H132" i="34"/>
  <c r="I132" i="34" s="1"/>
  <c r="K102" i="34"/>
  <c r="I102" i="34" s="1"/>
  <c r="L102" i="34"/>
  <c r="G103" i="34" s="1"/>
  <c r="I70" i="27"/>
  <c r="I88" i="27"/>
  <c r="F132" i="29"/>
  <c r="M132" i="29"/>
  <c r="C132" i="29" a="1"/>
  <c r="C132" i="29" s="1"/>
  <c r="L133" i="29" a="1"/>
  <c r="L133" i="29" s="1"/>
  <c r="R128" i="29"/>
  <c r="P131" i="29"/>
  <c r="N134" i="29" a="1"/>
  <c r="N134" i="29" s="1"/>
  <c r="Q134" i="29" a="1"/>
  <c r="Q134" i="29" s="1"/>
  <c r="G133" i="29"/>
  <c r="L82" i="29"/>
  <c r="K136" i="29"/>
  <c r="I135" i="29"/>
  <c r="I63" i="27"/>
  <c r="I82" i="27"/>
  <c r="J44" i="27"/>
  <c r="J99" i="27" s="1"/>
  <c r="K99" i="27"/>
  <c r="I79" i="27"/>
  <c r="I74" i="27"/>
  <c r="I87" i="27"/>
  <c r="I83" i="27"/>
  <c r="I68" i="27"/>
  <c r="I84" i="27"/>
  <c r="I78" i="27"/>
  <c r="I73" i="27"/>
  <c r="I86" i="27"/>
  <c r="I77" i="27"/>
  <c r="I85" i="27"/>
  <c r="I66" i="27"/>
  <c r="I65" i="27"/>
  <c r="I69" i="27"/>
  <c r="I67" i="27"/>
  <c r="I71" i="27"/>
  <c r="I72" i="27"/>
  <c r="I76" i="27"/>
  <c r="I64" i="27"/>
  <c r="I81" i="27"/>
  <c r="I75" i="27"/>
  <c r="H38" i="24"/>
  <c r="H43" i="24" s="1"/>
  <c r="H46" i="24" s="1"/>
  <c r="I80" i="27"/>
  <c r="J62" i="25"/>
  <c r="G99" i="25"/>
  <c r="J45" i="25"/>
  <c r="J63" i="25"/>
  <c r="J64" i="25" s="1"/>
  <c r="J65" i="25" s="1"/>
  <c r="I54" i="23"/>
  <c r="L24" i="24"/>
  <c r="M24" i="24"/>
  <c r="L23" i="24"/>
  <c r="M23" i="24"/>
  <c r="H28" i="24"/>
  <c r="H30" i="24" s="1"/>
  <c r="M33" i="23"/>
  <c r="M34" i="23"/>
  <c r="I32" i="23"/>
  <c r="I22" i="23"/>
  <c r="K22" i="23" s="1"/>
  <c r="I20" i="23"/>
  <c r="K20" i="23" s="1"/>
  <c r="I21" i="23"/>
  <c r="K21" i="23" s="1"/>
  <c r="I31" i="23"/>
  <c r="I17" i="23"/>
  <c r="I18" i="23"/>
  <c r="K18" i="23" s="1"/>
  <c r="I19" i="23"/>
  <c r="K19" i="23" s="1"/>
  <c r="I53" i="23"/>
  <c r="M6" i="22"/>
  <c r="L1" i="22"/>
  <c r="E264" i="22"/>
  <c r="E18" i="22"/>
  <c r="C5" i="22"/>
  <c r="C6" i="22"/>
  <c r="H71" i="22"/>
  <c r="H70" i="22"/>
  <c r="H68" i="22"/>
  <c r="H67" i="22"/>
  <c r="H66" i="22"/>
  <c r="H53" i="22"/>
  <c r="H29" i="22"/>
  <c r="H28" i="22"/>
  <c r="A15" i="22"/>
  <c r="A21" i="22"/>
  <c r="A74" i="22"/>
  <c r="L17" i="35"/>
  <c r="L51" i="35"/>
  <c r="L55" i="35"/>
  <c r="L36" i="35"/>
  <c r="L22" i="35"/>
  <c r="L26" i="35"/>
  <c r="L30" i="35"/>
  <c r="L34" i="35"/>
  <c r="L38" i="35"/>
  <c r="L42" i="35"/>
  <c r="L46" i="35"/>
  <c r="L50" i="35"/>
  <c r="L54" i="35"/>
  <c r="L58" i="35"/>
  <c r="L62" i="35"/>
  <c r="L66" i="35"/>
  <c r="L47" i="35"/>
  <c r="L59" i="35"/>
  <c r="L45" i="35"/>
  <c r="L49" i="35"/>
  <c r="L35" i="35"/>
  <c r="L39" i="35"/>
  <c r="L25" i="35"/>
  <c r="L19" i="35"/>
  <c r="L23" i="35"/>
  <c r="L27" i="35"/>
  <c r="L31" i="35"/>
  <c r="L43" i="35"/>
  <c r="L63" i="35"/>
  <c r="L40" i="35"/>
  <c r="L37" i="35"/>
  <c r="L53" i="35"/>
  <c r="L44" i="35"/>
  <c r="L48" i="35"/>
  <c r="L52" i="35"/>
  <c r="L56" i="35"/>
  <c r="L60" i="35"/>
  <c r="L64" i="35"/>
  <c r="L21" i="35"/>
  <c r="L20" i="35"/>
  <c r="L24" i="35"/>
  <c r="L28" i="35"/>
  <c r="L32" i="35"/>
  <c r="L41" i="35"/>
  <c r="L57" i="35"/>
  <c r="L61" i="35"/>
  <c r="L65" i="35"/>
  <c r="L29" i="35"/>
  <c r="L33" i="35"/>
  <c r="G87" i="35"/>
  <c r="G18" i="35"/>
  <c r="G80" i="35"/>
  <c r="G77" i="35"/>
  <c r="G82" i="35"/>
  <c r="G81" i="35"/>
  <c r="G76" i="35"/>
  <c r="G75" i="35"/>
  <c r="G74" i="35"/>
  <c r="G78" i="35"/>
  <c r="G79" i="35"/>
  <c r="G73" i="35"/>
  <c r="G90" i="35" l="1"/>
  <c r="E17" i="22"/>
  <c r="E103" i="34"/>
  <c r="K103" i="34"/>
  <c r="L103" i="34" s="1"/>
  <c r="G104" i="34" s="1"/>
  <c r="H45" i="24"/>
  <c r="S128" i="29"/>
  <c r="M133" i="29"/>
  <c r="C133" i="29" a="1"/>
  <c r="C133" i="29" s="1"/>
  <c r="F133" i="29"/>
  <c r="L134" i="29" a="1"/>
  <c r="L134" i="29" s="1"/>
  <c r="G134" i="29"/>
  <c r="P132" i="29"/>
  <c r="Q135" i="29" a="1"/>
  <c r="Q135" i="29" s="1"/>
  <c r="N135" i="29" a="1"/>
  <c r="N135" i="29" s="1"/>
  <c r="K137" i="29"/>
  <c r="I136" i="29"/>
  <c r="L83" i="29"/>
  <c r="B134" i="29"/>
  <c r="I90" i="27"/>
  <c r="J46" i="27" s="1"/>
  <c r="I89" i="25"/>
  <c r="I66" i="25"/>
  <c r="J66" i="25"/>
  <c r="J67" i="25" s="1"/>
  <c r="J68" i="25" s="1"/>
  <c r="J69" i="25" s="1"/>
  <c r="J70" i="25" s="1"/>
  <c r="J71" i="25" s="1"/>
  <c r="J72" i="25" s="1"/>
  <c r="J73" i="25" s="1"/>
  <c r="J74" i="25" s="1"/>
  <c r="J75" i="25" s="1"/>
  <c r="J76" i="25" s="1"/>
  <c r="J77" i="25" s="1"/>
  <c r="J78" i="25" s="1"/>
  <c r="I64" i="25"/>
  <c r="J44" i="25"/>
  <c r="J99" i="25" s="1"/>
  <c r="I65" i="25"/>
  <c r="I63" i="25"/>
  <c r="L27" i="24"/>
  <c r="M27" i="24"/>
  <c r="H31" i="24"/>
  <c r="M5" i="24" s="1"/>
  <c r="I23" i="23"/>
  <c r="I24" i="23" s="1"/>
  <c r="I36" i="23" s="1"/>
  <c r="I38" i="23" s="1"/>
  <c r="I39" i="23"/>
  <c r="N5" i="23" s="1"/>
  <c r="K17" i="23"/>
  <c r="M31" i="23"/>
  <c r="N31" i="23"/>
  <c r="M32" i="23"/>
  <c r="N32" i="23"/>
  <c r="H54" i="22"/>
  <c r="K54" i="22" s="1"/>
  <c r="H55" i="22"/>
  <c r="K55" i="22" s="1"/>
  <c r="K53" i="22"/>
  <c r="C25" i="22"/>
  <c r="L18" i="35"/>
  <c r="Q187" i="22"/>
  <c r="R147" i="22"/>
  <c r="I96" i="22"/>
  <c r="Q156" i="22"/>
  <c r="J100" i="22"/>
  <c r="R164" i="22"/>
  <c r="K104" i="22"/>
  <c r="Q173" i="22"/>
  <c r="L110" i="22"/>
  <c r="R189" i="22"/>
  <c r="I119" i="22"/>
  <c r="Q206" i="22"/>
  <c r="J125" i="22"/>
  <c r="J206" i="22"/>
  <c r="K233" i="22"/>
  <c r="K175" i="22"/>
  <c r="Q223" i="22"/>
  <c r="R183" i="22"/>
  <c r="I114" i="22"/>
  <c r="Q192" i="22"/>
  <c r="J118" i="22"/>
  <c r="R200" i="22"/>
  <c r="K122" i="22"/>
  <c r="Q209" i="22"/>
  <c r="L128" i="22"/>
  <c r="R225" i="22"/>
  <c r="I137" i="22"/>
  <c r="N92" i="22"/>
  <c r="J143" i="22"/>
  <c r="J224" i="22"/>
  <c r="O204" i="22"/>
  <c r="K217" i="22"/>
  <c r="N109" i="22"/>
  <c r="R219" i="22"/>
  <c r="I132" i="22"/>
  <c r="Q228" i="22"/>
  <c r="J136" i="22"/>
  <c r="R236" i="22"/>
  <c r="K140" i="22"/>
  <c r="N99" i="22"/>
  <c r="L146" i="22"/>
  <c r="O115" i="22"/>
  <c r="I155" i="22"/>
  <c r="N128" i="22"/>
  <c r="J161" i="22"/>
  <c r="R158" i="22"/>
  <c r="L147" i="22"/>
  <c r="R230" i="22"/>
  <c r="N145" i="22"/>
  <c r="O105" i="22"/>
  <c r="I150" i="22"/>
  <c r="N114" i="22"/>
  <c r="J154" i="22"/>
  <c r="O122" i="22"/>
  <c r="K158" i="22"/>
  <c r="N135" i="22"/>
  <c r="L164" i="22"/>
  <c r="Q179" i="22"/>
  <c r="R139" i="22"/>
  <c r="I92" i="22"/>
  <c r="Q148" i="22"/>
  <c r="J96" i="22"/>
  <c r="R156" i="22"/>
  <c r="K100" i="22"/>
  <c r="Q165" i="22"/>
  <c r="L106" i="22"/>
  <c r="R181" i="22"/>
  <c r="R163" i="22"/>
  <c r="N186" i="22"/>
  <c r="K150" i="22"/>
  <c r="R185" i="22"/>
  <c r="Q130" i="22"/>
  <c r="J165" i="22"/>
  <c r="K230" i="22"/>
  <c r="K157" i="22"/>
  <c r="J219" i="22"/>
  <c r="L229" i="22"/>
  <c r="O119" i="22"/>
  <c r="J139" i="22"/>
  <c r="L234" i="22"/>
  <c r="K211" i="22"/>
  <c r="O160" i="22"/>
  <c r="I170" i="22"/>
  <c r="J153" i="22"/>
  <c r="Q175" i="22"/>
  <c r="L177" i="22"/>
  <c r="I138" i="22"/>
  <c r="L185" i="22"/>
  <c r="O185" i="22"/>
  <c r="J156" i="22"/>
  <c r="N139" i="22"/>
  <c r="Q90" i="22"/>
  <c r="L212" i="22"/>
  <c r="L199" i="22"/>
  <c r="I194" i="22"/>
  <c r="J212" i="22"/>
  <c r="I136" i="22"/>
  <c r="K115" i="22"/>
  <c r="K146" i="22"/>
  <c r="Q215" i="22"/>
  <c r="Q108" i="22"/>
  <c r="O130" i="22"/>
  <c r="L124" i="22"/>
  <c r="I141" i="22"/>
  <c r="J91" i="22"/>
  <c r="O136" i="22"/>
  <c r="K135" i="22"/>
  <c r="L133" i="22"/>
  <c r="L175" i="22"/>
  <c r="N154" i="22"/>
  <c r="L115" i="22"/>
  <c r="Q236" i="22"/>
  <c r="J214" i="22"/>
  <c r="O173" i="22"/>
  <c r="J216" i="22"/>
  <c r="O209" i="22"/>
  <c r="J162" i="22"/>
  <c r="Q221" i="22"/>
  <c r="O191" i="22"/>
  <c r="N104" i="22"/>
  <c r="L153" i="22"/>
  <c r="L187" i="22"/>
  <c r="I219" i="22"/>
  <c r="K219" i="22"/>
  <c r="K137" i="22"/>
  <c r="O151" i="22"/>
  <c r="J229" i="22"/>
  <c r="Q219" i="22"/>
  <c r="R179" i="22"/>
  <c r="I112" i="22"/>
  <c r="Q188" i="22"/>
  <c r="J116" i="22"/>
  <c r="R196" i="22"/>
  <c r="K120" i="22"/>
  <c r="Q205" i="22"/>
  <c r="L126" i="22"/>
  <c r="R221" i="22"/>
  <c r="I135" i="22"/>
  <c r="N88" i="22"/>
  <c r="J141" i="22"/>
  <c r="J222" i="22"/>
  <c r="O172" i="22"/>
  <c r="K213" i="22"/>
  <c r="N105" i="22"/>
  <c r="R215" i="22"/>
  <c r="I130" i="22"/>
  <c r="Q224" i="22"/>
  <c r="J134" i="22"/>
  <c r="R232" i="22"/>
  <c r="K138" i="22"/>
  <c r="N95" i="22"/>
  <c r="L144" i="22"/>
  <c r="O111" i="22"/>
  <c r="I153" i="22"/>
  <c r="N124" i="22"/>
  <c r="J159" i="22"/>
  <c r="R126" i="22"/>
  <c r="L139" i="22"/>
  <c r="R198" i="22"/>
  <c r="N141" i="22"/>
  <c r="O101" i="22"/>
  <c r="I148" i="22"/>
  <c r="N110" i="22"/>
  <c r="J152" i="22"/>
  <c r="O118" i="22"/>
  <c r="K156" i="22"/>
  <c r="N131" i="22"/>
  <c r="L162" i="22"/>
  <c r="O147" i="22"/>
  <c r="I171" i="22"/>
  <c r="N160" i="22"/>
  <c r="J177" i="22"/>
  <c r="K91" i="22"/>
  <c r="L194" i="22"/>
  <c r="K117" i="22"/>
  <c r="N177" i="22"/>
  <c r="O137" i="22"/>
  <c r="I166" i="22"/>
  <c r="N146" i="22"/>
  <c r="J170" i="22"/>
  <c r="O154" i="22"/>
  <c r="K174" i="22"/>
  <c r="N167" i="22"/>
  <c r="L180" i="22"/>
  <c r="Q211" i="22"/>
  <c r="R171" i="22"/>
  <c r="I108" i="22"/>
  <c r="Q180" i="22"/>
  <c r="J112" i="22"/>
  <c r="R188" i="22"/>
  <c r="K116" i="22"/>
  <c r="Q197" i="22"/>
  <c r="L122" i="22"/>
  <c r="R213" i="22"/>
  <c r="O89" i="22"/>
  <c r="J108" i="22"/>
  <c r="Q97" i="22"/>
  <c r="O103" i="22"/>
  <c r="Q186" i="22"/>
  <c r="J187" i="22"/>
  <c r="O108" i="22"/>
  <c r="I197" i="22"/>
  <c r="J235" i="22"/>
  <c r="O96" i="22"/>
  <c r="O227" i="22"/>
  <c r="J167" i="22"/>
  <c r="K209" i="22"/>
  <c r="L103" i="22"/>
  <c r="I206" i="22"/>
  <c r="Q216" i="22"/>
  <c r="K107" i="22"/>
  <c r="I174" i="22"/>
  <c r="K220" i="22"/>
  <c r="J98" i="22"/>
  <c r="K222" i="22"/>
  <c r="I106" i="22"/>
  <c r="R96" i="22"/>
  <c r="N215" i="22"/>
  <c r="Q234" i="22"/>
  <c r="K127" i="22"/>
  <c r="O128" i="22"/>
  <c r="J92" i="22"/>
  <c r="R162" i="22"/>
  <c r="J94" i="22"/>
  <c r="L228" i="22"/>
  <c r="L108" i="22"/>
  <c r="N153" i="22"/>
  <c r="Q184" i="22"/>
  <c r="O222" i="22"/>
  <c r="L168" i="22"/>
  <c r="I163" i="22"/>
  <c r="J119" i="22"/>
  <c r="K171" i="22"/>
  <c r="K227" i="22"/>
  <c r="J191" i="22"/>
  <c r="L201" i="22"/>
  <c r="K96" i="22"/>
  <c r="R102" i="22"/>
  <c r="R152" i="22"/>
  <c r="R194" i="22"/>
  <c r="N90" i="22"/>
  <c r="R226" i="22"/>
  <c r="I120" i="22"/>
  <c r="R120" i="22"/>
  <c r="N151" i="22"/>
  <c r="I93" i="22"/>
  <c r="N148" i="22"/>
  <c r="J202" i="22"/>
  <c r="L216" i="22"/>
  <c r="I235" i="22"/>
  <c r="O92" i="22"/>
  <c r="I192" i="22"/>
  <c r="I175" i="22"/>
  <c r="O156" i="22"/>
  <c r="N101" i="22"/>
  <c r="R211" i="22"/>
  <c r="I128" i="22"/>
  <c r="Q220" i="22"/>
  <c r="J132" i="22"/>
  <c r="R228" i="22"/>
  <c r="K136" i="22"/>
  <c r="N91" i="22"/>
  <c r="L142" i="22"/>
  <c r="O107" i="22"/>
  <c r="I151" i="22"/>
  <c r="N120" i="22"/>
  <c r="J157" i="22"/>
  <c r="R94" i="22"/>
  <c r="L131" i="22"/>
  <c r="R166" i="22"/>
  <c r="N137" i="22"/>
  <c r="O97" i="22"/>
  <c r="I146" i="22"/>
  <c r="N106" i="22"/>
  <c r="J150" i="22"/>
  <c r="O114" i="22"/>
  <c r="K154" i="22"/>
  <c r="N127" i="22"/>
  <c r="L160" i="22"/>
  <c r="O143" i="22"/>
  <c r="I169" i="22"/>
  <c r="N156" i="22"/>
  <c r="J175" i="22"/>
  <c r="O232" i="22"/>
  <c r="L192" i="22"/>
  <c r="K109" i="22"/>
  <c r="N173" i="22"/>
  <c r="O133" i="22"/>
  <c r="I164" i="22"/>
  <c r="N142" i="22"/>
  <c r="J168" i="22"/>
  <c r="O150" i="22"/>
  <c r="K172" i="22"/>
  <c r="N163" i="22"/>
  <c r="L178" i="22"/>
  <c r="O179" i="22"/>
  <c r="I187" i="22"/>
  <c r="N192" i="22"/>
  <c r="R122" i="22"/>
  <c r="K155" i="22"/>
  <c r="L210" i="22"/>
  <c r="Q103" i="22"/>
  <c r="N209" i="22"/>
  <c r="O169" i="22"/>
  <c r="I182" i="22"/>
  <c r="N178" i="22"/>
  <c r="J186" i="22"/>
  <c r="O186" i="22"/>
  <c r="Q89" i="22"/>
  <c r="N199" i="22"/>
  <c r="R105" i="22"/>
  <c r="N93" i="22"/>
  <c r="R203" i="22"/>
  <c r="I124" i="22"/>
  <c r="Q212" i="22"/>
  <c r="J128" i="22"/>
  <c r="R220" i="22"/>
  <c r="K132" i="22"/>
  <c r="Q229" i="22"/>
  <c r="L138" i="22"/>
  <c r="O99" i="22"/>
  <c r="O177" i="22"/>
  <c r="J146" i="22"/>
  <c r="Q189" i="22"/>
  <c r="O167" i="22"/>
  <c r="Q230" i="22"/>
  <c r="L105" i="22"/>
  <c r="L163" i="22"/>
  <c r="I213" i="22"/>
  <c r="K207" i="22"/>
  <c r="K113" i="22"/>
  <c r="I133" i="22"/>
  <c r="L113" i="22"/>
  <c r="O176" i="22"/>
  <c r="L167" i="22"/>
  <c r="K183" i="22"/>
  <c r="R148" i="22"/>
  <c r="L198" i="22"/>
  <c r="J178" i="22"/>
  <c r="O152" i="22"/>
  <c r="O190" i="22"/>
  <c r="Q119" i="22"/>
  <c r="I152" i="22"/>
  <c r="R184" i="22"/>
  <c r="L120" i="22"/>
  <c r="N196" i="22"/>
  <c r="K165" i="22"/>
  <c r="K185" i="22"/>
  <c r="O162" i="22"/>
  <c r="O120" i="22"/>
  <c r="O170" i="22"/>
  <c r="I209" i="22"/>
  <c r="O159" i="22"/>
  <c r="R99" i="22"/>
  <c r="N122" i="22"/>
  <c r="K118" i="22"/>
  <c r="R141" i="22"/>
  <c r="Q94" i="22"/>
  <c r="J147" i="22"/>
  <c r="K206" i="22"/>
  <c r="O208" i="22"/>
  <c r="J207" i="22"/>
  <c r="L217" i="22"/>
  <c r="L102" i="22"/>
  <c r="R138" i="22"/>
  <c r="K144" i="22"/>
  <c r="K199" i="22"/>
  <c r="R160" i="22"/>
  <c r="Q143" i="22"/>
  <c r="I158" i="22"/>
  <c r="R212" i="22"/>
  <c r="L88" i="22"/>
  <c r="I115" i="22"/>
  <c r="N204" i="22"/>
  <c r="J230" i="22"/>
  <c r="R206" i="22"/>
  <c r="O180" i="22"/>
  <c r="L119" i="22"/>
  <c r="I224" i="22"/>
  <c r="N212" i="22"/>
  <c r="R150" i="22"/>
  <c r="N133" i="22"/>
  <c r="O93" i="22"/>
  <c r="I144" i="22"/>
  <c r="N102" i="22"/>
  <c r="J148" i="22"/>
  <c r="O110" i="22"/>
  <c r="K152" i="22"/>
  <c r="N123" i="22"/>
  <c r="L158" i="22"/>
  <c r="O139" i="22"/>
  <c r="I167" i="22"/>
  <c r="N152" i="22"/>
  <c r="J173" i="22"/>
  <c r="O200" i="22"/>
  <c r="L190" i="22"/>
  <c r="K101" i="22"/>
  <c r="N169" i="22"/>
  <c r="O129" i="22"/>
  <c r="I162" i="22"/>
  <c r="N138" i="22"/>
  <c r="J166" i="22"/>
  <c r="O146" i="22"/>
  <c r="K170" i="22"/>
  <c r="N159" i="22"/>
  <c r="L176" i="22"/>
  <c r="O175" i="22"/>
  <c r="I185" i="22"/>
  <c r="N188" i="22"/>
  <c r="R90" i="22"/>
  <c r="K147" i="22"/>
  <c r="L208" i="22"/>
  <c r="Q99" i="22"/>
  <c r="N205" i="22"/>
  <c r="O165" i="22"/>
  <c r="I180" i="22"/>
  <c r="N174" i="22"/>
  <c r="J184" i="22"/>
  <c r="O182" i="22"/>
  <c r="K188" i="22"/>
  <c r="N195" i="22"/>
  <c r="R101" i="22"/>
  <c r="O211" i="22"/>
  <c r="Q118" i="22"/>
  <c r="N224" i="22"/>
  <c r="O228" i="22"/>
  <c r="K196" i="22"/>
  <c r="L226" i="22"/>
  <c r="Q135" i="22"/>
  <c r="R95" i="22"/>
  <c r="O201" i="22"/>
  <c r="Q104" i="22"/>
  <c r="N210" i="22"/>
  <c r="R112" i="22"/>
  <c r="O218" i="22"/>
  <c r="Q121" i="22"/>
  <c r="N231" i="22"/>
  <c r="R137" i="22"/>
  <c r="N125" i="22"/>
  <c r="R235" i="22"/>
  <c r="I140" i="22"/>
  <c r="N94" i="22"/>
  <c r="J144" i="22"/>
  <c r="O102" i="22"/>
  <c r="K148" i="22"/>
  <c r="N115" i="22"/>
  <c r="L154" i="22"/>
  <c r="O131" i="22"/>
  <c r="I104" i="22"/>
  <c r="R88" i="22"/>
  <c r="N119" i="22"/>
  <c r="O223" i="22"/>
  <c r="N136" i="22"/>
  <c r="J196" i="22"/>
  <c r="L204" i="22"/>
  <c r="I229" i="22"/>
  <c r="R146" i="22"/>
  <c r="K177" i="22"/>
  <c r="I161" i="22"/>
  <c r="J220" i="22"/>
  <c r="I199" i="22"/>
  <c r="L215" i="22"/>
  <c r="L221" i="22"/>
  <c r="K178" i="22"/>
  <c r="K133" i="22"/>
  <c r="K182" i="22"/>
  <c r="I193" i="22"/>
  <c r="N111" i="22"/>
  <c r="Q207" i="22"/>
  <c r="Q88" i="22"/>
  <c r="O126" i="22"/>
  <c r="L166" i="22"/>
  <c r="J117" i="22"/>
  <c r="I215" i="22"/>
  <c r="I220" i="22"/>
  <c r="Q233" i="22"/>
  <c r="I207" i="22"/>
  <c r="N107" i="22"/>
  <c r="J199" i="22"/>
  <c r="Q126" i="22"/>
  <c r="R175" i="22"/>
  <c r="N214" i="22"/>
  <c r="K162" i="22"/>
  <c r="R205" i="22"/>
  <c r="Q138" i="22"/>
  <c r="J169" i="22"/>
  <c r="K234" i="22"/>
  <c r="K173" i="22"/>
  <c r="J223" i="22"/>
  <c r="L233" i="22"/>
  <c r="O199" i="22"/>
  <c r="K193" i="22"/>
  <c r="L104" i="22"/>
  <c r="I225" i="22"/>
  <c r="Q93" i="22"/>
  <c r="Q235" i="22"/>
  <c r="Q112" i="22"/>
  <c r="O138" i="22"/>
  <c r="L134" i="22"/>
  <c r="I143" i="22"/>
  <c r="J99" i="22"/>
  <c r="O168" i="22"/>
  <c r="K151" i="22"/>
  <c r="L141" i="22"/>
  <c r="L183" i="22"/>
  <c r="O124" i="22"/>
  <c r="O132" i="22"/>
  <c r="N117" i="22"/>
  <c r="N165" i="22"/>
  <c r="O125" i="22"/>
  <c r="I160" i="22"/>
  <c r="N134" i="22"/>
  <c r="J164" i="22"/>
  <c r="O142" i="22"/>
  <c r="K168" i="22"/>
  <c r="N155" i="22"/>
  <c r="L174" i="22"/>
  <c r="O171" i="22"/>
  <c r="I183" i="22"/>
  <c r="N184" i="22"/>
  <c r="J189" i="22"/>
  <c r="K139" i="22"/>
  <c r="L206" i="22"/>
  <c r="Q95" i="22"/>
  <c r="N201" i="22"/>
  <c r="O161" i="22"/>
  <c r="I178" i="22"/>
  <c r="N170" i="22"/>
  <c r="J182" i="22"/>
  <c r="O178" i="22"/>
  <c r="K186" i="22"/>
  <c r="N191" i="22"/>
  <c r="R97" i="22"/>
  <c r="O207" i="22"/>
  <c r="Q114" i="22"/>
  <c r="N220" i="22"/>
  <c r="O196" i="22"/>
  <c r="K194" i="22"/>
  <c r="L224" i="22"/>
  <c r="Q131" i="22"/>
  <c r="R91" i="22"/>
  <c r="O197" i="22"/>
  <c r="Q100" i="22"/>
  <c r="N206" i="22"/>
  <c r="R108" i="22"/>
  <c r="O214" i="22"/>
  <c r="Q117" i="22"/>
  <c r="N227" i="22"/>
  <c r="R133" i="22"/>
  <c r="I91" i="22"/>
  <c r="Q150" i="22"/>
  <c r="J97" i="22"/>
  <c r="L145" i="22"/>
  <c r="K212" i="22"/>
  <c r="R174" i="22"/>
  <c r="Q167" i="22"/>
  <c r="R127" i="22"/>
  <c r="O233" i="22"/>
  <c r="Q136" i="22"/>
  <c r="J90" i="22"/>
  <c r="R144" i="22"/>
  <c r="K94" i="22"/>
  <c r="Q153" i="22"/>
  <c r="L100" i="22"/>
  <c r="Q107" i="22"/>
  <c r="N157" i="22"/>
  <c r="O117" i="22"/>
  <c r="I156" i="22"/>
  <c r="N126" i="22"/>
  <c r="J160" i="22"/>
  <c r="O134" i="22"/>
  <c r="K164" i="22"/>
  <c r="N147" i="22"/>
  <c r="L170" i="22"/>
  <c r="O163" i="22"/>
  <c r="I142" i="22"/>
  <c r="R180" i="22"/>
  <c r="N207" i="22"/>
  <c r="I109" i="22"/>
  <c r="N180" i="22"/>
  <c r="J218" i="22"/>
  <c r="L232" i="22"/>
  <c r="R234" i="22"/>
  <c r="L95" i="22"/>
  <c r="I202" i="22"/>
  <c r="Q134" i="22"/>
  <c r="O104" i="22"/>
  <c r="I231" i="22"/>
  <c r="L231" i="22"/>
  <c r="I226" i="22"/>
  <c r="N175" i="22"/>
  <c r="L157" i="22"/>
  <c r="L150" i="22"/>
  <c r="L165" i="22"/>
  <c r="O95" i="22"/>
  <c r="N149" i="22"/>
  <c r="Q176" i="22"/>
  <c r="O202" i="22"/>
  <c r="R121" i="22"/>
  <c r="R154" i="22"/>
  <c r="O116" i="22"/>
  <c r="I190" i="22"/>
  <c r="R169" i="22"/>
  <c r="J197" i="22"/>
  <c r="R173" i="22"/>
  <c r="L143" i="22"/>
  <c r="J135" i="22"/>
  <c r="O113" i="22"/>
  <c r="J114" i="22"/>
  <c r="Q125" i="22"/>
  <c r="O123" i="22"/>
  <c r="Q194" i="22"/>
  <c r="R186" i="22"/>
  <c r="L91" i="22"/>
  <c r="I201" i="22"/>
  <c r="K143" i="22"/>
  <c r="K129" i="22"/>
  <c r="Q106" i="22"/>
  <c r="L207" i="22"/>
  <c r="O155" i="22"/>
  <c r="J231" i="22"/>
  <c r="L152" i="22"/>
  <c r="N161" i="22"/>
  <c r="Q204" i="22"/>
  <c r="O226" i="22"/>
  <c r="L172" i="22"/>
  <c r="I165" i="22"/>
  <c r="J121" i="22"/>
  <c r="K179" i="22"/>
  <c r="K231" i="22"/>
  <c r="J193" i="22"/>
  <c r="L203" i="22"/>
  <c r="O224" i="22"/>
  <c r="K190" i="22"/>
  <c r="R227" i="22"/>
  <c r="Q91" i="22"/>
  <c r="N197" i="22"/>
  <c r="O157" i="22"/>
  <c r="I176" i="22"/>
  <c r="N166" i="22"/>
  <c r="J180" i="22"/>
  <c r="O174" i="22"/>
  <c r="K184" i="22"/>
  <c r="N187" i="22"/>
  <c r="R93" i="22"/>
  <c r="O203" i="22"/>
  <c r="Q110" i="22"/>
  <c r="N216" i="22"/>
  <c r="O164" i="22"/>
  <c r="K192" i="22"/>
  <c r="L222" i="22"/>
  <c r="Q127" i="22"/>
  <c r="N233" i="22"/>
  <c r="O193" i="22"/>
  <c r="Q96" i="22"/>
  <c r="N202" i="22"/>
  <c r="R104" i="22"/>
  <c r="O210" i="22"/>
  <c r="Q113" i="22"/>
  <c r="N223" i="22"/>
  <c r="R129" i="22"/>
  <c r="I89" i="22"/>
  <c r="Q146" i="22"/>
  <c r="J95" i="22"/>
  <c r="L137" i="22"/>
  <c r="K210" i="22"/>
  <c r="R142" i="22"/>
  <c r="Q163" i="22"/>
  <c r="R123" i="22"/>
  <c r="O229" i="22"/>
  <c r="Q132" i="22"/>
  <c r="J88" i="22"/>
  <c r="R140" i="22"/>
  <c r="K92" i="22"/>
  <c r="Q149" i="22"/>
  <c r="L98" i="22"/>
  <c r="R165" i="22"/>
  <c r="I107" i="22"/>
  <c r="Q182" i="22"/>
  <c r="J113" i="22"/>
  <c r="J194" i="22"/>
  <c r="K228" i="22"/>
  <c r="K111" i="22"/>
  <c r="Q199" i="22"/>
  <c r="R159" i="22"/>
  <c r="I102" i="22"/>
  <c r="Q168" i="22"/>
  <c r="J106" i="22"/>
  <c r="R176" i="22"/>
  <c r="K110" i="22"/>
  <c r="Q185" i="22"/>
  <c r="L116" i="22"/>
  <c r="Q111" i="22"/>
  <c r="N189" i="22"/>
  <c r="O149" i="22"/>
  <c r="I172" i="22"/>
  <c r="N158" i="22"/>
  <c r="J176" i="22"/>
  <c r="O166" i="22"/>
  <c r="K180" i="22"/>
  <c r="N179" i="22"/>
  <c r="L186" i="22"/>
  <c r="Q203" i="22"/>
  <c r="I186" i="22"/>
  <c r="O106" i="22"/>
  <c r="L118" i="22"/>
  <c r="I131" i="22"/>
  <c r="N236" i="22"/>
  <c r="R222" i="22"/>
  <c r="K119" i="22"/>
  <c r="L117" i="22"/>
  <c r="L159" i="22"/>
  <c r="I218" i="22"/>
  <c r="Q190" i="22"/>
  <c r="K204" i="22"/>
  <c r="L125" i="22"/>
  <c r="K121" i="22"/>
  <c r="Q171" i="22"/>
  <c r="R233" i="22"/>
  <c r="Q123" i="22"/>
  <c r="N229" i="22"/>
  <c r="O189" i="22"/>
  <c r="Q92" i="22"/>
  <c r="N198" i="22"/>
  <c r="R100" i="22"/>
  <c r="O206" i="22"/>
  <c r="Q109" i="22"/>
  <c r="N219" i="22"/>
  <c r="R125" i="22"/>
  <c r="O235" i="22"/>
  <c r="Q142" i="22"/>
  <c r="J93" i="22"/>
  <c r="L129" i="22"/>
  <c r="K208" i="22"/>
  <c r="R110" i="22"/>
  <c r="Q159" i="22"/>
  <c r="R119" i="22"/>
  <c r="O225" i="22"/>
  <c r="Q128" i="22"/>
  <c r="N234" i="22"/>
  <c r="R136" i="22"/>
  <c r="K90" i="22"/>
  <c r="Q145" i="22"/>
  <c r="L96" i="22"/>
  <c r="R161" i="22"/>
  <c r="I105" i="22"/>
  <c r="Q178" i="22"/>
  <c r="J111" i="22"/>
  <c r="J192" i="22"/>
  <c r="K226" i="22"/>
  <c r="K103" i="22"/>
  <c r="Q195" i="22"/>
  <c r="R155" i="22"/>
  <c r="I100" i="22"/>
  <c r="Q164" i="22"/>
  <c r="J104" i="22"/>
  <c r="R172" i="22"/>
  <c r="K108" i="22"/>
  <c r="Q181" i="22"/>
  <c r="L114" i="22"/>
  <c r="R197" i="22"/>
  <c r="I123" i="22"/>
  <c r="Q214" i="22"/>
  <c r="J129" i="22"/>
  <c r="J210" i="22"/>
  <c r="R130" i="22"/>
  <c r="K191" i="22"/>
  <c r="Q231" i="22"/>
  <c r="R191" i="22"/>
  <c r="I118" i="22"/>
  <c r="Q200" i="22"/>
  <c r="J122" i="22"/>
  <c r="R208" i="22"/>
  <c r="K126" i="22"/>
  <c r="Q217" i="22"/>
  <c r="L132" i="22"/>
  <c r="Q115" i="22"/>
  <c r="N221" i="22"/>
  <c r="O181" i="22"/>
  <c r="I188" i="22"/>
  <c r="N190" i="22"/>
  <c r="R92" i="22"/>
  <c r="O198" i="22"/>
  <c r="Q101" i="22"/>
  <c r="N211" i="22"/>
  <c r="R117" i="22"/>
  <c r="N129" i="22"/>
  <c r="Q172" i="22"/>
  <c r="O194" i="22"/>
  <c r="L156" i="22"/>
  <c r="I159" i="22"/>
  <c r="J115" i="22"/>
  <c r="K131" i="22"/>
  <c r="K205" i="22"/>
  <c r="L181" i="22"/>
  <c r="L197" i="22"/>
  <c r="I234" i="22"/>
  <c r="N140" i="22"/>
  <c r="O140" i="22"/>
  <c r="J205" i="22"/>
  <c r="I204" i="22"/>
  <c r="R131" i="22"/>
  <c r="I147" i="22"/>
  <c r="L223" i="22"/>
  <c r="Q122" i="22"/>
  <c r="I198" i="22"/>
  <c r="Q226" i="22"/>
  <c r="R167" i="22"/>
  <c r="N194" i="22"/>
  <c r="K160" i="22"/>
  <c r="O183" i="22"/>
  <c r="K163" i="22"/>
  <c r="O216" i="22"/>
  <c r="I208" i="22"/>
  <c r="Q218" i="22"/>
  <c r="K153" i="22"/>
  <c r="N116" i="22"/>
  <c r="I94" i="22"/>
  <c r="L155" i="22"/>
  <c r="I110" i="22"/>
  <c r="R116" i="22"/>
  <c r="N143" i="22"/>
  <c r="O231" i="22"/>
  <c r="N144" i="22"/>
  <c r="J200" i="22"/>
  <c r="L214" i="22"/>
  <c r="I233" i="22"/>
  <c r="R210" i="22"/>
  <c r="L205" i="22"/>
  <c r="J181" i="22"/>
  <c r="I228" i="22"/>
  <c r="Q222" i="22"/>
  <c r="K97" i="22"/>
  <c r="N132" i="22"/>
  <c r="R195" i="22"/>
  <c r="N218" i="22"/>
  <c r="K166" i="22"/>
  <c r="R209" i="22"/>
  <c r="Q154" i="22"/>
  <c r="J171" i="22"/>
  <c r="K236" i="22"/>
  <c r="K181" i="22"/>
  <c r="J225" i="22"/>
  <c r="L235" i="22"/>
  <c r="K134" i="22"/>
  <c r="I191" i="22"/>
  <c r="O221" i="22"/>
  <c r="I103" i="22"/>
  <c r="I98" i="22"/>
  <c r="I121" i="22"/>
  <c r="I116" i="22"/>
  <c r="I139" i="22"/>
  <c r="I134" i="22"/>
  <c r="R107" i="22"/>
  <c r="R149" i="22"/>
  <c r="O144" i="22"/>
  <c r="O145" i="22"/>
  <c r="I157" i="22"/>
  <c r="R201" i="22"/>
  <c r="I125" i="22"/>
  <c r="R190" i="22"/>
  <c r="O187" i="22"/>
  <c r="I217" i="22"/>
  <c r="K89" i="22"/>
  <c r="R103" i="22"/>
  <c r="Q98" i="22"/>
  <c r="J209" i="22"/>
  <c r="Q144" i="22"/>
  <c r="K198" i="22"/>
  <c r="N213" i="22"/>
  <c r="I179" i="22"/>
  <c r="R199" i="22"/>
  <c r="N226" i="22"/>
  <c r="K176" i="22"/>
  <c r="R217" i="22"/>
  <c r="Q158" i="22"/>
  <c r="J179" i="22"/>
  <c r="K225" i="22"/>
  <c r="L188" i="22"/>
  <c r="K223" i="22"/>
  <c r="I126" i="22"/>
  <c r="J103" i="22"/>
  <c r="N193" i="22"/>
  <c r="J105" i="22"/>
  <c r="K161" i="22"/>
  <c r="I101" i="22"/>
  <c r="K169" i="22"/>
  <c r="I216" i="22"/>
  <c r="J217" i="22"/>
  <c r="K201" i="22"/>
  <c r="L89" i="22"/>
  <c r="L230" i="22"/>
  <c r="L227" i="22"/>
  <c r="K229" i="22"/>
  <c r="J185" i="22"/>
  <c r="O195" i="22"/>
  <c r="L161" i="22"/>
  <c r="R118" i="22"/>
  <c r="K218" i="22"/>
  <c r="J236" i="22"/>
  <c r="N232" i="22"/>
  <c r="I195" i="22"/>
  <c r="O192" i="22"/>
  <c r="K123" i="22"/>
  <c r="N171" i="22"/>
  <c r="L218" i="22"/>
  <c r="K195" i="22"/>
  <c r="I184" i="22"/>
  <c r="J233" i="22"/>
  <c r="O236" i="22"/>
  <c r="O215" i="22"/>
  <c r="I189" i="22"/>
  <c r="J227" i="22"/>
  <c r="J130" i="22"/>
  <c r="K102" i="22"/>
  <c r="R216" i="22"/>
  <c r="O88" i="22"/>
  <c r="Q157" i="22"/>
  <c r="N182" i="22"/>
  <c r="I211" i="22"/>
  <c r="J155" i="22"/>
  <c r="L99" i="22"/>
  <c r="N89" i="22"/>
  <c r="K99" i="22"/>
  <c r="R89" i="22"/>
  <c r="O112" i="22"/>
  <c r="N181" i="22"/>
  <c r="K235" i="22"/>
  <c r="I227" i="22"/>
  <c r="R229" i="22"/>
  <c r="I236" i="22"/>
  <c r="N235" i="22"/>
  <c r="L93" i="22"/>
  <c r="R153" i="22"/>
  <c r="I88" i="22"/>
  <c r="L151" i="22"/>
  <c r="Q124" i="22"/>
  <c r="Q174" i="22"/>
  <c r="Q160" i="22"/>
  <c r="Q210" i="22"/>
  <c r="Q196" i="22"/>
  <c r="N96" i="22"/>
  <c r="Q232" i="22"/>
  <c r="O213" i="22"/>
  <c r="N217" i="22"/>
  <c r="J203" i="22"/>
  <c r="N112" i="22"/>
  <c r="J107" i="22"/>
  <c r="I111" i="22"/>
  <c r="J131" i="22"/>
  <c r="Q139" i="22"/>
  <c r="I113" i="22"/>
  <c r="O148" i="22"/>
  <c r="O153" i="22"/>
  <c r="O121" i="22"/>
  <c r="Q198" i="22"/>
  <c r="K167" i="22"/>
  <c r="J140" i="22"/>
  <c r="L200" i="22"/>
  <c r="R231" i="22"/>
  <c r="N176" i="22"/>
  <c r="O141" i="22"/>
  <c r="J126" i="22"/>
  <c r="Q137" i="22"/>
  <c r="O135" i="22"/>
  <c r="Q202" i="22"/>
  <c r="O100" i="22"/>
  <c r="L107" i="22"/>
  <c r="I205" i="22"/>
  <c r="L189" i="22"/>
  <c r="Q140" i="22"/>
  <c r="L169" i="22"/>
  <c r="I90" i="22"/>
  <c r="N121" i="22"/>
  <c r="Q170" i="22"/>
  <c r="K203" i="22"/>
  <c r="N225" i="22"/>
  <c r="L135" i="22"/>
  <c r="O205" i="22"/>
  <c r="N100" i="22"/>
  <c r="I127" i="22"/>
  <c r="N130" i="22"/>
  <c r="J149" i="22"/>
  <c r="L219" i="22"/>
  <c r="K98" i="22"/>
  <c r="R134" i="22"/>
  <c r="O217" i="22"/>
  <c r="J172" i="22"/>
  <c r="Q225" i="22"/>
  <c r="N108" i="22"/>
  <c r="I221" i="22"/>
  <c r="J174" i="22"/>
  <c r="N162" i="22"/>
  <c r="R143" i="22"/>
  <c r="L173" i="22"/>
  <c r="R218" i="22"/>
  <c r="I122" i="22"/>
  <c r="N164" i="22"/>
  <c r="R106" i="22"/>
  <c r="O94" i="22"/>
  <c r="O220" i="22"/>
  <c r="R98" i="22"/>
  <c r="L193" i="22"/>
  <c r="J215" i="22"/>
  <c r="L92" i="22"/>
  <c r="O212" i="22"/>
  <c r="Q161" i="22"/>
  <c r="I200" i="22"/>
  <c r="J110" i="22"/>
  <c r="Q129" i="22"/>
  <c r="N203" i="22"/>
  <c r="J101" i="22"/>
  <c r="L184" i="22"/>
  <c r="O184" i="22"/>
  <c r="O234" i="22"/>
  <c r="L191" i="22"/>
  <c r="J201" i="22"/>
  <c r="R115" i="22"/>
  <c r="R223" i="22"/>
  <c r="Q105" i="22"/>
  <c r="J234" i="22"/>
  <c r="O219" i="22"/>
  <c r="K216" i="22"/>
  <c r="L209" i="22"/>
  <c r="N230" i="22"/>
  <c r="J109" i="22"/>
  <c r="J102" i="22"/>
  <c r="J127" i="22"/>
  <c r="J120" i="22"/>
  <c r="J145" i="22"/>
  <c r="J138" i="22"/>
  <c r="Q116" i="22"/>
  <c r="N98" i="22"/>
  <c r="L213" i="22"/>
  <c r="J198" i="22"/>
  <c r="K215" i="22"/>
  <c r="Q152" i="22"/>
  <c r="L196" i="22"/>
  <c r="R202" i="22"/>
  <c r="I95" i="22"/>
  <c r="I210" i="22"/>
  <c r="L123" i="22"/>
  <c r="L195" i="22"/>
  <c r="K142" i="22"/>
  <c r="J158" i="22"/>
  <c r="K214" i="22"/>
  <c r="Q151" i="22"/>
  <c r="J232" i="22"/>
  <c r="I223" i="22"/>
  <c r="K200" i="22"/>
  <c r="L171" i="22"/>
  <c r="I230" i="22"/>
  <c r="O188" i="22"/>
  <c r="I145" i="22"/>
  <c r="J213" i="22"/>
  <c r="K105" i="22"/>
  <c r="J123" i="22"/>
  <c r="J195" i="22"/>
  <c r="K197" i="22"/>
  <c r="K202" i="22"/>
  <c r="L236" i="22"/>
  <c r="J183" i="22"/>
  <c r="J151" i="22"/>
  <c r="Q166" i="22"/>
  <c r="R214" i="22"/>
  <c r="R132" i="22"/>
  <c r="J190" i="22"/>
  <c r="R168" i="22"/>
  <c r="J208" i="22"/>
  <c r="R204" i="22"/>
  <c r="J226" i="22"/>
  <c r="O90" i="22"/>
  <c r="N222" i="22"/>
  <c r="K112" i="22"/>
  <c r="Q193" i="22"/>
  <c r="I212" i="22"/>
  <c r="O109" i="22"/>
  <c r="K232" i="22"/>
  <c r="R135" i="22"/>
  <c r="I154" i="22"/>
  <c r="N200" i="22"/>
  <c r="L111" i="22"/>
  <c r="J133" i="22"/>
  <c r="J124" i="22"/>
  <c r="N183" i="22"/>
  <c r="R170" i="22"/>
  <c r="J142" i="22"/>
  <c r="R128" i="22"/>
  <c r="J204" i="22"/>
  <c r="R224" i="22"/>
  <c r="L97" i="22"/>
  <c r="K124" i="22"/>
  <c r="R113" i="22"/>
  <c r="N118" i="22"/>
  <c r="I149" i="22"/>
  <c r="K128" i="22"/>
  <c r="O91" i="22"/>
  <c r="I168" i="22"/>
  <c r="N208" i="22"/>
  <c r="N97" i="22"/>
  <c r="K141" i="22"/>
  <c r="I232" i="22"/>
  <c r="R178" i="22"/>
  <c r="I177" i="22"/>
  <c r="Q120" i="22"/>
  <c r="L136" i="22"/>
  <c r="N185" i="22"/>
  <c r="L202" i="22"/>
  <c r="Q208" i="22"/>
  <c r="R207" i="22"/>
  <c r="K149" i="22"/>
  <c r="R193" i="22"/>
  <c r="Q183" i="22"/>
  <c r="J163" i="22"/>
  <c r="N150" i="22"/>
  <c r="K125" i="22"/>
  <c r="R114" i="22"/>
  <c r="K88" i="22"/>
  <c r="K224" i="22"/>
  <c r="K106" i="22"/>
  <c r="R124" i="22"/>
  <c r="J89" i="22"/>
  <c r="L121" i="22"/>
  <c r="I117" i="22"/>
  <c r="L149" i="22"/>
  <c r="O98" i="22"/>
  <c r="L182" i="22"/>
  <c r="I99" i="22"/>
  <c r="R151" i="22"/>
  <c r="I214" i="22"/>
  <c r="I196" i="22"/>
  <c r="Q141" i="22"/>
  <c r="K95" i="22"/>
  <c r="Q177" i="22"/>
  <c r="K189" i="22"/>
  <c r="Q213" i="22"/>
  <c r="K221" i="22"/>
  <c r="N103" i="22"/>
  <c r="O230" i="22"/>
  <c r="I181" i="22"/>
  <c r="N228" i="22"/>
  <c r="R192" i="22"/>
  <c r="J228" i="22"/>
  <c r="K145" i="22"/>
  <c r="L140" i="22"/>
  <c r="O158" i="22"/>
  <c r="K159" i="22"/>
  <c r="L101" i="22"/>
  <c r="R177" i="22"/>
  <c r="K187" i="22"/>
  <c r="Q169" i="22"/>
  <c r="R157" i="22"/>
  <c r="Q147" i="22"/>
  <c r="L127" i="22"/>
  <c r="O127" i="22"/>
  <c r="R111" i="22"/>
  <c r="Q102" i="22"/>
  <c r="Q162" i="22"/>
  <c r="L211" i="22"/>
  <c r="Q155" i="22"/>
  <c r="L94" i="22"/>
  <c r="Q191" i="22"/>
  <c r="L112" i="22"/>
  <c r="Q227" i="22"/>
  <c r="L130" i="22"/>
  <c r="N113" i="22"/>
  <c r="L148" i="22"/>
  <c r="Q133" i="22"/>
  <c r="J137" i="22"/>
  <c r="J221" i="22"/>
  <c r="C87" i="22" a="1"/>
  <c r="K114" i="22"/>
  <c r="I222" i="22"/>
  <c r="R182" i="22"/>
  <c r="Q201" i="22"/>
  <c r="L179" i="22"/>
  <c r="N168" i="22"/>
  <c r="I129" i="22"/>
  <c r="R145" i="22"/>
  <c r="K93" i="22"/>
  <c r="L220" i="22"/>
  <c r="N172" i="22"/>
  <c r="L225" i="22"/>
  <c r="I173" i="22"/>
  <c r="I97" i="22"/>
  <c r="L109" i="22"/>
  <c r="R187" i="22"/>
  <c r="L90" i="22"/>
  <c r="J188" i="22"/>
  <c r="I203" i="22"/>
  <c r="K130" i="22"/>
  <c r="J211" i="22"/>
  <c r="R109" i="22"/>
  <c r="K104" i="34" l="1"/>
  <c r="L104" i="34" s="1"/>
  <c r="G105" i="34" s="1"/>
  <c r="H119" i="34"/>
  <c r="I119" i="34" s="1"/>
  <c r="H133" i="34"/>
  <c r="I133" i="34" s="1"/>
  <c r="I103" i="34"/>
  <c r="E104" i="34"/>
  <c r="F134" i="29"/>
  <c r="M134" i="29"/>
  <c r="C134" i="29" a="1"/>
  <c r="C134" i="29" s="1"/>
  <c r="L135" i="29" a="1"/>
  <c r="L135" i="29" s="1"/>
  <c r="B136" i="29" s="1"/>
  <c r="N136" i="29" a="1"/>
  <c r="N136" i="29" s="1"/>
  <c r="Q136" i="29" a="1"/>
  <c r="Q136" i="29" s="1"/>
  <c r="O129" i="29" a="1"/>
  <c r="O129" i="29" s="1"/>
  <c r="P133" i="29"/>
  <c r="I137" i="29"/>
  <c r="K138" i="29"/>
  <c r="G135" i="29"/>
  <c r="B135" i="29"/>
  <c r="L84" i="29"/>
  <c r="K46" i="27"/>
  <c r="L99" i="27"/>
  <c r="J50" i="27"/>
  <c r="E99" i="27"/>
  <c r="C87" i="22"/>
  <c r="Z87" i="22" s="1"/>
  <c r="I70" i="25"/>
  <c r="I78" i="25"/>
  <c r="I75" i="25"/>
  <c r="I73" i="25"/>
  <c r="I74" i="25"/>
  <c r="I71" i="25"/>
  <c r="I67" i="25"/>
  <c r="I76" i="25"/>
  <c r="I69" i="25"/>
  <c r="I77" i="25"/>
  <c r="I68" i="25"/>
  <c r="J79" i="25"/>
  <c r="I79" i="25"/>
  <c r="I72" i="25"/>
  <c r="M35" i="23"/>
  <c r="N35" i="23"/>
  <c r="Y87" i="22"/>
  <c r="Y88" i="22"/>
  <c r="Z88" i="22"/>
  <c r="AA88" i="22"/>
  <c r="Y89" i="22"/>
  <c r="Z89" i="22"/>
  <c r="AA89" i="22"/>
  <c r="Y90" i="22"/>
  <c r="Z90" i="22"/>
  <c r="AA90" i="22"/>
  <c r="Y91" i="22"/>
  <c r="Z91" i="22"/>
  <c r="AA91" i="22"/>
  <c r="Y92" i="22"/>
  <c r="Z92" i="22"/>
  <c r="AA92" i="22"/>
  <c r="Y93" i="22"/>
  <c r="Z93" i="22"/>
  <c r="AA93" i="22"/>
  <c r="Y94" i="22"/>
  <c r="Z94" i="22"/>
  <c r="AA94" i="22"/>
  <c r="Y95" i="22"/>
  <c r="Z95" i="22"/>
  <c r="AA95" i="22"/>
  <c r="Y96" i="22"/>
  <c r="Z96" i="22"/>
  <c r="AA96" i="22"/>
  <c r="Y97" i="22"/>
  <c r="Z97" i="22"/>
  <c r="AA97" i="22"/>
  <c r="Y98" i="22"/>
  <c r="Z98" i="22"/>
  <c r="AA98" i="22"/>
  <c r="Y99" i="22"/>
  <c r="Z99" i="22"/>
  <c r="AA99" i="22"/>
  <c r="Y100" i="22"/>
  <c r="Z100" i="22"/>
  <c r="AA100" i="22"/>
  <c r="Y101" i="22"/>
  <c r="Z101" i="22"/>
  <c r="AA101" i="22"/>
  <c r="Y102" i="22"/>
  <c r="Z102" i="22"/>
  <c r="AA102" i="22"/>
  <c r="Y103" i="22"/>
  <c r="Z103" i="22"/>
  <c r="AA103" i="22"/>
  <c r="Y104" i="22"/>
  <c r="Z104" i="22"/>
  <c r="AA104" i="22"/>
  <c r="Y105" i="22"/>
  <c r="Z105" i="22"/>
  <c r="AA105" i="22"/>
  <c r="Y106" i="22"/>
  <c r="Z106" i="22"/>
  <c r="AA106" i="22"/>
  <c r="Y107" i="22"/>
  <c r="Z107" i="22"/>
  <c r="AA107" i="22"/>
  <c r="Y108" i="22"/>
  <c r="Z108" i="22"/>
  <c r="AA108" i="22"/>
  <c r="Y109" i="22"/>
  <c r="Z109" i="22"/>
  <c r="AA109" i="22"/>
  <c r="Y110" i="22"/>
  <c r="Z110" i="22"/>
  <c r="AA110" i="22"/>
  <c r="Y111" i="22"/>
  <c r="Z111" i="22"/>
  <c r="AA111" i="22"/>
  <c r="Y112" i="22"/>
  <c r="Z112" i="22"/>
  <c r="AA112" i="22"/>
  <c r="Y113" i="22"/>
  <c r="Z113" i="22"/>
  <c r="AA113" i="22"/>
  <c r="Y114" i="22"/>
  <c r="Z114" i="22"/>
  <c r="AA114" i="22"/>
  <c r="Y115" i="22"/>
  <c r="Z115" i="22"/>
  <c r="AA115" i="22"/>
  <c r="Y116" i="22"/>
  <c r="Z116" i="22"/>
  <c r="AA116" i="22"/>
  <c r="Y117" i="22"/>
  <c r="Z117" i="22"/>
  <c r="AA117" i="22"/>
  <c r="Y118" i="22"/>
  <c r="Z118" i="22"/>
  <c r="AA118" i="22"/>
  <c r="Y119" i="22"/>
  <c r="Z119" i="22"/>
  <c r="AA119" i="22"/>
  <c r="Y120" i="22"/>
  <c r="Z120" i="22"/>
  <c r="AA120" i="22"/>
  <c r="Y121" i="22"/>
  <c r="Z121" i="22"/>
  <c r="AA121" i="22"/>
  <c r="Y122" i="22"/>
  <c r="Z122" i="22"/>
  <c r="AA122" i="22"/>
  <c r="Y123" i="22"/>
  <c r="Z123" i="22"/>
  <c r="AA123" i="22"/>
  <c r="Y124" i="22"/>
  <c r="Z124" i="22"/>
  <c r="AA124" i="22"/>
  <c r="Y125" i="22"/>
  <c r="Z125" i="22"/>
  <c r="AA125" i="22"/>
  <c r="Y126" i="22"/>
  <c r="Z126" i="22"/>
  <c r="AA126" i="22"/>
  <c r="Y127" i="22"/>
  <c r="Z127" i="22"/>
  <c r="AA127" i="22"/>
  <c r="Y128" i="22"/>
  <c r="Z128" i="22"/>
  <c r="AA128" i="22"/>
  <c r="Y129" i="22"/>
  <c r="Z129" i="22"/>
  <c r="AA129" i="22"/>
  <c r="Y130" i="22"/>
  <c r="Z130" i="22"/>
  <c r="AA130" i="22"/>
  <c r="Y131" i="22"/>
  <c r="Z131" i="22"/>
  <c r="AA131" i="22"/>
  <c r="Y132" i="22"/>
  <c r="Z132" i="22"/>
  <c r="AA132" i="22"/>
  <c r="Y133" i="22"/>
  <c r="Z133" i="22"/>
  <c r="AA133" i="22"/>
  <c r="Y134" i="22"/>
  <c r="Z134" i="22"/>
  <c r="AA134" i="22"/>
  <c r="Y135" i="22"/>
  <c r="Z135" i="22"/>
  <c r="AA135" i="22"/>
  <c r="Y136" i="22"/>
  <c r="Z136" i="22"/>
  <c r="AA136" i="22"/>
  <c r="Y137" i="22"/>
  <c r="Z137" i="22"/>
  <c r="AA137" i="22"/>
  <c r="Y138" i="22"/>
  <c r="Z138" i="22"/>
  <c r="AA138" i="22"/>
  <c r="Y139" i="22"/>
  <c r="Z139" i="22"/>
  <c r="AA139" i="22"/>
  <c r="Y140" i="22"/>
  <c r="Z140" i="22"/>
  <c r="AA140" i="22"/>
  <c r="Y141" i="22"/>
  <c r="Z141" i="22"/>
  <c r="AA141" i="22"/>
  <c r="Y142" i="22"/>
  <c r="Z142" i="22"/>
  <c r="AA142" i="22"/>
  <c r="Y143" i="22"/>
  <c r="Z143" i="22"/>
  <c r="AA143" i="22"/>
  <c r="Y144" i="22"/>
  <c r="Z144" i="22"/>
  <c r="AA144" i="22"/>
  <c r="Y145" i="22"/>
  <c r="Z145" i="22"/>
  <c r="AA145" i="22"/>
  <c r="Y146" i="22"/>
  <c r="Z146" i="22"/>
  <c r="AA146" i="22"/>
  <c r="Y147" i="22"/>
  <c r="Z147" i="22"/>
  <c r="AA147" i="22"/>
  <c r="Y148" i="22"/>
  <c r="Z148" i="22"/>
  <c r="AA148" i="22"/>
  <c r="Y149" i="22"/>
  <c r="Z149" i="22"/>
  <c r="AA149" i="22"/>
  <c r="Y150" i="22"/>
  <c r="Z150" i="22"/>
  <c r="AA150" i="22"/>
  <c r="Y151" i="22"/>
  <c r="Z151" i="22"/>
  <c r="AA151" i="22"/>
  <c r="Y152" i="22"/>
  <c r="Z152" i="22"/>
  <c r="AA152" i="22"/>
  <c r="Y153" i="22"/>
  <c r="Z153" i="22"/>
  <c r="AA153" i="22"/>
  <c r="Y154" i="22"/>
  <c r="Z154" i="22"/>
  <c r="AA154" i="22"/>
  <c r="Y155" i="22"/>
  <c r="Z155" i="22"/>
  <c r="AA155" i="22"/>
  <c r="Y156" i="22"/>
  <c r="Z156" i="22"/>
  <c r="AA156" i="22"/>
  <c r="Y157" i="22"/>
  <c r="Z157" i="22"/>
  <c r="AA157" i="22"/>
  <c r="Y158" i="22"/>
  <c r="Z158" i="22"/>
  <c r="AA158" i="22"/>
  <c r="Y159" i="22"/>
  <c r="Z159" i="22"/>
  <c r="AA159" i="22"/>
  <c r="Y160" i="22"/>
  <c r="Z160" i="22"/>
  <c r="AA160" i="22"/>
  <c r="Y161" i="22"/>
  <c r="Z161" i="22"/>
  <c r="AA161" i="22"/>
  <c r="Y162" i="22"/>
  <c r="Z162" i="22"/>
  <c r="AA162" i="22"/>
  <c r="Y163" i="22"/>
  <c r="Z163" i="22"/>
  <c r="AA163" i="22"/>
  <c r="Y164" i="22"/>
  <c r="Z164" i="22"/>
  <c r="AA164" i="22"/>
  <c r="Y165" i="22"/>
  <c r="Z165" i="22"/>
  <c r="AA165" i="22"/>
  <c r="Y166" i="22"/>
  <c r="Z166" i="22"/>
  <c r="AA166" i="22"/>
  <c r="Y167" i="22"/>
  <c r="Z167" i="22"/>
  <c r="AA167" i="22"/>
  <c r="Y168" i="22"/>
  <c r="Z168" i="22"/>
  <c r="AA168" i="22"/>
  <c r="Y169" i="22"/>
  <c r="Z169" i="22"/>
  <c r="AA169" i="22"/>
  <c r="Y170" i="22"/>
  <c r="Z170" i="22"/>
  <c r="AA170" i="22"/>
  <c r="Y171" i="22"/>
  <c r="Z171" i="22"/>
  <c r="AA171" i="22"/>
  <c r="Y172" i="22"/>
  <c r="Z172" i="22"/>
  <c r="AA172" i="22"/>
  <c r="Y173" i="22"/>
  <c r="Z173" i="22"/>
  <c r="AA173" i="22"/>
  <c r="Y174" i="22"/>
  <c r="Z174" i="22"/>
  <c r="AA174" i="22"/>
  <c r="Y175" i="22"/>
  <c r="Z175" i="22"/>
  <c r="AA175" i="22"/>
  <c r="Y176" i="22"/>
  <c r="Z176" i="22"/>
  <c r="AA176" i="22"/>
  <c r="Y177" i="22"/>
  <c r="Z177" i="22"/>
  <c r="AA177" i="22"/>
  <c r="Y178" i="22"/>
  <c r="Z178" i="22"/>
  <c r="AA178" i="22"/>
  <c r="Y179" i="22"/>
  <c r="Z179" i="22"/>
  <c r="AA179" i="22"/>
  <c r="Y180" i="22"/>
  <c r="Z180" i="22"/>
  <c r="AA180" i="22"/>
  <c r="Y181" i="22"/>
  <c r="Z181" i="22"/>
  <c r="AA181" i="22"/>
  <c r="Y182" i="22"/>
  <c r="Z182" i="22"/>
  <c r="AA182" i="22"/>
  <c r="Y183" i="22"/>
  <c r="Z183" i="22"/>
  <c r="AA183" i="22"/>
  <c r="Y184" i="22"/>
  <c r="Z184" i="22"/>
  <c r="AA184" i="22"/>
  <c r="Y185" i="22"/>
  <c r="Z185" i="22"/>
  <c r="AA185" i="22"/>
  <c r="Y186" i="22"/>
  <c r="Z186" i="22"/>
  <c r="AA186" i="22"/>
  <c r="Y187" i="22"/>
  <c r="Z187" i="22"/>
  <c r="AA187" i="22"/>
  <c r="Y188" i="22"/>
  <c r="Z188" i="22"/>
  <c r="AA188" i="22"/>
  <c r="Y189" i="22"/>
  <c r="Z189" i="22"/>
  <c r="AA189" i="22"/>
  <c r="Y190" i="22"/>
  <c r="Z190" i="22"/>
  <c r="AA190" i="22"/>
  <c r="Y191" i="22"/>
  <c r="Z191" i="22"/>
  <c r="AA191" i="22"/>
  <c r="Y192" i="22"/>
  <c r="Z192" i="22"/>
  <c r="AA192" i="22"/>
  <c r="Y193" i="22"/>
  <c r="Z193" i="22"/>
  <c r="AA193" i="22"/>
  <c r="Y194" i="22"/>
  <c r="Z194" i="22"/>
  <c r="AA194" i="22"/>
  <c r="Y195" i="22"/>
  <c r="Z195" i="22"/>
  <c r="AA195" i="22"/>
  <c r="Y196" i="22"/>
  <c r="Z196" i="22"/>
  <c r="AA196" i="22"/>
  <c r="Y197" i="22"/>
  <c r="Z197" i="22"/>
  <c r="AA197" i="22"/>
  <c r="Y198" i="22"/>
  <c r="Z198" i="22"/>
  <c r="AA198" i="22"/>
  <c r="Y199" i="22"/>
  <c r="Z199" i="22"/>
  <c r="AA199" i="22"/>
  <c r="Y200" i="22"/>
  <c r="Z200" i="22"/>
  <c r="AA200" i="22"/>
  <c r="Y201" i="22"/>
  <c r="Z201" i="22"/>
  <c r="AA201" i="22"/>
  <c r="Y202" i="22"/>
  <c r="Z202" i="22"/>
  <c r="AA202" i="22"/>
  <c r="Y203" i="22"/>
  <c r="Z203" i="22"/>
  <c r="AA203" i="22"/>
  <c r="Y204" i="22"/>
  <c r="Z204" i="22"/>
  <c r="AA204" i="22"/>
  <c r="Y205" i="22"/>
  <c r="Z205" i="22"/>
  <c r="AA205" i="22"/>
  <c r="Y206" i="22"/>
  <c r="Z206" i="22"/>
  <c r="AA206" i="22"/>
  <c r="Y207" i="22"/>
  <c r="Z207" i="22"/>
  <c r="AA207" i="22"/>
  <c r="Y208" i="22"/>
  <c r="Z208" i="22"/>
  <c r="AA208" i="22"/>
  <c r="Y209" i="22"/>
  <c r="Z209" i="22"/>
  <c r="AA209" i="22"/>
  <c r="Y210" i="22"/>
  <c r="Z210" i="22"/>
  <c r="AA210" i="22"/>
  <c r="Y211" i="22"/>
  <c r="Z211" i="22"/>
  <c r="AA211" i="22"/>
  <c r="Y212" i="22"/>
  <c r="Z212" i="22"/>
  <c r="AA212" i="22"/>
  <c r="Y213" i="22"/>
  <c r="Z213" i="22"/>
  <c r="AA213" i="22"/>
  <c r="Y214" i="22"/>
  <c r="Z214" i="22"/>
  <c r="AA214" i="22"/>
  <c r="Y215" i="22"/>
  <c r="Z215" i="22"/>
  <c r="AA215" i="22"/>
  <c r="Y216" i="22"/>
  <c r="Z216" i="22"/>
  <c r="AA216" i="22"/>
  <c r="Y217" i="22"/>
  <c r="Z217" i="22"/>
  <c r="AA217" i="22"/>
  <c r="Y218" i="22"/>
  <c r="Z218" i="22"/>
  <c r="AA218" i="22"/>
  <c r="Y219" i="22"/>
  <c r="Z219" i="22"/>
  <c r="AA219" i="22"/>
  <c r="Y220" i="22"/>
  <c r="Z220" i="22"/>
  <c r="AA220" i="22"/>
  <c r="Y221" i="22"/>
  <c r="Z221" i="22"/>
  <c r="AA221" i="22"/>
  <c r="Y222" i="22"/>
  <c r="Z222" i="22"/>
  <c r="AA222" i="22"/>
  <c r="Y223" i="22"/>
  <c r="Z223" i="22"/>
  <c r="AA223" i="22"/>
  <c r="Y224" i="22"/>
  <c r="Z224" i="22"/>
  <c r="AA224" i="22"/>
  <c r="Y225" i="22"/>
  <c r="Z225" i="22"/>
  <c r="AA225" i="22"/>
  <c r="Y226" i="22"/>
  <c r="Z226" i="22"/>
  <c r="AA226" i="22"/>
  <c r="Y227" i="22"/>
  <c r="Z227" i="22"/>
  <c r="AA227" i="22"/>
  <c r="Y228" i="22"/>
  <c r="Z228" i="22"/>
  <c r="AA228" i="22"/>
  <c r="Y229" i="22"/>
  <c r="Z229" i="22"/>
  <c r="AA229" i="22"/>
  <c r="Y230" i="22"/>
  <c r="Z230" i="22"/>
  <c r="AA230" i="22"/>
  <c r="Y231" i="22"/>
  <c r="Z231" i="22"/>
  <c r="AA231" i="22"/>
  <c r="Y232" i="22"/>
  <c r="Z232" i="22"/>
  <c r="AA232" i="22"/>
  <c r="Y233" i="22"/>
  <c r="Z233" i="22"/>
  <c r="AA233" i="22"/>
  <c r="Y234" i="22"/>
  <c r="Z234" i="22"/>
  <c r="AA234" i="22"/>
  <c r="Y235" i="22"/>
  <c r="Z235" i="22"/>
  <c r="AA235" i="22"/>
  <c r="Y236" i="22"/>
  <c r="Z236" i="22"/>
  <c r="AA236" i="22"/>
  <c r="Y237" i="22"/>
  <c r="K238" i="22"/>
  <c r="Y238" i="22"/>
  <c r="K239" i="22"/>
  <c r="Y239" i="22"/>
  <c r="K240" i="22"/>
  <c r="Y240" i="22"/>
  <c r="K241" i="22"/>
  <c r="Y241" i="22"/>
  <c r="K242" i="22"/>
  <c r="Y242" i="22"/>
  <c r="K243" i="22"/>
  <c r="Y243" i="22"/>
  <c r="K244" i="22"/>
  <c r="Y244" i="22"/>
  <c r="K245" i="22"/>
  <c r="Y245" i="22"/>
  <c r="K246" i="22"/>
  <c r="Y246" i="22"/>
  <c r="K247" i="22"/>
  <c r="Y247" i="22"/>
  <c r="I248" i="22"/>
  <c r="J248" i="22"/>
  <c r="N248" i="22"/>
  <c r="O248" i="22"/>
  <c r="Q248" i="22"/>
  <c r="Q250" i="22" s="1"/>
  <c r="Q252" i="22" s="1"/>
  <c r="R248" i="22"/>
  <c r="K253" i="22"/>
  <c r="K6" i="22" s="1"/>
  <c r="Q253" i="22"/>
  <c r="L6" i="22" s="1"/>
  <c r="A257" i="22"/>
  <c r="J17" i="35"/>
  <c r="J22" i="35"/>
  <c r="J26" i="35"/>
  <c r="J30" i="35"/>
  <c r="J34" i="35"/>
  <c r="J38" i="35"/>
  <c r="J42" i="35"/>
  <c r="J46" i="35"/>
  <c r="J50" i="35"/>
  <c r="J54" i="35"/>
  <c r="J58" i="35"/>
  <c r="J62" i="35"/>
  <c r="J66" i="35"/>
  <c r="J43" i="35"/>
  <c r="J51" i="35"/>
  <c r="J55" i="35"/>
  <c r="J59" i="35"/>
  <c r="J44" i="35"/>
  <c r="J48" i="35"/>
  <c r="J64" i="35"/>
  <c r="J63" i="35"/>
  <c r="J52" i="35"/>
  <c r="J56" i="35"/>
  <c r="J19" i="35"/>
  <c r="J23" i="35"/>
  <c r="J27" i="35"/>
  <c r="J31" i="35"/>
  <c r="J35" i="35"/>
  <c r="J39" i="35"/>
  <c r="J47" i="35"/>
  <c r="J36" i="35"/>
  <c r="J40" i="35"/>
  <c r="J65" i="35"/>
  <c r="J20" i="35"/>
  <c r="J24" i="35"/>
  <c r="J28" i="35"/>
  <c r="J32" i="35"/>
  <c r="J60" i="35"/>
  <c r="J57" i="35"/>
  <c r="J53" i="35"/>
  <c r="J21" i="35"/>
  <c r="J25" i="35"/>
  <c r="J29" i="35"/>
  <c r="J33" i="35"/>
  <c r="J37" i="35"/>
  <c r="J41" i="35"/>
  <c r="J45" i="35"/>
  <c r="J49" i="35"/>
  <c r="J61" i="35"/>
  <c r="K87" i="22"/>
  <c r="N87" i="22"/>
  <c r="J87" i="22"/>
  <c r="R87" i="22"/>
  <c r="O87" i="22"/>
  <c r="Q87" i="22"/>
  <c r="L87" i="22"/>
  <c r="I87" i="22"/>
  <c r="I104" i="34" l="1"/>
  <c r="E105" i="34"/>
  <c r="H120" i="34"/>
  <c r="I120" i="34" s="1"/>
  <c r="H134" i="34"/>
  <c r="I134" i="34" s="1"/>
  <c r="K105" i="34"/>
  <c r="L105" i="34" s="1"/>
  <c r="G106" i="34" s="1"/>
  <c r="K139" i="29"/>
  <c r="I138" i="29"/>
  <c r="Q137" i="29" a="1"/>
  <c r="Q137" i="29" s="1"/>
  <c r="N137" i="29" a="1"/>
  <c r="N137" i="29" s="1"/>
  <c r="G136" i="29"/>
  <c r="L85" i="29"/>
  <c r="M135" i="29"/>
  <c r="C135" i="29" a="1"/>
  <c r="C135" i="29" s="1"/>
  <c r="F135" i="29"/>
  <c r="L136" i="29" a="1"/>
  <c r="L136" i="29" s="1"/>
  <c r="B137" i="29" s="1"/>
  <c r="R129" i="29"/>
  <c r="P134" i="29"/>
  <c r="J52" i="27"/>
  <c r="J53" i="27" s="1" a="1"/>
  <c r="J53" i="27" s="1"/>
  <c r="L6" i="27" s="1"/>
  <c r="G100" i="27"/>
  <c r="K100" i="27" s="1"/>
  <c r="L100" i="27" s="1"/>
  <c r="G101" i="27" s="1"/>
  <c r="K101" i="27" s="1"/>
  <c r="L101" i="27" s="1"/>
  <c r="G102" i="27" s="1"/>
  <c r="J128" i="27"/>
  <c r="J129" i="27"/>
  <c r="I99" i="27"/>
  <c r="H128" i="27"/>
  <c r="E100" i="27"/>
  <c r="J130" i="27" s="1"/>
  <c r="G128" i="27"/>
  <c r="I128" i="27" s="1"/>
  <c r="F99" i="27"/>
  <c r="AA87" i="22"/>
  <c r="J80" i="25"/>
  <c r="I80" i="25"/>
  <c r="K248" i="22"/>
  <c r="K269" i="22" s="1"/>
  <c r="L240" i="22"/>
  <c r="L238" i="22"/>
  <c r="L243" i="22"/>
  <c r="L246" i="22"/>
  <c r="L244" i="22"/>
  <c r="L242" i="22"/>
  <c r="L241" i="22"/>
  <c r="L247" i="22"/>
  <c r="L245" i="22"/>
  <c r="L239" i="22"/>
  <c r="M1" i="21"/>
  <c r="C4" i="21"/>
  <c r="C5" i="21"/>
  <c r="C3" i="21"/>
  <c r="I4" i="21"/>
  <c r="A13" i="21"/>
  <c r="L36" i="21" s="1"/>
  <c r="E13" i="21"/>
  <c r="I18" i="21"/>
  <c r="I19" i="21"/>
  <c r="I20" i="21"/>
  <c r="I21" i="21"/>
  <c r="I22" i="21"/>
  <c r="I23" i="21"/>
  <c r="I24" i="21"/>
  <c r="I25" i="21"/>
  <c r="I26" i="21"/>
  <c r="G27" i="21"/>
  <c r="G29" i="21" s="1"/>
  <c r="H27" i="21"/>
  <c r="A34" i="21"/>
  <c r="E34" i="21"/>
  <c r="I39" i="21"/>
  <c r="I40" i="21"/>
  <c r="I41" i="21"/>
  <c r="I42" i="21"/>
  <c r="I43" i="21"/>
  <c r="I44" i="21"/>
  <c r="I45" i="21"/>
  <c r="I46" i="21"/>
  <c r="I47" i="21"/>
  <c r="G48" i="21"/>
  <c r="H48" i="21"/>
  <c r="G50" i="21"/>
  <c r="G51" i="21" s="1"/>
  <c r="M17" i="35"/>
  <c r="M21" i="35"/>
  <c r="M25" i="35"/>
  <c r="M29" i="35"/>
  <c r="M33" i="35"/>
  <c r="M37" i="35"/>
  <c r="M41" i="35"/>
  <c r="M45" i="35"/>
  <c r="M49" i="35"/>
  <c r="M53" i="35"/>
  <c r="M57" i="35"/>
  <c r="M61" i="35"/>
  <c r="M65" i="35"/>
  <c r="M46" i="35"/>
  <c r="M62" i="35"/>
  <c r="M39" i="35"/>
  <c r="M56" i="35"/>
  <c r="M50" i="35"/>
  <c r="M54" i="35"/>
  <c r="M52" i="35"/>
  <c r="M64" i="35"/>
  <c r="M22" i="35"/>
  <c r="M26" i="35"/>
  <c r="M30" i="35"/>
  <c r="M34" i="35"/>
  <c r="M38" i="35"/>
  <c r="M42" i="35"/>
  <c r="M58" i="35"/>
  <c r="M66" i="35"/>
  <c r="M31" i="35"/>
  <c r="M43" i="35"/>
  <c r="M47" i="35"/>
  <c r="M51" i="35"/>
  <c r="M59" i="35"/>
  <c r="M63" i="35"/>
  <c r="M60" i="35"/>
  <c r="M19" i="35"/>
  <c r="M23" i="35"/>
  <c r="M27" i="35"/>
  <c r="M35" i="35"/>
  <c r="M55" i="35"/>
  <c r="M20" i="35"/>
  <c r="M24" i="35"/>
  <c r="M28" i="35"/>
  <c r="M32" i="35"/>
  <c r="M36" i="35"/>
  <c r="M40" i="35"/>
  <c r="M44" i="35"/>
  <c r="M48" i="35"/>
  <c r="K106" i="34" l="1"/>
  <c r="L106" i="34" s="1"/>
  <c r="G107" i="34" s="1"/>
  <c r="E106" i="34"/>
  <c r="H135" i="34"/>
  <c r="I135" i="34" s="1"/>
  <c r="H121" i="34"/>
  <c r="I121" i="34" s="1"/>
  <c r="I105" i="34"/>
  <c r="P135" i="29"/>
  <c r="G137" i="29"/>
  <c r="L86" i="29"/>
  <c r="N138" i="29" a="1"/>
  <c r="N138" i="29" s="1"/>
  <c r="Q138" i="29" a="1"/>
  <c r="Q138" i="29" s="1"/>
  <c r="S129" i="29"/>
  <c r="F136" i="29"/>
  <c r="M136" i="29"/>
  <c r="C136" i="29" a="1"/>
  <c r="C136" i="29" s="1"/>
  <c r="L137" i="29" a="1"/>
  <c r="L137" i="29" s="1"/>
  <c r="I139" i="29"/>
  <c r="K140" i="29"/>
  <c r="I254" i="22"/>
  <c r="E74" i="22"/>
  <c r="C167" i="5" s="1"/>
  <c r="K102" i="27"/>
  <c r="L102" i="27"/>
  <c r="G103" i="27" s="1"/>
  <c r="H129" i="27"/>
  <c r="J100" i="27" s="1"/>
  <c r="F100" i="27"/>
  <c r="G129" i="27"/>
  <c r="I129" i="27" s="1"/>
  <c r="E101" i="27"/>
  <c r="J131" i="27" s="1"/>
  <c r="K250" i="22"/>
  <c r="K252" i="22" s="1"/>
  <c r="I81" i="25"/>
  <c r="J81" i="25"/>
  <c r="H51" i="21"/>
  <c r="L248" i="22"/>
  <c r="H52" i="22" s="1"/>
  <c r="I27" i="21"/>
  <c r="I48" i="21"/>
  <c r="G52" i="21"/>
  <c r="G30" i="21"/>
  <c r="P114" i="20"/>
  <c r="P117" i="20"/>
  <c r="M5" i="20"/>
  <c r="D4" i="20"/>
  <c r="D5" i="20"/>
  <c r="J15" i="20" s="1"/>
  <c r="P198" i="20"/>
  <c r="O198" i="20"/>
  <c r="O197" i="20"/>
  <c r="O195" i="20"/>
  <c r="O194" i="20"/>
  <c r="O193" i="20"/>
  <c r="O192" i="20"/>
  <c r="O191" i="20"/>
  <c r="O190" i="20"/>
  <c r="O187" i="20"/>
  <c r="O184" i="20"/>
  <c r="O182" i="20"/>
  <c r="O180" i="20"/>
  <c r="O178" i="20"/>
  <c r="O175" i="20"/>
  <c r="O174" i="20"/>
  <c r="P169" i="20"/>
  <c r="P131" i="20"/>
  <c r="P127" i="20"/>
  <c r="P124" i="20"/>
  <c r="P112" i="20"/>
  <c r="P111" i="20"/>
  <c r="P110" i="20"/>
  <c r="O99" i="20"/>
  <c r="P98" i="20"/>
  <c r="O98" i="20"/>
  <c r="P97" i="20"/>
  <c r="O97" i="20"/>
  <c r="O95" i="20"/>
  <c r="O94" i="20"/>
  <c r="O93" i="20"/>
  <c r="O92" i="20"/>
  <c r="O91" i="20"/>
  <c r="O90" i="20"/>
  <c r="O89" i="20"/>
  <c r="O88" i="20"/>
  <c r="O87" i="20"/>
  <c r="O86" i="20"/>
  <c r="O85" i="20"/>
  <c r="O84" i="20"/>
  <c r="O79" i="20"/>
  <c r="O78" i="20"/>
  <c r="O77" i="20"/>
  <c r="O76" i="20"/>
  <c r="O75" i="20"/>
  <c r="P74" i="20"/>
  <c r="O74" i="20"/>
  <c r="O73" i="20"/>
  <c r="P72" i="20"/>
  <c r="O72" i="20"/>
  <c r="P56" i="20"/>
  <c r="P55" i="20"/>
  <c r="P54" i="20"/>
  <c r="P47" i="20"/>
  <c r="P45" i="20"/>
  <c r="P43" i="20"/>
  <c r="P36" i="20"/>
  <c r="P32" i="20"/>
  <c r="P31" i="20"/>
  <c r="O31" i="20"/>
  <c r="P30" i="20"/>
  <c r="P28" i="20"/>
  <c r="L28" i="20" s="1" a="1"/>
  <c r="L28" i="20" s="1"/>
  <c r="P27" i="20"/>
  <c r="P26" i="20"/>
  <c r="R32" i="20"/>
  <c r="Q32" i="20" s="1"/>
  <c r="R36" i="20"/>
  <c r="R74" i="20"/>
  <c r="Q74" i="20" s="1"/>
  <c r="R111" i="20"/>
  <c r="Q111" i="20" s="1"/>
  <c r="Q24" i="20"/>
  <c r="L24" i="20" s="1" a="1"/>
  <c r="L24" i="20" s="1"/>
  <c r="Q25" i="20"/>
  <c r="L25" i="20" s="1" a="1"/>
  <c r="L25" i="20" s="1"/>
  <c r="Q26" i="20"/>
  <c r="Q27" i="20"/>
  <c r="Q28" i="20"/>
  <c r="Q29" i="20"/>
  <c r="L29" i="20" s="1" a="1"/>
  <c r="L29" i="20" s="1"/>
  <c r="H29" i="20" s="1"/>
  <c r="C127" i="5" s="1"/>
  <c r="Q30" i="20"/>
  <c r="Q31" i="20"/>
  <c r="Q33" i="20"/>
  <c r="L33" i="20" s="1" a="1"/>
  <c r="L33" i="20" s="1"/>
  <c r="H33" i="20" s="1"/>
  <c r="C61" i="5" s="1"/>
  <c r="Q34" i="20"/>
  <c r="L34" i="20" s="1" a="1"/>
  <c r="L34" i="20" s="1"/>
  <c r="H34" i="20" s="1"/>
  <c r="C64" i="5" s="1"/>
  <c r="Q35" i="20"/>
  <c r="L35" i="20" s="1" a="1"/>
  <c r="L35" i="20" s="1"/>
  <c r="H35" i="20" s="1"/>
  <c r="C156" i="5" s="1"/>
  <c r="Q42" i="20"/>
  <c r="L42" i="20" s="1" a="1"/>
  <c r="L42" i="20" s="1"/>
  <c r="H42" i="20" s="1"/>
  <c r="C62" i="5" s="1"/>
  <c r="Q43" i="20"/>
  <c r="Q44" i="20"/>
  <c r="L44" i="20" s="1" a="1"/>
  <c r="L44" i="20" s="1"/>
  <c r="H44" i="20" s="1"/>
  <c r="C54" i="5" s="1"/>
  <c r="Q45" i="20"/>
  <c r="Q46" i="20"/>
  <c r="L46" i="20" s="1" a="1"/>
  <c r="L46" i="20" s="1"/>
  <c r="Q47" i="20"/>
  <c r="Q48" i="20"/>
  <c r="L48" i="20" s="1" a="1"/>
  <c r="L48" i="20" s="1"/>
  <c r="H48" i="20" s="1"/>
  <c r="C121" i="5" s="1"/>
  <c r="Q49" i="20"/>
  <c r="L49" i="20" s="1" a="1"/>
  <c r="L49" i="20" s="1"/>
  <c r="H49" i="20" s="1"/>
  <c r="C75" i="5" s="1"/>
  <c r="Q50" i="20"/>
  <c r="L50" i="20" s="1" a="1"/>
  <c r="L50" i="20" s="1"/>
  <c r="H50" i="20" s="1"/>
  <c r="C117" i="5" s="1"/>
  <c r="Q51" i="20"/>
  <c r="L51" i="20" s="1" a="1"/>
  <c r="L51" i="20" s="1"/>
  <c r="H51" i="20" s="1"/>
  <c r="C118" i="5" s="1"/>
  <c r="Q52" i="20"/>
  <c r="L52" i="20" s="1" a="1"/>
  <c r="L52" i="20" s="1"/>
  <c r="H52" i="20" s="1"/>
  <c r="C142" i="5" s="1"/>
  <c r="Q53" i="20"/>
  <c r="L53" i="20" s="1" a="1"/>
  <c r="L53" i="20" s="1"/>
  <c r="Q54" i="20"/>
  <c r="Q55" i="20"/>
  <c r="Q56" i="20"/>
  <c r="Q57" i="20"/>
  <c r="L57" i="20" s="1" a="1"/>
  <c r="L57" i="20" s="1"/>
  <c r="H57" i="20" s="1"/>
  <c r="C157" i="5" s="1"/>
  <c r="Q72" i="20"/>
  <c r="Q73" i="20"/>
  <c r="Q75" i="20"/>
  <c r="Q76" i="20"/>
  <c r="Q77" i="20"/>
  <c r="Q78" i="20"/>
  <c r="Q79" i="20"/>
  <c r="Q84" i="20"/>
  <c r="Q85" i="20"/>
  <c r="Q86" i="20"/>
  <c r="Q87" i="20"/>
  <c r="Q88" i="20"/>
  <c r="Q89" i="20"/>
  <c r="Q90" i="20"/>
  <c r="Q91" i="20"/>
  <c r="Q92" i="20"/>
  <c r="Q93" i="20"/>
  <c r="Q94" i="20"/>
  <c r="Q95" i="20"/>
  <c r="Q96" i="20"/>
  <c r="Q97" i="20"/>
  <c r="Q98" i="20"/>
  <c r="Q99" i="20"/>
  <c r="Q110" i="20"/>
  <c r="Q112" i="20"/>
  <c r="Q114" i="20"/>
  <c r="Q115" i="20"/>
  <c r="L115" i="20" s="1" a="1"/>
  <c r="L115" i="20" s="1"/>
  <c r="Q116" i="20"/>
  <c r="L116" i="20" s="1" a="1"/>
  <c r="L116" i="20" s="1"/>
  <c r="H116" i="20" s="1"/>
  <c r="C48" i="5" s="1"/>
  <c r="Q117" i="20"/>
  <c r="Q118" i="20"/>
  <c r="L118" i="20" s="1" a="1"/>
  <c r="L118" i="20" s="1"/>
  <c r="H118" i="20" s="1"/>
  <c r="C58" i="5" s="1"/>
  <c r="Q119" i="20"/>
  <c r="L119" i="20" s="1" a="1"/>
  <c r="L119" i="20" s="1"/>
  <c r="H119" i="20" s="1"/>
  <c r="C67" i="5" s="1"/>
  <c r="Q124" i="20"/>
  <c r="Q125" i="20"/>
  <c r="Q127" i="20"/>
  <c r="Q130" i="20"/>
  <c r="Q131" i="20"/>
  <c r="Q169" i="20"/>
  <c r="Q170" i="20"/>
  <c r="Q174" i="20"/>
  <c r="Q175" i="20"/>
  <c r="Q178" i="20"/>
  <c r="Q180" i="20"/>
  <c r="Q182" i="20"/>
  <c r="Q184" i="20"/>
  <c r="Q187" i="20"/>
  <c r="Q190" i="20"/>
  <c r="Q191" i="20"/>
  <c r="Q192" i="20"/>
  <c r="Q193" i="20"/>
  <c r="Q194" i="20"/>
  <c r="Q195" i="20"/>
  <c r="Q197" i="20"/>
  <c r="Q198" i="20"/>
  <c r="A20" i="20"/>
  <c r="A64" i="20"/>
  <c r="A106" i="20"/>
  <c r="A141" i="20"/>
  <c r="A189" i="20"/>
  <c r="L27" i="20" l="1" a="1"/>
  <c r="L27" i="20" s="1"/>
  <c r="K107" i="34"/>
  <c r="L107" i="34"/>
  <c r="G108" i="34" s="1"/>
  <c r="H122" i="34"/>
  <c r="I122" i="34" s="1"/>
  <c r="H136" i="34"/>
  <c r="I136" i="34" s="1"/>
  <c r="I106" i="34"/>
  <c r="E107" i="34"/>
  <c r="C137" i="29" a="1"/>
  <c r="C137" i="29" s="1"/>
  <c r="F137" i="29"/>
  <c r="M137" i="29"/>
  <c r="L138" i="29" a="1"/>
  <c r="L138" i="29" s="1"/>
  <c r="L87" i="29"/>
  <c r="G138" i="29"/>
  <c r="K141" i="29"/>
  <c r="I140" i="29"/>
  <c r="O130" i="29" a="1"/>
  <c r="O130" i="29" s="1"/>
  <c r="B138" i="29"/>
  <c r="P136" i="29"/>
  <c r="N139" i="29" a="1"/>
  <c r="N139" i="29" s="1"/>
  <c r="Q139" i="29" a="1"/>
  <c r="Q139" i="29" s="1"/>
  <c r="E102" i="27"/>
  <c r="J132" i="27" s="1"/>
  <c r="F101" i="27"/>
  <c r="H130" i="27"/>
  <c r="J101" i="27" s="1"/>
  <c r="G130" i="27"/>
  <c r="I130" i="27" s="1"/>
  <c r="K103" i="27"/>
  <c r="L103" i="27" s="1"/>
  <c r="G104" i="27" s="1"/>
  <c r="I82" i="25"/>
  <c r="J82" i="25"/>
  <c r="L30" i="20" a="1"/>
  <c r="L30" i="20" s="1"/>
  <c r="H30" i="20" s="1"/>
  <c r="C119" i="5" s="1"/>
  <c r="G31" i="21"/>
  <c r="L47" i="20" a="1"/>
  <c r="L47" i="20" s="1"/>
  <c r="H47" i="20" s="1"/>
  <c r="C120" i="5" s="1"/>
  <c r="L86" i="20" a="1"/>
  <c r="L86" i="20" s="1"/>
  <c r="H86" i="20" s="1"/>
  <c r="C126" i="5" s="1"/>
  <c r="L94" i="20" a="1"/>
  <c r="L94" i="20" s="1"/>
  <c r="H94" i="20" s="1"/>
  <c r="C136" i="5" s="1"/>
  <c r="L110" i="20" a="1"/>
  <c r="L110" i="20" s="1"/>
  <c r="H110" i="20" s="1"/>
  <c r="C70" i="5" s="1"/>
  <c r="H30" i="21"/>
  <c r="P99" i="20"/>
  <c r="L99" i="20" s="1" a="1"/>
  <c r="L99" i="20" s="1"/>
  <c r="H99" i="20" s="1"/>
  <c r="C146" i="5" s="1"/>
  <c r="H52" i="21"/>
  <c r="P170" i="20"/>
  <c r="L170" i="20" s="1" a="1"/>
  <c r="L170" i="20" s="1"/>
  <c r="H170" i="20" s="1"/>
  <c r="C51" i="5" s="1"/>
  <c r="L32" i="20" a="1"/>
  <c r="L32" i="20" s="1"/>
  <c r="H32" i="20" s="1"/>
  <c r="C108" i="5" s="1"/>
  <c r="J52" i="22"/>
  <c r="L269" i="22"/>
  <c r="L54" i="20" a="1"/>
  <c r="L54" i="20" s="1"/>
  <c r="H54" i="20" s="1"/>
  <c r="C60" i="5" s="1"/>
  <c r="L75" i="20" a="1"/>
  <c r="L75" i="20" s="1"/>
  <c r="H75" i="20" s="1"/>
  <c r="C94" i="5" s="1"/>
  <c r="L87" i="20" a="1"/>
  <c r="L87" i="20" s="1"/>
  <c r="H87" i="20" s="1"/>
  <c r="C116" i="5" s="1"/>
  <c r="L95" i="20" a="1"/>
  <c r="L95" i="20" s="1"/>
  <c r="H95" i="20" s="1"/>
  <c r="C149" i="5" s="1"/>
  <c r="L111" i="20" a="1"/>
  <c r="L111" i="20" s="1"/>
  <c r="H111" i="20" s="1"/>
  <c r="C73" i="5" s="1"/>
  <c r="L190" i="20" a="1"/>
  <c r="L190" i="20" s="1"/>
  <c r="H190" i="20" s="1"/>
  <c r="C98" i="5" s="1"/>
  <c r="L31" i="20" a="1"/>
  <c r="L31" i="20" s="1"/>
  <c r="H31" i="20" s="1"/>
  <c r="C141" i="5" s="1"/>
  <c r="L55" i="20" a="1"/>
  <c r="L55" i="20" s="1"/>
  <c r="H55" i="20" s="1"/>
  <c r="C68" i="5" s="1"/>
  <c r="L76" i="20" a="1"/>
  <c r="L76" i="20" s="1"/>
  <c r="H76" i="20" s="1"/>
  <c r="C152" i="5" s="1"/>
  <c r="L88" i="20" a="1"/>
  <c r="L88" i="20" s="1"/>
  <c r="H88" i="20" s="1"/>
  <c r="C72" i="5" s="1"/>
  <c r="O96" i="20"/>
  <c r="L96" i="20" s="1" a="1"/>
  <c r="L96" i="20" s="1"/>
  <c r="H96" i="20" s="1"/>
  <c r="C134" i="5" s="1"/>
  <c r="L112" i="20" a="1"/>
  <c r="L112" i="20" s="1"/>
  <c r="H112" i="20" s="1"/>
  <c r="C56" i="5" s="1"/>
  <c r="L174" i="20" a="1"/>
  <c r="L174" i="20" s="1"/>
  <c r="H174" i="20" s="1"/>
  <c r="L191" i="20" a="1"/>
  <c r="L191" i="20" s="1"/>
  <c r="H191" i="20" s="1"/>
  <c r="C99" i="5" s="1"/>
  <c r="L56" i="20" a="1"/>
  <c r="L56" i="20" s="1"/>
  <c r="H56" i="20" s="1"/>
  <c r="C77" i="5" s="1"/>
  <c r="L77" i="20" a="1"/>
  <c r="L77" i="20" s="1"/>
  <c r="H77" i="20" s="1"/>
  <c r="C133" i="5" s="1"/>
  <c r="L89" i="20" a="1"/>
  <c r="L89" i="20" s="1"/>
  <c r="H89" i="20" s="1"/>
  <c r="C95" i="5" s="1"/>
  <c r="L124" i="20" a="1"/>
  <c r="L124" i="20" s="1"/>
  <c r="H124" i="20" s="1"/>
  <c r="C132" i="5" s="1"/>
  <c r="L175" i="20" a="1"/>
  <c r="L175" i="20" s="1"/>
  <c r="H175" i="20" s="1"/>
  <c r="H177" i="20" s="1"/>
  <c r="L192" i="20" a="1"/>
  <c r="L192" i="20" s="1"/>
  <c r="H192" i="20" s="1"/>
  <c r="C100" i="5" s="1"/>
  <c r="L117" i="20" a="1"/>
  <c r="L117" i="20" s="1"/>
  <c r="H117" i="20" s="1"/>
  <c r="C88" i="5" s="1"/>
  <c r="L78" i="20" a="1"/>
  <c r="L78" i="20" s="1"/>
  <c r="H78" i="20" s="1"/>
  <c r="C128" i="5" s="1"/>
  <c r="L90" i="20" a="1"/>
  <c r="L90" i="20" s="1"/>
  <c r="H90" i="20" s="1"/>
  <c r="C79" i="5" s="1"/>
  <c r="L178" i="20" a="1"/>
  <c r="L178" i="20" s="1"/>
  <c r="H178" i="20" s="1"/>
  <c r="C131" i="5" s="1"/>
  <c r="L193" i="20" a="1"/>
  <c r="L193" i="20" s="1"/>
  <c r="H193" i="20" s="1"/>
  <c r="C101" i="5" s="1"/>
  <c r="L114" i="20" a="1"/>
  <c r="L114" i="20" s="1"/>
  <c r="H114" i="20" s="1"/>
  <c r="C89" i="5" s="1"/>
  <c r="L169" i="20" a="1"/>
  <c r="L169" i="20" s="1"/>
  <c r="H169" i="20" s="1"/>
  <c r="C84" i="5" s="1"/>
  <c r="R58" i="20"/>
  <c r="L79" i="20" a="1"/>
  <c r="L79" i="20" s="1"/>
  <c r="H79" i="20" s="1"/>
  <c r="C139" i="5" s="1"/>
  <c r="L91" i="20" a="1"/>
  <c r="L91" i="20" s="1"/>
  <c r="H91" i="20" s="1"/>
  <c r="C66" i="5" s="1"/>
  <c r="L127" i="20" a="1"/>
  <c r="L127" i="20" s="1"/>
  <c r="H127" i="20" s="1"/>
  <c r="C45" i="5" s="1"/>
  <c r="L180" i="20" a="1"/>
  <c r="L180" i="20" s="1"/>
  <c r="H180" i="20" s="1"/>
  <c r="C130" i="5" s="1"/>
  <c r="L194" i="20" a="1"/>
  <c r="L194" i="20" s="1"/>
  <c r="H194" i="20" s="1"/>
  <c r="C102" i="5" s="1"/>
  <c r="L198" i="20" a="1"/>
  <c r="L198" i="20" s="1"/>
  <c r="H198" i="20" s="1"/>
  <c r="C138" i="5" s="1"/>
  <c r="L26" i="20" a="1"/>
  <c r="L26" i="20" s="1"/>
  <c r="H26" i="20" s="1"/>
  <c r="L43" i="20" a="1"/>
  <c r="L43" i="20" s="1"/>
  <c r="H43" i="20" s="1"/>
  <c r="C55" i="5" s="1"/>
  <c r="L73" i="20" a="1"/>
  <c r="L73" i="20" s="1"/>
  <c r="H73" i="20" s="1"/>
  <c r="C129" i="5" s="1"/>
  <c r="L84" i="20" a="1"/>
  <c r="L84" i="20" s="1"/>
  <c r="H84" i="20" s="1"/>
  <c r="C145" i="5" s="1"/>
  <c r="L92" i="20" a="1"/>
  <c r="L92" i="20" s="1"/>
  <c r="H92" i="20" s="1"/>
  <c r="C110" i="5" s="1"/>
  <c r="L182" i="20" a="1"/>
  <c r="L182" i="20" s="1"/>
  <c r="H182" i="20" s="1"/>
  <c r="C140" i="5" s="1"/>
  <c r="L195" i="20" a="1"/>
  <c r="L195" i="20" s="1"/>
  <c r="H195" i="20" s="1"/>
  <c r="C103" i="5" s="1"/>
  <c r="L187" i="20" a="1"/>
  <c r="L187" i="20" s="1"/>
  <c r="H187" i="20" s="1"/>
  <c r="C144" i="5" s="1"/>
  <c r="L45" i="20" a="1"/>
  <c r="L45" i="20" s="1"/>
  <c r="H45" i="20" s="1"/>
  <c r="C83" i="5" s="1"/>
  <c r="L74" i="20" a="1"/>
  <c r="L74" i="20" s="1"/>
  <c r="H74" i="20" s="1"/>
  <c r="C63" i="5" s="1"/>
  <c r="L85" i="20" a="1"/>
  <c r="L85" i="20" s="1"/>
  <c r="H85" i="20" s="1"/>
  <c r="C107" i="5" s="1"/>
  <c r="L93" i="20" a="1"/>
  <c r="L93" i="20" s="1"/>
  <c r="H93" i="20" s="1"/>
  <c r="C112" i="5" s="1"/>
  <c r="L131" i="20" a="1"/>
  <c r="L131" i="20" s="1"/>
  <c r="H131" i="20" s="1"/>
  <c r="C49" i="5" s="1"/>
  <c r="L184" i="20" a="1"/>
  <c r="L184" i="20" s="1"/>
  <c r="H184" i="20" s="1"/>
  <c r="C115" i="5" s="1"/>
  <c r="L197" i="20" a="1"/>
  <c r="L197" i="20" s="1"/>
  <c r="H197" i="20" s="1"/>
  <c r="C148" i="5" s="1"/>
  <c r="L72" i="20" a="1"/>
  <c r="L72" i="20" s="1"/>
  <c r="H72" i="20" s="1"/>
  <c r="C69" i="5" s="1"/>
  <c r="L98" i="20" a="1"/>
  <c r="L98" i="20" s="1"/>
  <c r="H98" i="20" s="1"/>
  <c r="C109" i="5" s="1"/>
  <c r="H25" i="20"/>
  <c r="C43" i="5" s="1"/>
  <c r="L97" i="20" a="1"/>
  <c r="L97" i="20" s="1"/>
  <c r="H97" i="20" s="1"/>
  <c r="C154" i="5" s="1"/>
  <c r="H46" i="20"/>
  <c r="C50" i="5" s="1"/>
  <c r="H115" i="20"/>
  <c r="C57" i="5" s="1"/>
  <c r="H53" i="20"/>
  <c r="C143" i="5" s="1"/>
  <c r="H27" i="20"/>
  <c r="C137" i="5" s="1"/>
  <c r="H28" i="20"/>
  <c r="C155" i="5" s="1"/>
  <c r="H24" i="20"/>
  <c r="C65" i="5" s="1"/>
  <c r="T36" i="20"/>
  <c r="Q36" i="20" s="1"/>
  <c r="L36" i="20" s="1" a="1"/>
  <c r="L36" i="20" s="1"/>
  <c r="H36" i="20" s="1"/>
  <c r="C135" i="5" s="1"/>
  <c r="A5" i="19"/>
  <c r="D10" i="19"/>
  <c r="D11" i="19"/>
  <c r="D12" i="19"/>
  <c r="D13" i="19"/>
  <c r="D19" i="19"/>
  <c r="D20" i="19"/>
  <c r="D26" i="19"/>
  <c r="D27" i="19"/>
  <c r="D33" i="19"/>
  <c r="D34" i="19"/>
  <c r="D41" i="19"/>
  <c r="D42" i="19"/>
  <c r="D43" i="19"/>
  <c r="D49" i="19"/>
  <c r="F49" i="19"/>
  <c r="D50" i="19" s="1"/>
  <c r="D56" i="19"/>
  <c r="D57" i="19"/>
  <c r="D58" i="19"/>
  <c r="D64" i="19"/>
  <c r="D65" i="19"/>
  <c r="D66" i="19"/>
  <c r="D67" i="19"/>
  <c r="H83" i="19"/>
  <c r="D91" i="19"/>
  <c r="D92" i="19"/>
  <c r="D93" i="19"/>
  <c r="D94" i="19"/>
  <c r="D95" i="19"/>
  <c r="D96" i="19"/>
  <c r="D97" i="19"/>
  <c r="D98" i="19"/>
  <c r="D99" i="19"/>
  <c r="D100" i="19"/>
  <c r="D101" i="19"/>
  <c r="D102" i="19"/>
  <c r="D103" i="19"/>
  <c r="D104" i="19"/>
  <c r="D105" i="19"/>
  <c r="D106" i="19"/>
  <c r="D107" i="19"/>
  <c r="D108" i="19"/>
  <c r="A112" i="19"/>
  <c r="A129" i="19"/>
  <c r="D134" i="19"/>
  <c r="D135" i="19"/>
  <c r="D136" i="19"/>
  <c r="D137" i="19"/>
  <c r="D138" i="19"/>
  <c r="A143" i="19"/>
  <c r="A162" i="19"/>
  <c r="C78" i="5" l="1"/>
  <c r="I107" i="34"/>
  <c r="E108" i="34"/>
  <c r="H137" i="34"/>
  <c r="I137" i="34" s="1"/>
  <c r="H123" i="34"/>
  <c r="I123" i="34" s="1"/>
  <c r="K108" i="34"/>
  <c r="L108" i="34"/>
  <c r="G109" i="34" s="1"/>
  <c r="G139" i="29"/>
  <c r="F138" i="29"/>
  <c r="C138" i="29" a="1"/>
  <c r="C138" i="29" s="1"/>
  <c r="M138" i="29"/>
  <c r="L139" i="29" a="1"/>
  <c r="L139" i="29" s="1"/>
  <c r="P137" i="29"/>
  <c r="R130" i="29"/>
  <c r="B139" i="29"/>
  <c r="Q140" i="29" a="1"/>
  <c r="Q140" i="29" s="1"/>
  <c r="N140" i="29" a="1"/>
  <c r="N140" i="29" s="1"/>
  <c r="L88" i="29"/>
  <c r="I141" i="29"/>
  <c r="K142" i="29"/>
  <c r="K104" i="27"/>
  <c r="L104" i="27"/>
  <c r="G105" i="27" s="1"/>
  <c r="K105" i="27" s="1"/>
  <c r="L105" i="27" s="1"/>
  <c r="G106" i="27" s="1"/>
  <c r="K106" i="27" s="1"/>
  <c r="G131" i="27"/>
  <c r="I131" i="27" s="1"/>
  <c r="E103" i="27"/>
  <c r="J133" i="27" s="1"/>
  <c r="F102" i="27"/>
  <c r="H131" i="27"/>
  <c r="J102" i="27" s="1"/>
  <c r="J83" i="25"/>
  <c r="I83" i="25"/>
  <c r="H31" i="21"/>
  <c r="H179" i="20"/>
  <c r="H181" i="20" s="1"/>
  <c r="H183" i="20" s="1"/>
  <c r="H185" i="20" s="1"/>
  <c r="H102" i="20"/>
  <c r="H81" i="20"/>
  <c r="H189" i="20"/>
  <c r="Q58" i="20"/>
  <c r="H38" i="20"/>
  <c r="E66" i="18"/>
  <c r="L5" i="18"/>
  <c r="M5" i="18"/>
  <c r="J66" i="18"/>
  <c r="G1" i="18" a="1"/>
  <c r="G1" i="18" s="1"/>
  <c r="E16" i="18"/>
  <c r="C4" i="18"/>
  <c r="C5" i="18"/>
  <c r="A14" i="18"/>
  <c r="A19" i="18"/>
  <c r="J28" i="18"/>
  <c r="J29" i="18"/>
  <c r="J30" i="18"/>
  <c r="E31" i="18"/>
  <c r="E71" i="18" s="1"/>
  <c r="F127" i="18" s="1"/>
  <c r="G31" i="18"/>
  <c r="H31" i="18"/>
  <c r="J34" i="18"/>
  <c r="J35" i="18"/>
  <c r="J36" i="18"/>
  <c r="J37" i="18"/>
  <c r="J38" i="18"/>
  <c r="E39" i="18"/>
  <c r="G39" i="18"/>
  <c r="H39" i="18"/>
  <c r="J42" i="18"/>
  <c r="J43" i="18"/>
  <c r="J44" i="18"/>
  <c r="J45" i="18"/>
  <c r="J46" i="18"/>
  <c r="E47" i="18"/>
  <c r="G47" i="18"/>
  <c r="H47" i="18"/>
  <c r="J50" i="18"/>
  <c r="J51" i="18"/>
  <c r="J52" i="18"/>
  <c r="J53" i="18"/>
  <c r="J54" i="18"/>
  <c r="E55" i="18"/>
  <c r="G55" i="18"/>
  <c r="H55" i="18"/>
  <c r="J58" i="18"/>
  <c r="J59" i="18"/>
  <c r="J60" i="18"/>
  <c r="J61" i="18"/>
  <c r="J62" i="18"/>
  <c r="E63" i="18"/>
  <c r="G63" i="18"/>
  <c r="H63" i="18"/>
  <c r="G65" i="18"/>
  <c r="H65" i="18"/>
  <c r="E73" i="18" s="1"/>
  <c r="A78" i="18"/>
  <c r="A120" i="18"/>
  <c r="E129" i="18"/>
  <c r="A135" i="18"/>
  <c r="E142" i="18"/>
  <c r="E144" i="18" s="1"/>
  <c r="K109" i="34" l="1"/>
  <c r="L109" i="34" s="1"/>
  <c r="G110" i="34" s="1"/>
  <c r="E109" i="34"/>
  <c r="H124" i="34"/>
  <c r="I124" i="34" s="1"/>
  <c r="I108" i="34"/>
  <c r="H138" i="34"/>
  <c r="I138" i="34" s="1"/>
  <c r="Q141" i="29" a="1"/>
  <c r="Q141" i="29" s="1"/>
  <c r="N141" i="29" a="1"/>
  <c r="N141" i="29" s="1"/>
  <c r="S130" i="29"/>
  <c r="C139" i="29" a="1"/>
  <c r="C139" i="29" s="1"/>
  <c r="F139" i="29"/>
  <c r="M139" i="29"/>
  <c r="L140" i="29" a="1"/>
  <c r="L140" i="29" s="1"/>
  <c r="B141" i="29" s="1"/>
  <c r="B140" i="29"/>
  <c r="P138" i="29"/>
  <c r="L89" i="29"/>
  <c r="K143" i="29"/>
  <c r="I142" i="29"/>
  <c r="G140" i="29"/>
  <c r="L106" i="27"/>
  <c r="G107" i="27" s="1"/>
  <c r="K107" i="27" s="1"/>
  <c r="L107" i="27" s="1"/>
  <c r="G108" i="27" s="1"/>
  <c r="H132" i="27"/>
  <c r="J103" i="27" s="1"/>
  <c r="E104" i="27"/>
  <c r="J134" i="27" s="1"/>
  <c r="G132" i="27"/>
  <c r="I132" i="27" s="1"/>
  <c r="F103" i="27"/>
  <c r="I84" i="25"/>
  <c r="J84" i="25"/>
  <c r="H200" i="20"/>
  <c r="L58" i="20" a="1"/>
  <c r="L58" i="20" s="1"/>
  <c r="H58" i="20" s="1"/>
  <c r="C71" i="5" s="1"/>
  <c r="F89" i="18"/>
  <c r="E65" i="18"/>
  <c r="J31" i="18"/>
  <c r="J63" i="18"/>
  <c r="J55" i="18"/>
  <c r="J47" i="18"/>
  <c r="C60" i="18"/>
  <c r="F124" i="18"/>
  <c r="E67" i="18"/>
  <c r="E72" i="18"/>
  <c r="E74" i="18" s="1"/>
  <c r="E145" i="18"/>
  <c r="F93" i="18"/>
  <c r="F97" i="18" s="1"/>
  <c r="E68" i="18"/>
  <c r="J39" i="18"/>
  <c r="J65" i="18" s="1"/>
  <c r="S5" i="17"/>
  <c r="O20" i="17"/>
  <c r="P20" i="17"/>
  <c r="Q20" i="17"/>
  <c r="R20" i="17"/>
  <c r="O21" i="17"/>
  <c r="P21" i="17"/>
  <c r="Q21" i="17"/>
  <c r="R21" i="17"/>
  <c r="O22" i="17"/>
  <c r="P22" i="17"/>
  <c r="Q22" i="17"/>
  <c r="R22" i="17"/>
  <c r="O23" i="17"/>
  <c r="P23" i="17"/>
  <c r="Q23" i="17"/>
  <c r="R23" i="17"/>
  <c r="O24" i="17"/>
  <c r="P24" i="17"/>
  <c r="Q24" i="17"/>
  <c r="R24" i="17"/>
  <c r="O25" i="17"/>
  <c r="P25" i="17"/>
  <c r="Q25" i="17"/>
  <c r="R25" i="17"/>
  <c r="O26" i="17"/>
  <c r="P26" i="17"/>
  <c r="Q26" i="17"/>
  <c r="R26" i="17"/>
  <c r="O27" i="17"/>
  <c r="P27" i="17"/>
  <c r="Q27" i="17"/>
  <c r="R27" i="17"/>
  <c r="O28" i="17"/>
  <c r="P28" i="17"/>
  <c r="Q28" i="17"/>
  <c r="R28" i="17"/>
  <c r="O29" i="17"/>
  <c r="P29" i="17"/>
  <c r="Q29" i="17"/>
  <c r="R29" i="17"/>
  <c r="M36" i="17"/>
  <c r="E44" i="17" s="1"/>
  <c r="L1" i="17"/>
  <c r="O17" i="17" s="1"/>
  <c r="H20" i="17"/>
  <c r="H21" i="17"/>
  <c r="H22" i="17"/>
  <c r="M22" i="17" s="1"/>
  <c r="H23" i="17"/>
  <c r="M23" i="17" s="1"/>
  <c r="H24" i="17"/>
  <c r="H25" i="17"/>
  <c r="H30" i="17" s="1"/>
  <c r="H26" i="17"/>
  <c r="M26" i="17" s="1"/>
  <c r="H27" i="17"/>
  <c r="H28" i="17"/>
  <c r="H29" i="17"/>
  <c r="C4" i="17"/>
  <c r="C5" i="17"/>
  <c r="R4" i="17"/>
  <c r="A13" i="17"/>
  <c r="M20" i="17"/>
  <c r="S20" i="17" a="1"/>
  <c r="S20" i="17" s="1"/>
  <c r="M21" i="17"/>
  <c r="S21" i="17" a="1"/>
  <c r="S21" i="17" s="1"/>
  <c r="S22" i="17" a="1"/>
  <c r="S22" i="17" s="1"/>
  <c r="S23" i="17" a="1"/>
  <c r="S23" i="17" s="1"/>
  <c r="M24" i="17"/>
  <c r="S24" i="17" a="1"/>
  <c r="S24" i="17" s="1"/>
  <c r="M25" i="17"/>
  <c r="S25" i="17" a="1"/>
  <c r="S25" i="17" s="1"/>
  <c r="S26" i="17" a="1"/>
  <c r="S26" i="17" s="1"/>
  <c r="M27" i="17"/>
  <c r="S27" i="17" a="1"/>
  <c r="S27" i="17" s="1"/>
  <c r="M28" i="17"/>
  <c r="S28" i="17" a="1"/>
  <c r="S28" i="17" s="1"/>
  <c r="M29" i="17"/>
  <c r="S29" i="17" a="1"/>
  <c r="S29" i="17" s="1"/>
  <c r="F30" i="17"/>
  <c r="J30" i="17"/>
  <c r="L30" i="17"/>
  <c r="X30" i="17"/>
  <c r="Y30" i="17"/>
  <c r="Z30" i="17"/>
  <c r="AA30" i="17"/>
  <c r="A40" i="17"/>
  <c r="C54" i="17"/>
  <c r="E55" i="17"/>
  <c r="F55" i="17" s="1"/>
  <c r="E56" i="17"/>
  <c r="F56" i="17" s="1"/>
  <c r="E57" i="17"/>
  <c r="F57" i="17" s="1"/>
  <c r="E58" i="17"/>
  <c r="F58" i="17" s="1"/>
  <c r="A63" i="17"/>
  <c r="D97" i="17"/>
  <c r="G103" i="17" s="1"/>
  <c r="D99" i="17"/>
  <c r="E97" i="17" s="1"/>
  <c r="I102" i="17"/>
  <c r="B102" i="17" s="1"/>
  <c r="C119" i="17"/>
  <c r="K110" i="34" l="1"/>
  <c r="L110" i="34"/>
  <c r="G111" i="34" s="1"/>
  <c r="I109" i="34"/>
  <c r="H139" i="34"/>
  <c r="I139" i="34" s="1"/>
  <c r="E110" i="34"/>
  <c r="H125" i="34"/>
  <c r="I125" i="34" s="1"/>
  <c r="L90" i="29"/>
  <c r="G141" i="29"/>
  <c r="P139" i="29"/>
  <c r="O131" i="29" a="1"/>
  <c r="O131" i="29" s="1"/>
  <c r="C140" i="29" a="1"/>
  <c r="C140" i="29" s="1"/>
  <c r="M140" i="29"/>
  <c r="F140" i="29"/>
  <c r="L141" i="29" a="1"/>
  <c r="L141" i="29" s="1"/>
  <c r="B142" i="29" s="1"/>
  <c r="Q142" i="29" a="1"/>
  <c r="Q142" i="29" s="1"/>
  <c r="N142" i="29" a="1"/>
  <c r="N142" i="29" s="1"/>
  <c r="I143" i="29"/>
  <c r="K144" i="29"/>
  <c r="F104" i="27"/>
  <c r="G133" i="27"/>
  <c r="I133" i="27" s="1"/>
  <c r="E105" i="27"/>
  <c r="J135" i="27" s="1"/>
  <c r="H133" i="27"/>
  <c r="J104" i="27" s="1"/>
  <c r="K108" i="27"/>
  <c r="L108" i="27" s="1"/>
  <c r="G109" i="27" s="1"/>
  <c r="J85" i="25"/>
  <c r="I85" i="25"/>
  <c r="I22" i="17" a="1"/>
  <c r="I22" i="17" s="1"/>
  <c r="H60" i="20"/>
  <c r="D119" i="17"/>
  <c r="I23" i="17" a="1"/>
  <c r="I23" i="17" s="1"/>
  <c r="I17" i="17"/>
  <c r="E46" i="17"/>
  <c r="J67" i="18"/>
  <c r="F128" i="18"/>
  <c r="J68" i="18"/>
  <c r="E147" i="18"/>
  <c r="E135" i="18" s="1"/>
  <c r="E146" i="18"/>
  <c r="C59" i="18"/>
  <c r="C58" i="18" s="1"/>
  <c r="C52" i="18" s="1"/>
  <c r="K57" i="18"/>
  <c r="F76" i="18" a="1"/>
  <c r="F76" i="18" s="1"/>
  <c r="I5" i="18"/>
  <c r="F17" i="17"/>
  <c r="I28" i="17" a="1"/>
  <c r="I28" i="17" s="1"/>
  <c r="I20" i="17" a="1"/>
  <c r="I20" i="17" s="1"/>
  <c r="G18" i="17"/>
  <c r="I25" i="17" a="1"/>
  <c r="I25" i="17" s="1"/>
  <c r="F42" i="17"/>
  <c r="H17" i="17"/>
  <c r="I27" i="17" a="1"/>
  <c r="I27" i="17" s="1"/>
  <c r="M17" i="17"/>
  <c r="C57" i="17"/>
  <c r="E42" i="17"/>
  <c r="G42" i="17" s="1"/>
  <c r="I24" i="17" a="1"/>
  <c r="I24" i="17" s="1"/>
  <c r="L17" i="17"/>
  <c r="C56" i="17"/>
  <c r="F46" i="17"/>
  <c r="I29" i="17" a="1"/>
  <c r="I29" i="17" s="1"/>
  <c r="I21" i="17" a="1"/>
  <c r="I21" i="17" s="1"/>
  <c r="I26" i="17" a="1"/>
  <c r="I26" i="17" s="1"/>
  <c r="C61" i="17"/>
  <c r="C60" i="17"/>
  <c r="C55" i="17"/>
  <c r="C58" i="17"/>
  <c r="C51" i="17"/>
  <c r="Q30" i="17"/>
  <c r="E51" i="17"/>
  <c r="C102" i="17"/>
  <c r="E102" i="17" s="1"/>
  <c r="D102" i="17"/>
  <c r="F102" i="17"/>
  <c r="H102" i="17" s="1"/>
  <c r="M102" i="17" s="1"/>
  <c r="AC11" i="17"/>
  <c r="O30" i="17"/>
  <c r="R30" i="17"/>
  <c r="P30" i="17"/>
  <c r="E40" i="17"/>
  <c r="F51" i="17"/>
  <c r="G104" i="17"/>
  <c r="I103" i="17"/>
  <c r="M35" i="17"/>
  <c r="N102" i="17"/>
  <c r="E61" i="17"/>
  <c r="E60" i="17"/>
  <c r="P5" i="16"/>
  <c r="O194" i="16"/>
  <c r="M53" i="16"/>
  <c r="N53" i="16"/>
  <c r="O53" i="16"/>
  <c r="L179" i="16"/>
  <c r="L58" i="16"/>
  <c r="O58" i="16" s="1"/>
  <c r="L53" i="16"/>
  <c r="L54" i="16"/>
  <c r="L55" i="16"/>
  <c r="O55" i="16" s="1"/>
  <c r="L29" i="16"/>
  <c r="M29" i="16"/>
  <c r="N29" i="16"/>
  <c r="O29" i="16"/>
  <c r="K112" i="16"/>
  <c r="J113" i="16" s="1"/>
  <c r="K82" i="16"/>
  <c r="L82" i="16"/>
  <c r="M82" i="16"/>
  <c r="K83" i="16"/>
  <c r="L83" i="16"/>
  <c r="M83" i="16"/>
  <c r="K77" i="16"/>
  <c r="L77" i="16"/>
  <c r="M77" i="16"/>
  <c r="J82" i="16"/>
  <c r="J84" i="16" s="1"/>
  <c r="J86" i="16" s="1"/>
  <c r="J88" i="16" s="1"/>
  <c r="J90" i="16" s="1"/>
  <c r="J92" i="16" s="1"/>
  <c r="J94" i="16" s="1"/>
  <c r="J96" i="16" s="1"/>
  <c r="J78" i="16"/>
  <c r="J79" i="16" s="1"/>
  <c r="J83" i="16" s="1"/>
  <c r="J85" i="16" s="1"/>
  <c r="J87" i="16" s="1"/>
  <c r="J89" i="16" s="1"/>
  <c r="J91" i="16" s="1"/>
  <c r="J93" i="16" s="1"/>
  <c r="J95" i="16" s="1"/>
  <c r="J98" i="16" s="1"/>
  <c r="J16" i="16"/>
  <c r="K108" i="16" s="1"/>
  <c r="I1" i="16" a="1"/>
  <c r="I1" i="16" s="1"/>
  <c r="H53" i="16"/>
  <c r="I53" i="16"/>
  <c r="J53" i="16"/>
  <c r="G194" i="16"/>
  <c r="H194" i="16"/>
  <c r="I194" i="16"/>
  <c r="J194" i="16"/>
  <c r="K194" i="16"/>
  <c r="L194" i="16"/>
  <c r="M194" i="16"/>
  <c r="N194" i="16"/>
  <c r="G82" i="16"/>
  <c r="H82" i="16"/>
  <c r="I82" i="16"/>
  <c r="G83" i="16"/>
  <c r="H83" i="16"/>
  <c r="I83" i="16"/>
  <c r="G77" i="16"/>
  <c r="H77" i="16"/>
  <c r="I77" i="16"/>
  <c r="G58" i="16"/>
  <c r="J58" i="16" s="1"/>
  <c r="G53" i="16"/>
  <c r="G54" i="16"/>
  <c r="G55" i="16"/>
  <c r="J55" i="16" s="1"/>
  <c r="G29" i="16"/>
  <c r="H29" i="16"/>
  <c r="I29" i="16"/>
  <c r="J29" i="16"/>
  <c r="F16" i="16"/>
  <c r="C4" i="16"/>
  <c r="C5" i="16"/>
  <c r="B83" i="16"/>
  <c r="B77" i="16"/>
  <c r="B53" i="16"/>
  <c r="B32" i="16"/>
  <c r="B29" i="16"/>
  <c r="O4" i="16"/>
  <c r="A14" i="16"/>
  <c r="A21" i="16"/>
  <c r="H33" i="16"/>
  <c r="I33" i="16" s="1"/>
  <c r="M33" i="16"/>
  <c r="N33" i="16" s="1"/>
  <c r="T33" i="16"/>
  <c r="H34" i="16"/>
  <c r="I34" i="16" s="1"/>
  <c r="M34" i="16"/>
  <c r="T34" i="16"/>
  <c r="H35" i="16"/>
  <c r="I35" i="16" s="1"/>
  <c r="M35" i="16"/>
  <c r="N35" i="16"/>
  <c r="T35" i="16"/>
  <c r="H36" i="16"/>
  <c r="I36" i="16" s="1"/>
  <c r="M36" i="16"/>
  <c r="N36" i="16" s="1"/>
  <c r="T36" i="16"/>
  <c r="H37" i="16"/>
  <c r="I37" i="16" s="1"/>
  <c r="M37" i="16"/>
  <c r="N37" i="16"/>
  <c r="T37" i="16"/>
  <c r="H38" i="16"/>
  <c r="I38" i="16" s="1"/>
  <c r="M38" i="16"/>
  <c r="N38" i="16" s="1"/>
  <c r="T38" i="16"/>
  <c r="H39" i="16"/>
  <c r="I39" i="16" s="1"/>
  <c r="M39" i="16"/>
  <c r="N39" i="16" s="1"/>
  <c r="T39" i="16"/>
  <c r="H40" i="16"/>
  <c r="I40" i="16" s="1"/>
  <c r="M40" i="16"/>
  <c r="N40" i="16" s="1"/>
  <c r="T40" i="16"/>
  <c r="H41" i="16"/>
  <c r="I41" i="16" s="1"/>
  <c r="M41" i="16"/>
  <c r="N41" i="16" s="1"/>
  <c r="T41" i="16"/>
  <c r="H42" i="16"/>
  <c r="I42" i="16" s="1"/>
  <c r="M42" i="16"/>
  <c r="N42" i="16" s="1"/>
  <c r="T42" i="16"/>
  <c r="H43" i="16"/>
  <c r="I43" i="16" s="1"/>
  <c r="M43" i="16"/>
  <c r="N43" i="16" s="1"/>
  <c r="T43" i="16"/>
  <c r="H44" i="16"/>
  <c r="I44" i="16" s="1"/>
  <c r="M44" i="16"/>
  <c r="N44" i="16" s="1"/>
  <c r="I46" i="16"/>
  <c r="J48" i="16"/>
  <c r="O48" i="16"/>
  <c r="J49" i="16"/>
  <c r="O49" i="16"/>
  <c r="J56" i="16"/>
  <c r="O56" i="16"/>
  <c r="J57" i="16"/>
  <c r="O57" i="16"/>
  <c r="A68" i="16"/>
  <c r="G78" i="16"/>
  <c r="K78" i="16"/>
  <c r="L78" i="16" s="1"/>
  <c r="G79" i="16"/>
  <c r="H79" i="16" s="1"/>
  <c r="K79" i="16"/>
  <c r="T84" i="16"/>
  <c r="T85" i="16"/>
  <c r="T86" i="16"/>
  <c r="T87" i="16"/>
  <c r="T88" i="16"/>
  <c r="T89" i="16"/>
  <c r="T90" i="16"/>
  <c r="T91" i="16"/>
  <c r="T92" i="16"/>
  <c r="T93" i="16"/>
  <c r="T94" i="16"/>
  <c r="G98" i="16"/>
  <c r="I98" i="16" s="1"/>
  <c r="K98" i="16"/>
  <c r="M98" i="16" s="1"/>
  <c r="J108" i="16"/>
  <c r="J109" i="16"/>
  <c r="J110" i="16"/>
  <c r="A117" i="16"/>
  <c r="G128" i="16"/>
  <c r="A133" i="16"/>
  <c r="J144" i="16"/>
  <c r="J183" i="16" s="1"/>
  <c r="J147" i="16"/>
  <c r="K147" i="16"/>
  <c r="J148" i="16"/>
  <c r="K148" i="16" s="1"/>
  <c r="G151" i="16"/>
  <c r="H151" i="16"/>
  <c r="G162" i="16"/>
  <c r="H162" i="16"/>
  <c r="G163" i="16"/>
  <c r="H163" i="16"/>
  <c r="G164" i="16"/>
  <c r="H164" i="16"/>
  <c r="G177" i="16"/>
  <c r="H177" i="16"/>
  <c r="J177" i="16" s="1"/>
  <c r="G178" i="16"/>
  <c r="J179" i="16"/>
  <c r="J180" i="16"/>
  <c r="G183" i="16"/>
  <c r="H183" i="16"/>
  <c r="A188" i="16"/>
  <c r="T197" i="16"/>
  <c r="T198" i="16"/>
  <c r="T199" i="16"/>
  <c r="T200" i="16"/>
  <c r="T201" i="16"/>
  <c r="T202" i="16"/>
  <c r="T203" i="16"/>
  <c r="T204" i="16"/>
  <c r="T205" i="16"/>
  <c r="T206" i="16"/>
  <c r="T207" i="16"/>
  <c r="A212" i="16"/>
  <c r="H212" i="16"/>
  <c r="T216" i="16"/>
  <c r="T217" i="16"/>
  <c r="T218" i="16"/>
  <c r="T219" i="16"/>
  <c r="T220" i="16"/>
  <c r="T221" i="16"/>
  <c r="T222" i="16"/>
  <c r="T223" i="16"/>
  <c r="T224" i="16"/>
  <c r="T225" i="16"/>
  <c r="T226" i="16"/>
  <c r="T227" i="16"/>
  <c r="T228" i="16"/>
  <c r="T229" i="16"/>
  <c r="T230" i="16"/>
  <c r="T231" i="16"/>
  <c r="T232" i="16"/>
  <c r="T233" i="16"/>
  <c r="T234" i="16"/>
  <c r="T235" i="16"/>
  <c r="T236" i="16"/>
  <c r="T237" i="16"/>
  <c r="T238" i="16"/>
  <c r="T239" i="16"/>
  <c r="T240" i="16"/>
  <c r="T241" i="16"/>
  <c r="T242" i="16"/>
  <c r="T243" i="16"/>
  <c r="T244" i="16"/>
  <c r="T245" i="16"/>
  <c r="T246" i="16"/>
  <c r="T247" i="16"/>
  <c r="T248" i="16"/>
  <c r="T249" i="16"/>
  <c r="T250" i="16"/>
  <c r="T251" i="16"/>
  <c r="T252" i="16"/>
  <c r="T253" i="16"/>
  <c r="T254" i="16"/>
  <c r="T255" i="16"/>
  <c r="T256" i="16"/>
  <c r="T257" i="16"/>
  <c r="T258" i="16"/>
  <c r="T259" i="16"/>
  <c r="T260" i="16"/>
  <c r="T261" i="16"/>
  <c r="T262" i="16"/>
  <c r="T263" i="16"/>
  <c r="T264" i="16"/>
  <c r="T265" i="16"/>
  <c r="T266" i="16"/>
  <c r="T267" i="16"/>
  <c r="T268" i="16"/>
  <c r="T269" i="16"/>
  <c r="T270" i="16"/>
  <c r="T271" i="16"/>
  <c r="T272" i="16"/>
  <c r="T273" i="16"/>
  <c r="T274" i="16"/>
  <c r="T275" i="16"/>
  <c r="T276" i="16"/>
  <c r="H126" i="34" l="1"/>
  <c r="I126" i="34" s="1"/>
  <c r="E111" i="34"/>
  <c r="H140" i="34"/>
  <c r="I140" i="34" s="1"/>
  <c r="I110" i="34"/>
  <c r="K111" i="34"/>
  <c r="L111" i="34"/>
  <c r="G112" i="34" s="1"/>
  <c r="K145" i="29"/>
  <c r="I144" i="29"/>
  <c r="L91" i="29"/>
  <c r="R131" i="29"/>
  <c r="G142" i="29"/>
  <c r="F141" i="29"/>
  <c r="M141" i="29"/>
  <c r="C141" i="29" a="1"/>
  <c r="C141" i="29" s="1"/>
  <c r="L142" i="29" a="1"/>
  <c r="L142" i="29" s="1"/>
  <c r="P140" i="29"/>
  <c r="N143" i="29" a="1"/>
  <c r="N143" i="29" s="1"/>
  <c r="Q143" i="29" a="1"/>
  <c r="Q143" i="29" s="1"/>
  <c r="F105" i="27"/>
  <c r="H134" i="27"/>
  <c r="J105" i="27" s="1"/>
  <c r="E106" i="27"/>
  <c r="J136" i="27" s="1"/>
  <c r="G134" i="27"/>
  <c r="I134" i="27" s="1"/>
  <c r="K109" i="27"/>
  <c r="L109" i="27" s="1"/>
  <c r="G110" i="27" s="1"/>
  <c r="J86" i="25"/>
  <c r="I86" i="25"/>
  <c r="E95" i="16" a="1"/>
  <c r="E95" i="16" s="1"/>
  <c r="H62" i="20"/>
  <c r="H66" i="20" s="1"/>
  <c r="H104" i="20" s="1"/>
  <c r="G76" i="18" a="1"/>
  <c r="G76" i="18" s="1"/>
  <c r="E76" i="18" s="1" a="1"/>
  <c r="E76" i="18" s="1"/>
  <c r="J5" i="18"/>
  <c r="K61" i="18"/>
  <c r="L61" i="18" s="1"/>
  <c r="K59" i="18"/>
  <c r="L59" i="18" s="1"/>
  <c r="K58" i="18"/>
  <c r="L58" i="18" s="1"/>
  <c r="K60" i="18"/>
  <c r="L60" i="18" s="1"/>
  <c r="K62" i="18"/>
  <c r="L62" i="18" s="1"/>
  <c r="F130" i="18"/>
  <c r="F132" i="18" s="1"/>
  <c r="E128" i="18"/>
  <c r="K49" i="18"/>
  <c r="C51" i="18"/>
  <c r="C50" i="18" s="1"/>
  <c r="C44" i="18" s="1"/>
  <c r="E52" i="17"/>
  <c r="J102" i="17"/>
  <c r="I30" i="17"/>
  <c r="L102" i="17"/>
  <c r="D13" i="17"/>
  <c r="K102" i="17"/>
  <c r="I104" i="17"/>
  <c r="G105" i="17"/>
  <c r="B103" i="17"/>
  <c r="N103" i="17"/>
  <c r="M37" i="17"/>
  <c r="R5" i="17" s="1"/>
  <c r="R31" i="17"/>
  <c r="O31" i="17"/>
  <c r="P31" i="17"/>
  <c r="Q31" i="17"/>
  <c r="M51" i="16"/>
  <c r="H160" i="16" s="1"/>
  <c r="K183" i="16"/>
  <c r="J164" i="16"/>
  <c r="D208" i="16" a="1"/>
  <c r="D208" i="16" s="1"/>
  <c r="J163" i="16"/>
  <c r="I79" i="16"/>
  <c r="H78" i="16"/>
  <c r="I78" i="16" s="1"/>
  <c r="H178" i="16"/>
  <c r="J178" i="16" s="1"/>
  <c r="N34" i="16"/>
  <c r="N51" i="16" s="1"/>
  <c r="M54" i="16" s="1"/>
  <c r="M60" i="16" s="1"/>
  <c r="H51" i="16"/>
  <c r="G160" i="16" s="1"/>
  <c r="J160" i="16" s="1"/>
  <c r="J162" i="16"/>
  <c r="C95" i="16"/>
  <c r="E94" i="16"/>
  <c r="J151" i="16"/>
  <c r="E44" i="16" a="1"/>
  <c r="E44" i="16" s="1"/>
  <c r="L79" i="16"/>
  <c r="M79" i="16" s="1"/>
  <c r="M78" i="16"/>
  <c r="I51" i="16"/>
  <c r="H54" i="16" s="1"/>
  <c r="S5" i="15"/>
  <c r="O20" i="15"/>
  <c r="P20" i="15"/>
  <c r="Q20" i="15"/>
  <c r="R20" i="15"/>
  <c r="O21" i="15"/>
  <c r="P21" i="15"/>
  <c r="Q21" i="15"/>
  <c r="R21" i="15"/>
  <c r="O22" i="15"/>
  <c r="P22" i="15"/>
  <c r="Q22" i="15"/>
  <c r="R22" i="15"/>
  <c r="O23" i="15"/>
  <c r="P23" i="15"/>
  <c r="Q23" i="15"/>
  <c r="R23" i="15"/>
  <c r="O24" i="15"/>
  <c r="P24" i="15"/>
  <c r="Q24" i="15"/>
  <c r="R24" i="15"/>
  <c r="O25" i="15"/>
  <c r="P25" i="15"/>
  <c r="Q25" i="15"/>
  <c r="R25" i="15"/>
  <c r="O26" i="15"/>
  <c r="P26" i="15"/>
  <c r="Q26" i="15"/>
  <c r="R26" i="15"/>
  <c r="O27" i="15"/>
  <c r="P27" i="15"/>
  <c r="Q27" i="15"/>
  <c r="R27" i="15"/>
  <c r="O28" i="15"/>
  <c r="P28" i="15"/>
  <c r="Q28" i="15"/>
  <c r="R28" i="15"/>
  <c r="O29" i="15"/>
  <c r="P29" i="15"/>
  <c r="Q29" i="15"/>
  <c r="R29" i="15"/>
  <c r="N29" i="15" s="1"/>
  <c r="M36" i="15"/>
  <c r="E128" i="15" s="1"/>
  <c r="L1" i="15"/>
  <c r="O17" i="15" s="1"/>
  <c r="H20" i="15"/>
  <c r="M20" i="15" s="1"/>
  <c r="H21" i="15"/>
  <c r="H22" i="15"/>
  <c r="H23" i="15"/>
  <c r="H24" i="15"/>
  <c r="M24" i="15" s="1"/>
  <c r="H25" i="15"/>
  <c r="H26" i="15"/>
  <c r="H27" i="15"/>
  <c r="H28" i="15"/>
  <c r="M28" i="15" s="1"/>
  <c r="N28" i="15" s="1"/>
  <c r="H29" i="15"/>
  <c r="D112" i="15"/>
  <c r="E112" i="15"/>
  <c r="D113" i="15"/>
  <c r="E113" i="15"/>
  <c r="D114" i="15"/>
  <c r="E114" i="15"/>
  <c r="D115" i="15"/>
  <c r="E115" i="15"/>
  <c r="D116" i="15"/>
  <c r="E116" i="15"/>
  <c r="D117" i="15"/>
  <c r="E117" i="15"/>
  <c r="D118" i="15"/>
  <c r="E118" i="15"/>
  <c r="D119" i="15"/>
  <c r="E119" i="15"/>
  <c r="D120" i="15"/>
  <c r="E120" i="15"/>
  <c r="D121" i="15"/>
  <c r="E121" i="15"/>
  <c r="C4" i="15"/>
  <c r="C5" i="15"/>
  <c r="E126" i="15" s="1"/>
  <c r="G126" i="15" s="1"/>
  <c r="A13" i="15"/>
  <c r="S20" i="15" a="1"/>
  <c r="S20" i="15" s="1"/>
  <c r="M21" i="15"/>
  <c r="S21" i="15" a="1"/>
  <c r="S21" i="15" s="1"/>
  <c r="M22" i="15"/>
  <c r="S22" i="15" a="1"/>
  <c r="S22" i="15" s="1"/>
  <c r="M23" i="15"/>
  <c r="S23" i="15" a="1"/>
  <c r="S23" i="15" s="1"/>
  <c r="S24" i="15" a="1"/>
  <c r="S24" i="15" s="1"/>
  <c r="M25" i="15"/>
  <c r="S25" i="15" a="1"/>
  <c r="S25" i="15" s="1"/>
  <c r="M26" i="15"/>
  <c r="N26" i="15" s="1"/>
  <c r="S26" i="15" a="1"/>
  <c r="S26" i="15" s="1"/>
  <c r="M27" i="15"/>
  <c r="S27" i="15" a="1"/>
  <c r="S27" i="15" s="1"/>
  <c r="S28" i="15" a="1"/>
  <c r="S28" i="15" s="1"/>
  <c r="M29" i="15"/>
  <c r="S29" i="15" a="1"/>
  <c r="S29" i="15" s="1"/>
  <c r="F30" i="15"/>
  <c r="J30" i="15"/>
  <c r="L30" i="15"/>
  <c r="X30" i="15"/>
  <c r="Y30" i="15"/>
  <c r="Z30" i="15"/>
  <c r="AA30" i="15"/>
  <c r="A40" i="15"/>
  <c r="B48" i="15"/>
  <c r="B49" i="15"/>
  <c r="B50" i="15"/>
  <c r="B51" i="15"/>
  <c r="B52" i="15"/>
  <c r="B53" i="15"/>
  <c r="B54" i="15"/>
  <c r="B55" i="15"/>
  <c r="B56" i="15"/>
  <c r="B57" i="15"/>
  <c r="J63" i="15"/>
  <c r="AC65" i="15"/>
  <c r="AC66" i="15"/>
  <c r="AC67" i="15"/>
  <c r="I68" i="15"/>
  <c r="AC68" i="15"/>
  <c r="AC69" i="15"/>
  <c r="AC70" i="15"/>
  <c r="AC71" i="15"/>
  <c r="AC72" i="15"/>
  <c r="B73" i="15"/>
  <c r="B74" i="15" s="1"/>
  <c r="AC73" i="15"/>
  <c r="AC74" i="15"/>
  <c r="AC75" i="15"/>
  <c r="AC76" i="15"/>
  <c r="AC77" i="15"/>
  <c r="AC78" i="15"/>
  <c r="AC79" i="15"/>
  <c r="AC80" i="15"/>
  <c r="AC81" i="15"/>
  <c r="AC82" i="15"/>
  <c r="G83" i="15"/>
  <c r="AC83" i="15"/>
  <c r="A124" i="15"/>
  <c r="C139" i="15"/>
  <c r="E140" i="15"/>
  <c r="F140" i="15" s="1"/>
  <c r="E141" i="15"/>
  <c r="F141" i="15" s="1"/>
  <c r="E142" i="15"/>
  <c r="F142" i="15" s="1"/>
  <c r="E143" i="15"/>
  <c r="F143" i="15" s="1"/>
  <c r="A148" i="15"/>
  <c r="D191" i="15"/>
  <c r="G197" i="15" s="1"/>
  <c r="D193" i="15"/>
  <c r="E191" i="15" s="1"/>
  <c r="I196" i="15"/>
  <c r="B196" i="15" s="1"/>
  <c r="C196" i="15" s="1"/>
  <c r="E196" i="15" s="1"/>
  <c r="C213" i="15"/>
  <c r="K112" i="34" l="1"/>
  <c r="L112" i="34"/>
  <c r="H141" i="34"/>
  <c r="I141" i="34" s="1"/>
  <c r="H127" i="34"/>
  <c r="I127" i="34" s="1"/>
  <c r="I111" i="34"/>
  <c r="E112" i="34"/>
  <c r="L92" i="29"/>
  <c r="C142" i="29" a="1"/>
  <c r="C142" i="29" s="1"/>
  <c r="M142" i="29"/>
  <c r="F142" i="29"/>
  <c r="L143" i="29" a="1"/>
  <c r="L143" i="29" s="1"/>
  <c r="Q144" i="29" a="1"/>
  <c r="Q144" i="29" s="1"/>
  <c r="N144" i="29" a="1"/>
  <c r="N144" i="29" s="1"/>
  <c r="P141" i="29"/>
  <c r="G143" i="29"/>
  <c r="I145" i="29"/>
  <c r="K146" i="29"/>
  <c r="S131" i="29"/>
  <c r="B143" i="29"/>
  <c r="F106" i="27"/>
  <c r="E107" i="27"/>
  <c r="J137" i="27" s="1"/>
  <c r="G135" i="27"/>
  <c r="I135" i="27" s="1"/>
  <c r="H135" i="27"/>
  <c r="J106" i="27" s="1"/>
  <c r="K110" i="27"/>
  <c r="L110" i="27" s="1"/>
  <c r="G111" i="27" s="1"/>
  <c r="I87" i="25"/>
  <c r="J87" i="25"/>
  <c r="C43" i="18"/>
  <c r="C42" i="18" s="1"/>
  <c r="C36" i="18" s="1"/>
  <c r="K41" i="18"/>
  <c r="K50" i="18"/>
  <c r="L50" i="18" s="1"/>
  <c r="K52" i="18"/>
  <c r="L52" i="18" s="1"/>
  <c r="K53" i="18"/>
  <c r="L53" i="18" s="1"/>
  <c r="K54" i="18"/>
  <c r="L54" i="18" s="1"/>
  <c r="K51" i="18"/>
  <c r="L51" i="18" s="1"/>
  <c r="L31" i="17"/>
  <c r="C31" i="17"/>
  <c r="C103" i="17"/>
  <c r="E103" i="17" s="1"/>
  <c r="D103" i="17"/>
  <c r="F103" i="17"/>
  <c r="H103" i="17" s="1"/>
  <c r="I105" i="17"/>
  <c r="G106" i="17"/>
  <c r="N104" i="17"/>
  <c r="B104" i="17"/>
  <c r="D207" i="16"/>
  <c r="D206" i="16" s="1"/>
  <c r="D205" i="16" s="1"/>
  <c r="I28" i="15" a="1"/>
  <c r="I28" i="15" s="1"/>
  <c r="I23" i="15" a="1"/>
  <c r="I23" i="15" s="1"/>
  <c r="I20" i="15" a="1"/>
  <c r="I20" i="15" s="1"/>
  <c r="H161" i="16"/>
  <c r="H166" i="16" s="1"/>
  <c r="H145" i="16" s="1"/>
  <c r="H167" i="16" s="1"/>
  <c r="H168" i="16" s="1"/>
  <c r="N54" i="16"/>
  <c r="N60" i="16" s="1"/>
  <c r="I17" i="15"/>
  <c r="I29" i="15" a="1"/>
  <c r="I29" i="15" s="1"/>
  <c r="I25" i="15" a="1"/>
  <c r="I25" i="15" s="1"/>
  <c r="I21" i="15" a="1"/>
  <c r="I21" i="15" s="1"/>
  <c r="G18" i="15"/>
  <c r="I22" i="15" a="1"/>
  <c r="I22" i="15" s="1"/>
  <c r="H60" i="16"/>
  <c r="I54" i="16"/>
  <c r="J54" i="16" s="1"/>
  <c r="G161" i="16"/>
  <c r="E43" i="16"/>
  <c r="C44" i="16"/>
  <c r="E93" i="16"/>
  <c r="C94" i="16"/>
  <c r="C142" i="15"/>
  <c r="C146" i="15"/>
  <c r="C140" i="15"/>
  <c r="H17" i="15"/>
  <c r="I27" i="15" a="1"/>
  <c r="I27" i="15" s="1"/>
  <c r="M17" i="15"/>
  <c r="F126" i="15"/>
  <c r="I24" i="15" a="1"/>
  <c r="I24" i="15" s="1"/>
  <c r="L17" i="15"/>
  <c r="D213" i="15"/>
  <c r="F17" i="15"/>
  <c r="I26" i="15" a="1"/>
  <c r="I26" i="15" s="1"/>
  <c r="N21" i="15"/>
  <c r="N27" i="15"/>
  <c r="N22" i="15"/>
  <c r="C143" i="15"/>
  <c r="C136" i="15"/>
  <c r="N24" i="15"/>
  <c r="C145" i="15"/>
  <c r="C141" i="15"/>
  <c r="N25" i="15"/>
  <c r="C73" i="15"/>
  <c r="R30" i="15"/>
  <c r="Q30" i="15"/>
  <c r="P30" i="15"/>
  <c r="Q35" i="15"/>
  <c r="F196" i="15"/>
  <c r="H196" i="15" s="1"/>
  <c r="J196" i="15" s="1"/>
  <c r="D196" i="15"/>
  <c r="N23" i="15"/>
  <c r="G198" i="15"/>
  <c r="I197" i="15"/>
  <c r="M35" i="15"/>
  <c r="N20" i="15"/>
  <c r="E136" i="15"/>
  <c r="E137" i="15" s="1"/>
  <c r="E145" i="15"/>
  <c r="E146" i="15"/>
  <c r="AC11" i="15"/>
  <c r="C74" i="15"/>
  <c r="H30" i="15"/>
  <c r="B75" i="15"/>
  <c r="O30" i="15"/>
  <c r="J5" i="14"/>
  <c r="I34" i="14"/>
  <c r="I1" i="14"/>
  <c r="C4" i="14"/>
  <c r="C5" i="14"/>
  <c r="C33" i="14" s="1"/>
  <c r="C3" i="14"/>
  <c r="I4" i="14"/>
  <c r="I27" i="14"/>
  <c r="I31" i="14"/>
  <c r="I112" i="34" l="1"/>
  <c r="H142" i="34"/>
  <c r="I142" i="34" s="1"/>
  <c r="H143" i="34"/>
  <c r="I143" i="34" s="1"/>
  <c r="Q145" i="29" a="1"/>
  <c r="Q145" i="29" s="1"/>
  <c r="N145" i="29" a="1"/>
  <c r="N145" i="29" s="1"/>
  <c r="L93" i="29"/>
  <c r="G144" i="29"/>
  <c r="K147" i="29"/>
  <c r="I146" i="29"/>
  <c r="F143" i="29"/>
  <c r="C143" i="29" a="1"/>
  <c r="C143" i="29" s="1"/>
  <c r="M143" i="29"/>
  <c r="L144" i="29" a="1"/>
  <c r="L144" i="29" s="1"/>
  <c r="P142" i="29"/>
  <c r="O132" i="29" a="1"/>
  <c r="O132" i="29" s="1"/>
  <c r="B144" i="29"/>
  <c r="E108" i="27"/>
  <c r="J138" i="27" s="1"/>
  <c r="G136" i="27"/>
  <c r="I136" i="27" s="1"/>
  <c r="H136" i="27"/>
  <c r="J107" i="27" s="1"/>
  <c r="F107" i="27"/>
  <c r="K111" i="27"/>
  <c r="L111" i="27" s="1"/>
  <c r="G112" i="27" s="1"/>
  <c r="I88" i="25"/>
  <c r="I90" i="25" s="1"/>
  <c r="J88" i="25"/>
  <c r="C22" i="14"/>
  <c r="K42" i="18"/>
  <c r="L42" i="18" s="1"/>
  <c r="K44" i="18"/>
  <c r="L44" i="18" s="1"/>
  <c r="K46" i="18"/>
  <c r="L46" i="18" s="1"/>
  <c r="K43" i="18"/>
  <c r="L43" i="18" s="1"/>
  <c r="K45" i="18"/>
  <c r="L45" i="18" s="1"/>
  <c r="C35" i="18"/>
  <c r="C34" i="18" s="1"/>
  <c r="K33" i="18"/>
  <c r="G107" i="17"/>
  <c r="I106" i="17"/>
  <c r="K103" i="17"/>
  <c r="J103" i="17"/>
  <c r="L103" i="17"/>
  <c r="M103" i="17"/>
  <c r="F104" i="17"/>
  <c r="H104" i="17" s="1"/>
  <c r="C104" i="17"/>
  <c r="E104" i="17" s="1"/>
  <c r="D104" i="17"/>
  <c r="B105" i="17"/>
  <c r="N105" i="17"/>
  <c r="O54" i="16"/>
  <c r="I60" i="16"/>
  <c r="E92" i="16"/>
  <c r="C93" i="16"/>
  <c r="D204" i="16"/>
  <c r="J161" i="16"/>
  <c r="J166" i="16" s="1"/>
  <c r="G166" i="16"/>
  <c r="G145" i="16" s="1"/>
  <c r="C43" i="16"/>
  <c r="E42" i="16"/>
  <c r="F74" i="15"/>
  <c r="I74" i="15" s="1"/>
  <c r="F73" i="15"/>
  <c r="I73" i="15" s="1"/>
  <c r="E130" i="15"/>
  <c r="E131" i="15" s="1"/>
  <c r="F130" i="15"/>
  <c r="F131" i="15" s="1"/>
  <c r="L196" i="15"/>
  <c r="K196" i="15"/>
  <c r="M196" i="15"/>
  <c r="I30" i="15"/>
  <c r="C31" i="15" s="1"/>
  <c r="C75" i="15"/>
  <c r="F75" i="15" s="1"/>
  <c r="J100" i="15"/>
  <c r="C100" i="15" s="1"/>
  <c r="J99" i="15"/>
  <c r="C99" i="15" s="1"/>
  <c r="J98" i="15"/>
  <c r="C98" i="15" s="1"/>
  <c r="J106" i="15"/>
  <c r="C106" i="15" s="1"/>
  <c r="J101" i="15"/>
  <c r="C101" i="15" s="1"/>
  <c r="J97" i="15"/>
  <c r="C97" i="15" s="1"/>
  <c r="J105" i="15"/>
  <c r="C105" i="15" s="1"/>
  <c r="J104" i="15"/>
  <c r="C104" i="15" s="1"/>
  <c r="J103" i="15"/>
  <c r="C103" i="15" s="1"/>
  <c r="J102" i="15"/>
  <c r="C102" i="15" s="1"/>
  <c r="M37" i="15"/>
  <c r="R5" i="15" s="1"/>
  <c r="O31" i="15"/>
  <c r="P31" i="15"/>
  <c r="Q31" i="15"/>
  <c r="N196" i="15"/>
  <c r="R31" i="15"/>
  <c r="B76" i="15"/>
  <c r="B77" i="15" s="1"/>
  <c r="N197" i="15"/>
  <c r="B197" i="15"/>
  <c r="E124" i="15"/>
  <c r="F136" i="15"/>
  <c r="I198" i="15"/>
  <c r="G199" i="15"/>
  <c r="I33" i="14"/>
  <c r="I35" i="14" s="1"/>
  <c r="J133" i="13"/>
  <c r="G17" i="13" s="1"/>
  <c r="J95" i="13"/>
  <c r="G16" i="13" s="1"/>
  <c r="J57" i="13"/>
  <c r="G15" i="13" s="1"/>
  <c r="J1" i="13"/>
  <c r="C105" i="13" s="1"/>
  <c r="E21" i="13"/>
  <c r="C4" i="13"/>
  <c r="C5" i="13"/>
  <c r="D69" i="13" s="1"/>
  <c r="C15" i="13"/>
  <c r="C16" i="13"/>
  <c r="C17" i="13"/>
  <c r="C18" i="13"/>
  <c r="G18" i="13"/>
  <c r="C19" i="13"/>
  <c r="G19" i="13"/>
  <c r="C20" i="13"/>
  <c r="G20" i="13"/>
  <c r="A23" i="13"/>
  <c r="E23" i="13"/>
  <c r="J37" i="13"/>
  <c r="J46" i="13"/>
  <c r="J54" i="13"/>
  <c r="A61" i="13"/>
  <c r="E61" i="13"/>
  <c r="J75" i="13"/>
  <c r="J84" i="13"/>
  <c r="J92" i="13"/>
  <c r="A99" i="13"/>
  <c r="E99" i="13"/>
  <c r="J113" i="13"/>
  <c r="J122" i="13"/>
  <c r="J130" i="13"/>
  <c r="A137" i="13"/>
  <c r="E137" i="13"/>
  <c r="J151" i="13"/>
  <c r="J160" i="13"/>
  <c r="J168" i="13"/>
  <c r="A175" i="13"/>
  <c r="E175" i="13"/>
  <c r="J189" i="13"/>
  <c r="J198" i="13"/>
  <c r="J206" i="13"/>
  <c r="A213" i="13"/>
  <c r="E213" i="13"/>
  <c r="J227" i="13"/>
  <c r="J236" i="13"/>
  <c r="J244" i="13"/>
  <c r="I147" i="29" l="1"/>
  <c r="K148" i="29"/>
  <c r="G145" i="29"/>
  <c r="C144" i="29" a="1"/>
  <c r="C144" i="29" s="1"/>
  <c r="M144" i="29"/>
  <c r="F144" i="29"/>
  <c r="L145" i="29" a="1"/>
  <c r="L145" i="29" s="1"/>
  <c r="B146" i="29" s="1"/>
  <c r="B145" i="29"/>
  <c r="L94" i="29"/>
  <c r="R132" i="29"/>
  <c r="P143" i="29"/>
  <c r="Q146" i="29" a="1"/>
  <c r="Q146" i="29" s="1"/>
  <c r="N146" i="29" a="1"/>
  <c r="N146" i="29" s="1"/>
  <c r="F108" i="27"/>
  <c r="H137" i="27"/>
  <c r="J108" i="27" s="1"/>
  <c r="G137" i="27"/>
  <c r="I137" i="27" s="1"/>
  <c r="E109" i="27"/>
  <c r="J139" i="27" s="1"/>
  <c r="K112" i="27"/>
  <c r="L112" i="27" s="1"/>
  <c r="G113" i="27" s="1"/>
  <c r="J46" i="25"/>
  <c r="K99" i="25"/>
  <c r="K38" i="18"/>
  <c r="L38" i="18" s="1"/>
  <c r="K27" i="18"/>
  <c r="K34" i="18"/>
  <c r="L34" i="18" s="1"/>
  <c r="K36" i="18"/>
  <c r="L36" i="18" s="1"/>
  <c r="K35" i="18"/>
  <c r="L35" i="18" s="1"/>
  <c r="K37" i="18"/>
  <c r="L37" i="18" s="1"/>
  <c r="K104" i="17"/>
  <c r="M104" i="17"/>
  <c r="J104" i="17"/>
  <c r="L104" i="17"/>
  <c r="N106" i="17"/>
  <c r="B106" i="17"/>
  <c r="C105" i="17"/>
  <c r="E105" i="17" s="1"/>
  <c r="D105" i="17"/>
  <c r="F105" i="17"/>
  <c r="H105" i="17" s="1"/>
  <c r="I107" i="17"/>
  <c r="G108" i="17"/>
  <c r="D221" i="13"/>
  <c r="D107" i="13"/>
  <c r="D203" i="16"/>
  <c r="C92" i="16"/>
  <c r="E91" i="16"/>
  <c r="G167" i="16"/>
  <c r="G168" i="16" s="1"/>
  <c r="J145" i="16"/>
  <c r="E41" i="16"/>
  <c r="C42" i="16"/>
  <c r="C77" i="15"/>
  <c r="B78" i="15"/>
  <c r="C78" i="15" s="1"/>
  <c r="D102" i="15"/>
  <c r="F102" i="15" s="1"/>
  <c r="E102" i="15"/>
  <c r="G102" i="15"/>
  <c r="I102" i="15" s="1"/>
  <c r="C53" i="15" s="1"/>
  <c r="D100" i="15"/>
  <c r="F100" i="15" s="1"/>
  <c r="E100" i="15"/>
  <c r="G100" i="15"/>
  <c r="I100" i="15" s="1"/>
  <c r="C51" i="15" s="1"/>
  <c r="I75" i="15"/>
  <c r="G200" i="15"/>
  <c r="I199" i="15"/>
  <c r="D197" i="15"/>
  <c r="F197" i="15"/>
  <c r="H197" i="15" s="1"/>
  <c r="C197" i="15"/>
  <c r="E197" i="15" s="1"/>
  <c r="G97" i="15"/>
  <c r="I97" i="15" s="1"/>
  <c r="C48" i="15" s="1"/>
  <c r="E97" i="15"/>
  <c r="D97" i="15"/>
  <c r="F97" i="15" s="1"/>
  <c r="B79" i="15"/>
  <c r="G98" i="15"/>
  <c r="I98" i="15" s="1"/>
  <c r="C49" i="15" s="1"/>
  <c r="D98" i="15"/>
  <c r="F98" i="15" s="1"/>
  <c r="E98" i="15"/>
  <c r="G99" i="15"/>
  <c r="I99" i="15" s="1"/>
  <c r="C50" i="15" s="1"/>
  <c r="D99" i="15"/>
  <c r="F99" i="15" s="1"/>
  <c r="E99" i="15"/>
  <c r="D103" i="15"/>
  <c r="F103" i="15" s="1"/>
  <c r="E103" i="15"/>
  <c r="G103" i="15"/>
  <c r="I103" i="15" s="1"/>
  <c r="C54" i="15" s="1"/>
  <c r="E104" i="15"/>
  <c r="D104" i="15"/>
  <c r="F104" i="15" s="1"/>
  <c r="G104" i="15"/>
  <c r="I104" i="15" s="1"/>
  <c r="C55" i="15" s="1"/>
  <c r="G105" i="15"/>
  <c r="I105" i="15" s="1"/>
  <c r="C56" i="15" s="1"/>
  <c r="D105" i="15"/>
  <c r="F105" i="15" s="1"/>
  <c r="E105" i="15"/>
  <c r="N198" i="15"/>
  <c r="B198" i="15"/>
  <c r="D101" i="15"/>
  <c r="F101" i="15" s="1"/>
  <c r="E101" i="15"/>
  <c r="G101" i="15"/>
  <c r="I101" i="15" s="1"/>
  <c r="C52" i="15" s="1"/>
  <c r="C76" i="15"/>
  <c r="G106" i="15"/>
  <c r="I106" i="15" s="1"/>
  <c r="C57" i="15" s="1"/>
  <c r="D106" i="15"/>
  <c r="F106" i="15" s="1"/>
  <c r="E106" i="15"/>
  <c r="L31" i="15"/>
  <c r="I36" i="14"/>
  <c r="I5" i="14" s="1"/>
  <c r="D145" i="13"/>
  <c r="J56" i="13"/>
  <c r="J58" i="13" s="1"/>
  <c r="J59" i="13" s="1"/>
  <c r="G23" i="13" s="1"/>
  <c r="I15" i="13" s="1"/>
  <c r="D183" i="13"/>
  <c r="J208" i="13"/>
  <c r="F19" i="13" s="1"/>
  <c r="H19" i="13" s="1"/>
  <c r="J246" i="13"/>
  <c r="F20" i="13" s="1"/>
  <c r="H20" i="13" s="1"/>
  <c r="J132" i="13"/>
  <c r="J134" i="13" s="1"/>
  <c r="J249" i="13"/>
  <c r="G213" i="13" s="1"/>
  <c r="I20" i="13" s="1"/>
  <c r="J248" i="13"/>
  <c r="J94" i="13"/>
  <c r="J96" i="13" s="1"/>
  <c r="J97" i="13" s="1"/>
  <c r="G61" i="13" s="1"/>
  <c r="I16" i="13" s="1"/>
  <c r="D31" i="13"/>
  <c r="J170" i="13"/>
  <c r="J172" i="13" s="1"/>
  <c r="F16" i="13"/>
  <c r="H16" i="13" s="1"/>
  <c r="C181" i="13"/>
  <c r="F15" i="13"/>
  <c r="H15" i="13" s="1"/>
  <c r="C143" i="13"/>
  <c r="C219" i="13"/>
  <c r="C67" i="13"/>
  <c r="C29" i="13"/>
  <c r="V106" i="12"/>
  <c r="R106" i="12"/>
  <c r="L5" i="12"/>
  <c r="E99" i="12"/>
  <c r="E77" i="12"/>
  <c r="C282" i="5" s="1"/>
  <c r="E17" i="12"/>
  <c r="C4" i="12"/>
  <c r="C5" i="12"/>
  <c r="R1" i="12"/>
  <c r="S1" i="12"/>
  <c r="A15" i="12"/>
  <c r="A22" i="12"/>
  <c r="E30" i="12"/>
  <c r="I30" i="12"/>
  <c r="L30" i="12" s="1"/>
  <c r="Q30" i="12"/>
  <c r="E31" i="12"/>
  <c r="D31" i="12" s="1"/>
  <c r="I31" i="12"/>
  <c r="L31" i="12" s="1"/>
  <c r="Q31" i="12"/>
  <c r="E32" i="12"/>
  <c r="I32" i="12"/>
  <c r="L32" i="12" s="1"/>
  <c r="E33" i="12"/>
  <c r="D33" i="12" s="1"/>
  <c r="I33" i="12"/>
  <c r="Q33" i="12"/>
  <c r="E34" i="12"/>
  <c r="D34" i="12" s="1"/>
  <c r="I34" i="12"/>
  <c r="L34" i="12" s="1"/>
  <c r="Q34" i="12"/>
  <c r="E35" i="12"/>
  <c r="D35" i="12" s="1"/>
  <c r="I35" i="12"/>
  <c r="E36" i="12"/>
  <c r="D36" i="12" s="1"/>
  <c r="I36" i="12"/>
  <c r="L36" i="12" s="1"/>
  <c r="Q36" i="12"/>
  <c r="E37" i="12"/>
  <c r="D37" i="12" s="1"/>
  <c r="I37" i="12"/>
  <c r="Q37" i="12"/>
  <c r="E38" i="12"/>
  <c r="D38" i="12" s="1"/>
  <c r="I38" i="12"/>
  <c r="L38" i="12" s="1"/>
  <c r="E39" i="12"/>
  <c r="D39" i="12" s="1"/>
  <c r="I39" i="12"/>
  <c r="L39" i="12" s="1"/>
  <c r="Q39" i="12"/>
  <c r="E40" i="12"/>
  <c r="D40" i="12" s="1"/>
  <c r="I40" i="12"/>
  <c r="L40" i="12" s="1"/>
  <c r="Q40" i="12"/>
  <c r="E41" i="12"/>
  <c r="D41" i="12" s="1"/>
  <c r="I41" i="12"/>
  <c r="L41" i="12" s="1"/>
  <c r="D42" i="12"/>
  <c r="G42" i="12"/>
  <c r="K42" i="12"/>
  <c r="L42" i="12"/>
  <c r="D43" i="12"/>
  <c r="G43" i="12"/>
  <c r="K43" i="12"/>
  <c r="L43" i="12"/>
  <c r="F62" i="12"/>
  <c r="J62" i="12"/>
  <c r="A64" i="12"/>
  <c r="H74" i="12"/>
  <c r="H81" i="12"/>
  <c r="A88" i="12"/>
  <c r="A103" i="12"/>
  <c r="Q110" i="12"/>
  <c r="Q111" i="12"/>
  <c r="Q113" i="12"/>
  <c r="Q114" i="12"/>
  <c r="Q116" i="12"/>
  <c r="Q117" i="12"/>
  <c r="Q119" i="12"/>
  <c r="Q120" i="12"/>
  <c r="I87" i="35"/>
  <c r="I18" i="35"/>
  <c r="I90" i="35" l="1"/>
  <c r="S132" i="29"/>
  <c r="P144" i="29"/>
  <c r="L95" i="29"/>
  <c r="I148" i="29"/>
  <c r="K149" i="29"/>
  <c r="G146" i="29"/>
  <c r="Q147" i="29" a="1"/>
  <c r="Q147" i="29" s="1"/>
  <c r="N147" i="29" a="1"/>
  <c r="N147" i="29" s="1"/>
  <c r="F145" i="29"/>
  <c r="C145" i="29" a="1"/>
  <c r="C145" i="29" s="1"/>
  <c r="M145" i="29"/>
  <c r="L146" i="29" a="1"/>
  <c r="L146" i="29" s="1"/>
  <c r="B147" i="29" s="1"/>
  <c r="H138" i="27"/>
  <c r="J109" i="27" s="1"/>
  <c r="E110" i="27"/>
  <c r="G138" i="27"/>
  <c r="I138" i="27" s="1"/>
  <c r="F109" i="27"/>
  <c r="K113" i="27"/>
  <c r="L113" i="27"/>
  <c r="G114" i="27" s="1"/>
  <c r="L99" i="25"/>
  <c r="J50" i="25"/>
  <c r="E99" i="25"/>
  <c r="K46" i="25"/>
  <c r="K30" i="18"/>
  <c r="L30" i="18" s="1"/>
  <c r="K28" i="18"/>
  <c r="L28" i="18" s="1"/>
  <c r="K29" i="18"/>
  <c r="L29" i="18" s="1"/>
  <c r="D106" i="17"/>
  <c r="F106" i="17"/>
  <c r="H106" i="17" s="1"/>
  <c r="C106" i="17"/>
  <c r="E106" i="17" s="1"/>
  <c r="B107" i="17"/>
  <c r="N107" i="17"/>
  <c r="I108" i="17"/>
  <c r="G109" i="17"/>
  <c r="J105" i="17"/>
  <c r="K105" i="17"/>
  <c r="L105" i="17"/>
  <c r="M105" i="17"/>
  <c r="E90" i="16"/>
  <c r="C91" i="16"/>
  <c r="C41" i="16"/>
  <c r="E40" i="16"/>
  <c r="D202" i="16"/>
  <c r="J167" i="16"/>
  <c r="F76" i="15"/>
  <c r="I76" i="15" s="1"/>
  <c r="F78" i="15"/>
  <c r="I78" i="15" s="1"/>
  <c r="F77" i="15"/>
  <c r="I77" i="15" s="1"/>
  <c r="H30" i="12" a="1"/>
  <c r="H30" i="12" s="1"/>
  <c r="H34" i="12" a="1"/>
  <c r="H34" i="12" s="1"/>
  <c r="G56" i="15"/>
  <c r="F56" i="15"/>
  <c r="G51" i="15"/>
  <c r="F51" i="15"/>
  <c r="F53" i="15"/>
  <c r="G53" i="15"/>
  <c r="F52" i="15"/>
  <c r="G52" i="15"/>
  <c r="F50" i="15"/>
  <c r="G50" i="15"/>
  <c r="F198" i="15"/>
  <c r="H198" i="15" s="1"/>
  <c r="C198" i="15"/>
  <c r="E198" i="15" s="1"/>
  <c r="D198" i="15"/>
  <c r="B199" i="15"/>
  <c r="N199" i="15"/>
  <c r="G48" i="15"/>
  <c r="F48" i="15"/>
  <c r="F55" i="15"/>
  <c r="G55" i="15"/>
  <c r="L197" i="15"/>
  <c r="J197" i="15"/>
  <c r="M197" i="15"/>
  <c r="K197" i="15"/>
  <c r="F54" i="15"/>
  <c r="G54" i="15"/>
  <c r="F49" i="15"/>
  <c r="G49" i="15"/>
  <c r="F57" i="15"/>
  <c r="G57" i="15"/>
  <c r="C79" i="15"/>
  <c r="B80" i="15"/>
  <c r="I200" i="15"/>
  <c r="G201" i="15"/>
  <c r="E81" i="12"/>
  <c r="E84" i="12" s="1"/>
  <c r="J211" i="13"/>
  <c r="G175" i="13" s="1"/>
  <c r="I19" i="13" s="1"/>
  <c r="J210" i="13"/>
  <c r="J135" i="13"/>
  <c r="G99" i="13" s="1"/>
  <c r="I17" i="13" s="1"/>
  <c r="J173" i="13"/>
  <c r="G137" i="13" s="1"/>
  <c r="I18" i="13" s="1"/>
  <c r="F17" i="13"/>
  <c r="H17" i="13" s="1"/>
  <c r="H38" i="12" a="1"/>
  <c r="H38" i="12" s="1"/>
  <c r="F18" i="13"/>
  <c r="H18" i="13" s="1"/>
  <c r="H37" i="12" a="1"/>
  <c r="H37" i="12" s="1"/>
  <c r="H40" i="12" a="1"/>
  <c r="H40" i="12" s="1"/>
  <c r="H36" i="12" a="1"/>
  <c r="H36" i="12" s="1"/>
  <c r="H32" i="12" a="1"/>
  <c r="H32" i="12" s="1"/>
  <c r="H41" i="12" a="1"/>
  <c r="H41" i="12" s="1"/>
  <c r="H33" i="12" a="1"/>
  <c r="H33" i="12" s="1"/>
  <c r="H39" i="12" a="1"/>
  <c r="H39" i="12" s="1"/>
  <c r="H35" i="12" a="1"/>
  <c r="H35" i="12" s="1"/>
  <c r="H31" i="12" a="1"/>
  <c r="H31" i="12" s="1"/>
  <c r="K62" i="12"/>
  <c r="C121" i="12"/>
  <c r="G62" i="12"/>
  <c r="D32" i="12"/>
  <c r="D30" i="12"/>
  <c r="I44" i="12"/>
  <c r="E44" i="12"/>
  <c r="L35" i="12"/>
  <c r="L33" i="12"/>
  <c r="L37" i="12"/>
  <c r="I18" i="11"/>
  <c r="I1" i="11" a="1"/>
  <c r="I1" i="11" s="1"/>
  <c r="C5" i="11"/>
  <c r="C6" i="11"/>
  <c r="A16" i="11"/>
  <c r="AL35" i="11"/>
  <c r="AL36" i="11"/>
  <c r="AL37" i="11"/>
  <c r="AL38" i="11"/>
  <c r="AL39" i="11"/>
  <c r="AL40" i="11"/>
  <c r="AL41" i="11"/>
  <c r="AL42" i="11"/>
  <c r="AL43" i="11"/>
  <c r="AL44" i="11"/>
  <c r="AL45" i="11"/>
  <c r="A51" i="11"/>
  <c r="I51" i="11"/>
  <c r="C58" i="11"/>
  <c r="P58" i="11"/>
  <c r="X58" i="11"/>
  <c r="AC58" i="11"/>
  <c r="AF58" i="11"/>
  <c r="C59" i="11"/>
  <c r="P59" i="11"/>
  <c r="X59" i="11"/>
  <c r="AC59" i="11"/>
  <c r="AF59" i="11"/>
  <c r="C60" i="11"/>
  <c r="P60" i="11"/>
  <c r="X60" i="11"/>
  <c r="AC60" i="11"/>
  <c r="AF60" i="11"/>
  <c r="AG60" i="11" s="1"/>
  <c r="C61" i="11"/>
  <c r="P61" i="11"/>
  <c r="X61" i="11"/>
  <c r="AC61" i="11"/>
  <c r="AF61" i="11"/>
  <c r="C62" i="11"/>
  <c r="P62" i="11"/>
  <c r="X62" i="11"/>
  <c r="AC62" i="11"/>
  <c r="AF62" i="11"/>
  <c r="C63" i="11"/>
  <c r="P63" i="11"/>
  <c r="AG63" i="11" s="1"/>
  <c r="X63" i="11"/>
  <c r="AC63" i="11"/>
  <c r="AF63" i="11"/>
  <c r="C64" i="11"/>
  <c r="P64" i="11"/>
  <c r="AG64" i="11" s="1"/>
  <c r="X64" i="11"/>
  <c r="AC64" i="11"/>
  <c r="AF64" i="11"/>
  <c r="C65" i="11"/>
  <c r="P65" i="11"/>
  <c r="X65" i="11"/>
  <c r="AC65" i="11"/>
  <c r="AF65" i="11"/>
  <c r="C66" i="11"/>
  <c r="P66" i="11"/>
  <c r="X66" i="11"/>
  <c r="AC66" i="11"/>
  <c r="AF66" i="11"/>
  <c r="C67" i="11"/>
  <c r="P67" i="11"/>
  <c r="X67" i="11"/>
  <c r="AC67" i="11"/>
  <c r="AF67" i="11"/>
  <c r="C68" i="11"/>
  <c r="P68" i="11"/>
  <c r="X68" i="11"/>
  <c r="AC68" i="11"/>
  <c r="AF68" i="11"/>
  <c r="AG68" i="11"/>
  <c r="C69" i="11"/>
  <c r="P69" i="11"/>
  <c r="X69" i="11"/>
  <c r="AC69" i="11"/>
  <c r="AF69" i="11"/>
  <c r="C70" i="11"/>
  <c r="P70" i="11"/>
  <c r="AG70" i="11" s="1"/>
  <c r="X70" i="11"/>
  <c r="AC70" i="11"/>
  <c r="AF70" i="11"/>
  <c r="C71" i="11"/>
  <c r="P71" i="11"/>
  <c r="X71" i="11"/>
  <c r="AC71" i="11"/>
  <c r="AF71" i="11"/>
  <c r="AG71" i="11"/>
  <c r="C72" i="11"/>
  <c r="P72" i="11"/>
  <c r="X72" i="11"/>
  <c r="AC72" i="11"/>
  <c r="AF72" i="11"/>
  <c r="C73" i="11"/>
  <c r="P73" i="11"/>
  <c r="X73" i="11"/>
  <c r="AC73" i="11"/>
  <c r="AF73" i="11"/>
  <c r="C74" i="11"/>
  <c r="P74" i="11"/>
  <c r="X74" i="11"/>
  <c r="AC74" i="11"/>
  <c r="AF74" i="11"/>
  <c r="AG74" i="11" s="1"/>
  <c r="C75" i="11"/>
  <c r="P75" i="11"/>
  <c r="AG75" i="11" s="1"/>
  <c r="X75" i="11"/>
  <c r="AC75" i="11"/>
  <c r="AF75" i="11"/>
  <c r="C76" i="11"/>
  <c r="P76" i="11"/>
  <c r="X76" i="11"/>
  <c r="AC76" i="11"/>
  <c r="AF76" i="11"/>
  <c r="C77" i="11"/>
  <c r="P77" i="11"/>
  <c r="X77" i="11"/>
  <c r="AC77" i="11"/>
  <c r="AF77" i="11"/>
  <c r="C78" i="11"/>
  <c r="P78" i="11"/>
  <c r="X78" i="11"/>
  <c r="AC78" i="11"/>
  <c r="AF78" i="11"/>
  <c r="C79" i="11"/>
  <c r="P79" i="11"/>
  <c r="AG79" i="11" s="1"/>
  <c r="X79" i="11"/>
  <c r="AC79" i="11"/>
  <c r="AF79" i="11"/>
  <c r="J87" i="35"/>
  <c r="J18" i="35"/>
  <c r="J81" i="35"/>
  <c r="J78" i="35"/>
  <c r="J75" i="35"/>
  <c r="J79" i="35"/>
  <c r="J80" i="35"/>
  <c r="J77" i="35"/>
  <c r="J74" i="35"/>
  <c r="J82" i="35"/>
  <c r="J76" i="35"/>
  <c r="J73" i="35"/>
  <c r="J90" i="35" l="1"/>
  <c r="I149" i="29"/>
  <c r="K150" i="29"/>
  <c r="G147" i="29"/>
  <c r="Q148" i="29" a="1"/>
  <c r="Q148" i="29" s="1"/>
  <c r="N148" i="29" a="1"/>
  <c r="N148" i="29" s="1"/>
  <c r="C146" i="29" a="1"/>
  <c r="C146" i="29" s="1"/>
  <c r="M146" i="29"/>
  <c r="F146" i="29"/>
  <c r="L147" i="29" a="1"/>
  <c r="L147" i="29" s="1"/>
  <c r="B148" i="29" s="1"/>
  <c r="L96" i="29"/>
  <c r="O133" i="29" a="1"/>
  <c r="O133" i="29" s="1"/>
  <c r="P145" i="29"/>
  <c r="J140" i="27"/>
  <c r="J141" i="27"/>
  <c r="E111" i="27"/>
  <c r="J142" i="27" s="1"/>
  <c r="F110" i="27"/>
  <c r="G139" i="27"/>
  <c r="I139" i="27" s="1"/>
  <c r="H139" i="27"/>
  <c r="J110" i="27" s="1"/>
  <c r="K114" i="27"/>
  <c r="L114" i="27" s="1"/>
  <c r="G115" i="27" s="1"/>
  <c r="J128" i="25"/>
  <c r="G128" i="25"/>
  <c r="I128" i="25" s="1"/>
  <c r="F99" i="25"/>
  <c r="H128" i="25"/>
  <c r="I99" i="25"/>
  <c r="J129" i="25"/>
  <c r="E100" i="25" s="1"/>
  <c r="J52" i="25"/>
  <c r="J53" i="25" s="1" a="1"/>
  <c r="J53" i="25" s="1"/>
  <c r="L6" i="25" s="1"/>
  <c r="J43" i="22"/>
  <c r="K37" i="22"/>
  <c r="J46" i="22"/>
  <c r="J29" i="22"/>
  <c r="J41" i="22"/>
  <c r="K43" i="22"/>
  <c r="K41" i="22"/>
  <c r="K29" i="22"/>
  <c r="J30" i="22"/>
  <c r="K39" i="22"/>
  <c r="K45" i="22"/>
  <c r="K38" i="22"/>
  <c r="J39" i="22"/>
  <c r="J38" i="22"/>
  <c r="K30" i="22"/>
  <c r="J40" i="22"/>
  <c r="J44" i="22"/>
  <c r="K42" i="22"/>
  <c r="K44" i="22"/>
  <c r="K28" i="22"/>
  <c r="K46" i="22"/>
  <c r="J36" i="22"/>
  <c r="J45" i="22"/>
  <c r="J42" i="22"/>
  <c r="J28" i="22"/>
  <c r="K36" i="22"/>
  <c r="K40" i="22"/>
  <c r="J37" i="22"/>
  <c r="L44" i="12"/>
  <c r="K47" i="12" s="1"/>
  <c r="K51" i="12" s="1"/>
  <c r="B108" i="17"/>
  <c r="N108" i="17"/>
  <c r="L106" i="17"/>
  <c r="M106" i="17"/>
  <c r="K106" i="17"/>
  <c r="J106" i="17"/>
  <c r="I109" i="17"/>
  <c r="G110" i="17"/>
  <c r="F107" i="17"/>
  <c r="H107" i="17" s="1"/>
  <c r="D107" i="17"/>
  <c r="C107" i="17"/>
  <c r="E107" i="17" s="1"/>
  <c r="E39" i="16"/>
  <c r="C40" i="16"/>
  <c r="C90" i="16"/>
  <c r="E89" i="16"/>
  <c r="J168" i="16"/>
  <c r="J169" i="16"/>
  <c r="D201" i="16"/>
  <c r="F79" i="15"/>
  <c r="I79" i="15" s="1"/>
  <c r="H51" i="15"/>
  <c r="H56" i="15"/>
  <c r="H57" i="15"/>
  <c r="C199" i="15"/>
  <c r="E199" i="15" s="1"/>
  <c r="D199" i="15"/>
  <c r="F199" i="15"/>
  <c r="H199" i="15" s="1"/>
  <c r="K198" i="15"/>
  <c r="M198" i="15"/>
  <c r="J198" i="15"/>
  <c r="L198" i="15"/>
  <c r="H55" i="15"/>
  <c r="I201" i="15"/>
  <c r="G202" i="15"/>
  <c r="H48" i="15"/>
  <c r="C47" i="15"/>
  <c r="N200" i="15"/>
  <c r="B200" i="15"/>
  <c r="H54" i="15"/>
  <c r="H53" i="15"/>
  <c r="H49" i="15"/>
  <c r="H50" i="15"/>
  <c r="C80" i="15"/>
  <c r="B81" i="15"/>
  <c r="C81" i="15" s="1"/>
  <c r="H52" i="15"/>
  <c r="D46" i="11"/>
  <c r="D45" i="11" s="1"/>
  <c r="D44" i="11" s="1"/>
  <c r="D43" i="11" s="1"/>
  <c r="D42" i="11" s="1"/>
  <c r="D41" i="11" s="1"/>
  <c r="D40" i="11" s="1"/>
  <c r="D39" i="11" s="1"/>
  <c r="D38" i="11" s="1"/>
  <c r="D37" i="11" s="1"/>
  <c r="D36" i="11" s="1"/>
  <c r="D35" i="11" s="1"/>
  <c r="D33" i="11" s="1"/>
  <c r="B82" i="18" s="1"/>
  <c r="E70" i="12"/>
  <c r="E74" i="12" s="1"/>
  <c r="W121" i="12"/>
  <c r="S121" i="12"/>
  <c r="D44" i="12"/>
  <c r="G47" i="12" s="1"/>
  <c r="G51" i="12" s="1"/>
  <c r="J55" i="12"/>
  <c r="J58" i="12" s="1"/>
  <c r="C120" i="12"/>
  <c r="C41" i="12"/>
  <c r="AG78" i="11"/>
  <c r="AG65" i="11"/>
  <c r="AG72" i="11"/>
  <c r="AG67" i="11"/>
  <c r="AG66" i="11"/>
  <c r="AG58" i="11"/>
  <c r="AG59" i="11"/>
  <c r="AG62" i="11"/>
  <c r="AG76" i="11"/>
  <c r="AM46" i="11"/>
  <c r="AG77" i="11"/>
  <c r="AM41" i="11"/>
  <c r="AG69" i="11"/>
  <c r="AM40" i="11"/>
  <c r="AM37" i="11"/>
  <c r="AM45" i="11"/>
  <c r="AM44" i="11"/>
  <c r="AM43" i="11"/>
  <c r="D48" i="11"/>
  <c r="AM39" i="11"/>
  <c r="AM48" i="11"/>
  <c r="AM38" i="11"/>
  <c r="AM35" i="11"/>
  <c r="AM42" i="11"/>
  <c r="AM36" i="11"/>
  <c r="AG73" i="11"/>
  <c r="AG61" i="11"/>
  <c r="AM33" i="11"/>
  <c r="A20" i="1" a="1"/>
  <c r="A20" i="1" s="1"/>
  <c r="A17" i="1" a="1"/>
  <c r="A17" i="1" s="1"/>
  <c r="A36" i="1" a="1"/>
  <c r="A36" i="1" s="1"/>
  <c r="B39" i="1" a="1"/>
  <c r="B39" i="1" s="1"/>
  <c r="B41" i="1" a="1"/>
  <c r="B41" i="1" s="1"/>
  <c r="B40" i="1" a="1"/>
  <c r="B40" i="1" s="1"/>
  <c r="B38" i="1" a="1"/>
  <c r="B38" i="1" s="1"/>
  <c r="M18" i="35"/>
  <c r="P146" i="29" l="1"/>
  <c r="G148" i="29"/>
  <c r="K151" i="29"/>
  <c r="I150" i="29"/>
  <c r="L97" i="29"/>
  <c r="N149" i="29" a="1"/>
  <c r="N149" i="29" s="1"/>
  <c r="Q149" i="29" a="1"/>
  <c r="Q149" i="29" s="1"/>
  <c r="R133" i="29"/>
  <c r="F147" i="29"/>
  <c r="M147" i="29"/>
  <c r="C147" i="29" a="1"/>
  <c r="C147" i="29" s="1"/>
  <c r="L148" i="29" a="1"/>
  <c r="L148" i="29" s="1"/>
  <c r="H140" i="27"/>
  <c r="F111" i="27"/>
  <c r="G140" i="27"/>
  <c r="I140" i="27" s="1"/>
  <c r="G141" i="27"/>
  <c r="I141" i="27" s="1"/>
  <c r="E112" i="27"/>
  <c r="J143" i="27" s="1"/>
  <c r="H141" i="27"/>
  <c r="J111" i="27" s="1"/>
  <c r="K115" i="27"/>
  <c r="L115" i="27" s="1"/>
  <c r="G116" i="27" s="1"/>
  <c r="J130" i="25"/>
  <c r="G129" i="25"/>
  <c r="I129" i="25" s="1"/>
  <c r="H129" i="25"/>
  <c r="F100" i="25"/>
  <c r="G100" i="25"/>
  <c r="K59" i="22"/>
  <c r="L28" i="22"/>
  <c r="L29" i="22" s="1"/>
  <c r="L30" i="22" s="1"/>
  <c r="L31" i="22" s="1"/>
  <c r="L32" i="22" s="1"/>
  <c r="L33" i="22" s="1"/>
  <c r="L36" i="22" s="1"/>
  <c r="L37" i="22" s="1"/>
  <c r="L38" i="22" s="1"/>
  <c r="L39" i="22" s="1"/>
  <c r="L40" i="22" s="1"/>
  <c r="L41" i="22" s="1"/>
  <c r="L42" i="22" s="1"/>
  <c r="L43" i="22" s="1"/>
  <c r="L44" i="22" s="1"/>
  <c r="L45" i="22" s="1"/>
  <c r="L46" i="22" s="1"/>
  <c r="L47" i="22" s="1"/>
  <c r="L48" i="22" s="1"/>
  <c r="L49" i="22" s="1"/>
  <c r="L52" i="22" s="1"/>
  <c r="L53" i="22" s="1"/>
  <c r="L54" i="22" s="1"/>
  <c r="L55" i="22" s="1"/>
  <c r="L56" i="22" s="1"/>
  <c r="L57" i="22" s="1"/>
  <c r="L58" i="22" s="1"/>
  <c r="J59" i="22"/>
  <c r="P130" i="20"/>
  <c r="L130" i="20" s="1" a="1"/>
  <c r="L130" i="20" s="1"/>
  <c r="H130" i="20" s="1"/>
  <c r="F82" i="18"/>
  <c r="F87" i="18" s="1"/>
  <c r="F90" i="18" s="1"/>
  <c r="B121" i="12"/>
  <c r="B79" i="16"/>
  <c r="B78" i="16"/>
  <c r="B95" i="16"/>
  <c r="B44" i="16"/>
  <c r="B94" i="16"/>
  <c r="B208" i="16"/>
  <c r="B93" i="16"/>
  <c r="B205" i="16"/>
  <c r="B43" i="16"/>
  <c r="B206" i="16"/>
  <c r="B207" i="16"/>
  <c r="B92" i="16"/>
  <c r="B42" i="16"/>
  <c r="B204" i="16"/>
  <c r="B91" i="16"/>
  <c r="B203" i="16"/>
  <c r="B41" i="16"/>
  <c r="B201" i="16"/>
  <c r="B89" i="16"/>
  <c r="B90" i="16"/>
  <c r="B202" i="16"/>
  <c r="B39" i="16"/>
  <c r="B40" i="16"/>
  <c r="I110" i="17"/>
  <c r="G111" i="17"/>
  <c r="B109" i="17"/>
  <c r="N109" i="17"/>
  <c r="J107" i="17"/>
  <c r="K107" i="17"/>
  <c r="L107" i="17"/>
  <c r="M107" i="17"/>
  <c r="C108" i="17"/>
  <c r="E108" i="17" s="1"/>
  <c r="D108" i="17"/>
  <c r="F108" i="17"/>
  <c r="H108" i="17" s="1"/>
  <c r="E88" i="16"/>
  <c r="B88" i="16" s="1"/>
  <c r="C89" i="16"/>
  <c r="C39" i="16"/>
  <c r="E38" i="16"/>
  <c r="B38" i="16" s="1"/>
  <c r="D200" i="16"/>
  <c r="B200" i="16" s="1"/>
  <c r="F81" i="15"/>
  <c r="I81" i="15" s="1"/>
  <c r="F80" i="15"/>
  <c r="I80" i="15" s="1"/>
  <c r="J199" i="15"/>
  <c r="K199" i="15"/>
  <c r="L199" i="15"/>
  <c r="M199" i="15"/>
  <c r="B82" i="15"/>
  <c r="C82" i="15" s="1"/>
  <c r="B201" i="15"/>
  <c r="N201" i="15"/>
  <c r="F200" i="15"/>
  <c r="H200" i="15" s="1"/>
  <c r="D200" i="15"/>
  <c r="C200" i="15"/>
  <c r="E200" i="15" s="1"/>
  <c r="G203" i="15"/>
  <c r="I202" i="15"/>
  <c r="E83" i="12"/>
  <c r="E85" i="12" s="1"/>
  <c r="E86" i="12" s="1"/>
  <c r="E64" i="12" s="1"/>
  <c r="W120" i="12"/>
  <c r="B120" i="12"/>
  <c r="S120" i="12"/>
  <c r="F55" i="12"/>
  <c r="F58" i="12" s="1"/>
  <c r="C119" i="12"/>
  <c r="C40" i="12"/>
  <c r="AC40" i="11" a="1"/>
  <c r="AC40" i="11" s="1"/>
  <c r="Q40" i="11" a="1"/>
  <c r="Q40" i="11" s="1"/>
  <c r="U40" i="11" a="1"/>
  <c r="U40" i="11" s="1"/>
  <c r="Y40" i="11" a="1"/>
  <c r="Y40" i="11" s="1"/>
  <c r="H40" i="11" a="1"/>
  <c r="H40" i="11" s="1"/>
  <c r="L40" i="11" a="1"/>
  <c r="L40" i="11" s="1"/>
  <c r="AF40" i="11" a="1"/>
  <c r="AF40" i="11" s="1"/>
  <c r="R40" i="11" a="1"/>
  <c r="R40" i="11" s="1"/>
  <c r="V40" i="11" a="1"/>
  <c r="V40" i="11" s="1"/>
  <c r="Z40" i="11" a="1"/>
  <c r="Z40" i="11" s="1"/>
  <c r="I40" i="11" a="1"/>
  <c r="I40" i="11" s="1"/>
  <c r="M40" i="11" a="1"/>
  <c r="M40" i="11" s="1"/>
  <c r="S40" i="11" a="1"/>
  <c r="S40" i="11" s="1"/>
  <c r="W40" i="11" a="1"/>
  <c r="W40" i="11" s="1"/>
  <c r="J40" i="11" a="1"/>
  <c r="J40" i="11" s="1"/>
  <c r="N40" i="11" a="1"/>
  <c r="N40" i="11" s="1"/>
  <c r="T40" i="11" a="1"/>
  <c r="T40" i="11" s="1"/>
  <c r="X40" i="11" a="1"/>
  <c r="X40" i="11" s="1"/>
  <c r="K40" i="11" a="1"/>
  <c r="K40" i="11" s="1"/>
  <c r="O40" i="11" a="1"/>
  <c r="O40" i="11" s="1"/>
  <c r="S45" i="11" a="1"/>
  <c r="S45" i="11" s="1"/>
  <c r="W45" i="11" a="1"/>
  <c r="W45" i="11" s="1"/>
  <c r="H45" i="11" a="1"/>
  <c r="H45" i="11" s="1"/>
  <c r="L45" i="11" a="1"/>
  <c r="L45" i="11" s="1"/>
  <c r="AC45" i="11" a="1"/>
  <c r="AC45" i="11" s="1"/>
  <c r="T45" i="11" a="1"/>
  <c r="T45" i="11" s="1"/>
  <c r="X45" i="11" a="1"/>
  <c r="X45" i="11" s="1"/>
  <c r="I45" i="11" a="1"/>
  <c r="I45" i="11" s="1"/>
  <c r="M45" i="11" a="1"/>
  <c r="M45" i="11" s="1"/>
  <c r="AF45" i="11" a="1"/>
  <c r="AF45" i="11" s="1"/>
  <c r="Q45" i="11" a="1"/>
  <c r="Q45" i="11" s="1"/>
  <c r="U45" i="11" a="1"/>
  <c r="U45" i="11" s="1"/>
  <c r="Y45" i="11" a="1"/>
  <c r="Y45" i="11" s="1"/>
  <c r="J45" i="11" a="1"/>
  <c r="J45" i="11" s="1"/>
  <c r="N45" i="11" a="1"/>
  <c r="N45" i="11" s="1"/>
  <c r="R45" i="11" a="1"/>
  <c r="R45" i="11" s="1"/>
  <c r="V45" i="11" a="1"/>
  <c r="V45" i="11" s="1"/>
  <c r="Z45" i="11" a="1"/>
  <c r="Z45" i="11" s="1"/>
  <c r="O45" i="11" a="1"/>
  <c r="O45" i="11" s="1"/>
  <c r="K45" i="11" a="1"/>
  <c r="K45" i="11" s="1"/>
  <c r="S37" i="11" a="1"/>
  <c r="S37" i="11" s="1"/>
  <c r="W37" i="11" a="1"/>
  <c r="W37" i="11" s="1"/>
  <c r="H37" i="11" a="1"/>
  <c r="H37" i="11" s="1"/>
  <c r="L37" i="11" a="1"/>
  <c r="L37" i="11" s="1"/>
  <c r="AC37" i="11" a="1"/>
  <c r="AC37" i="11" s="1"/>
  <c r="T37" i="11" a="1"/>
  <c r="T37" i="11" s="1"/>
  <c r="X37" i="11" a="1"/>
  <c r="X37" i="11" s="1"/>
  <c r="I37" i="11" a="1"/>
  <c r="I37" i="11" s="1"/>
  <c r="M37" i="11" a="1"/>
  <c r="M37" i="11" s="1"/>
  <c r="AF37" i="11" a="1"/>
  <c r="AF37" i="11" s="1"/>
  <c r="Q37" i="11" a="1"/>
  <c r="Q37" i="11" s="1"/>
  <c r="U37" i="11" a="1"/>
  <c r="U37" i="11" s="1"/>
  <c r="Y37" i="11" a="1"/>
  <c r="Y37" i="11" s="1"/>
  <c r="J37" i="11" a="1"/>
  <c r="J37" i="11" s="1"/>
  <c r="N37" i="11" a="1"/>
  <c r="N37" i="11" s="1"/>
  <c r="R37" i="11" a="1"/>
  <c r="R37" i="11" s="1"/>
  <c r="V37" i="11" a="1"/>
  <c r="V37" i="11" s="1"/>
  <c r="Z37" i="11" a="1"/>
  <c r="Z37" i="11" s="1"/>
  <c r="K37" i="11" a="1"/>
  <c r="K37" i="11" s="1"/>
  <c r="O37" i="11" a="1"/>
  <c r="O37" i="11" s="1"/>
  <c r="AA48" i="11" a="1"/>
  <c r="AA48" i="11" s="1"/>
  <c r="AA46" i="11" s="1" a="1"/>
  <c r="AA46" i="11" s="1"/>
  <c r="AA47" i="11" s="1"/>
  <c r="AE48" i="11" a="1"/>
  <c r="AE48" i="11" s="1"/>
  <c r="AE46" i="11" s="1" a="1"/>
  <c r="AE46" i="11" s="1"/>
  <c r="K48" i="11" a="1"/>
  <c r="K48" i="11" s="1"/>
  <c r="K46" i="11" s="1" a="1"/>
  <c r="K46" i="11" s="1"/>
  <c r="AB48" i="11" a="1"/>
  <c r="AB48" i="11" s="1"/>
  <c r="AB46" i="11" s="1" a="1"/>
  <c r="AB46" i="11" s="1"/>
  <c r="AB47" i="11" s="1"/>
  <c r="AF48" i="11" a="1"/>
  <c r="AF48" i="11" s="1"/>
  <c r="AF46" i="11" s="1" a="1"/>
  <c r="AF46" i="11" s="1"/>
  <c r="H48" i="11" a="1"/>
  <c r="H48" i="11" s="1"/>
  <c r="H46" i="11" s="1" a="1"/>
  <c r="H46" i="11" s="1"/>
  <c r="L48" i="11" a="1"/>
  <c r="L48" i="11" s="1"/>
  <c r="L46" i="11" s="1" a="1"/>
  <c r="L46" i="11" s="1"/>
  <c r="Y48" i="11" a="1"/>
  <c r="Y48" i="11" s="1"/>
  <c r="Y46" i="11" s="1" a="1"/>
  <c r="Y46" i="11" s="1"/>
  <c r="AC48" i="11" a="1"/>
  <c r="AC48" i="11" s="1"/>
  <c r="AC46" i="11" s="1" a="1"/>
  <c r="AC46" i="11" s="1"/>
  <c r="I48" i="11" a="1"/>
  <c r="I48" i="11" s="1"/>
  <c r="I46" i="11" s="1" a="1"/>
  <c r="I46" i="11" s="1"/>
  <c r="M48" i="11" a="1"/>
  <c r="M48" i="11" s="1"/>
  <c r="M46" i="11" s="1" a="1"/>
  <c r="M46" i="11" s="1"/>
  <c r="Z48" i="11" a="1"/>
  <c r="Z48" i="11" s="1"/>
  <c r="Z46" i="11" s="1" a="1"/>
  <c r="Z46" i="11" s="1"/>
  <c r="AD48" i="11" a="1"/>
  <c r="AD48" i="11" s="1"/>
  <c r="AD46" i="11" s="1" a="1"/>
  <c r="AD46" i="11" s="1"/>
  <c r="N48" i="11" a="1"/>
  <c r="N48" i="11" s="1"/>
  <c r="N46" i="11" s="1" a="1"/>
  <c r="N46" i="11" s="1"/>
  <c r="J48" i="11" a="1"/>
  <c r="J48" i="11" s="1"/>
  <c r="J46" i="11" s="1" a="1"/>
  <c r="J46" i="11" s="1"/>
  <c r="AF39" i="11" a="1"/>
  <c r="AF39" i="11" s="1"/>
  <c r="S39" i="11" a="1"/>
  <c r="S39" i="11" s="1"/>
  <c r="W39" i="11" a="1"/>
  <c r="W39" i="11" s="1"/>
  <c r="H39" i="11" a="1"/>
  <c r="H39" i="11" s="1"/>
  <c r="L39" i="11" a="1"/>
  <c r="L39" i="11" s="1"/>
  <c r="T39" i="11" a="1"/>
  <c r="T39" i="11" s="1"/>
  <c r="X39" i="11" a="1"/>
  <c r="X39" i="11" s="1"/>
  <c r="I39" i="11" a="1"/>
  <c r="I39" i="11" s="1"/>
  <c r="M39" i="11" a="1"/>
  <c r="M39" i="11" s="1"/>
  <c r="Q39" i="11" a="1"/>
  <c r="Q39" i="11" s="1"/>
  <c r="U39" i="11" a="1"/>
  <c r="U39" i="11" s="1"/>
  <c r="Y39" i="11" a="1"/>
  <c r="Y39" i="11" s="1"/>
  <c r="J39" i="11" a="1"/>
  <c r="J39" i="11" s="1"/>
  <c r="N39" i="11" a="1"/>
  <c r="N39" i="11" s="1"/>
  <c r="AC39" i="11" a="1"/>
  <c r="AC39" i="11" s="1"/>
  <c r="R39" i="11" a="1"/>
  <c r="R39" i="11" s="1"/>
  <c r="V39" i="11" a="1"/>
  <c r="V39" i="11" s="1"/>
  <c r="Z39" i="11" a="1"/>
  <c r="Z39" i="11" s="1"/>
  <c r="K39" i="11" a="1"/>
  <c r="K39" i="11" s="1"/>
  <c r="J201" i="16" s="1" a="1"/>
  <c r="J201" i="16" s="1"/>
  <c r="O39" i="11" a="1"/>
  <c r="O39" i="11" s="1"/>
  <c r="AF43" i="11" a="1"/>
  <c r="AF43" i="11" s="1"/>
  <c r="S43" i="11" a="1"/>
  <c r="S43" i="11" s="1"/>
  <c r="W43" i="11" a="1"/>
  <c r="W43" i="11" s="1"/>
  <c r="H43" i="11" a="1"/>
  <c r="H43" i="11" s="1"/>
  <c r="L43" i="11" a="1"/>
  <c r="L43" i="11" s="1"/>
  <c r="T43" i="11" a="1"/>
  <c r="T43" i="11" s="1"/>
  <c r="X43" i="11" a="1"/>
  <c r="X43" i="11" s="1"/>
  <c r="I43" i="11" a="1"/>
  <c r="I43" i="11" s="1"/>
  <c r="M43" i="11" a="1"/>
  <c r="M43" i="11" s="1"/>
  <c r="Q43" i="11" a="1"/>
  <c r="Q43" i="11" s="1"/>
  <c r="U43" i="11" a="1"/>
  <c r="U43" i="11" s="1"/>
  <c r="Y43" i="11" a="1"/>
  <c r="Y43" i="11" s="1"/>
  <c r="J43" i="11" a="1"/>
  <c r="J43" i="11" s="1"/>
  <c r="N43" i="11" a="1"/>
  <c r="N43" i="11" s="1"/>
  <c r="AC43" i="11" a="1"/>
  <c r="AC43" i="11" s="1"/>
  <c r="R43" i="11" a="1"/>
  <c r="R43" i="11" s="1"/>
  <c r="V43" i="11" a="1"/>
  <c r="V43" i="11" s="1"/>
  <c r="Z43" i="11" a="1"/>
  <c r="Z43" i="11" s="1"/>
  <c r="K43" i="11" a="1"/>
  <c r="K43" i="11" s="1"/>
  <c r="O43" i="11" a="1"/>
  <c r="O43" i="11" s="1"/>
  <c r="Q46" i="11" a="1"/>
  <c r="Q46" i="11" s="1"/>
  <c r="R121" i="12" s="1" a="1"/>
  <c r="R121" i="12" s="1"/>
  <c r="U46" i="11" a="1"/>
  <c r="U46" i="11" s="1"/>
  <c r="R46" i="11" a="1"/>
  <c r="R46" i="11" s="1"/>
  <c r="V121" i="12" s="1" a="1"/>
  <c r="V121" i="12" s="1"/>
  <c r="V46" i="11" a="1"/>
  <c r="V46" i="11" s="1"/>
  <c r="S46" i="11" a="1"/>
  <c r="S46" i="11" s="1"/>
  <c r="W46" i="11" a="1"/>
  <c r="W46" i="11" s="1"/>
  <c r="T46" i="11" a="1"/>
  <c r="T46" i="11" s="1"/>
  <c r="X46" i="11" a="1"/>
  <c r="X46" i="11" s="1"/>
  <c r="O46" i="11" a="1"/>
  <c r="O46" i="11" s="1"/>
  <c r="Q42" i="11" a="1"/>
  <c r="Q42" i="11" s="1"/>
  <c r="U42" i="11" a="1"/>
  <c r="U42" i="11" s="1"/>
  <c r="Y42" i="11" a="1"/>
  <c r="Y42" i="11" s="1"/>
  <c r="H42" i="11" a="1"/>
  <c r="H42" i="11" s="1"/>
  <c r="L42" i="11" a="1"/>
  <c r="L42" i="11" s="1"/>
  <c r="R42" i="11" a="1"/>
  <c r="R42" i="11" s="1"/>
  <c r="V42" i="11" a="1"/>
  <c r="V42" i="11" s="1"/>
  <c r="Z42" i="11" a="1"/>
  <c r="Z42" i="11" s="1"/>
  <c r="I42" i="11" a="1"/>
  <c r="I42" i="11" s="1"/>
  <c r="M42" i="11" a="1"/>
  <c r="M42" i="11" s="1"/>
  <c r="AC42" i="11" a="1"/>
  <c r="AC42" i="11" s="1"/>
  <c r="S42" i="11" a="1"/>
  <c r="S42" i="11" s="1"/>
  <c r="W42" i="11" a="1"/>
  <c r="W42" i="11" s="1"/>
  <c r="J42" i="11" a="1"/>
  <c r="J42" i="11" s="1"/>
  <c r="N42" i="11" a="1"/>
  <c r="N42" i="11" s="1"/>
  <c r="AF42" i="11" a="1"/>
  <c r="AF42" i="11" s="1"/>
  <c r="T42" i="11" a="1"/>
  <c r="T42" i="11" s="1"/>
  <c r="X42" i="11" a="1"/>
  <c r="X42" i="11" s="1"/>
  <c r="O42" i="11" a="1"/>
  <c r="O42" i="11" s="1"/>
  <c r="K42" i="11" a="1"/>
  <c r="K42" i="11" s="1"/>
  <c r="AF35" i="11" a="1"/>
  <c r="AF35" i="11" s="1"/>
  <c r="S35" i="11" a="1"/>
  <c r="S35" i="11" s="1"/>
  <c r="W35" i="11" a="1"/>
  <c r="W35" i="11" s="1"/>
  <c r="H35" i="11" a="1"/>
  <c r="H35" i="11" s="1"/>
  <c r="L35" i="11" a="1"/>
  <c r="L35" i="11" s="1"/>
  <c r="T35" i="11" a="1"/>
  <c r="T35" i="11" s="1"/>
  <c r="X35" i="11" a="1"/>
  <c r="X35" i="11" s="1"/>
  <c r="I35" i="11" a="1"/>
  <c r="I35" i="11" s="1"/>
  <c r="M35" i="11" a="1"/>
  <c r="M35" i="11" s="1"/>
  <c r="Q35" i="11" a="1"/>
  <c r="Q35" i="11" s="1"/>
  <c r="U35" i="11" a="1"/>
  <c r="U35" i="11" s="1"/>
  <c r="Y35" i="11" a="1"/>
  <c r="Y35" i="11" s="1"/>
  <c r="J35" i="11" a="1"/>
  <c r="J35" i="11" s="1"/>
  <c r="N35" i="11" a="1"/>
  <c r="N35" i="11" s="1"/>
  <c r="AC35" i="11" a="1"/>
  <c r="AC35" i="11" s="1"/>
  <c r="R35" i="11" a="1"/>
  <c r="R35" i="11" s="1"/>
  <c r="V35" i="11" a="1"/>
  <c r="V35" i="11" s="1"/>
  <c r="Z35" i="11" a="1"/>
  <c r="Z35" i="11" s="1"/>
  <c r="O35" i="11" a="1"/>
  <c r="O35" i="11" s="1"/>
  <c r="K35" i="11" a="1"/>
  <c r="K35" i="11" s="1"/>
  <c r="Q38" i="11" a="1"/>
  <c r="Q38" i="11" s="1"/>
  <c r="U38" i="11" a="1"/>
  <c r="U38" i="11" s="1"/>
  <c r="Y38" i="11" a="1"/>
  <c r="Y38" i="11" s="1"/>
  <c r="H38" i="11" a="1"/>
  <c r="H38" i="11" s="1"/>
  <c r="L38" i="11" a="1"/>
  <c r="L38" i="11" s="1"/>
  <c r="R38" i="11" a="1"/>
  <c r="R38" i="11" s="1"/>
  <c r="V38" i="11" a="1"/>
  <c r="V38" i="11" s="1"/>
  <c r="Z38" i="11" a="1"/>
  <c r="Z38" i="11" s="1"/>
  <c r="I38" i="11" a="1"/>
  <c r="I38" i="11" s="1"/>
  <c r="M38" i="11" a="1"/>
  <c r="M38" i="11" s="1"/>
  <c r="AC38" i="11" a="1"/>
  <c r="AC38" i="11" s="1"/>
  <c r="S38" i="11" a="1"/>
  <c r="S38" i="11" s="1"/>
  <c r="W38" i="11" a="1"/>
  <c r="W38" i="11" s="1"/>
  <c r="J38" i="11" a="1"/>
  <c r="J38" i="11" s="1"/>
  <c r="N38" i="11" a="1"/>
  <c r="N38" i="11" s="1"/>
  <c r="AF38" i="11" a="1"/>
  <c r="AF38" i="11" s="1"/>
  <c r="T38" i="11" a="1"/>
  <c r="T38" i="11" s="1"/>
  <c r="X38" i="11" a="1"/>
  <c r="X38" i="11" s="1"/>
  <c r="O38" i="11" a="1"/>
  <c r="O38" i="11" s="1"/>
  <c r="K38" i="11" a="1"/>
  <c r="K38" i="11" s="1"/>
  <c r="AF33" i="11" a="1"/>
  <c r="AF33" i="11" s="1"/>
  <c r="S33" i="11" a="1"/>
  <c r="S33" i="11" s="1"/>
  <c r="W33" i="11" a="1"/>
  <c r="W33" i="11" s="1"/>
  <c r="H33" i="11" a="1"/>
  <c r="H33" i="11" s="1"/>
  <c r="L33" i="11" a="1"/>
  <c r="L33" i="11" s="1"/>
  <c r="T33" i="11" a="1"/>
  <c r="T33" i="11" s="1"/>
  <c r="X33" i="11" a="1"/>
  <c r="X33" i="11" s="1"/>
  <c r="I33" i="11" a="1"/>
  <c r="I33" i="11" s="1"/>
  <c r="M33" i="11" a="1"/>
  <c r="M33" i="11" s="1"/>
  <c r="Q33" i="11" a="1"/>
  <c r="Q33" i="11" s="1"/>
  <c r="U33" i="11" a="1"/>
  <c r="U33" i="11" s="1"/>
  <c r="Y33" i="11" a="1"/>
  <c r="Y33" i="11" s="1"/>
  <c r="J33" i="11" a="1"/>
  <c r="J33" i="11" s="1"/>
  <c r="N33" i="11" a="1"/>
  <c r="N33" i="11" s="1"/>
  <c r="AC33" i="11" a="1"/>
  <c r="AC33" i="11" s="1"/>
  <c r="R33" i="11" a="1"/>
  <c r="R33" i="11" s="1"/>
  <c r="V33" i="11" a="1"/>
  <c r="V33" i="11" s="1"/>
  <c r="Z33" i="11" a="1"/>
  <c r="Z33" i="11" s="1"/>
  <c r="K33" i="11" a="1"/>
  <c r="K33" i="11" s="1"/>
  <c r="O33" i="11" a="1"/>
  <c r="O33" i="11" s="1"/>
  <c r="S41" i="11" a="1"/>
  <c r="S41" i="11" s="1"/>
  <c r="W41" i="11" a="1"/>
  <c r="W41" i="11" s="1"/>
  <c r="H41" i="11" a="1"/>
  <c r="H41" i="11" s="1"/>
  <c r="L41" i="11" a="1"/>
  <c r="L41" i="11" s="1"/>
  <c r="AC41" i="11" a="1"/>
  <c r="AC41" i="11" s="1"/>
  <c r="T41" i="11" a="1"/>
  <c r="T41" i="11" s="1"/>
  <c r="X41" i="11" a="1"/>
  <c r="X41" i="11" s="1"/>
  <c r="I41" i="11" a="1"/>
  <c r="I41" i="11" s="1"/>
  <c r="M41" i="11" a="1"/>
  <c r="M41" i="11" s="1"/>
  <c r="AF41" i="11" a="1"/>
  <c r="AF41" i="11" s="1"/>
  <c r="Q41" i="11" a="1"/>
  <c r="Q41" i="11" s="1"/>
  <c r="U41" i="11" a="1"/>
  <c r="U41" i="11" s="1"/>
  <c r="Y41" i="11" a="1"/>
  <c r="Y41" i="11" s="1"/>
  <c r="J41" i="11" a="1"/>
  <c r="J41" i="11" s="1"/>
  <c r="N41" i="11" a="1"/>
  <c r="N41" i="11" s="1"/>
  <c r="R41" i="11" a="1"/>
  <c r="R41" i="11" s="1"/>
  <c r="V41" i="11" a="1"/>
  <c r="V41" i="11" s="1"/>
  <c r="Z41" i="11" a="1"/>
  <c r="Z41" i="11" s="1"/>
  <c r="K41" i="11" a="1"/>
  <c r="K41" i="11" s="1"/>
  <c r="O41" i="11" a="1"/>
  <c r="O41" i="11" s="1"/>
  <c r="AC36" i="11" a="1"/>
  <c r="AC36" i="11" s="1"/>
  <c r="Q36" i="11" a="1"/>
  <c r="Q36" i="11" s="1"/>
  <c r="U36" i="11" a="1"/>
  <c r="U36" i="11" s="1"/>
  <c r="Y36" i="11" a="1"/>
  <c r="Y36" i="11" s="1"/>
  <c r="H36" i="11" a="1"/>
  <c r="H36" i="11" s="1"/>
  <c r="L36" i="11" a="1"/>
  <c r="L36" i="11" s="1"/>
  <c r="AF36" i="11" a="1"/>
  <c r="AF36" i="11" s="1"/>
  <c r="R36" i="11" a="1"/>
  <c r="R36" i="11" s="1"/>
  <c r="V36" i="11" a="1"/>
  <c r="V36" i="11" s="1"/>
  <c r="Z36" i="11" a="1"/>
  <c r="Z36" i="11" s="1"/>
  <c r="I36" i="11" a="1"/>
  <c r="I36" i="11" s="1"/>
  <c r="M36" i="11" a="1"/>
  <c r="M36" i="11" s="1"/>
  <c r="S36" i="11" a="1"/>
  <c r="S36" i="11" s="1"/>
  <c r="W36" i="11" a="1"/>
  <c r="W36" i="11" s="1"/>
  <c r="J36" i="11" a="1"/>
  <c r="J36" i="11" s="1"/>
  <c r="N36" i="11" a="1"/>
  <c r="N36" i="11" s="1"/>
  <c r="T36" i="11" a="1"/>
  <c r="T36" i="11" s="1"/>
  <c r="X36" i="11" a="1"/>
  <c r="X36" i="11" s="1"/>
  <c r="K36" i="11" a="1"/>
  <c r="K36" i="11" s="1"/>
  <c r="O36" i="11" a="1"/>
  <c r="O36" i="11" s="1"/>
  <c r="AC44" i="11" a="1"/>
  <c r="AC44" i="11" s="1"/>
  <c r="Q44" i="11" a="1"/>
  <c r="Q44" i="11" s="1"/>
  <c r="U44" i="11" a="1"/>
  <c r="U44" i="11" s="1"/>
  <c r="Y44" i="11" a="1"/>
  <c r="Y44" i="11" s="1"/>
  <c r="H44" i="11" a="1"/>
  <c r="H44" i="11" s="1"/>
  <c r="L44" i="11" a="1"/>
  <c r="L44" i="11" s="1"/>
  <c r="AF44" i="11" a="1"/>
  <c r="AF44" i="11" s="1"/>
  <c r="R44" i="11" a="1"/>
  <c r="R44" i="11" s="1"/>
  <c r="V44" i="11" a="1"/>
  <c r="V44" i="11" s="1"/>
  <c r="Z44" i="11" a="1"/>
  <c r="Z44" i="11" s="1"/>
  <c r="I44" i="11" a="1"/>
  <c r="I44" i="11" s="1"/>
  <c r="M44" i="11" a="1"/>
  <c r="M44" i="11" s="1"/>
  <c r="S44" i="11" a="1"/>
  <c r="S44" i="11" s="1"/>
  <c r="W44" i="11" a="1"/>
  <c r="W44" i="11" s="1"/>
  <c r="J44" i="11" a="1"/>
  <c r="J44" i="11" s="1"/>
  <c r="N44" i="11" a="1"/>
  <c r="N44" i="11" s="1"/>
  <c r="T44" i="11" a="1"/>
  <c r="T44" i="11" s="1"/>
  <c r="X44" i="11" a="1"/>
  <c r="X44" i="11" s="1"/>
  <c r="K44" i="11" a="1"/>
  <c r="K44" i="11" s="1"/>
  <c r="O44" i="11" a="1"/>
  <c r="O44" i="11" s="1"/>
  <c r="C90" i="5" l="1"/>
  <c r="S133" i="29"/>
  <c r="L98" i="29"/>
  <c r="C148" i="29" a="1"/>
  <c r="C148" i="29" s="1"/>
  <c r="M148" i="29"/>
  <c r="F148" i="29"/>
  <c r="L149" i="29" a="1"/>
  <c r="L149" i="29" s="1"/>
  <c r="G149" i="29"/>
  <c r="Q150" i="29" a="1"/>
  <c r="Q150" i="29" s="1"/>
  <c r="N150" i="29" a="1"/>
  <c r="N150" i="29" s="1"/>
  <c r="P147" i="29"/>
  <c r="B149" i="29"/>
  <c r="I151" i="29"/>
  <c r="K152" i="29"/>
  <c r="E113" i="27"/>
  <c r="J144" i="27" s="1"/>
  <c r="F112" i="27"/>
  <c r="G142" i="27"/>
  <c r="I142" i="27" s="1"/>
  <c r="H142" i="27"/>
  <c r="J112" i="27" s="1"/>
  <c r="K100" i="25"/>
  <c r="K116" i="27"/>
  <c r="L116" i="27" s="1"/>
  <c r="G117" i="27" s="1"/>
  <c r="J100" i="25"/>
  <c r="L61" i="22"/>
  <c r="C163" i="5" s="1"/>
  <c r="L201" i="16" a="1"/>
  <c r="L201" i="16" s="1"/>
  <c r="H201" i="16" a="1"/>
  <c r="H201" i="16" s="1"/>
  <c r="M201" i="16" a="1"/>
  <c r="M201" i="16" s="1"/>
  <c r="I201" i="16" a="1"/>
  <c r="I201" i="16" s="1"/>
  <c r="K201" i="16" a="1"/>
  <c r="K201" i="16" s="1"/>
  <c r="N201" i="16" a="1"/>
  <c r="N201" i="16" s="1"/>
  <c r="G201" i="16" a="1"/>
  <c r="G201" i="16" s="1"/>
  <c r="F100" i="18"/>
  <c r="E78" i="18" s="1"/>
  <c r="F99" i="18"/>
  <c r="H204" i="16" a="1"/>
  <c r="H204" i="16" s="1"/>
  <c r="L204" i="16" a="1"/>
  <c r="L204" i="16" s="1"/>
  <c r="G204" i="16" a="1"/>
  <c r="G204" i="16" s="1"/>
  <c r="I204" i="16" a="1"/>
  <c r="I204" i="16" s="1"/>
  <c r="M204" i="16" a="1"/>
  <c r="M204" i="16" s="1"/>
  <c r="N204" i="16" a="1"/>
  <c r="N204" i="16" s="1"/>
  <c r="K204" i="16" a="1"/>
  <c r="K204" i="16" s="1"/>
  <c r="J204" i="16" a="1"/>
  <c r="J204" i="16" s="1"/>
  <c r="J208" i="16" a="1"/>
  <c r="J208" i="16" s="1"/>
  <c r="H208" i="16" a="1"/>
  <c r="H208" i="16" s="1"/>
  <c r="L208" i="16" a="1"/>
  <c r="L208" i="16" s="1"/>
  <c r="G208" i="16" a="1"/>
  <c r="G208" i="16" s="1"/>
  <c r="I208" i="16" a="1"/>
  <c r="I208" i="16" s="1"/>
  <c r="M208" i="16" a="1"/>
  <c r="M208" i="16" s="1"/>
  <c r="K208" i="16" a="1"/>
  <c r="K208" i="16" s="1"/>
  <c r="N208" i="16" a="1"/>
  <c r="N208" i="16" s="1"/>
  <c r="N202" i="16" a="1"/>
  <c r="N202" i="16" s="1"/>
  <c r="K202" i="16" a="1"/>
  <c r="K202" i="16" s="1"/>
  <c r="H202" i="16" a="1"/>
  <c r="H202" i="16" s="1"/>
  <c r="L202" i="16" a="1"/>
  <c r="L202" i="16" s="1"/>
  <c r="G89" i="16" s="1"/>
  <c r="I202" i="16" a="1"/>
  <c r="I202" i="16" s="1"/>
  <c r="M202" i="16" a="1"/>
  <c r="M202" i="16" s="1"/>
  <c r="K89" i="16" s="1"/>
  <c r="J202" i="16" a="1"/>
  <c r="J202" i="16" s="1"/>
  <c r="G202" i="16" a="1"/>
  <c r="G202" i="16" s="1"/>
  <c r="K207" i="16" a="1"/>
  <c r="K207" i="16" s="1"/>
  <c r="H207" i="16" a="1"/>
  <c r="H207" i="16" s="1"/>
  <c r="L207" i="16" a="1"/>
  <c r="L207" i="16" s="1"/>
  <c r="N207" i="16" a="1"/>
  <c r="N207" i="16" s="1"/>
  <c r="G207" i="16" a="1"/>
  <c r="G207" i="16" s="1"/>
  <c r="J207" i="16" a="1"/>
  <c r="J207" i="16" s="1"/>
  <c r="I207" i="16" a="1"/>
  <c r="I207" i="16" s="1"/>
  <c r="M207" i="16" a="1"/>
  <c r="M207" i="16" s="1"/>
  <c r="J206" i="16" a="1"/>
  <c r="J206" i="16" s="1"/>
  <c r="H206" i="16" a="1"/>
  <c r="H206" i="16" s="1"/>
  <c r="L206" i="16" a="1"/>
  <c r="L206" i="16" s="1"/>
  <c r="I206" i="16" a="1"/>
  <c r="I206" i="16" s="1"/>
  <c r="M206" i="16" a="1"/>
  <c r="M206" i="16" s="1"/>
  <c r="N206" i="16" a="1"/>
  <c r="N206" i="16" s="1"/>
  <c r="G206" i="16" a="1"/>
  <c r="G206" i="16" s="1"/>
  <c r="K206" i="16" a="1"/>
  <c r="K206" i="16" s="1"/>
  <c r="J203" i="16" a="1"/>
  <c r="J203" i="16" s="1"/>
  <c r="G203" i="16" a="1"/>
  <c r="G203" i="16" s="1"/>
  <c r="I203" i="16" a="1"/>
  <c r="I203" i="16" s="1"/>
  <c r="M203" i="16" a="1"/>
  <c r="M203" i="16" s="1"/>
  <c r="K203" i="16" a="1"/>
  <c r="K203" i="16" s="1"/>
  <c r="N203" i="16" a="1"/>
  <c r="N203" i="16" s="1"/>
  <c r="H203" i="16" a="1"/>
  <c r="H203" i="16" s="1"/>
  <c r="L203" i="16" a="1"/>
  <c r="L203" i="16" s="1"/>
  <c r="G205" i="16" a="1"/>
  <c r="G205" i="16" s="1"/>
  <c r="H205" i="16" a="1"/>
  <c r="H205" i="16" s="1"/>
  <c r="L205" i="16" a="1"/>
  <c r="L205" i="16" s="1"/>
  <c r="J205" i="16" a="1"/>
  <c r="J205" i="16" s="1"/>
  <c r="K205" i="16" a="1"/>
  <c r="K205" i="16" s="1"/>
  <c r="I205" i="16" a="1"/>
  <c r="I205" i="16" s="1"/>
  <c r="M205" i="16" a="1"/>
  <c r="M205" i="16" s="1"/>
  <c r="N205" i="16" a="1"/>
  <c r="N205" i="16" s="1"/>
  <c r="J108" i="17"/>
  <c r="L108" i="17"/>
  <c r="K108" i="17"/>
  <c r="M108" i="17"/>
  <c r="F109" i="17"/>
  <c r="H109" i="17" s="1"/>
  <c r="D109" i="17"/>
  <c r="C109" i="17"/>
  <c r="E109" i="17" s="1"/>
  <c r="G112" i="17"/>
  <c r="I111" i="17"/>
  <c r="B110" i="17"/>
  <c r="N110" i="17"/>
  <c r="N200" i="16" a="1"/>
  <c r="N200" i="16" s="1"/>
  <c r="G200" i="16" a="1"/>
  <c r="G200" i="16" s="1"/>
  <c r="H200" i="16" a="1"/>
  <c r="H200" i="16" s="1"/>
  <c r="L200" i="16" a="1"/>
  <c r="L200" i="16" s="1"/>
  <c r="J200" i="16" a="1"/>
  <c r="J200" i="16" s="1"/>
  <c r="K200" i="16" a="1"/>
  <c r="K200" i="16" s="1"/>
  <c r="I200" i="16" a="1"/>
  <c r="I200" i="16" s="1"/>
  <c r="M200" i="16" a="1"/>
  <c r="M200" i="16" s="1"/>
  <c r="E37" i="16"/>
  <c r="B37" i="16" s="1"/>
  <c r="C38" i="16"/>
  <c r="D199" i="16"/>
  <c r="B199" i="16" s="1"/>
  <c r="E87" i="16"/>
  <c r="B87" i="16" s="1"/>
  <c r="C88" i="16"/>
  <c r="F82" i="15"/>
  <c r="I82" i="15" s="1"/>
  <c r="I83" i="15" s="1"/>
  <c r="I85" i="15" s="1"/>
  <c r="J5" i="12"/>
  <c r="F201" i="15"/>
  <c r="H201" i="15" s="1"/>
  <c r="D201" i="15"/>
  <c r="C201" i="15"/>
  <c r="E201" i="15" s="1"/>
  <c r="B202" i="15"/>
  <c r="N202" i="15"/>
  <c r="G204" i="15"/>
  <c r="I203" i="15"/>
  <c r="M200" i="15"/>
  <c r="L200" i="15"/>
  <c r="J200" i="15"/>
  <c r="K200" i="15"/>
  <c r="P41" i="11"/>
  <c r="AG41" i="11" s="1"/>
  <c r="P39" i="11"/>
  <c r="AG39" i="11" s="1"/>
  <c r="P43" i="11"/>
  <c r="AG43" i="11" s="1"/>
  <c r="R120" i="12" a="1"/>
  <c r="R120" i="12" s="1"/>
  <c r="V120" i="12" a="1"/>
  <c r="V120" i="12" s="1"/>
  <c r="W119" i="12"/>
  <c r="B119" i="12"/>
  <c r="S119" i="12"/>
  <c r="C118" i="12"/>
  <c r="C39" i="12"/>
  <c r="Q47" i="11"/>
  <c r="AF47" i="11"/>
  <c r="P46" i="11"/>
  <c r="AG46" i="11" s="1"/>
  <c r="V47" i="11"/>
  <c r="X47" i="11"/>
  <c r="P44" i="11"/>
  <c r="AG44" i="11" s="1"/>
  <c r="P48" i="11"/>
  <c r="AG48" i="11" s="1"/>
  <c r="I47" i="11"/>
  <c r="T47" i="11"/>
  <c r="P40" i="11"/>
  <c r="AG40" i="11" s="1"/>
  <c r="O47" i="11"/>
  <c r="AC47" i="11"/>
  <c r="P45" i="11"/>
  <c r="AG45" i="11" s="1"/>
  <c r="Y47" i="11"/>
  <c r="U47" i="11"/>
  <c r="W47" i="11"/>
  <c r="R47" i="11"/>
  <c r="H47" i="11"/>
  <c r="S47" i="11"/>
  <c r="P36" i="11"/>
  <c r="AG36" i="11" s="1"/>
  <c r="P33" i="11"/>
  <c r="AG33" i="11" s="1"/>
  <c r="L47" i="11"/>
  <c r="Z47" i="11"/>
  <c r="N47" i="11"/>
  <c r="P37" i="11"/>
  <c r="AG37" i="11" s="1"/>
  <c r="P38" i="11"/>
  <c r="AG38" i="11" s="1"/>
  <c r="K47" i="11"/>
  <c r="P35" i="11"/>
  <c r="M47" i="11"/>
  <c r="J47" i="11"/>
  <c r="P42" i="11"/>
  <c r="AG42" i="11" s="1"/>
  <c r="F149" i="29" l="1"/>
  <c r="M149" i="29"/>
  <c r="C149" i="29" a="1"/>
  <c r="C149" i="29" s="1"/>
  <c r="L150" i="29" a="1"/>
  <c r="L150" i="29" s="1"/>
  <c r="O134" i="29" a="1"/>
  <c r="O134" i="29" s="1"/>
  <c r="P148" i="29"/>
  <c r="B150" i="29"/>
  <c r="G150" i="29"/>
  <c r="N151" i="29" a="1"/>
  <c r="N151" i="29" s="1"/>
  <c r="Q151" i="29" a="1"/>
  <c r="Q151" i="29" s="1"/>
  <c r="K153" i="29"/>
  <c r="I152" i="29"/>
  <c r="L99" i="29"/>
  <c r="L100" i="25"/>
  <c r="E101" i="25" s="1"/>
  <c r="G143" i="27"/>
  <c r="I143" i="27" s="1"/>
  <c r="E114" i="27"/>
  <c r="J145" i="27" s="1"/>
  <c r="F113" i="27"/>
  <c r="H143" i="27"/>
  <c r="J113" i="27" s="1"/>
  <c r="K117" i="27"/>
  <c r="L117" i="27"/>
  <c r="G118" i="27" s="1"/>
  <c r="E21" i="22"/>
  <c r="P125" i="20"/>
  <c r="L125" i="20" s="1" a="1"/>
  <c r="L125" i="20" s="1"/>
  <c r="H125" i="20" s="1"/>
  <c r="L268" i="22"/>
  <c r="K73" i="22"/>
  <c r="J64" i="22"/>
  <c r="L64" i="22" s="1"/>
  <c r="G38" i="16"/>
  <c r="J38" i="16" s="1"/>
  <c r="L38" i="16"/>
  <c r="O38" i="16" s="1"/>
  <c r="O208" i="16"/>
  <c r="F83" i="15"/>
  <c r="G39" i="16"/>
  <c r="J39" i="16" s="1"/>
  <c r="G90" i="16"/>
  <c r="O203" i="16"/>
  <c r="O207" i="16"/>
  <c r="L43" i="16"/>
  <c r="O43" i="16" s="1"/>
  <c r="K94" i="16"/>
  <c r="L94" i="16" s="1"/>
  <c r="M94" i="16" s="1"/>
  <c r="L44" i="16"/>
  <c r="O44" i="16" s="1"/>
  <c r="K95" i="16"/>
  <c r="M95" i="16" s="1"/>
  <c r="K93" i="16"/>
  <c r="L93" i="16" s="1"/>
  <c r="M93" i="16" s="1"/>
  <c r="L42" i="16"/>
  <c r="O42" i="16" s="1"/>
  <c r="L40" i="16"/>
  <c r="O40" i="16" s="1"/>
  <c r="K91" i="16"/>
  <c r="L91" i="16" s="1"/>
  <c r="M91" i="16" s="1"/>
  <c r="L41" i="16"/>
  <c r="O41" i="16" s="1"/>
  <c r="K92" i="16"/>
  <c r="L92" i="16" s="1"/>
  <c r="M92" i="16" s="1"/>
  <c r="L39" i="16"/>
  <c r="O39" i="16" s="1"/>
  <c r="K90" i="16"/>
  <c r="O202" i="16"/>
  <c r="G92" i="16"/>
  <c r="H92" i="16" s="1"/>
  <c r="I92" i="16" s="1"/>
  <c r="G41" i="16"/>
  <c r="J41" i="16" s="1"/>
  <c r="O205" i="16"/>
  <c r="O206" i="16"/>
  <c r="G93" i="16"/>
  <c r="H93" i="16" s="1"/>
  <c r="I93" i="16" s="1"/>
  <c r="G42" i="16"/>
  <c r="J42" i="16" s="1"/>
  <c r="G43" i="16"/>
  <c r="J43" i="16" s="1"/>
  <c r="G94" i="16"/>
  <c r="H94" i="16" s="1"/>
  <c r="I94" i="16" s="1"/>
  <c r="G44" i="16"/>
  <c r="J44" i="16" s="1"/>
  <c r="G95" i="16"/>
  <c r="I95" i="16" s="1"/>
  <c r="G40" i="16"/>
  <c r="J40" i="16" s="1"/>
  <c r="G91" i="16"/>
  <c r="H91" i="16" s="1"/>
  <c r="I91" i="16" s="1"/>
  <c r="O204" i="16"/>
  <c r="I112" i="17"/>
  <c r="G113" i="17"/>
  <c r="M109" i="17"/>
  <c r="L109" i="17"/>
  <c r="J109" i="17"/>
  <c r="K109" i="17"/>
  <c r="C110" i="17"/>
  <c r="E110" i="17" s="1"/>
  <c r="D110" i="17"/>
  <c r="F110" i="17"/>
  <c r="H110" i="17" s="1"/>
  <c r="N111" i="17"/>
  <c r="B111" i="17"/>
  <c r="H199" i="16" a="1"/>
  <c r="H199" i="16" s="1"/>
  <c r="L199" i="16" a="1"/>
  <c r="L199" i="16" s="1"/>
  <c r="N199" i="16" a="1"/>
  <c r="N199" i="16" s="1"/>
  <c r="G199" i="16" a="1"/>
  <c r="G199" i="16" s="1"/>
  <c r="I199" i="16" a="1"/>
  <c r="I199" i="16" s="1"/>
  <c r="M199" i="16" a="1"/>
  <c r="M199" i="16" s="1"/>
  <c r="J199" i="16" a="1"/>
  <c r="J199" i="16" s="1"/>
  <c r="K199" i="16" a="1"/>
  <c r="K199" i="16" s="1"/>
  <c r="G37" i="16"/>
  <c r="J37" i="16" s="1"/>
  <c r="G88" i="16"/>
  <c r="O201" i="16"/>
  <c r="L89" i="16"/>
  <c r="M89" i="16" s="1"/>
  <c r="D198" i="16"/>
  <c r="B198" i="16" s="1"/>
  <c r="H89" i="16"/>
  <c r="I89" i="16" s="1"/>
  <c r="K88" i="16"/>
  <c r="L37" i="16"/>
  <c r="O37" i="16" s="1"/>
  <c r="C87" i="16"/>
  <c r="E86" i="16"/>
  <c r="B86" i="16" s="1"/>
  <c r="C37" i="16"/>
  <c r="E36" i="16"/>
  <c r="B36" i="16" s="1"/>
  <c r="I87" i="15"/>
  <c r="D90" i="15"/>
  <c r="E91" i="15" s="1"/>
  <c r="E90" i="15"/>
  <c r="D91" i="15" s="1"/>
  <c r="Q5" i="15"/>
  <c r="E40" i="15"/>
  <c r="N203" i="15"/>
  <c r="B203" i="15"/>
  <c r="I204" i="15"/>
  <c r="G205" i="15"/>
  <c r="C202" i="15"/>
  <c r="E202" i="15" s="1"/>
  <c r="D202" i="15"/>
  <c r="F202" i="15"/>
  <c r="H202" i="15" s="1"/>
  <c r="J201" i="15"/>
  <c r="K201" i="15"/>
  <c r="L201" i="15"/>
  <c r="M201" i="15"/>
  <c r="B118" i="12"/>
  <c r="S118" i="12"/>
  <c r="W118" i="12"/>
  <c r="V119" i="12" a="1"/>
  <c r="V119" i="12" s="1"/>
  <c r="R119" i="12" a="1"/>
  <c r="R119" i="12" s="1"/>
  <c r="C117" i="12"/>
  <c r="C38" i="12"/>
  <c r="AG35" i="11"/>
  <c r="AG47" i="11" s="1"/>
  <c r="P47" i="11"/>
  <c r="C96" i="5" l="1"/>
  <c r="C42" i="5"/>
  <c r="C150" i="29" a="1"/>
  <c r="C150" i="29" s="1"/>
  <c r="M150" i="29"/>
  <c r="F150" i="29"/>
  <c r="L151" i="29" a="1"/>
  <c r="L151" i="29" s="1"/>
  <c r="B151" i="29"/>
  <c r="L100" i="29"/>
  <c r="G151" i="29"/>
  <c r="R134" i="29"/>
  <c r="I153" i="29"/>
  <c r="K154" i="29"/>
  <c r="P149" i="29"/>
  <c r="Q152" i="29" a="1"/>
  <c r="Q152" i="29" s="1"/>
  <c r="N152" i="29" a="1"/>
  <c r="N152" i="29" s="1"/>
  <c r="E115" i="27"/>
  <c r="J146" i="27" s="1"/>
  <c r="G144" i="27"/>
  <c r="I144" i="27" s="1"/>
  <c r="F114" i="27"/>
  <c r="H144" i="27"/>
  <c r="J114" i="27" s="1"/>
  <c r="K118" i="27"/>
  <c r="L118" i="27"/>
  <c r="G119" i="27" s="1"/>
  <c r="J131" i="25"/>
  <c r="H130" i="25"/>
  <c r="F101" i="25"/>
  <c r="G130" i="25"/>
  <c r="I130" i="25" s="1"/>
  <c r="G101" i="25"/>
  <c r="K101" i="25" s="1"/>
  <c r="K268" i="22"/>
  <c r="L270" i="22"/>
  <c r="K270" i="22" s="1"/>
  <c r="N254" i="22"/>
  <c r="L90" i="16"/>
  <c r="M90" i="16" s="1"/>
  <c r="H90" i="16"/>
  <c r="I90" i="16" s="1"/>
  <c r="I113" i="17"/>
  <c r="G114" i="17"/>
  <c r="C111" i="17"/>
  <c r="E111" i="17" s="1"/>
  <c r="D111" i="17"/>
  <c r="F111" i="17"/>
  <c r="H111" i="17" s="1"/>
  <c r="M110" i="17"/>
  <c r="J110" i="17"/>
  <c r="K110" i="17"/>
  <c r="L110" i="17"/>
  <c r="N112" i="17"/>
  <c r="B112" i="17"/>
  <c r="N198" i="16" a="1"/>
  <c r="N198" i="16" s="1"/>
  <c r="H198" i="16" a="1"/>
  <c r="H198" i="16" s="1"/>
  <c r="L198" i="16" a="1"/>
  <c r="L198" i="16" s="1"/>
  <c r="J198" i="16" a="1"/>
  <c r="J198" i="16" s="1"/>
  <c r="I198" i="16" a="1"/>
  <c r="I198" i="16" s="1"/>
  <c r="M198" i="16" a="1"/>
  <c r="M198" i="16" s="1"/>
  <c r="K198" i="16" a="1"/>
  <c r="K198" i="16" s="1"/>
  <c r="G198" i="16" a="1"/>
  <c r="G198" i="16" s="1"/>
  <c r="D197" i="16"/>
  <c r="B197" i="16" s="1"/>
  <c r="E85" i="16"/>
  <c r="B85" i="16" s="1"/>
  <c r="C86" i="16"/>
  <c r="G87" i="16"/>
  <c r="O200" i="16"/>
  <c r="G36" i="16"/>
  <c r="J36" i="16" s="1"/>
  <c r="L88" i="16"/>
  <c r="M88" i="16" s="1"/>
  <c r="H88" i="16"/>
  <c r="I88" i="16" s="1"/>
  <c r="E35" i="16"/>
  <c r="B35" i="16" s="1"/>
  <c r="C36" i="16"/>
  <c r="L36" i="16"/>
  <c r="O36" i="16" s="1"/>
  <c r="K87" i="16"/>
  <c r="K202" i="15"/>
  <c r="L202" i="15"/>
  <c r="J202" i="15"/>
  <c r="M202" i="15"/>
  <c r="G206" i="15"/>
  <c r="I205" i="15"/>
  <c r="B204" i="15"/>
  <c r="N204" i="15"/>
  <c r="F203" i="15"/>
  <c r="H203" i="15" s="1"/>
  <c r="D203" i="15"/>
  <c r="C203" i="15"/>
  <c r="E203" i="15" s="1"/>
  <c r="W117" i="12"/>
  <c r="S117" i="12"/>
  <c r="B117" i="12"/>
  <c r="V118" i="12" a="1"/>
  <c r="V118" i="12" s="1"/>
  <c r="R118" i="12" a="1"/>
  <c r="R118" i="12" s="1"/>
  <c r="C116" i="12"/>
  <c r="C37" i="12"/>
  <c r="C162" i="5" l="1"/>
  <c r="F151" i="29"/>
  <c r="C151" i="29" a="1"/>
  <c r="C151" i="29" s="1"/>
  <c r="M151" i="29"/>
  <c r="L152" i="29" a="1"/>
  <c r="L152" i="29" s="1"/>
  <c r="L101" i="29"/>
  <c r="G152" i="29"/>
  <c r="B152" i="29"/>
  <c r="I154" i="29"/>
  <c r="K155" i="29"/>
  <c r="P150" i="29"/>
  <c r="S134" i="29"/>
  <c r="Q153" i="29" a="1"/>
  <c r="Q153" i="29" s="1"/>
  <c r="N153" i="29" a="1"/>
  <c r="N153" i="29" s="1"/>
  <c r="G145" i="27"/>
  <c r="I145" i="27" s="1"/>
  <c r="F115" i="27"/>
  <c r="E116" i="27"/>
  <c r="J147" i="27" s="1"/>
  <c r="H145" i="27"/>
  <c r="J115" i="27" s="1"/>
  <c r="K119" i="27"/>
  <c r="L119" i="27"/>
  <c r="G120" i="27" s="1"/>
  <c r="J101" i="25"/>
  <c r="L101" i="25" s="1"/>
  <c r="K111" i="17"/>
  <c r="M111" i="17"/>
  <c r="L111" i="17"/>
  <c r="J111" i="17"/>
  <c r="F112" i="17"/>
  <c r="H112" i="17" s="1"/>
  <c r="C112" i="17"/>
  <c r="E112" i="17" s="1"/>
  <c r="D112" i="17"/>
  <c r="G115" i="17"/>
  <c r="I114" i="17"/>
  <c r="B113" i="17"/>
  <c r="N113" i="17"/>
  <c r="J197" i="16" a="1"/>
  <c r="J197" i="16" s="1"/>
  <c r="K197" i="16" a="1"/>
  <c r="K197" i="16" s="1"/>
  <c r="H197" i="16" a="1"/>
  <c r="H197" i="16" s="1"/>
  <c r="L197" i="16" a="1"/>
  <c r="L197" i="16" s="1"/>
  <c r="N197" i="16" a="1"/>
  <c r="N197" i="16" s="1"/>
  <c r="G197" i="16" a="1"/>
  <c r="G197" i="16" s="1"/>
  <c r="I197" i="16" a="1"/>
  <c r="I197" i="16" s="1"/>
  <c r="M197" i="16" a="1"/>
  <c r="M197" i="16" s="1"/>
  <c r="G35" i="16"/>
  <c r="J35" i="16" s="1"/>
  <c r="O199" i="16"/>
  <c r="G86" i="16"/>
  <c r="E84" i="16"/>
  <c r="B84" i="16" s="1"/>
  <c r="C85" i="16"/>
  <c r="H87" i="16"/>
  <c r="I87" i="16" s="1"/>
  <c r="C35" i="16"/>
  <c r="E34" i="16"/>
  <c r="B34" i="16" s="1"/>
  <c r="K86" i="16"/>
  <c r="L35" i="16"/>
  <c r="O35" i="16" s="1"/>
  <c r="D195" i="16"/>
  <c r="B195" i="16" s="1"/>
  <c r="L87" i="16"/>
  <c r="M87" i="16" s="1"/>
  <c r="N205" i="15"/>
  <c r="B205" i="15"/>
  <c r="C204" i="15"/>
  <c r="E204" i="15" s="1"/>
  <c r="D204" i="15"/>
  <c r="F204" i="15"/>
  <c r="H204" i="15" s="1"/>
  <c r="I206" i="15"/>
  <c r="G207" i="15"/>
  <c r="J203" i="15"/>
  <c r="M203" i="15"/>
  <c r="L203" i="15"/>
  <c r="K203" i="15"/>
  <c r="R117" i="12" a="1"/>
  <c r="R117" i="12" s="1"/>
  <c r="V117" i="12" a="1"/>
  <c r="V117" i="12" s="1"/>
  <c r="B116" i="12"/>
  <c r="S116" i="12"/>
  <c r="W116" i="12"/>
  <c r="C115" i="12"/>
  <c r="C36" i="12"/>
  <c r="C152" i="29" l="1" a="1"/>
  <c r="C152" i="29" s="1"/>
  <c r="M152" i="29"/>
  <c r="F152" i="29"/>
  <c r="L153" i="29" a="1"/>
  <c r="L153" i="29" s="1"/>
  <c r="L102" i="29"/>
  <c r="P151" i="29"/>
  <c r="I155" i="29"/>
  <c r="K156" i="29"/>
  <c r="Q154" i="29" a="1"/>
  <c r="Q154" i="29" s="1"/>
  <c r="N154" i="29" a="1"/>
  <c r="N154" i="29" s="1"/>
  <c r="B153" i="29"/>
  <c r="O135" i="29" a="1"/>
  <c r="O135" i="29" s="1"/>
  <c r="G153" i="29"/>
  <c r="H146" i="27"/>
  <c r="J116" i="27" s="1"/>
  <c r="E117" i="27"/>
  <c r="J148" i="27" s="1"/>
  <c r="G146" i="27"/>
  <c r="I146" i="27" s="1"/>
  <c r="F116" i="27"/>
  <c r="K120" i="27"/>
  <c r="L120" i="27" s="1"/>
  <c r="G121" i="27" s="1"/>
  <c r="E102" i="25"/>
  <c r="I115" i="17"/>
  <c r="G116" i="17"/>
  <c r="K112" i="17"/>
  <c r="M112" i="17"/>
  <c r="J112" i="17"/>
  <c r="L112" i="17"/>
  <c r="C113" i="17"/>
  <c r="E113" i="17" s="1"/>
  <c r="D113" i="17"/>
  <c r="F113" i="17"/>
  <c r="H113" i="17" s="1"/>
  <c r="N114" i="17"/>
  <c r="B114" i="17"/>
  <c r="N195" i="16" a="1"/>
  <c r="N195" i="16" s="1"/>
  <c r="G81" i="16" s="1"/>
  <c r="H195" i="16" a="1"/>
  <c r="H195" i="16" s="1"/>
  <c r="L195" i="16" a="1"/>
  <c r="L195" i="16" s="1"/>
  <c r="G195" i="16" a="1"/>
  <c r="G195" i="16" s="1"/>
  <c r="I195" i="16" a="1"/>
  <c r="I195" i="16" s="1"/>
  <c r="M195" i="16" a="1"/>
  <c r="M195" i="16" s="1"/>
  <c r="K80" i="16" s="1"/>
  <c r="J195" i="16" a="1"/>
  <c r="J195" i="16" s="1"/>
  <c r="K195" i="16" a="1"/>
  <c r="K195" i="16" s="1"/>
  <c r="O198" i="16"/>
  <c r="G34" i="16"/>
  <c r="J34" i="16" s="1"/>
  <c r="G85" i="16"/>
  <c r="I209" i="16"/>
  <c r="K209" i="16"/>
  <c r="G209" i="16"/>
  <c r="H209" i="16"/>
  <c r="J209" i="16"/>
  <c r="K85" i="16"/>
  <c r="L34" i="16"/>
  <c r="O34" i="16" s="1"/>
  <c r="L86" i="16"/>
  <c r="M86" i="16" s="1"/>
  <c r="C84" i="16"/>
  <c r="E80" i="16"/>
  <c r="B80" i="16" s="1"/>
  <c r="E33" i="16"/>
  <c r="B33" i="16" s="1"/>
  <c r="C34" i="16"/>
  <c r="H86" i="16"/>
  <c r="I86" i="16" s="1"/>
  <c r="I207" i="15"/>
  <c r="G208" i="15"/>
  <c r="N206" i="15"/>
  <c r="B206" i="15"/>
  <c r="J204" i="15"/>
  <c r="M204" i="15"/>
  <c r="K204" i="15"/>
  <c r="L204" i="15"/>
  <c r="D205" i="15"/>
  <c r="C205" i="15"/>
  <c r="E205" i="15" s="1"/>
  <c r="F205" i="15"/>
  <c r="H205" i="15" s="1"/>
  <c r="W115" i="12"/>
  <c r="S115" i="12"/>
  <c r="B115" i="12"/>
  <c r="R116" i="12" a="1"/>
  <c r="R116" i="12" s="1"/>
  <c r="V116" i="12" a="1"/>
  <c r="V116" i="12" s="1"/>
  <c r="C35" i="12"/>
  <c r="C114" i="12"/>
  <c r="G154" i="29" l="1"/>
  <c r="I156" i="29"/>
  <c r="K157" i="29"/>
  <c r="R135" i="29"/>
  <c r="Q155" i="29" a="1"/>
  <c r="Q155" i="29" s="1"/>
  <c r="N155" i="29" a="1"/>
  <c r="N155" i="29" s="1"/>
  <c r="L103" i="29"/>
  <c r="F153" i="29"/>
  <c r="C153" i="29" a="1"/>
  <c r="C153" i="29" s="1"/>
  <c r="M153" i="29"/>
  <c r="L154" i="29" a="1"/>
  <c r="L154" i="29" s="1"/>
  <c r="B155" i="29" s="1"/>
  <c r="P152" i="29"/>
  <c r="B154" i="29"/>
  <c r="E118" i="27"/>
  <c r="J149" i="27" s="1"/>
  <c r="H147" i="27"/>
  <c r="J117" i="27" s="1"/>
  <c r="G147" i="27"/>
  <c r="I147" i="27" s="1"/>
  <c r="F117" i="27"/>
  <c r="K121" i="27"/>
  <c r="L121" i="27" s="1"/>
  <c r="G122" i="27" s="1"/>
  <c r="J132" i="25"/>
  <c r="H131" i="25"/>
  <c r="F102" i="25"/>
  <c r="G131" i="25"/>
  <c r="I131" i="25" s="1"/>
  <c r="G102" i="25"/>
  <c r="G129" i="16"/>
  <c r="G131" i="16" s="1"/>
  <c r="G117" i="17"/>
  <c r="I117" i="17" s="1"/>
  <c r="I116" i="17"/>
  <c r="D114" i="17"/>
  <c r="F114" i="17"/>
  <c r="H114" i="17" s="1"/>
  <c r="C114" i="17"/>
  <c r="E114" i="17" s="1"/>
  <c r="L113" i="17"/>
  <c r="J113" i="17"/>
  <c r="K113" i="17"/>
  <c r="M113" i="17"/>
  <c r="B115" i="17"/>
  <c r="N115" i="17"/>
  <c r="L80" i="16"/>
  <c r="M80" i="16" s="1"/>
  <c r="H176" i="16"/>
  <c r="H182" i="16" s="1"/>
  <c r="H184" i="16" s="1"/>
  <c r="M209" i="16"/>
  <c r="L33" i="16"/>
  <c r="K84" i="16"/>
  <c r="K99" i="16" s="1"/>
  <c r="O195" i="16"/>
  <c r="G80" i="16"/>
  <c r="H85" i="16"/>
  <c r="I85" i="16" s="1"/>
  <c r="G84" i="16"/>
  <c r="G33" i="16"/>
  <c r="L209" i="16"/>
  <c r="O197" i="16"/>
  <c r="O209" i="16" s="1"/>
  <c r="H188" i="16"/>
  <c r="N209" i="16"/>
  <c r="H96" i="16"/>
  <c r="L85" i="16"/>
  <c r="M85" i="16" s="1"/>
  <c r="C33" i="16"/>
  <c r="C80" i="16"/>
  <c r="C81" i="16" s="1"/>
  <c r="H81" i="16"/>
  <c r="I81" i="16" s="1"/>
  <c r="F206" i="15"/>
  <c r="H206" i="15" s="1"/>
  <c r="C206" i="15"/>
  <c r="E206" i="15" s="1"/>
  <c r="D206" i="15"/>
  <c r="L205" i="15"/>
  <c r="M205" i="15"/>
  <c r="K205" i="15"/>
  <c r="J205" i="15"/>
  <c r="G209" i="15"/>
  <c r="I208" i="15"/>
  <c r="B207" i="15"/>
  <c r="N207" i="15"/>
  <c r="W114" i="12"/>
  <c r="S114" i="12"/>
  <c r="B114" i="12"/>
  <c r="V115" i="12" a="1"/>
  <c r="V115" i="12" s="1"/>
  <c r="R115" i="12" a="1"/>
  <c r="R115" i="12" s="1"/>
  <c r="C34" i="12"/>
  <c r="C113" i="12"/>
  <c r="L104" i="29" l="1"/>
  <c r="Q156" i="29" a="1"/>
  <c r="Q156" i="29" s="1"/>
  <c r="N156" i="29" a="1"/>
  <c r="N156" i="29" s="1"/>
  <c r="C154" i="29" a="1"/>
  <c r="C154" i="29" s="1"/>
  <c r="M154" i="29"/>
  <c r="F154" i="29"/>
  <c r="L155" i="29" a="1"/>
  <c r="L155" i="29" s="1"/>
  <c r="B156" i="29" s="1"/>
  <c r="P153" i="29"/>
  <c r="S135" i="29"/>
  <c r="K158" i="29"/>
  <c r="I157" i="29"/>
  <c r="G155" i="29"/>
  <c r="E119" i="27"/>
  <c r="J150" i="27" s="1"/>
  <c r="H148" i="27"/>
  <c r="J118" i="27" s="1"/>
  <c r="F118" i="27"/>
  <c r="G148" i="27"/>
  <c r="I148" i="27" s="1"/>
  <c r="K122" i="27"/>
  <c r="L122" i="27" s="1"/>
  <c r="G123" i="27" s="1"/>
  <c r="J102" i="25"/>
  <c r="K102" i="25"/>
  <c r="L102" i="25"/>
  <c r="G130" i="16"/>
  <c r="L114" i="17"/>
  <c r="M114" i="17"/>
  <c r="K114" i="17"/>
  <c r="J114" i="17"/>
  <c r="B116" i="17"/>
  <c r="N116" i="17"/>
  <c r="D115" i="17"/>
  <c r="F115" i="17"/>
  <c r="H115" i="17" s="1"/>
  <c r="C115" i="17"/>
  <c r="E115" i="17" s="1"/>
  <c r="N117" i="17"/>
  <c r="B117" i="17"/>
  <c r="G46" i="16"/>
  <c r="J46" i="16" s="1"/>
  <c r="G96" i="16"/>
  <c r="I96" i="16" s="1"/>
  <c r="G106" i="16" s="1"/>
  <c r="J106" i="16" s="1"/>
  <c r="H80" i="16"/>
  <c r="I80" i="16" s="1"/>
  <c r="G176" i="16"/>
  <c r="L51" i="16"/>
  <c r="L60" i="16" s="1"/>
  <c r="O33" i="16"/>
  <c r="J33" i="16"/>
  <c r="G51" i="16"/>
  <c r="G60" i="16" s="1"/>
  <c r="H84" i="16"/>
  <c r="I84" i="16" s="1"/>
  <c r="L84" i="16"/>
  <c r="M84" i="16" s="1"/>
  <c r="M99" i="16" s="1"/>
  <c r="H105" i="16" s="1"/>
  <c r="I209" i="15"/>
  <c r="G210" i="15"/>
  <c r="C207" i="15"/>
  <c r="E207" i="15" s="1"/>
  <c r="D207" i="15"/>
  <c r="F207" i="15"/>
  <c r="H207" i="15" s="1"/>
  <c r="N208" i="15"/>
  <c r="B208" i="15"/>
  <c r="K206" i="15"/>
  <c r="J206" i="15"/>
  <c r="M206" i="15"/>
  <c r="L206" i="15"/>
  <c r="B113" i="12"/>
  <c r="W113" i="12"/>
  <c r="S113" i="12"/>
  <c r="V114" i="12" a="1"/>
  <c r="V114" i="12" s="1"/>
  <c r="R114" i="12" a="1"/>
  <c r="R114" i="12" s="1"/>
  <c r="C33" i="12"/>
  <c r="C112" i="12"/>
  <c r="G99" i="16" l="1"/>
  <c r="P154" i="29"/>
  <c r="O136" i="29" a="1"/>
  <c r="O136" i="29" s="1"/>
  <c r="N157" i="29" a="1"/>
  <c r="N157" i="29" s="1"/>
  <c r="Q157" i="29" a="1"/>
  <c r="Q157" i="29" s="1"/>
  <c r="L105" i="29"/>
  <c r="G156" i="29"/>
  <c r="K159" i="29"/>
  <c r="I158" i="29"/>
  <c r="F155" i="29"/>
  <c r="C155" i="29" a="1"/>
  <c r="C155" i="29" s="1"/>
  <c r="M155" i="29"/>
  <c r="L156" i="29" a="1"/>
  <c r="L156" i="29" s="1"/>
  <c r="G149" i="27"/>
  <c r="I149" i="27" s="1"/>
  <c r="F119" i="27"/>
  <c r="H149" i="27"/>
  <c r="J119" i="27" s="1"/>
  <c r="E120" i="27"/>
  <c r="J151" i="27" s="1"/>
  <c r="K123" i="27"/>
  <c r="L123" i="27" s="1"/>
  <c r="E103" i="25"/>
  <c r="J115" i="17"/>
  <c r="L115" i="17"/>
  <c r="K115" i="17"/>
  <c r="M115" i="17"/>
  <c r="C116" i="17"/>
  <c r="E116" i="17" s="1"/>
  <c r="D116" i="17"/>
  <c r="F116" i="17"/>
  <c r="H116" i="17" s="1"/>
  <c r="F117" i="17"/>
  <c r="D117" i="17"/>
  <c r="C117" i="17"/>
  <c r="E117" i="17" s="1"/>
  <c r="L99" i="16"/>
  <c r="H146" i="16" s="1"/>
  <c r="H150" i="16" s="1"/>
  <c r="H152" i="16" s="1"/>
  <c r="H99" i="16"/>
  <c r="G146" i="16" s="1"/>
  <c r="J51" i="16"/>
  <c r="J60" i="16" s="1"/>
  <c r="J61" i="16" s="1"/>
  <c r="O51" i="16"/>
  <c r="O60" i="16" s="1"/>
  <c r="O61" i="16" s="1"/>
  <c r="H107" i="16" s="1"/>
  <c r="H112" i="16" s="1"/>
  <c r="H114" i="16" s="1"/>
  <c r="I99" i="16"/>
  <c r="G105" i="16" s="1"/>
  <c r="G182" i="16"/>
  <c r="G184" i="16" s="1"/>
  <c r="J176" i="16"/>
  <c r="J182" i="16" s="1"/>
  <c r="C208" i="15"/>
  <c r="E208" i="15" s="1"/>
  <c r="F208" i="15"/>
  <c r="H208" i="15" s="1"/>
  <c r="D208" i="15"/>
  <c r="J207" i="15"/>
  <c r="K207" i="15"/>
  <c r="L207" i="15"/>
  <c r="M207" i="15"/>
  <c r="G211" i="15"/>
  <c r="I211" i="15" s="1"/>
  <c r="I210" i="15"/>
  <c r="N209" i="15"/>
  <c r="B209" i="15"/>
  <c r="B112" i="12"/>
  <c r="W112" i="12"/>
  <c r="S112" i="12"/>
  <c r="V113" i="12" a="1"/>
  <c r="V113" i="12" s="1"/>
  <c r="R113" i="12" a="1"/>
  <c r="R113" i="12" s="1"/>
  <c r="C111" i="12"/>
  <c r="C32" i="12"/>
  <c r="R136" i="29" l="1"/>
  <c r="Q158" i="29" a="1"/>
  <c r="Q158" i="29" s="1"/>
  <c r="N158" i="29" a="1"/>
  <c r="N158" i="29" s="1"/>
  <c r="K160" i="29"/>
  <c r="I159" i="29"/>
  <c r="P155" i="29"/>
  <c r="L106" i="29"/>
  <c r="F156" i="29"/>
  <c r="C156" i="29" a="1"/>
  <c r="C156" i="29" s="1"/>
  <c r="M156" i="29"/>
  <c r="L157" i="29" a="1"/>
  <c r="L157" i="29" s="1"/>
  <c r="B158" i="29" s="1"/>
  <c r="B157" i="29"/>
  <c r="G157" i="29"/>
  <c r="G150" i="27"/>
  <c r="I150" i="27" s="1"/>
  <c r="H150" i="27"/>
  <c r="J120" i="27" s="1"/>
  <c r="F120" i="27"/>
  <c r="E121" i="27"/>
  <c r="J152" i="27" s="1"/>
  <c r="J133" i="25"/>
  <c r="H132" i="25"/>
  <c r="F103" i="25"/>
  <c r="G132" i="25"/>
  <c r="I132" i="25" s="1"/>
  <c r="G103" i="25"/>
  <c r="K103" i="25" s="1"/>
  <c r="H117" i="17"/>
  <c r="M117" i="17" s="1"/>
  <c r="J116" i="17"/>
  <c r="K116" i="17"/>
  <c r="L116" i="17"/>
  <c r="M116" i="17"/>
  <c r="G107" i="16"/>
  <c r="J107" i="16" s="1"/>
  <c r="J64" i="16"/>
  <c r="G64" i="16" s="1"/>
  <c r="J105" i="16"/>
  <c r="J185" i="16"/>
  <c r="J184" i="16"/>
  <c r="J146" i="16"/>
  <c r="J150" i="16" s="1"/>
  <c r="G150" i="16"/>
  <c r="G152" i="16" s="1"/>
  <c r="N211" i="15"/>
  <c r="B211" i="15"/>
  <c r="D209" i="15"/>
  <c r="F209" i="15"/>
  <c r="H209" i="15" s="1"/>
  <c r="C209" i="15"/>
  <c r="E209" i="15" s="1"/>
  <c r="M208" i="15"/>
  <c r="J208" i="15"/>
  <c r="K208" i="15"/>
  <c r="L208" i="15"/>
  <c r="B210" i="15"/>
  <c r="N210" i="15"/>
  <c r="W111" i="12"/>
  <c r="B111" i="12"/>
  <c r="S111" i="12"/>
  <c r="R112" i="12" a="1"/>
  <c r="R112" i="12" s="1"/>
  <c r="V112" i="12" a="1"/>
  <c r="V112" i="12" s="1"/>
  <c r="C110" i="12"/>
  <c r="C31" i="12"/>
  <c r="P156" i="29" l="1"/>
  <c r="Q159" i="29" a="1"/>
  <c r="Q159" i="29" s="1"/>
  <c r="N159" i="29" a="1"/>
  <c r="N159" i="29" s="1"/>
  <c r="S136" i="29"/>
  <c r="L107" i="29"/>
  <c r="I160" i="29"/>
  <c r="K161" i="29"/>
  <c r="F157" i="29"/>
  <c r="M157" i="29"/>
  <c r="C157" i="29" a="1"/>
  <c r="C157" i="29" s="1"/>
  <c r="L158" i="29" a="1"/>
  <c r="L158" i="29" s="1"/>
  <c r="B159" i="29" s="1"/>
  <c r="G158" i="29"/>
  <c r="G112" i="16"/>
  <c r="J112" i="16" s="1"/>
  <c r="H151" i="27"/>
  <c r="J121" i="27" s="1"/>
  <c r="E122" i="27"/>
  <c r="J153" i="27" s="1"/>
  <c r="G151" i="27"/>
  <c r="I151" i="27" s="1"/>
  <c r="F121" i="27"/>
  <c r="J103" i="25"/>
  <c r="L103" i="25" s="1"/>
  <c r="K117" i="17"/>
  <c r="J117" i="17"/>
  <c r="L117" i="17"/>
  <c r="J153" i="16"/>
  <c r="J152" i="16"/>
  <c r="J209" i="15"/>
  <c r="K209" i="15"/>
  <c r="L209" i="15"/>
  <c r="M209" i="15"/>
  <c r="C210" i="15"/>
  <c r="E210" i="15" s="1"/>
  <c r="D210" i="15"/>
  <c r="F210" i="15"/>
  <c r="H210" i="15" s="1"/>
  <c r="F211" i="15"/>
  <c r="C211" i="15"/>
  <c r="E211" i="15" s="1"/>
  <c r="D211" i="15"/>
  <c r="B110" i="12"/>
  <c r="W110" i="12"/>
  <c r="W109" i="12" s="1"/>
  <c r="S110" i="12"/>
  <c r="S109" i="12" s="1"/>
  <c r="V111" i="12" a="1"/>
  <c r="V111" i="12" s="1"/>
  <c r="R111" i="12" a="1"/>
  <c r="R111" i="12" s="1"/>
  <c r="C30" i="12"/>
  <c r="G114" i="16" l="1"/>
  <c r="L108" i="29"/>
  <c r="P157" i="29"/>
  <c r="Q160" i="29" a="1"/>
  <c r="Q160" i="29" s="1"/>
  <c r="N160" i="29" a="1"/>
  <c r="N160" i="29" s="1"/>
  <c r="G159" i="29"/>
  <c r="I161" i="29"/>
  <c r="K162" i="29"/>
  <c r="O137" i="29" a="1"/>
  <c r="O137" i="29" s="1"/>
  <c r="M158" i="29"/>
  <c r="C158" i="29" a="1"/>
  <c r="C158" i="29" s="1"/>
  <c r="F158" i="29"/>
  <c r="L159" i="29" a="1"/>
  <c r="L159" i="29" s="1"/>
  <c r="B160" i="29" s="1"/>
  <c r="G152" i="27"/>
  <c r="I152" i="27" s="1"/>
  <c r="E123" i="27"/>
  <c r="H152" i="27"/>
  <c r="J122" i="27" s="1"/>
  <c r="F122" i="27"/>
  <c r="E104" i="25"/>
  <c r="J114" i="16"/>
  <c r="J115" i="16" s="1"/>
  <c r="H68" i="16" s="1"/>
  <c r="H211" i="15"/>
  <c r="L211" i="15" s="1"/>
  <c r="K210" i="15"/>
  <c r="L210" i="15"/>
  <c r="M210" i="15"/>
  <c r="J210" i="15"/>
  <c r="V110" i="12" a="1"/>
  <c r="V110" i="12" s="1"/>
  <c r="V109" i="12" s="1"/>
  <c r="R110" i="12" a="1"/>
  <c r="R110" i="12" s="1"/>
  <c r="R109" i="12" s="1"/>
  <c r="O5" i="16" l="1"/>
  <c r="G160" i="29"/>
  <c r="K163" i="29"/>
  <c r="I162" i="29"/>
  <c r="L109" i="29"/>
  <c r="R137" i="29"/>
  <c r="F159" i="29"/>
  <c r="C159" i="29" a="1"/>
  <c r="C159" i="29" s="1"/>
  <c r="M159" i="29"/>
  <c r="L160" i="29" a="1"/>
  <c r="L160" i="29" s="1"/>
  <c r="Q161" i="29" a="1"/>
  <c r="Q161" i="29" s="1"/>
  <c r="B161" i="29"/>
  <c r="N161" i="29" a="1"/>
  <c r="N161" i="29" s="1"/>
  <c r="P158" i="29"/>
  <c r="H153" i="27"/>
  <c r="J123" i="27" s="1"/>
  <c r="F123" i="27"/>
  <c r="G153" i="27"/>
  <c r="I153" i="27" s="1"/>
  <c r="J134" i="25"/>
  <c r="F104" i="25"/>
  <c r="G133" i="25"/>
  <c r="I133" i="25" s="1"/>
  <c r="H133" i="25"/>
  <c r="G104" i="25"/>
  <c r="K104" i="25" s="1"/>
  <c r="M211" i="15"/>
  <c r="K211" i="15"/>
  <c r="J211" i="15"/>
  <c r="T113" i="12"/>
  <c r="F113" i="12" s="1"/>
  <c r="X117" i="12"/>
  <c r="I117" i="12" s="1"/>
  <c r="J37" i="12" s="1"/>
  <c r="X118" i="12"/>
  <c r="I118" i="12" s="1"/>
  <c r="J38" i="12" s="1"/>
  <c r="X119" i="12"/>
  <c r="I119" i="12" s="1"/>
  <c r="J39" i="12" s="1"/>
  <c r="X120" i="12"/>
  <c r="I120" i="12" s="1"/>
  <c r="J40" i="12" s="1"/>
  <c r="X112" i="12"/>
  <c r="I112" i="12" s="1"/>
  <c r="J32" i="12" s="1"/>
  <c r="T119" i="12"/>
  <c r="F119" i="12" s="1"/>
  <c r="T121" i="12"/>
  <c r="F121" i="12" s="1"/>
  <c r="T120" i="12"/>
  <c r="F120" i="12" s="1"/>
  <c r="T114" i="12"/>
  <c r="F114" i="12" s="1"/>
  <c r="T115" i="12"/>
  <c r="F115" i="12" s="1"/>
  <c r="X121" i="12"/>
  <c r="I121" i="12" s="1"/>
  <c r="J41" i="12" s="1"/>
  <c r="T116" i="12"/>
  <c r="F116" i="12" s="1"/>
  <c r="X116" i="12"/>
  <c r="I116" i="12" s="1"/>
  <c r="J36" i="12" s="1"/>
  <c r="X110" i="12"/>
  <c r="I110" i="12" s="1"/>
  <c r="J30" i="12" s="1"/>
  <c r="T117" i="12"/>
  <c r="F117" i="12" s="1"/>
  <c r="T118" i="12"/>
  <c r="F118" i="12" s="1"/>
  <c r="X111" i="12"/>
  <c r="I111" i="12" s="1"/>
  <c r="J31" i="12" s="1"/>
  <c r="T112" i="12"/>
  <c r="F112" i="12" s="1"/>
  <c r="T111" i="12"/>
  <c r="F111" i="12" s="1"/>
  <c r="X113" i="12"/>
  <c r="I113" i="12" s="1"/>
  <c r="J33" i="12" s="1"/>
  <c r="T110" i="12"/>
  <c r="F110" i="12" s="1"/>
  <c r="F30" i="12" s="1"/>
  <c r="X114" i="12"/>
  <c r="I114" i="12" s="1"/>
  <c r="J34" i="12" s="1"/>
  <c r="X115" i="12"/>
  <c r="I115" i="12" s="1"/>
  <c r="J35" i="12" s="1"/>
  <c r="L110" i="29" l="1"/>
  <c r="G161" i="29"/>
  <c r="C160" i="29" a="1"/>
  <c r="C160" i="29" s="1"/>
  <c r="F160" i="29"/>
  <c r="M160" i="29"/>
  <c r="L161" i="29" a="1"/>
  <c r="L161" i="29" s="1"/>
  <c r="B162" i="29" s="1"/>
  <c r="S137" i="29"/>
  <c r="P159" i="29"/>
  <c r="Q162" i="29" a="1"/>
  <c r="Q162" i="29" s="1"/>
  <c r="N162" i="29" a="1"/>
  <c r="N162" i="29" s="1"/>
  <c r="K164" i="29"/>
  <c r="I163" i="29"/>
  <c r="J104" i="25"/>
  <c r="L104" i="25" s="1"/>
  <c r="F41" i="12"/>
  <c r="G41" i="12" s="1"/>
  <c r="F36" i="12"/>
  <c r="G36" i="12" s="1"/>
  <c r="F32" i="12"/>
  <c r="G32" i="12" s="1"/>
  <c r="F37" i="12"/>
  <c r="G37" i="12" s="1"/>
  <c r="F39" i="12"/>
  <c r="G39" i="12" s="1"/>
  <c r="F31" i="12"/>
  <c r="G31" i="12" s="1"/>
  <c r="F35" i="12"/>
  <c r="G35" i="12" s="1"/>
  <c r="F34" i="12"/>
  <c r="G34" i="12" s="1"/>
  <c r="F38" i="12"/>
  <c r="G38" i="12" s="1"/>
  <c r="F40" i="12"/>
  <c r="G40" i="12" s="1"/>
  <c r="F33" i="12"/>
  <c r="G33" i="12" s="1"/>
  <c r="J114" i="12"/>
  <c r="K114" i="12" s="1"/>
  <c r="K34" i="12"/>
  <c r="J110" i="12"/>
  <c r="K110" i="12" s="1"/>
  <c r="F122" i="12"/>
  <c r="E103" i="12"/>
  <c r="J112" i="12"/>
  <c r="K112" i="12" s="1"/>
  <c r="K32" i="12"/>
  <c r="K33" i="12"/>
  <c r="J113" i="12"/>
  <c r="K113" i="12" s="1"/>
  <c r="J119" i="12"/>
  <c r="K119" i="12" s="1"/>
  <c r="K39" i="12"/>
  <c r="K35" i="12"/>
  <c r="J115" i="12"/>
  <c r="K115" i="12" s="1"/>
  <c r="K36" i="12"/>
  <c r="J116" i="12"/>
  <c r="K116" i="12" s="1"/>
  <c r="K40" i="12"/>
  <c r="J120" i="12"/>
  <c r="K120" i="12" s="1"/>
  <c r="K121" i="12"/>
  <c r="K41" i="12"/>
  <c r="K38" i="12"/>
  <c r="J118" i="12"/>
  <c r="K118" i="12" s="1"/>
  <c r="J111" i="12"/>
  <c r="K111" i="12" s="1"/>
  <c r="K31" i="12"/>
  <c r="J117" i="12"/>
  <c r="K117" i="12" s="1"/>
  <c r="K37" i="12"/>
  <c r="L65" i="29" l="1"/>
  <c r="L66" i="29"/>
  <c r="D26" i="29"/>
  <c r="G162" i="29"/>
  <c r="F161" i="29"/>
  <c r="C161" i="29" a="1"/>
  <c r="C161" i="29" s="1"/>
  <c r="M161" i="29"/>
  <c r="L162" i="29" a="1"/>
  <c r="L162" i="29" s="1"/>
  <c r="B163" i="29" s="1"/>
  <c r="N163" i="29" a="1"/>
  <c r="N163" i="29" s="1"/>
  <c r="Q163" i="29" a="1"/>
  <c r="Q163" i="29" s="1"/>
  <c r="P160" i="29"/>
  <c r="K165" i="29"/>
  <c r="I164" i="29"/>
  <c r="O138" i="29" a="1"/>
  <c r="O138" i="29" s="1"/>
  <c r="E105" i="25"/>
  <c r="K122" i="12"/>
  <c r="C279" i="5" s="1"/>
  <c r="J44" i="12"/>
  <c r="J61" i="12" s="1"/>
  <c r="K30" i="12"/>
  <c r="K44" i="12" s="1"/>
  <c r="K61" i="12" s="1"/>
  <c r="F44" i="12"/>
  <c r="G30" i="12"/>
  <c r="G44" i="12" s="1"/>
  <c r="G61" i="12" s="1"/>
  <c r="I66" i="35"/>
  <c r="I38" i="35"/>
  <c r="I53" i="35"/>
  <c r="I49" i="35"/>
  <c r="I45" i="35"/>
  <c r="I41" i="35"/>
  <c r="I33" i="35"/>
  <c r="I29" i="35"/>
  <c r="I25" i="35"/>
  <c r="I21" i="35"/>
  <c r="I54" i="35"/>
  <c r="I58" i="35"/>
  <c r="I42" i="35"/>
  <c r="I65" i="35"/>
  <c r="I60" i="35"/>
  <c r="I56" i="35"/>
  <c r="I40" i="35"/>
  <c r="I24" i="35"/>
  <c r="I20" i="35"/>
  <c r="I50" i="35"/>
  <c r="I30" i="35"/>
  <c r="I22" i="35"/>
  <c r="I61" i="35"/>
  <c r="I57" i="35"/>
  <c r="I37" i="35"/>
  <c r="I64" i="35"/>
  <c r="I44" i="35"/>
  <c r="I32" i="35"/>
  <c r="I28" i="35"/>
  <c r="I26" i="35"/>
  <c r="I52" i="35"/>
  <c r="I36" i="35"/>
  <c r="I63" i="35"/>
  <c r="I59" i="35"/>
  <c r="I55" i="35"/>
  <c r="I51" i="35"/>
  <c r="I47" i="35"/>
  <c r="I43" i="35"/>
  <c r="I39" i="35"/>
  <c r="I35" i="35"/>
  <c r="I31" i="35"/>
  <c r="I27" i="35"/>
  <c r="I23" i="35"/>
  <c r="I19" i="35"/>
  <c r="I62" i="35"/>
  <c r="I46" i="35"/>
  <c r="I34" i="35"/>
  <c r="I48" i="35"/>
  <c r="I17" i="35"/>
  <c r="F66" i="31"/>
  <c r="F62" i="31"/>
  <c r="F50" i="31"/>
  <c r="F54" i="31"/>
  <c r="F58" i="31"/>
  <c r="F46" i="31"/>
  <c r="F42" i="31"/>
  <c r="F38" i="31"/>
  <c r="F34" i="31"/>
  <c r="F30" i="31"/>
  <c r="F26" i="31"/>
  <c r="F22" i="31"/>
  <c r="F18" i="31"/>
  <c r="F41" i="31"/>
  <c r="F37" i="31"/>
  <c r="F33" i="31"/>
  <c r="F25" i="31"/>
  <c r="F21" i="31"/>
  <c r="F45" i="31"/>
  <c r="F57" i="31"/>
  <c r="F29" i="31"/>
  <c r="F64" i="31"/>
  <c r="F56" i="31"/>
  <c r="F52" i="31"/>
  <c r="F48" i="31"/>
  <c r="F44" i="31"/>
  <c r="F40" i="31"/>
  <c r="F36" i="31"/>
  <c r="F32" i="31"/>
  <c r="F28" i="31"/>
  <c r="F24" i="31"/>
  <c r="F20" i="31"/>
  <c r="F61" i="31"/>
  <c r="F53" i="31"/>
  <c r="F60" i="31"/>
  <c r="F65" i="31"/>
  <c r="F49" i="31"/>
  <c r="F63" i="31"/>
  <c r="F59" i="31"/>
  <c r="F55" i="31"/>
  <c r="F51" i="31"/>
  <c r="F47" i="31"/>
  <c r="F43" i="31"/>
  <c r="F39" i="31"/>
  <c r="F35" i="31"/>
  <c r="F31" i="31"/>
  <c r="F27" i="31"/>
  <c r="F23" i="31"/>
  <c r="F19" i="31"/>
  <c r="F17" i="31"/>
  <c r="F72" i="31"/>
  <c r="I73" i="35"/>
  <c r="I79" i="35"/>
  <c r="I81" i="35"/>
  <c r="I80" i="35"/>
  <c r="I82" i="35"/>
  <c r="I77" i="35"/>
  <c r="I76" i="35"/>
  <c r="I74" i="35"/>
  <c r="I75" i="35"/>
  <c r="I78" i="35"/>
  <c r="F74" i="31" l="1"/>
  <c r="R138" i="29"/>
  <c r="Q164" i="29" a="1"/>
  <c r="Q164" i="29" s="1"/>
  <c r="N164" i="29" a="1"/>
  <c r="N164" i="29" s="1"/>
  <c r="G163" i="29"/>
  <c r="C162" i="29" a="1"/>
  <c r="C162" i="29" s="1"/>
  <c r="F162" i="29"/>
  <c r="M162" i="29"/>
  <c r="L163" i="29" a="1"/>
  <c r="L163" i="29" s="1"/>
  <c r="B164" i="29" s="1"/>
  <c r="I165" i="29"/>
  <c r="K166" i="29"/>
  <c r="P161" i="29"/>
  <c r="J135" i="25"/>
  <c r="F105" i="25"/>
  <c r="G134" i="25"/>
  <c r="I134" i="25" s="1"/>
  <c r="H134" i="25"/>
  <c r="G105" i="25"/>
  <c r="E93" i="12"/>
  <c r="E98" i="12" s="1"/>
  <c r="E100" i="12" s="1"/>
  <c r="F61" i="12"/>
  <c r="F70" i="12"/>
  <c r="F163" i="29" l="1"/>
  <c r="M163" i="29"/>
  <c r="C163" i="29" a="1"/>
  <c r="C163" i="29" s="1"/>
  <c r="L164" i="29" a="1"/>
  <c r="L164" i="29" s="1"/>
  <c r="P162" i="29"/>
  <c r="Q165" i="29" a="1"/>
  <c r="Q165" i="29" s="1"/>
  <c r="N165" i="29" a="1"/>
  <c r="N165" i="29" s="1"/>
  <c r="I166" i="29"/>
  <c r="K167" i="29"/>
  <c r="G164" i="29"/>
  <c r="S138" i="29"/>
  <c r="E101" i="12"/>
  <c r="K105" i="25"/>
  <c r="J105" i="25"/>
  <c r="L105" i="25" s="1"/>
  <c r="K5" i="12"/>
  <c r="E88" i="12"/>
  <c r="Q166" i="29" l="1" a="1"/>
  <c r="Q166" i="29" s="1"/>
  <c r="N166" i="29" a="1"/>
  <c r="N166" i="29" s="1"/>
  <c r="O139" i="29" a="1"/>
  <c r="O139" i="29" s="1"/>
  <c r="C164" i="29" a="1"/>
  <c r="C164" i="29" s="1"/>
  <c r="M164" i="29"/>
  <c r="F164" i="29"/>
  <c r="L165" i="29" a="1"/>
  <c r="L165" i="29" s="1"/>
  <c r="B166" i="29" s="1"/>
  <c r="P163" i="29"/>
  <c r="K168" i="29"/>
  <c r="I167" i="29"/>
  <c r="G165" i="29"/>
  <c r="B165" i="29"/>
  <c r="E106" i="25"/>
  <c r="G106" i="25" s="1"/>
  <c r="I168" i="29" l="1"/>
  <c r="K169" i="29"/>
  <c r="R139" i="29"/>
  <c r="F165" i="29"/>
  <c r="C165" i="29" a="1"/>
  <c r="C165" i="29" s="1"/>
  <c r="M165" i="29"/>
  <c r="L166" i="29" a="1"/>
  <c r="L166" i="29" s="1"/>
  <c r="B167" i="29" s="1"/>
  <c r="P164" i="29"/>
  <c r="G166" i="29"/>
  <c r="N167" i="29" a="1"/>
  <c r="N167" i="29" s="1"/>
  <c r="Q167" i="29" a="1"/>
  <c r="Q167" i="29" s="1"/>
  <c r="J136" i="25"/>
  <c r="F106" i="25"/>
  <c r="H135" i="25"/>
  <c r="G135" i="25"/>
  <c r="I135" i="25" s="1"/>
  <c r="K106" i="25" s="1"/>
  <c r="P165" i="29" l="1"/>
  <c r="G167" i="29"/>
  <c r="S139" i="29"/>
  <c r="K170" i="29"/>
  <c r="I169" i="29"/>
  <c r="F166" i="29"/>
  <c r="M166" i="29"/>
  <c r="C166" i="29" a="1"/>
  <c r="C166" i="29" s="1"/>
  <c r="L167" i="29" a="1"/>
  <c r="L167" i="29" s="1"/>
  <c r="Q168" i="29" a="1"/>
  <c r="Q168" i="29" s="1"/>
  <c r="N168" i="29" a="1"/>
  <c r="N168" i="29" s="1"/>
  <c r="J106" i="25"/>
  <c r="L106" i="25" s="1"/>
  <c r="N169" i="29" l="1" a="1"/>
  <c r="N169" i="29" s="1"/>
  <c r="Q169" i="29" a="1"/>
  <c r="Q169" i="29" s="1"/>
  <c r="F167" i="29"/>
  <c r="C167" i="29" a="1"/>
  <c r="C167" i="29" s="1"/>
  <c r="M167" i="29"/>
  <c r="L168" i="29" a="1"/>
  <c r="L168" i="29" s="1"/>
  <c r="O140" i="29" a="1"/>
  <c r="O140" i="29" s="1"/>
  <c r="P166" i="29"/>
  <c r="G168" i="29"/>
  <c r="I170" i="29"/>
  <c r="K171" i="29"/>
  <c r="B168" i="29"/>
  <c r="G107" i="25"/>
  <c r="K107" i="25" s="1"/>
  <c r="L107" i="25" s="1"/>
  <c r="G108" i="25" s="1"/>
  <c r="K108" i="25" s="1"/>
  <c r="L108" i="25" s="1"/>
  <c r="G109" i="25" s="1"/>
  <c r="K109" i="25" s="1"/>
  <c r="L109" i="25" s="1"/>
  <c r="G110" i="25" s="1"/>
  <c r="E107" i="25"/>
  <c r="I171" i="29" l="1"/>
  <c r="K172" i="29"/>
  <c r="Q170" i="29" a="1"/>
  <c r="Q170" i="29" s="1"/>
  <c r="N170" i="29" a="1"/>
  <c r="N170" i="29" s="1"/>
  <c r="M168" i="29"/>
  <c r="C168" i="29" a="1"/>
  <c r="C168" i="29" s="1"/>
  <c r="F168" i="29"/>
  <c r="L169" i="29" a="1"/>
  <c r="L169" i="29" s="1"/>
  <c r="B170" i="29" s="1"/>
  <c r="P167" i="29"/>
  <c r="B169" i="29"/>
  <c r="R140" i="29"/>
  <c r="G169" i="29"/>
  <c r="G136" i="25"/>
  <c r="I136" i="25" s="1"/>
  <c r="J137" i="25"/>
  <c r="F107" i="25"/>
  <c r="E108" i="25"/>
  <c r="H136" i="25"/>
  <c r="J107" i="25" s="1"/>
  <c r="K110" i="25"/>
  <c r="L110" i="25"/>
  <c r="G111" i="25" s="1"/>
  <c r="K111" i="25" s="1"/>
  <c r="L111" i="25" s="1"/>
  <c r="G112" i="25" s="1"/>
  <c r="K112" i="25" s="1"/>
  <c r="L112" i="25" s="1"/>
  <c r="G113" i="25" s="1"/>
  <c r="K113" i="25" s="1"/>
  <c r="L113" i="25" s="1"/>
  <c r="G114" i="25" s="1"/>
  <c r="K114" i="25" s="1"/>
  <c r="L114" i="25" s="1"/>
  <c r="G115" i="25" s="1"/>
  <c r="K115" i="25" s="1"/>
  <c r="L115" i="25" s="1"/>
  <c r="G116" i="25" s="1"/>
  <c r="P168" i="29" l="1"/>
  <c r="G170" i="29"/>
  <c r="I172" i="29"/>
  <c r="K173" i="29"/>
  <c r="S140" i="29"/>
  <c r="F169" i="29"/>
  <c r="M169" i="29"/>
  <c r="C169" i="29" a="1"/>
  <c r="C169" i="29" s="1"/>
  <c r="L170" i="29" a="1"/>
  <c r="L170" i="29" s="1"/>
  <c r="B171" i="29" s="1"/>
  <c r="Q171" i="29" a="1"/>
  <c r="Q171" i="29" s="1"/>
  <c r="N171" i="29" a="1"/>
  <c r="N171" i="29" s="1"/>
  <c r="J138" i="25"/>
  <c r="G137" i="25"/>
  <c r="I137" i="25" s="1"/>
  <c r="H137" i="25"/>
  <c r="J108" i="25" s="1"/>
  <c r="E109" i="25"/>
  <c r="F108" i="25"/>
  <c r="K116" i="25"/>
  <c r="L116" i="25" s="1"/>
  <c r="G117" i="25" s="1"/>
  <c r="K117" i="25" s="1"/>
  <c r="L117" i="25" s="1"/>
  <c r="G118" i="25" s="1"/>
  <c r="I173" i="29" l="1"/>
  <c r="K174" i="29"/>
  <c r="P169" i="29"/>
  <c r="O141" i="29" a="1"/>
  <c r="O141" i="29" s="1"/>
  <c r="C170" i="29" a="1"/>
  <c r="C170" i="29" s="1"/>
  <c r="F170" i="29"/>
  <c r="M170" i="29"/>
  <c r="L171" i="29" a="1"/>
  <c r="L171" i="29" s="1"/>
  <c r="B172" i="29" s="1"/>
  <c r="Q172" i="29" a="1"/>
  <c r="Q172" i="29" s="1"/>
  <c r="N172" i="29" a="1"/>
  <c r="N172" i="29" s="1"/>
  <c r="G171" i="29"/>
  <c r="J139" i="25"/>
  <c r="G138" i="25"/>
  <c r="I138" i="25" s="1"/>
  <c r="H138" i="25"/>
  <c r="J109" i="25" s="1"/>
  <c r="E110" i="25"/>
  <c r="F109" i="25"/>
  <c r="K118" i="25"/>
  <c r="L118" i="25" s="1"/>
  <c r="G119" i="25" s="1"/>
  <c r="K119" i="25" s="1"/>
  <c r="L119" i="25" s="1"/>
  <c r="G120" i="25" s="1"/>
  <c r="K120" i="25" s="1"/>
  <c r="L120" i="25" s="1"/>
  <c r="G121" i="25" s="1"/>
  <c r="K121" i="25" s="1"/>
  <c r="L121" i="25" s="1"/>
  <c r="G122" i="25" s="1"/>
  <c r="K122" i="25" s="1"/>
  <c r="L122" i="25" s="1"/>
  <c r="G123" i="25" s="1"/>
  <c r="K123" i="25" s="1"/>
  <c r="L123" i="25" s="1"/>
  <c r="R141" i="29" l="1"/>
  <c r="G172" i="29"/>
  <c r="F171" i="29"/>
  <c r="M171" i="29"/>
  <c r="C171" i="29" a="1"/>
  <c r="C171" i="29" s="1"/>
  <c r="L172" i="29" a="1"/>
  <c r="L172" i="29" s="1"/>
  <c r="K175" i="29"/>
  <c r="I174" i="29"/>
  <c r="P170" i="29"/>
  <c r="Q173" i="29" a="1"/>
  <c r="Q173" i="29" s="1"/>
  <c r="N173" i="29" a="1"/>
  <c r="N173" i="29" s="1"/>
  <c r="F110" i="25"/>
  <c r="H139" i="25"/>
  <c r="J110" i="25" s="1"/>
  <c r="G139" i="25"/>
  <c r="I139" i="25" s="1"/>
  <c r="J141" i="25"/>
  <c r="J140" i="25"/>
  <c r="E111" i="25"/>
  <c r="G173" i="29" l="1"/>
  <c r="Q174" i="29" a="1"/>
  <c r="Q174" i="29" s="1"/>
  <c r="N174" i="29" a="1"/>
  <c r="N174" i="29" s="1"/>
  <c r="K176" i="29"/>
  <c r="I175" i="29"/>
  <c r="C172" i="29" a="1"/>
  <c r="C172" i="29" s="1"/>
  <c r="F172" i="29"/>
  <c r="M172" i="29"/>
  <c r="L173" i="29" a="1"/>
  <c r="L173" i="29" s="1"/>
  <c r="B173" i="29"/>
  <c r="P171" i="29"/>
  <c r="S141" i="29"/>
  <c r="H141" i="25"/>
  <c r="J111" i="25" s="1"/>
  <c r="G140" i="25"/>
  <c r="I140" i="25" s="1"/>
  <c r="E112" i="25"/>
  <c r="H140" i="25"/>
  <c r="F111" i="25"/>
  <c r="J142" i="25"/>
  <c r="G141" i="25"/>
  <c r="I141" i="25" s="1"/>
  <c r="F173" i="29" l="1"/>
  <c r="M173" i="29"/>
  <c r="C173" i="29" a="1"/>
  <c r="C173" i="29" s="1"/>
  <c r="L174" i="29" a="1"/>
  <c r="L174" i="29" s="1"/>
  <c r="G174" i="29"/>
  <c r="O142" i="29" a="1"/>
  <c r="O142" i="29" s="1"/>
  <c r="R142" i="29" s="1"/>
  <c r="S142" i="29" s="1"/>
  <c r="Q175" i="29" a="1"/>
  <c r="Q175" i="29" s="1"/>
  <c r="N175" i="29" a="1"/>
  <c r="N175" i="29" s="1"/>
  <c r="I176" i="29"/>
  <c r="K177" i="29"/>
  <c r="B174" i="29"/>
  <c r="P172" i="29"/>
  <c r="E113" i="25"/>
  <c r="F112" i="25"/>
  <c r="H142" i="25"/>
  <c r="J112" i="25" s="1"/>
  <c r="J143" i="25"/>
  <c r="G142" i="25"/>
  <c r="I142" i="25" s="1"/>
  <c r="O143" i="29" l="1" a="1"/>
  <c r="O143" i="29" s="1"/>
  <c r="R143" i="29" s="1"/>
  <c r="S143" i="29" s="1"/>
  <c r="K178" i="29"/>
  <c r="I177" i="29"/>
  <c r="F174" i="29"/>
  <c r="M174" i="29"/>
  <c r="C174" i="29" a="1"/>
  <c r="C174" i="29" s="1"/>
  <c r="L175" i="29" a="1"/>
  <c r="L175" i="29" s="1"/>
  <c r="B176" i="29" s="1"/>
  <c r="B175" i="29"/>
  <c r="Q176" i="29" a="1"/>
  <c r="Q176" i="29" s="1"/>
  <c r="N176" i="29" a="1"/>
  <c r="N176" i="29" s="1"/>
  <c r="G175" i="29"/>
  <c r="P173" i="29"/>
  <c r="F113" i="25"/>
  <c r="E114" i="25"/>
  <c r="H143" i="25"/>
  <c r="J113" i="25" s="1"/>
  <c r="G143" i="25"/>
  <c r="I143" i="25" s="1"/>
  <c r="J144" i="25"/>
  <c r="O144" i="29" l="1" a="1"/>
  <c r="O144" i="29" s="1"/>
  <c r="R144" i="29" s="1"/>
  <c r="S144" i="29" s="1"/>
  <c r="N177" i="29" a="1"/>
  <c r="N177" i="29" s="1"/>
  <c r="Q177" i="29" a="1"/>
  <c r="Q177" i="29" s="1"/>
  <c r="F175" i="29"/>
  <c r="C175" i="29" a="1"/>
  <c r="C175" i="29" s="1"/>
  <c r="M175" i="29"/>
  <c r="L176" i="29" a="1"/>
  <c r="L176" i="29" s="1"/>
  <c r="P174" i="29"/>
  <c r="G176" i="29"/>
  <c r="I178" i="29"/>
  <c r="K179" i="29"/>
  <c r="F114" i="25"/>
  <c r="G144" i="25"/>
  <c r="I144" i="25" s="1"/>
  <c r="J145" i="25"/>
  <c r="E115" i="25"/>
  <c r="H144" i="25"/>
  <c r="J114" i="25" s="1"/>
  <c r="O145" i="29" l="1" a="1"/>
  <c r="O145" i="29" s="1"/>
  <c r="R145" i="29" s="1"/>
  <c r="S145" i="29" s="1"/>
  <c r="K180" i="29"/>
  <c r="I179" i="29"/>
  <c r="M176" i="29"/>
  <c r="C176" i="29" a="1"/>
  <c r="C176" i="29" s="1"/>
  <c r="F176" i="29"/>
  <c r="L177" i="29" a="1"/>
  <c r="L177" i="29" s="1"/>
  <c r="Q178" i="29" a="1"/>
  <c r="Q178" i="29" s="1"/>
  <c r="N178" i="29" a="1"/>
  <c r="N178" i="29" s="1"/>
  <c r="B177" i="29"/>
  <c r="G177" i="29"/>
  <c r="P175" i="29"/>
  <c r="F115" i="25"/>
  <c r="H145" i="25"/>
  <c r="J115" i="25" s="1"/>
  <c r="J146" i="25"/>
  <c r="E116" i="25"/>
  <c r="G145" i="25"/>
  <c r="I145" i="25" s="1"/>
  <c r="O146" i="29" l="1" a="1"/>
  <c r="O146" i="29" s="1"/>
  <c r="R146" i="29" s="1"/>
  <c r="S146" i="29" s="1"/>
  <c r="C177" i="29" a="1"/>
  <c r="C177" i="29" s="1"/>
  <c r="F177" i="29"/>
  <c r="M177" i="29"/>
  <c r="L178" i="29" a="1"/>
  <c r="L178" i="29" s="1"/>
  <c r="B179" i="29" s="1"/>
  <c r="N179" i="29" a="1"/>
  <c r="N179" i="29" s="1"/>
  <c r="Q179" i="29" a="1"/>
  <c r="Q179" i="29" s="1"/>
  <c r="P176" i="29"/>
  <c r="B178" i="29"/>
  <c r="G178" i="29"/>
  <c r="K181" i="29"/>
  <c r="I180" i="29"/>
  <c r="H146" i="25"/>
  <c r="J116" i="25" s="1"/>
  <c r="E117" i="25"/>
  <c r="J147" i="25"/>
  <c r="F116" i="25"/>
  <c r="G146" i="25"/>
  <c r="I146" i="25" s="1"/>
  <c r="O147" i="29" l="1" a="1"/>
  <c r="O147" i="29" s="1"/>
  <c r="R147" i="29" s="1"/>
  <c r="S147" i="29" s="1"/>
  <c r="K182" i="29"/>
  <c r="I181" i="29"/>
  <c r="G179" i="29"/>
  <c r="F178" i="29"/>
  <c r="M178" i="29"/>
  <c r="C178" i="29" a="1"/>
  <c r="C178" i="29" s="1"/>
  <c r="L179" i="29" a="1"/>
  <c r="L179" i="29" s="1"/>
  <c r="P177" i="29"/>
  <c r="Q180" i="29" a="1"/>
  <c r="Q180" i="29" s="1"/>
  <c r="N180" i="29" a="1"/>
  <c r="N180" i="29" s="1"/>
  <c r="G147" i="25"/>
  <c r="I147" i="25" s="1"/>
  <c r="E118" i="25"/>
  <c r="J148" i="25"/>
  <c r="F117" i="25"/>
  <c r="H147" i="25"/>
  <c r="J117" i="25" s="1"/>
  <c r="O148" i="29" l="1" a="1"/>
  <c r="O148" i="29" s="1"/>
  <c r="R148" i="29" s="1"/>
  <c r="S148" i="29" s="1"/>
  <c r="M179" i="29"/>
  <c r="C179" i="29" a="1"/>
  <c r="C179" i="29" s="1"/>
  <c r="F179" i="29"/>
  <c r="L180" i="29" a="1"/>
  <c r="L180" i="29" s="1"/>
  <c r="G180" i="29"/>
  <c r="P178" i="29"/>
  <c r="B180" i="29"/>
  <c r="N181" i="29" a="1"/>
  <c r="N181" i="29" s="1"/>
  <c r="Q181" i="29" a="1"/>
  <c r="Q181" i="29" s="1"/>
  <c r="K183" i="29"/>
  <c r="I182" i="29"/>
  <c r="F118" i="25"/>
  <c r="H148" i="25"/>
  <c r="J118" i="25" s="1"/>
  <c r="J149" i="25"/>
  <c r="E119" i="25"/>
  <c r="G148" i="25"/>
  <c r="I148" i="25" s="1"/>
  <c r="O149" i="29" l="1" a="1"/>
  <c r="O149" i="29" s="1"/>
  <c r="R149" i="29" s="1"/>
  <c r="S149" i="29" s="1"/>
  <c r="K184" i="29"/>
  <c r="I183" i="29"/>
  <c r="G181" i="29"/>
  <c r="F180" i="29"/>
  <c r="C180" i="29" a="1"/>
  <c r="C180" i="29" s="1"/>
  <c r="M180" i="29"/>
  <c r="L181" i="29" a="1"/>
  <c r="L181" i="29" s="1"/>
  <c r="B182" i="29" s="1"/>
  <c r="B181" i="29"/>
  <c r="P179" i="29"/>
  <c r="N182" i="29" a="1"/>
  <c r="N182" i="29" s="1"/>
  <c r="Q182" i="29" a="1"/>
  <c r="Q182" i="29" s="1"/>
  <c r="F119" i="25"/>
  <c r="G149" i="25"/>
  <c r="I149" i="25" s="1"/>
  <c r="J150" i="25"/>
  <c r="H149" i="25"/>
  <c r="J119" i="25" s="1"/>
  <c r="E120" i="25"/>
  <c r="O150" i="29" l="1" a="1"/>
  <c r="O150" i="29" s="1"/>
  <c r="R150" i="29" s="1"/>
  <c r="S150" i="29" s="1"/>
  <c r="G182" i="29"/>
  <c r="N183" i="29" a="1"/>
  <c r="N183" i="29" s="1"/>
  <c r="Q183" i="29" a="1"/>
  <c r="Q183" i="29" s="1"/>
  <c r="I184" i="29"/>
  <c r="K185" i="29"/>
  <c r="M181" i="29"/>
  <c r="C181" i="29" a="1"/>
  <c r="C181" i="29" s="1"/>
  <c r="F181" i="29"/>
  <c r="L182" i="29" a="1"/>
  <c r="L182" i="29" s="1"/>
  <c r="B183" i="29" s="1"/>
  <c r="P180" i="29"/>
  <c r="E121" i="25"/>
  <c r="H150" i="25"/>
  <c r="J120" i="25" s="1"/>
  <c r="J151" i="25"/>
  <c r="F120" i="25"/>
  <c r="G150" i="25"/>
  <c r="I150" i="25" s="1"/>
  <c r="O151" i="29" l="1" a="1"/>
  <c r="O151" i="29" s="1"/>
  <c r="R151" i="29" s="1"/>
  <c r="S151" i="29" s="1"/>
  <c r="G183" i="29"/>
  <c r="M182" i="29"/>
  <c r="C182" i="29" a="1"/>
  <c r="C182" i="29" s="1"/>
  <c r="F182" i="29"/>
  <c r="L183" i="29" a="1"/>
  <c r="L183" i="29" s="1"/>
  <c r="P181" i="29"/>
  <c r="K186" i="29"/>
  <c r="I185" i="29"/>
  <c r="Q184" i="29" a="1"/>
  <c r="Q184" i="29" s="1"/>
  <c r="N184" i="29" a="1"/>
  <c r="N184" i="29" s="1"/>
  <c r="E122" i="25"/>
  <c r="G151" i="25"/>
  <c r="I151" i="25" s="1"/>
  <c r="J152" i="25"/>
  <c r="H151" i="25"/>
  <c r="J121" i="25" s="1"/>
  <c r="F121" i="25"/>
  <c r="O152" i="29" l="1" a="1"/>
  <c r="O152" i="29" s="1"/>
  <c r="R152" i="29" s="1"/>
  <c r="S152" i="29" s="1"/>
  <c r="C183" i="29" a="1"/>
  <c r="C183" i="29" s="1"/>
  <c r="F183" i="29"/>
  <c r="M183" i="29"/>
  <c r="L184" i="29" a="1"/>
  <c r="L184" i="29" s="1"/>
  <c r="B184" i="29"/>
  <c r="G184" i="29"/>
  <c r="P182" i="29"/>
  <c r="N185" i="29" a="1"/>
  <c r="N185" i="29" s="1"/>
  <c r="Q185" i="29" a="1"/>
  <c r="Q185" i="29" s="1"/>
  <c r="K187" i="29"/>
  <c r="I186" i="29"/>
  <c r="H152" i="25"/>
  <c r="J122" i="25" s="1"/>
  <c r="G152" i="25"/>
  <c r="I152" i="25" s="1"/>
  <c r="J153" i="25"/>
  <c r="E123" i="25"/>
  <c r="F122" i="25"/>
  <c r="O153" i="29" l="1" a="1"/>
  <c r="O153" i="29" s="1"/>
  <c r="R153" i="29" s="1"/>
  <c r="S153" i="29" s="1"/>
  <c r="K188" i="29"/>
  <c r="I187" i="29"/>
  <c r="G185" i="29"/>
  <c r="M184" i="29"/>
  <c r="F184" i="29"/>
  <c r="C184" i="29" a="1"/>
  <c r="C184" i="29" s="1"/>
  <c r="L185" i="29" a="1"/>
  <c r="L185" i="29" s="1"/>
  <c r="B185" i="29"/>
  <c r="P183" i="29"/>
  <c r="N186" i="29" a="1"/>
  <c r="N186" i="29" s="1"/>
  <c r="Q186" i="29" a="1"/>
  <c r="Q186" i="29" s="1"/>
  <c r="G153" i="25"/>
  <c r="I153" i="25" s="1"/>
  <c r="H153" i="25"/>
  <c r="J123" i="25" s="1"/>
  <c r="F123" i="25"/>
  <c r="O154" i="29" l="1" a="1"/>
  <c r="O154" i="29" s="1"/>
  <c r="R154" i="29" s="1"/>
  <c r="S154" i="29" s="1"/>
  <c r="G186" i="29"/>
  <c r="K189" i="29"/>
  <c r="I188" i="29"/>
  <c r="F185" i="29"/>
  <c r="M185" i="29"/>
  <c r="C185" i="29" a="1"/>
  <c r="C185" i="29" s="1"/>
  <c r="L186" i="29" a="1"/>
  <c r="L186" i="29" s="1"/>
  <c r="B187" i="29" s="1"/>
  <c r="P184" i="29"/>
  <c r="N187" i="29" a="1"/>
  <c r="N187" i="29" s="1"/>
  <c r="Q187" i="29" a="1"/>
  <c r="Q187" i="29" s="1"/>
  <c r="B186" i="29"/>
  <c r="O155" i="29" l="1" a="1"/>
  <c r="O155" i="29" s="1"/>
  <c r="R155" i="29" s="1"/>
  <c r="S155" i="29" s="1"/>
  <c r="P185" i="29"/>
  <c r="Q188" i="29" a="1"/>
  <c r="Q188" i="29" s="1"/>
  <c r="N188" i="29" a="1"/>
  <c r="N188" i="29" s="1"/>
  <c r="K190" i="29"/>
  <c r="I189" i="29"/>
  <c r="C186" i="29" a="1"/>
  <c r="C186" i="29" s="1"/>
  <c r="F186" i="29"/>
  <c r="M186" i="29"/>
  <c r="L187" i="29" a="1"/>
  <c r="L187" i="29" s="1"/>
  <c r="G187" i="29"/>
  <c r="O156" i="29" l="1" a="1"/>
  <c r="O156" i="29" s="1"/>
  <c r="R156" i="29" s="1"/>
  <c r="S156" i="29" s="1"/>
  <c r="G188" i="29"/>
  <c r="N189" i="29" a="1"/>
  <c r="N189" i="29" s="1"/>
  <c r="Q189" i="29" a="1"/>
  <c r="Q189" i="29" s="1"/>
  <c r="M187" i="29"/>
  <c r="C187" i="29" a="1"/>
  <c r="C187" i="29" s="1"/>
  <c r="F187" i="29"/>
  <c r="L188" i="29" a="1"/>
  <c r="L188" i="29" s="1"/>
  <c r="B189" i="29" s="1"/>
  <c r="P186" i="29"/>
  <c r="B188" i="29"/>
  <c r="K191" i="29"/>
  <c r="I190" i="29"/>
  <c r="O157" i="29" l="1" a="1"/>
  <c r="O157" i="29" s="1"/>
  <c r="R157" i="29" s="1"/>
  <c r="S157" i="29" s="1"/>
  <c r="G189" i="29"/>
  <c r="K192" i="29"/>
  <c r="I191" i="29"/>
  <c r="C188" i="29" a="1"/>
  <c r="C188" i="29" s="1"/>
  <c r="F188" i="29"/>
  <c r="M188" i="29"/>
  <c r="L189" i="29" a="1"/>
  <c r="L189" i="29" s="1"/>
  <c r="N190" i="29" a="1"/>
  <c r="N190" i="29" s="1"/>
  <c r="Q190" i="29" a="1"/>
  <c r="Q190" i="29" s="1"/>
  <c r="P187" i="29"/>
  <c r="O158" i="29" l="1" a="1"/>
  <c r="O158" i="29" s="1"/>
  <c r="R158" i="29" s="1"/>
  <c r="S158" i="29" s="1"/>
  <c r="F189" i="29"/>
  <c r="C189" i="29" a="1"/>
  <c r="C189" i="29" s="1"/>
  <c r="M189" i="29"/>
  <c r="L190" i="29" a="1"/>
  <c r="L190" i="29" s="1"/>
  <c r="B191" i="29" s="1"/>
  <c r="N191" i="29" a="1"/>
  <c r="N191" i="29" s="1"/>
  <c r="Q191" i="29" a="1"/>
  <c r="Q191" i="29" s="1"/>
  <c r="I192" i="29"/>
  <c r="K193" i="29"/>
  <c r="B190" i="29"/>
  <c r="G190" i="29"/>
  <c r="P188" i="29"/>
  <c r="O159" i="29" l="1" a="1"/>
  <c r="O159" i="29" s="1"/>
  <c r="R159" i="29" s="1"/>
  <c r="S159" i="29" s="1"/>
  <c r="G191" i="29"/>
  <c r="F190" i="29"/>
  <c r="M190" i="29"/>
  <c r="C190" i="29" a="1"/>
  <c r="C190" i="29" s="1"/>
  <c r="L191" i="29" a="1"/>
  <c r="L191" i="29" s="1"/>
  <c r="Q192" i="29" a="1"/>
  <c r="Q192" i="29" s="1"/>
  <c r="N192" i="29" a="1"/>
  <c r="N192" i="29" s="1"/>
  <c r="P189" i="29"/>
  <c r="K194" i="29"/>
  <c r="I193" i="29"/>
  <c r="O160" i="29" l="1" a="1"/>
  <c r="O160" i="29" s="1"/>
  <c r="R160" i="29" s="1"/>
  <c r="S160" i="29" s="1"/>
  <c r="N193" i="29" a="1"/>
  <c r="N193" i="29" s="1"/>
  <c r="Q193" i="29" a="1"/>
  <c r="Q193" i="29" s="1"/>
  <c r="C191" i="29" a="1"/>
  <c r="C191" i="29" s="1"/>
  <c r="F191" i="29"/>
  <c r="M191" i="29"/>
  <c r="L192" i="29" a="1"/>
  <c r="L192" i="29" s="1"/>
  <c r="B193" i="29" s="1"/>
  <c r="I194" i="29"/>
  <c r="K195" i="29"/>
  <c r="P190" i="29"/>
  <c r="G192" i="29"/>
  <c r="B192" i="29"/>
  <c r="O161" i="29" l="1" a="1"/>
  <c r="O161" i="29" s="1"/>
  <c r="R161" i="29" s="1"/>
  <c r="S161" i="29" s="1"/>
  <c r="G193" i="29"/>
  <c r="M192" i="29"/>
  <c r="F192" i="29"/>
  <c r="C192" i="29" a="1"/>
  <c r="C192" i="29" s="1"/>
  <c r="L193" i="29" a="1"/>
  <c r="L193" i="29" s="1"/>
  <c r="K196" i="29"/>
  <c r="I195" i="29"/>
  <c r="Q194" i="29" a="1"/>
  <c r="Q194" i="29" s="1"/>
  <c r="N194" i="29" a="1"/>
  <c r="N194" i="29" s="1"/>
  <c r="P191" i="29"/>
  <c r="O162" i="29" l="1" a="1"/>
  <c r="O162" i="29" s="1"/>
  <c r="R162" i="29" s="1"/>
  <c r="S162" i="29" s="1"/>
  <c r="C193" i="29" a="1"/>
  <c r="C193" i="29" s="1"/>
  <c r="F193" i="29"/>
  <c r="M193" i="29"/>
  <c r="L194" i="29" a="1"/>
  <c r="L194" i="29" s="1"/>
  <c r="B195" i="29" s="1"/>
  <c r="G194" i="29"/>
  <c r="P192" i="29"/>
  <c r="N195" i="29" a="1"/>
  <c r="N195" i="29" s="1"/>
  <c r="Q195" i="29" a="1"/>
  <c r="Q195" i="29" s="1"/>
  <c r="B194" i="29"/>
  <c r="I196" i="29"/>
  <c r="K197" i="29"/>
  <c r="O163" i="29" l="1" a="1"/>
  <c r="O163" i="29" s="1"/>
  <c r="R163" i="29" s="1"/>
  <c r="S163" i="29" s="1"/>
  <c r="N196" i="29" a="1"/>
  <c r="N196" i="29" s="1"/>
  <c r="Q196" i="29" a="1"/>
  <c r="Q196" i="29" s="1"/>
  <c r="G195" i="29"/>
  <c r="M194" i="29"/>
  <c r="C194" i="29" a="1"/>
  <c r="C194" i="29" s="1"/>
  <c r="F194" i="29"/>
  <c r="L195" i="29" a="1"/>
  <c r="L195" i="29" s="1"/>
  <c r="P193" i="29"/>
  <c r="K198" i="29"/>
  <c r="I197" i="29"/>
  <c r="O164" i="29" l="1" a="1"/>
  <c r="O164" i="29" s="1"/>
  <c r="R164" i="29" s="1"/>
  <c r="S164" i="29" s="1"/>
  <c r="N197" i="29" a="1"/>
  <c r="N197" i="29" s="1"/>
  <c r="Q197" i="29" a="1"/>
  <c r="Q197" i="29" s="1"/>
  <c r="K199" i="29"/>
  <c r="I198" i="29"/>
  <c r="F195" i="29"/>
  <c r="M195" i="29"/>
  <c r="C195" i="29" a="1"/>
  <c r="C195" i="29" s="1"/>
  <c r="L196" i="29" a="1"/>
  <c r="L196" i="29" s="1"/>
  <c r="B197" i="29" s="1"/>
  <c r="B196" i="29"/>
  <c r="G196" i="29"/>
  <c r="P194" i="29"/>
  <c r="O165" i="29" l="1" a="1"/>
  <c r="O165" i="29" s="1"/>
  <c r="R165" i="29" s="1"/>
  <c r="S165" i="29" s="1"/>
  <c r="N198" i="29" a="1"/>
  <c r="N198" i="29" s="1"/>
  <c r="Q198" i="29" a="1"/>
  <c r="Q198" i="29" s="1"/>
  <c r="K200" i="29"/>
  <c r="I199" i="29"/>
  <c r="G197" i="29"/>
  <c r="P195" i="29"/>
  <c r="M196" i="29"/>
  <c r="C196" i="29" a="1"/>
  <c r="C196" i="29" s="1"/>
  <c r="F196" i="29"/>
  <c r="L197" i="29" a="1"/>
  <c r="L197" i="29" s="1"/>
  <c r="O166" i="29" l="1" a="1"/>
  <c r="O166" i="29" s="1"/>
  <c r="R166" i="29" s="1"/>
  <c r="S166" i="29" s="1"/>
  <c r="N199" i="29" a="1"/>
  <c r="N199" i="29" s="1"/>
  <c r="Q199" i="29" a="1"/>
  <c r="Q199" i="29" s="1"/>
  <c r="I200" i="29"/>
  <c r="K201" i="29"/>
  <c r="P196" i="29"/>
  <c r="M197" i="29"/>
  <c r="C197" i="29" a="1"/>
  <c r="C197" i="29" s="1"/>
  <c r="F197" i="29"/>
  <c r="L198" i="29" a="1"/>
  <c r="L198" i="29" s="1"/>
  <c r="G198" i="29"/>
  <c r="B198" i="29"/>
  <c r="O167" i="29" l="1" a="1"/>
  <c r="O167" i="29" s="1"/>
  <c r="R167" i="29" s="1"/>
  <c r="S167" i="29" s="1"/>
  <c r="M198" i="29"/>
  <c r="C198" i="29" a="1"/>
  <c r="C198" i="29" s="1"/>
  <c r="F198" i="29"/>
  <c r="L199" i="29" a="1"/>
  <c r="L199" i="29" s="1"/>
  <c r="B200" i="29" s="1"/>
  <c r="B199" i="29"/>
  <c r="P197" i="29"/>
  <c r="K202" i="29"/>
  <c r="I201" i="29"/>
  <c r="N200" i="29" a="1"/>
  <c r="N200" i="29" s="1"/>
  <c r="Q200" i="29" a="1"/>
  <c r="Q200" i="29" s="1"/>
  <c r="G199" i="29"/>
  <c r="O168" i="29" l="1" a="1"/>
  <c r="O168" i="29" s="1"/>
  <c r="R168" i="29" s="1"/>
  <c r="S168" i="29" s="1"/>
  <c r="G200" i="29"/>
  <c r="M199" i="29"/>
  <c r="C199" i="29" a="1"/>
  <c r="C199" i="29" s="1"/>
  <c r="F199" i="29"/>
  <c r="L200" i="29" a="1"/>
  <c r="L200" i="29" s="1"/>
  <c r="N201" i="29" a="1"/>
  <c r="N201" i="29" s="1"/>
  <c r="Q201" i="29" a="1"/>
  <c r="Q201" i="29" s="1"/>
  <c r="P198" i="29"/>
  <c r="I202" i="29"/>
  <c r="K203" i="29"/>
  <c r="O169" i="29" l="1" a="1"/>
  <c r="O169" i="29" s="1"/>
  <c r="R169" i="29" s="1"/>
  <c r="S169" i="29" s="1"/>
  <c r="C200" i="29" a="1"/>
  <c r="C200" i="29" s="1"/>
  <c r="M200" i="29"/>
  <c r="F200" i="29"/>
  <c r="L201" i="29" a="1"/>
  <c r="L201" i="29" s="1"/>
  <c r="P199" i="29"/>
  <c r="B201" i="29"/>
  <c r="K204" i="29"/>
  <c r="I203" i="29"/>
  <c r="N202" i="29" a="1"/>
  <c r="N202" i="29" s="1"/>
  <c r="Q202" i="29" a="1"/>
  <c r="Q202" i="29" s="1"/>
  <c r="G201" i="29"/>
  <c r="O170" i="29" l="1" a="1"/>
  <c r="O170" i="29" s="1"/>
  <c r="R170" i="29" s="1"/>
  <c r="S170" i="29" s="1"/>
  <c r="F201" i="29"/>
  <c r="C201" i="29" a="1"/>
  <c r="C201" i="29" s="1"/>
  <c r="M201" i="29"/>
  <c r="L202" i="29" a="1"/>
  <c r="L202" i="29" s="1"/>
  <c r="G202" i="29"/>
  <c r="N203" i="29" a="1"/>
  <c r="N203" i="29" s="1"/>
  <c r="Q203" i="29" a="1"/>
  <c r="Q203" i="29" s="1"/>
  <c r="B202" i="29"/>
  <c r="P200" i="29"/>
  <c r="I204" i="29"/>
  <c r="K205" i="29"/>
  <c r="O171" i="29" l="1" a="1"/>
  <c r="O171" i="29" s="1"/>
  <c r="R171" i="29" s="1"/>
  <c r="S171" i="29" s="1"/>
  <c r="C202" i="29" a="1"/>
  <c r="C202" i="29" s="1"/>
  <c r="F202" i="29"/>
  <c r="M202" i="29"/>
  <c r="L203" i="29" a="1"/>
  <c r="L203" i="29" s="1"/>
  <c r="Q204" i="29" a="1"/>
  <c r="Q204" i="29" s="1"/>
  <c r="N204" i="29" a="1"/>
  <c r="N204" i="29" s="1"/>
  <c r="P201" i="29"/>
  <c r="B203" i="29"/>
  <c r="K206" i="29"/>
  <c r="I205" i="29"/>
  <c r="G203" i="29"/>
  <c r="O172" i="29" l="1" a="1"/>
  <c r="O172" i="29" s="1"/>
  <c r="R172" i="29" s="1"/>
  <c r="S172" i="29" s="1"/>
  <c r="G204" i="29"/>
  <c r="P202" i="29"/>
  <c r="F203" i="29"/>
  <c r="C203" i="29" a="1"/>
  <c r="C203" i="29" s="1"/>
  <c r="M203" i="29"/>
  <c r="L204" i="29" a="1"/>
  <c r="L204" i="29" s="1"/>
  <c r="B205" i="29" s="1"/>
  <c r="N205" i="29" a="1"/>
  <c r="N205" i="29" s="1"/>
  <c r="Q205" i="29" a="1"/>
  <c r="Q205" i="29" s="1"/>
  <c r="B204" i="29"/>
  <c r="I206" i="29"/>
  <c r="K207" i="29"/>
  <c r="O173" i="29" l="1" a="1"/>
  <c r="O173" i="29" s="1"/>
  <c r="R173" i="29" s="1"/>
  <c r="S173" i="29" s="1"/>
  <c r="N206" i="29" a="1"/>
  <c r="N206" i="29" s="1"/>
  <c r="Q206" i="29" a="1"/>
  <c r="Q206" i="29" s="1"/>
  <c r="G205" i="29"/>
  <c r="F204" i="29"/>
  <c r="M204" i="29"/>
  <c r="C204" i="29" a="1"/>
  <c r="C204" i="29" s="1"/>
  <c r="L205" i="29" a="1"/>
  <c r="L205" i="29" s="1"/>
  <c r="B206" i="29" s="1"/>
  <c r="K208" i="29"/>
  <c r="I207" i="29"/>
  <c r="P203" i="29"/>
  <c r="O174" i="29" l="1" a="1"/>
  <c r="O174" i="29" s="1"/>
  <c r="R174" i="29" s="1"/>
  <c r="S174" i="29" s="1"/>
  <c r="K209" i="29"/>
  <c r="I208" i="29"/>
  <c r="N207" i="29" a="1"/>
  <c r="N207" i="29" s="1"/>
  <c r="Q207" i="29" a="1"/>
  <c r="Q207" i="29" s="1"/>
  <c r="G206" i="29"/>
  <c r="C205" i="29" a="1"/>
  <c r="C205" i="29" s="1"/>
  <c r="F205" i="29"/>
  <c r="M205" i="29"/>
  <c r="L206" i="29" a="1"/>
  <c r="L206" i="29" s="1"/>
  <c r="P204" i="29"/>
  <c r="O175" i="29" l="1" a="1"/>
  <c r="O175" i="29" s="1"/>
  <c r="R175" i="29" s="1"/>
  <c r="S175" i="29" s="1"/>
  <c r="M206" i="29"/>
  <c r="C206" i="29" a="1"/>
  <c r="C206" i="29" s="1"/>
  <c r="F206" i="29"/>
  <c r="L207" i="29" a="1"/>
  <c r="L207" i="29" s="1"/>
  <c r="B208" i="29" s="1"/>
  <c r="G207" i="29"/>
  <c r="Q208" i="29" a="1"/>
  <c r="Q208" i="29" s="1"/>
  <c r="N208" i="29" a="1"/>
  <c r="N208" i="29" s="1"/>
  <c r="B207" i="29"/>
  <c r="P205" i="29"/>
  <c r="I209" i="29"/>
  <c r="K210" i="29"/>
  <c r="O176" i="29" l="1" a="1"/>
  <c r="O176" i="29" s="1"/>
  <c r="R176" i="29" s="1"/>
  <c r="S176" i="29" s="1"/>
  <c r="Q209" i="29" a="1"/>
  <c r="Q209" i="29" s="1"/>
  <c r="N209" i="29" a="1"/>
  <c r="N209" i="29" s="1"/>
  <c r="M207" i="29"/>
  <c r="C207" i="29" a="1"/>
  <c r="C207" i="29" s="1"/>
  <c r="F207" i="29"/>
  <c r="L208" i="29" a="1"/>
  <c r="L208" i="29" s="1"/>
  <c r="G208" i="29"/>
  <c r="P206" i="29"/>
  <c r="I210" i="29"/>
  <c r="K211" i="29"/>
  <c r="O177" i="29" l="1" a="1"/>
  <c r="O177" i="29" s="1"/>
  <c r="R177" i="29" s="1"/>
  <c r="S177" i="29" s="1"/>
  <c r="G209" i="29"/>
  <c r="I211" i="29"/>
  <c r="K212" i="29"/>
  <c r="Q210" i="29" a="1"/>
  <c r="Q210" i="29" s="1"/>
  <c r="N210" i="29" a="1"/>
  <c r="N210" i="29" s="1"/>
  <c r="M208" i="29"/>
  <c r="C208" i="29" a="1"/>
  <c r="C208" i="29" s="1"/>
  <c r="F208" i="29"/>
  <c r="L209" i="29" a="1"/>
  <c r="L209" i="29" s="1"/>
  <c r="B210" i="29" s="1"/>
  <c r="P207" i="29"/>
  <c r="B209" i="29"/>
  <c r="O178" i="29" l="1" a="1"/>
  <c r="O178" i="29" s="1"/>
  <c r="R178" i="29" s="1"/>
  <c r="S178" i="29" s="1"/>
  <c r="I212" i="29"/>
  <c r="K213" i="29"/>
  <c r="F209" i="29"/>
  <c r="M209" i="29"/>
  <c r="C209" i="29" a="1"/>
  <c r="C209" i="29" s="1"/>
  <c r="L210" i="29" a="1"/>
  <c r="L210" i="29" s="1"/>
  <c r="N211" i="29" a="1"/>
  <c r="N211" i="29" s="1"/>
  <c r="Q211" i="29" a="1"/>
  <c r="Q211" i="29" s="1"/>
  <c r="P208" i="29"/>
  <c r="G210" i="29"/>
  <c r="O179" i="29" l="1" a="1"/>
  <c r="O179" i="29" s="1"/>
  <c r="R179" i="29" s="1"/>
  <c r="S179" i="29" s="1"/>
  <c r="P209" i="29"/>
  <c r="F210" i="29"/>
  <c r="M210" i="29"/>
  <c r="C210" i="29" a="1"/>
  <c r="C210" i="29" s="1"/>
  <c r="L211" i="29" a="1"/>
  <c r="L211" i="29" s="1"/>
  <c r="G211" i="29"/>
  <c r="B211" i="29"/>
  <c r="K214" i="29"/>
  <c r="I213" i="29"/>
  <c r="Q212" i="29" a="1"/>
  <c r="Q212" i="29" s="1"/>
  <c r="N212" i="29" a="1"/>
  <c r="N212" i="29" s="1"/>
  <c r="O180" i="29" l="1" a="1"/>
  <c r="O180" i="29" s="1"/>
  <c r="R180" i="29" s="1"/>
  <c r="S180" i="29" s="1"/>
  <c r="F211" i="29"/>
  <c r="C211" i="29" a="1"/>
  <c r="C211" i="29" s="1"/>
  <c r="M211" i="29"/>
  <c r="L212" i="29" a="1"/>
  <c r="L212" i="29" s="1"/>
  <c r="B212" i="29"/>
  <c r="P210" i="29"/>
  <c r="N213" i="29" a="1"/>
  <c r="N213" i="29" s="1"/>
  <c r="Q213" i="29" a="1"/>
  <c r="Q213" i="29" s="1"/>
  <c r="I214" i="29"/>
  <c r="K215" i="29"/>
  <c r="G212" i="29"/>
  <c r="O181" i="29" l="1" a="1"/>
  <c r="O181" i="29" s="1"/>
  <c r="R181" i="29" s="1"/>
  <c r="S181" i="29" s="1"/>
  <c r="P211" i="29"/>
  <c r="I215" i="29"/>
  <c r="K216" i="29"/>
  <c r="Q214" i="29" a="1"/>
  <c r="Q214" i="29" s="1"/>
  <c r="N214" i="29" a="1"/>
  <c r="N214" i="29" s="1"/>
  <c r="G213" i="29"/>
  <c r="M212" i="29"/>
  <c r="C212" i="29" a="1"/>
  <c r="C212" i="29" s="1"/>
  <c r="F212" i="29"/>
  <c r="L213" i="29" a="1"/>
  <c r="L213" i="29" s="1"/>
  <c r="B213" i="29"/>
  <c r="O182" i="29" l="1" a="1"/>
  <c r="O182" i="29" s="1"/>
  <c r="R182" i="29" s="1"/>
  <c r="S182" i="29" s="1"/>
  <c r="F213" i="29"/>
  <c r="M213" i="29"/>
  <c r="C213" i="29" a="1"/>
  <c r="C213" i="29" s="1"/>
  <c r="L214" i="29" a="1"/>
  <c r="L214" i="29" s="1"/>
  <c r="B214" i="29"/>
  <c r="P212" i="29"/>
  <c r="G214" i="29"/>
  <c r="I216" i="29"/>
  <c r="K217" i="29"/>
  <c r="Q215" i="29" a="1"/>
  <c r="Q215" i="29" s="1"/>
  <c r="N215" i="29" a="1"/>
  <c r="N215" i="29" s="1"/>
  <c r="O183" i="29" l="1" a="1"/>
  <c r="O183" i="29" s="1"/>
  <c r="R183" i="29" s="1"/>
  <c r="S183" i="29" s="1"/>
  <c r="M214" i="29"/>
  <c r="C214" i="29" a="1"/>
  <c r="C214" i="29" s="1"/>
  <c r="F214" i="29"/>
  <c r="L215" i="29" a="1"/>
  <c r="L215" i="29" s="1"/>
  <c r="B216" i="29" s="1"/>
  <c r="I217" i="29"/>
  <c r="K218" i="29"/>
  <c r="P213" i="29"/>
  <c r="B215" i="29"/>
  <c r="Q216" i="29" a="1"/>
  <c r="Q216" i="29" s="1"/>
  <c r="N216" i="29" a="1"/>
  <c r="N216" i="29" s="1"/>
  <c r="G215" i="29"/>
  <c r="O184" i="29" l="1" a="1"/>
  <c r="O184" i="29" s="1"/>
  <c r="R184" i="29" s="1"/>
  <c r="S184" i="29" s="1"/>
  <c r="K219" i="29"/>
  <c r="I218" i="29"/>
  <c r="P214" i="29"/>
  <c r="F215" i="29"/>
  <c r="M215" i="29"/>
  <c r="C215" i="29" a="1"/>
  <c r="C215" i="29" s="1"/>
  <c r="L216" i="29" a="1"/>
  <c r="L216" i="29" s="1"/>
  <c r="B217" i="29" s="1"/>
  <c r="G216" i="29"/>
  <c r="N217" i="29" a="1"/>
  <c r="N217" i="29" s="1"/>
  <c r="Q217" i="29" a="1"/>
  <c r="Q217" i="29" s="1"/>
  <c r="O185" i="29" l="1" a="1"/>
  <c r="O185" i="29" s="1"/>
  <c r="R185" i="29" s="1"/>
  <c r="S185" i="29" s="1"/>
  <c r="P215" i="29"/>
  <c r="F216" i="29"/>
  <c r="C216" i="29" a="1"/>
  <c r="C216" i="29" s="1"/>
  <c r="M216" i="29"/>
  <c r="L217" i="29" a="1"/>
  <c r="L217" i="29" s="1"/>
  <c r="G217" i="29"/>
  <c r="Q218" i="29" a="1"/>
  <c r="Q218" i="29" s="1"/>
  <c r="N218" i="29" a="1"/>
  <c r="N218" i="29" s="1"/>
  <c r="K220" i="29"/>
  <c r="I219" i="29"/>
  <c r="O186" i="29" l="1" a="1"/>
  <c r="O186" i="29" s="1"/>
  <c r="R186" i="29" s="1"/>
  <c r="S186" i="29" s="1"/>
  <c r="Q219" i="29" a="1"/>
  <c r="Q219" i="29" s="1"/>
  <c r="N219" i="29" a="1"/>
  <c r="N219" i="29" s="1"/>
  <c r="F217" i="29"/>
  <c r="M217" i="29"/>
  <c r="C217" i="29" a="1"/>
  <c r="C217" i="29" s="1"/>
  <c r="L218" i="29" a="1"/>
  <c r="L218" i="29" s="1"/>
  <c r="I220" i="29"/>
  <c r="K221" i="29"/>
  <c r="G218" i="29"/>
  <c r="P216" i="29"/>
  <c r="B218" i="29"/>
  <c r="O187" i="29" l="1" a="1"/>
  <c r="O187" i="29" s="1"/>
  <c r="R187" i="29" s="1"/>
  <c r="S187" i="29" s="1"/>
  <c r="G219" i="29"/>
  <c r="M218" i="29"/>
  <c r="C218" i="29" a="1"/>
  <c r="C218" i="29" s="1"/>
  <c r="F218" i="29"/>
  <c r="L219" i="29" a="1"/>
  <c r="L219" i="29" s="1"/>
  <c r="B220" i="29" s="1"/>
  <c r="P217" i="29"/>
  <c r="B219" i="29"/>
  <c r="I221" i="29"/>
  <c r="K222" i="29"/>
  <c r="Q220" i="29" a="1"/>
  <c r="Q220" i="29" s="1"/>
  <c r="N220" i="29" a="1"/>
  <c r="N220" i="29" s="1"/>
  <c r="O188" i="29" l="1" a="1"/>
  <c r="O188" i="29" s="1"/>
  <c r="R188" i="29" s="1"/>
  <c r="S188" i="29" s="1"/>
  <c r="I222" i="29"/>
  <c r="K223" i="29"/>
  <c r="F219" i="29"/>
  <c r="M219" i="29"/>
  <c r="C219" i="29" a="1"/>
  <c r="C219" i="29" s="1"/>
  <c r="L220" i="29" a="1"/>
  <c r="L220" i="29" s="1"/>
  <c r="P218" i="29"/>
  <c r="Q221" i="29" a="1"/>
  <c r="Q221" i="29" s="1"/>
  <c r="N221" i="29" a="1"/>
  <c r="N221" i="29" s="1"/>
  <c r="G220" i="29"/>
  <c r="O189" i="29" l="1" a="1"/>
  <c r="O189" i="29" s="1"/>
  <c r="R189" i="29" s="1"/>
  <c r="S189" i="29" s="1"/>
  <c r="G221" i="29"/>
  <c r="M220" i="29"/>
  <c r="C220" i="29" a="1"/>
  <c r="C220" i="29" s="1"/>
  <c r="F220" i="29"/>
  <c r="L221" i="29" a="1"/>
  <c r="L221" i="29" s="1"/>
  <c r="B222" i="29" s="1"/>
  <c r="P219" i="29"/>
  <c r="B221" i="29"/>
  <c r="K224" i="29"/>
  <c r="I223" i="29"/>
  <c r="Q222" i="29" a="1"/>
  <c r="Q222" i="29" s="1"/>
  <c r="N222" i="29" a="1"/>
  <c r="N222" i="29" s="1"/>
  <c r="O190" i="29" l="1" a="1"/>
  <c r="O190" i="29" s="1"/>
  <c r="R190" i="29" s="1"/>
  <c r="S190" i="29" s="1"/>
  <c r="N223" i="29" a="1"/>
  <c r="N223" i="29" s="1"/>
  <c r="Q223" i="29" a="1"/>
  <c r="Q223" i="29" s="1"/>
  <c r="F221" i="29"/>
  <c r="C221" i="29" a="1"/>
  <c r="C221" i="29" s="1"/>
  <c r="M221" i="29"/>
  <c r="L222" i="29" a="1"/>
  <c r="L222" i="29" s="1"/>
  <c r="G222" i="29"/>
  <c r="P220" i="29"/>
  <c r="I224" i="29"/>
  <c r="K225" i="29"/>
  <c r="O191" i="29" l="1" a="1"/>
  <c r="O191" i="29" s="1"/>
  <c r="R191" i="29" s="1"/>
  <c r="S191" i="29" s="1"/>
  <c r="C222" i="29" a="1"/>
  <c r="C222" i="29" s="1"/>
  <c r="F222" i="29"/>
  <c r="M222" i="29"/>
  <c r="L223" i="29" a="1"/>
  <c r="L223" i="29" s="1"/>
  <c r="K226" i="29"/>
  <c r="I225" i="29"/>
  <c r="Q224" i="29" a="1"/>
  <c r="Q224" i="29" s="1"/>
  <c r="N224" i="29" a="1"/>
  <c r="N224" i="29" s="1"/>
  <c r="G223" i="29"/>
  <c r="B223" i="29"/>
  <c r="P221" i="29"/>
  <c r="O192" i="29" l="1" a="1"/>
  <c r="O192" i="29" s="1"/>
  <c r="R192" i="29" s="1"/>
  <c r="S192" i="29" s="1"/>
  <c r="N225" i="29" a="1"/>
  <c r="N225" i="29" s="1"/>
  <c r="Q225" i="29" a="1"/>
  <c r="Q225" i="29" s="1"/>
  <c r="I226" i="29"/>
  <c r="K227" i="29"/>
  <c r="G224" i="29"/>
  <c r="F223" i="29"/>
  <c r="M223" i="29"/>
  <c r="C223" i="29" a="1"/>
  <c r="C223" i="29" s="1"/>
  <c r="L224" i="29" a="1"/>
  <c r="L224" i="29" s="1"/>
  <c r="P222" i="29"/>
  <c r="B224" i="29"/>
  <c r="O193" i="29" l="1" a="1"/>
  <c r="O193" i="29" s="1"/>
  <c r="R193" i="29" s="1"/>
  <c r="S193" i="29" s="1"/>
  <c r="Q226" i="29" a="1"/>
  <c r="Q226" i="29" s="1"/>
  <c r="N226" i="29" a="1"/>
  <c r="N226" i="29" s="1"/>
  <c r="K228" i="29"/>
  <c r="I227" i="29"/>
  <c r="C224" i="29" a="1"/>
  <c r="C224" i="29" s="1"/>
  <c r="F224" i="29"/>
  <c r="M224" i="29"/>
  <c r="L225" i="29" a="1"/>
  <c r="L225" i="29" s="1"/>
  <c r="B225" i="29"/>
  <c r="P223" i="29"/>
  <c r="G225" i="29"/>
  <c r="O194" i="29" l="1" a="1"/>
  <c r="O194" i="29" s="1"/>
  <c r="R194" i="29" s="1"/>
  <c r="S194" i="29" s="1"/>
  <c r="N227" i="29" a="1"/>
  <c r="N227" i="29" s="1"/>
  <c r="Q227" i="29" a="1"/>
  <c r="Q227" i="29" s="1"/>
  <c r="I228" i="29"/>
  <c r="K229" i="29"/>
  <c r="C225" i="29" a="1"/>
  <c r="C225" i="29" s="1"/>
  <c r="M225" i="29"/>
  <c r="F225" i="29"/>
  <c r="L226" i="29" a="1"/>
  <c r="L226" i="29" s="1"/>
  <c r="B226" i="29"/>
  <c r="G226" i="29"/>
  <c r="P224" i="29"/>
  <c r="O195" i="29" l="1" a="1"/>
  <c r="O195" i="29" s="1"/>
  <c r="R195" i="29" s="1"/>
  <c r="S195" i="29" s="1"/>
  <c r="F226" i="29"/>
  <c r="M226" i="29"/>
  <c r="C226" i="29" a="1"/>
  <c r="C226" i="29" s="1"/>
  <c r="L227" i="29" a="1"/>
  <c r="L227" i="29" s="1"/>
  <c r="Q228" i="29" a="1"/>
  <c r="Q228" i="29" s="1"/>
  <c r="N228" i="29" a="1"/>
  <c r="N228" i="29" s="1"/>
  <c r="K230" i="29"/>
  <c r="I229" i="29"/>
  <c r="G227" i="29"/>
  <c r="P225" i="29"/>
  <c r="B227" i="29"/>
  <c r="O196" i="29" l="1" a="1"/>
  <c r="O196" i="29" s="1"/>
  <c r="R196" i="29" s="1"/>
  <c r="S196" i="29" s="1"/>
  <c r="C227" i="29" a="1"/>
  <c r="C227" i="29" s="1"/>
  <c r="M227" i="29"/>
  <c r="F227" i="29"/>
  <c r="L228" i="29" a="1"/>
  <c r="L228" i="29" s="1"/>
  <c r="N229" i="29" a="1"/>
  <c r="N229" i="29" s="1"/>
  <c r="Q229" i="29" a="1"/>
  <c r="Q229" i="29" s="1"/>
  <c r="B228" i="29"/>
  <c r="P226" i="29"/>
  <c r="I230" i="29"/>
  <c r="K231" i="29"/>
  <c r="G228" i="29"/>
  <c r="O197" i="29" l="1" a="1"/>
  <c r="O197" i="29" s="1"/>
  <c r="R197" i="29" s="1"/>
  <c r="S197" i="29" s="1"/>
  <c r="G229" i="29"/>
  <c r="K232" i="29"/>
  <c r="I231" i="29"/>
  <c r="Q230" i="29" a="1"/>
  <c r="Q230" i="29" s="1"/>
  <c r="N230" i="29" a="1"/>
  <c r="N230" i="29" s="1"/>
  <c r="C228" i="29" a="1"/>
  <c r="C228" i="29" s="1"/>
  <c r="F228" i="29"/>
  <c r="M228" i="29"/>
  <c r="L229" i="29" a="1"/>
  <c r="L229" i="29" s="1"/>
  <c r="B230" i="29" s="1"/>
  <c r="P227" i="29"/>
  <c r="B229" i="29"/>
  <c r="O198" i="29" l="1" a="1"/>
  <c r="O198" i="29" s="1"/>
  <c r="R198" i="29" s="1"/>
  <c r="S198" i="29" s="1"/>
  <c r="N231" i="29" a="1"/>
  <c r="N231" i="29" s="1"/>
  <c r="Q231" i="29" a="1"/>
  <c r="Q231" i="29" s="1"/>
  <c r="C229" i="29" a="1"/>
  <c r="C229" i="29" s="1"/>
  <c r="M229" i="29"/>
  <c r="F229" i="29"/>
  <c r="L230" i="29" a="1"/>
  <c r="L230" i="29" s="1"/>
  <c r="B231" i="29" s="1"/>
  <c r="P228" i="29"/>
  <c r="I232" i="29"/>
  <c r="K233" i="29"/>
  <c r="G230" i="29"/>
  <c r="O199" i="29" l="1" a="1"/>
  <c r="O199" i="29" s="1"/>
  <c r="R199" i="29" s="1"/>
  <c r="S199" i="29" s="1"/>
  <c r="P229" i="29"/>
  <c r="K234" i="29"/>
  <c r="I233" i="29"/>
  <c r="Q232" i="29" a="1"/>
  <c r="Q232" i="29" s="1"/>
  <c r="N232" i="29" a="1"/>
  <c r="N232" i="29" s="1"/>
  <c r="G231" i="29"/>
  <c r="F230" i="29"/>
  <c r="M230" i="29"/>
  <c r="C230" i="29" a="1"/>
  <c r="C230" i="29" s="1"/>
  <c r="L231" i="29" a="1"/>
  <c r="L231" i="29" s="1"/>
  <c r="O200" i="29" l="1" a="1"/>
  <c r="O200" i="29" s="1"/>
  <c r="R200" i="29" s="1"/>
  <c r="S200" i="29" s="1"/>
  <c r="P230" i="29"/>
  <c r="C231" i="29" a="1"/>
  <c r="C231" i="29" s="1"/>
  <c r="M231" i="29"/>
  <c r="F231" i="29"/>
  <c r="L232" i="29" a="1"/>
  <c r="L232" i="29" s="1"/>
  <c r="B233" i="29" s="1"/>
  <c r="B232" i="29"/>
  <c r="N233" i="29" a="1"/>
  <c r="N233" i="29" s="1"/>
  <c r="Q233" i="29" a="1"/>
  <c r="Q233" i="29" s="1"/>
  <c r="I234" i="29"/>
  <c r="K235" i="29"/>
  <c r="G232" i="29"/>
  <c r="O201" i="29" l="1" a="1"/>
  <c r="O201" i="29" s="1"/>
  <c r="R201" i="29" s="1"/>
  <c r="S201" i="29" s="1"/>
  <c r="Q234" i="29" a="1"/>
  <c r="Q234" i="29" s="1"/>
  <c r="N234" i="29" a="1"/>
  <c r="N234" i="29" s="1"/>
  <c r="P231" i="29"/>
  <c r="C232" i="29" a="1"/>
  <c r="C232" i="29" s="1"/>
  <c r="F232" i="29"/>
  <c r="M232" i="29"/>
  <c r="L233" i="29" a="1"/>
  <c r="L233" i="29" s="1"/>
  <c r="K236" i="29"/>
  <c r="I235" i="29"/>
  <c r="G233" i="29"/>
  <c r="O202" i="29" l="1" a="1"/>
  <c r="O202" i="29" s="1"/>
  <c r="R202" i="29" s="1"/>
  <c r="S202" i="29" s="1"/>
  <c r="I236" i="29"/>
  <c r="K237" i="29"/>
  <c r="N235" i="29" a="1"/>
  <c r="N235" i="29" s="1"/>
  <c r="Q235" i="29" a="1"/>
  <c r="Q235" i="29" s="1"/>
  <c r="G234" i="29"/>
  <c r="C233" i="29" a="1"/>
  <c r="C233" i="29" s="1"/>
  <c r="M233" i="29"/>
  <c r="F233" i="29"/>
  <c r="L234" i="29" a="1"/>
  <c r="L234" i="29" s="1"/>
  <c r="B235" i="29" s="1"/>
  <c r="B234" i="29"/>
  <c r="P232" i="29"/>
  <c r="O203" i="29" l="1" a="1"/>
  <c r="O203" i="29" s="1"/>
  <c r="R203" i="29" s="1"/>
  <c r="S203" i="29" s="1"/>
  <c r="P233" i="29"/>
  <c r="K238" i="29"/>
  <c r="I237" i="29"/>
  <c r="F234" i="29"/>
  <c r="M234" i="29"/>
  <c r="C234" i="29" a="1"/>
  <c r="C234" i="29" s="1"/>
  <c r="L235" i="29" a="1"/>
  <c r="L235" i="29" s="1"/>
  <c r="B236" i="29" s="1"/>
  <c r="G235" i="29"/>
  <c r="Q236" i="29" a="1"/>
  <c r="Q236" i="29" s="1"/>
  <c r="N236" i="29" a="1"/>
  <c r="N236" i="29" s="1"/>
  <c r="O204" i="29" l="1" a="1"/>
  <c r="O204" i="29" s="1"/>
  <c r="R204" i="29" s="1"/>
  <c r="S204" i="29" s="1"/>
  <c r="I238" i="29"/>
  <c r="K239" i="29"/>
  <c r="P234" i="29"/>
  <c r="N237" i="29" a="1"/>
  <c r="N237" i="29" s="1"/>
  <c r="Q237" i="29" a="1"/>
  <c r="Q237" i="29" s="1"/>
  <c r="G236" i="29"/>
  <c r="C235" i="29" a="1"/>
  <c r="C235" i="29" s="1"/>
  <c r="M235" i="29"/>
  <c r="F235" i="29"/>
  <c r="L236" i="29" a="1"/>
  <c r="L236" i="29" s="1"/>
  <c r="O205" i="29" l="1" a="1"/>
  <c r="O205" i="29" s="1"/>
  <c r="R205" i="29" s="1"/>
  <c r="S205" i="29" s="1"/>
  <c r="C236" i="29" a="1"/>
  <c r="C236" i="29" s="1"/>
  <c r="F236" i="29"/>
  <c r="M236" i="29"/>
  <c r="L237" i="29" a="1"/>
  <c r="L237" i="29" s="1"/>
  <c r="B238" i="29" s="1"/>
  <c r="G237" i="29"/>
  <c r="P235" i="29"/>
  <c r="K240" i="29"/>
  <c r="I239" i="29"/>
  <c r="Q238" i="29" a="1"/>
  <c r="Q238" i="29" s="1"/>
  <c r="N238" i="29" a="1"/>
  <c r="N238" i="29" s="1"/>
  <c r="B237" i="29"/>
  <c r="O206" i="29" l="1" a="1"/>
  <c r="O206" i="29" s="1"/>
  <c r="R206" i="29" s="1"/>
  <c r="S206" i="29" s="1"/>
  <c r="G238" i="29"/>
  <c r="P236" i="29"/>
  <c r="N239" i="29" a="1"/>
  <c r="N239" i="29" s="1"/>
  <c r="Q239" i="29" a="1"/>
  <c r="Q239" i="29" s="1"/>
  <c r="I240" i="29"/>
  <c r="K241" i="29"/>
  <c r="C237" i="29" a="1"/>
  <c r="C237" i="29" s="1"/>
  <c r="M237" i="29"/>
  <c r="F237" i="29"/>
  <c r="L238" i="29" a="1"/>
  <c r="L238" i="29" s="1"/>
  <c r="O207" i="29" l="1" a="1"/>
  <c r="O207" i="29" s="1"/>
  <c r="R207" i="29" s="1"/>
  <c r="S207" i="29" s="1"/>
  <c r="F238" i="29"/>
  <c r="M238" i="29"/>
  <c r="C238" i="29" a="1"/>
  <c r="C238" i="29" s="1"/>
  <c r="L239" i="29" a="1"/>
  <c r="L239" i="29" s="1"/>
  <c r="B240" i="29" s="1"/>
  <c r="G239" i="29"/>
  <c r="P237" i="29"/>
  <c r="K242" i="29"/>
  <c r="I241" i="29"/>
  <c r="Q240" i="29" a="1"/>
  <c r="Q240" i="29" s="1"/>
  <c r="N240" i="29" a="1"/>
  <c r="N240" i="29" s="1"/>
  <c r="B239" i="29"/>
  <c r="O208" i="29" l="1" a="1"/>
  <c r="O208" i="29" s="1"/>
  <c r="R208" i="29" s="1"/>
  <c r="S208" i="29" s="1"/>
  <c r="G240" i="29"/>
  <c r="C239" i="29" a="1"/>
  <c r="C239" i="29" s="1"/>
  <c r="M239" i="29"/>
  <c r="F239" i="29"/>
  <c r="L240" i="29" a="1"/>
  <c r="L240" i="29" s="1"/>
  <c r="N241" i="29" a="1"/>
  <c r="N241" i="29" s="1"/>
  <c r="Q241" i="29" a="1"/>
  <c r="Q241" i="29" s="1"/>
  <c r="P238" i="29"/>
  <c r="I242" i="29"/>
  <c r="K243" i="29"/>
  <c r="O209" i="29" l="1" a="1"/>
  <c r="O209" i="29" s="1"/>
  <c r="R209" i="29" s="1"/>
  <c r="S209" i="29" s="1"/>
  <c r="C240" i="29" a="1"/>
  <c r="C240" i="29" s="1"/>
  <c r="F240" i="29"/>
  <c r="M240" i="29"/>
  <c r="L241" i="29" a="1"/>
  <c r="L241" i="29" s="1"/>
  <c r="K244" i="29"/>
  <c r="I243" i="29"/>
  <c r="P239" i="29"/>
  <c r="Q242" i="29" a="1"/>
  <c r="Q242" i="29" s="1"/>
  <c r="N242" i="29" a="1"/>
  <c r="N242" i="29" s="1"/>
  <c r="B241" i="29"/>
  <c r="G241" i="29"/>
  <c r="O210" i="29" l="1" a="1"/>
  <c r="O210" i="29" s="1"/>
  <c r="R210" i="29" s="1"/>
  <c r="S210" i="29" s="1"/>
  <c r="N243" i="29" a="1"/>
  <c r="N243" i="29" s="1"/>
  <c r="Q243" i="29" a="1"/>
  <c r="Q243" i="29" s="1"/>
  <c r="I244" i="29"/>
  <c r="K245" i="29"/>
  <c r="P240" i="29"/>
  <c r="C241" i="29" a="1"/>
  <c r="C241" i="29" s="1"/>
  <c r="M241" i="29"/>
  <c r="F241" i="29"/>
  <c r="L242" i="29" a="1"/>
  <c r="L242" i="29" s="1"/>
  <c r="G242" i="29"/>
  <c r="B242" i="29"/>
  <c r="O211" i="29" l="1" a="1"/>
  <c r="O211" i="29" s="1"/>
  <c r="R211" i="29" s="1"/>
  <c r="S211" i="29" s="1"/>
  <c r="K246" i="29"/>
  <c r="I245" i="29"/>
  <c r="Q244" i="29" a="1"/>
  <c r="Q244" i="29" s="1"/>
  <c r="N244" i="29" a="1"/>
  <c r="N244" i="29" s="1"/>
  <c r="F242" i="29"/>
  <c r="M242" i="29"/>
  <c r="C242" i="29" a="1"/>
  <c r="C242" i="29" s="1"/>
  <c r="L243" i="29" a="1"/>
  <c r="L243" i="29" s="1"/>
  <c r="B244" i="29" s="1"/>
  <c r="B243" i="29"/>
  <c r="P241" i="29"/>
  <c r="G243" i="29"/>
  <c r="O212" i="29" l="1" a="1"/>
  <c r="O212" i="29" s="1"/>
  <c r="R212" i="29" s="1"/>
  <c r="S212" i="29" s="1"/>
  <c r="G244" i="29"/>
  <c r="C243" i="29" a="1"/>
  <c r="C243" i="29" s="1"/>
  <c r="M243" i="29"/>
  <c r="F243" i="29"/>
  <c r="L244" i="29" a="1"/>
  <c r="L244" i="29" s="1"/>
  <c r="N245" i="29" a="1"/>
  <c r="N245" i="29" s="1"/>
  <c r="Q245" i="29" a="1"/>
  <c r="Q245" i="29" s="1"/>
  <c r="I246" i="29"/>
  <c r="K247" i="29"/>
  <c r="P242" i="29"/>
  <c r="O213" i="29" l="1" a="1"/>
  <c r="O213" i="29" s="1"/>
  <c r="R213" i="29" s="1"/>
  <c r="S213" i="29" s="1"/>
  <c r="C244" i="29" a="1"/>
  <c r="C244" i="29" s="1"/>
  <c r="F244" i="29"/>
  <c r="M244" i="29"/>
  <c r="L245" i="29" a="1"/>
  <c r="L245" i="29" s="1"/>
  <c r="B246" i="29" s="1"/>
  <c r="K248" i="29"/>
  <c r="I247" i="29"/>
  <c r="P243" i="29"/>
  <c r="N246" i="29" a="1"/>
  <c r="N246" i="29" s="1"/>
  <c r="Q246" i="29" a="1"/>
  <c r="Q246" i="29" s="1"/>
  <c r="B245" i="29"/>
  <c r="G245" i="29"/>
  <c r="O214" i="29" l="1" a="1"/>
  <c r="O214" i="29" s="1"/>
  <c r="R214" i="29" s="1"/>
  <c r="S214" i="29" s="1"/>
  <c r="N247" i="29" a="1"/>
  <c r="N247" i="29" s="1"/>
  <c r="Q247" i="29" a="1"/>
  <c r="Q247" i="29" s="1"/>
  <c r="I248" i="29"/>
  <c r="K249" i="29"/>
  <c r="G246" i="29"/>
  <c r="C245" i="29" a="1"/>
  <c r="C245" i="29" s="1"/>
  <c r="M245" i="29"/>
  <c r="F245" i="29"/>
  <c r="L246" i="29" a="1"/>
  <c r="L246" i="29" s="1"/>
  <c r="B247" i="29" s="1"/>
  <c r="P244" i="29"/>
  <c r="O215" i="29" l="1" a="1"/>
  <c r="O215" i="29" s="1"/>
  <c r="R215" i="29" s="1"/>
  <c r="S215" i="29" s="1"/>
  <c r="N248" i="29" a="1"/>
  <c r="N248" i="29" s="1"/>
  <c r="Q248" i="29" a="1"/>
  <c r="Q248" i="29" s="1"/>
  <c r="K250" i="29"/>
  <c r="I249" i="29"/>
  <c r="P245" i="29"/>
  <c r="M246" i="29"/>
  <c r="C246" i="29" a="1"/>
  <c r="C246" i="29" s="1"/>
  <c r="F246" i="29"/>
  <c r="L247" i="29" a="1"/>
  <c r="L247" i="29" s="1"/>
  <c r="G247" i="29"/>
  <c r="O216" i="29" l="1" a="1"/>
  <c r="O216" i="29" s="1"/>
  <c r="R216" i="29" s="1"/>
  <c r="S216" i="29" s="1"/>
  <c r="N249" i="29" a="1"/>
  <c r="N249" i="29" s="1"/>
  <c r="Q249" i="29" a="1"/>
  <c r="Q249" i="29" s="1"/>
  <c r="I250" i="29"/>
  <c r="K251" i="29"/>
  <c r="C247" i="29" a="1"/>
  <c r="C247" i="29" s="1"/>
  <c r="M247" i="29"/>
  <c r="F247" i="29"/>
  <c r="L248" i="29" a="1"/>
  <c r="L248" i="29" s="1"/>
  <c r="G248" i="29"/>
  <c r="P246" i="29"/>
  <c r="B248" i="29"/>
  <c r="O217" i="29" l="1" a="1"/>
  <c r="O217" i="29" s="1"/>
  <c r="R217" i="29" s="1"/>
  <c r="S217" i="29" s="1"/>
  <c r="Q250" i="29" a="1"/>
  <c r="Q250" i="29" s="1"/>
  <c r="N250" i="29" a="1"/>
  <c r="N250" i="29" s="1"/>
  <c r="K252" i="29"/>
  <c r="I251" i="29"/>
  <c r="P247" i="29"/>
  <c r="M248" i="29"/>
  <c r="C248" i="29" a="1"/>
  <c r="C248" i="29" s="1"/>
  <c r="F248" i="29"/>
  <c r="L249" i="29" a="1"/>
  <c r="L249" i="29" s="1"/>
  <c r="B249" i="29"/>
  <c r="G249" i="29"/>
  <c r="O218" i="29" l="1" a="1"/>
  <c r="O218" i="29" s="1"/>
  <c r="R218" i="29" s="1"/>
  <c r="S218" i="29" s="1"/>
  <c r="I252" i="29"/>
  <c r="K253" i="29"/>
  <c r="N251" i="29" a="1"/>
  <c r="N251" i="29" s="1"/>
  <c r="Q251" i="29" a="1"/>
  <c r="Q251" i="29" s="1"/>
  <c r="C249" i="29" a="1"/>
  <c r="C249" i="29" s="1"/>
  <c r="M249" i="29"/>
  <c r="F249" i="29"/>
  <c r="L250" i="29" a="1"/>
  <c r="L250" i="29" s="1"/>
  <c r="B251" i="29" s="1"/>
  <c r="G250" i="29"/>
  <c r="B250" i="29"/>
  <c r="P248" i="29"/>
  <c r="O219" i="29" l="1" a="1"/>
  <c r="O219" i="29" s="1"/>
  <c r="R219" i="29" s="1"/>
  <c r="S219" i="29" s="1"/>
  <c r="G251" i="29"/>
  <c r="P249" i="29"/>
  <c r="C250" i="29" a="1"/>
  <c r="C250" i="29" s="1"/>
  <c r="F250" i="29"/>
  <c r="M250" i="29"/>
  <c r="L251" i="29" a="1"/>
  <c r="L251" i="29" s="1"/>
  <c r="B252" i="29" s="1"/>
  <c r="K254" i="29"/>
  <c r="I253" i="29"/>
  <c r="Q252" i="29" a="1"/>
  <c r="Q252" i="29" s="1"/>
  <c r="N252" i="29" a="1"/>
  <c r="N252" i="29" s="1"/>
  <c r="O220" i="29" l="1" a="1"/>
  <c r="O220" i="29" s="1"/>
  <c r="R220" i="29" s="1"/>
  <c r="S220" i="29" s="1"/>
  <c r="N253" i="29" a="1"/>
  <c r="N253" i="29" s="1"/>
  <c r="Q253" i="29" a="1"/>
  <c r="Q253" i="29" s="1"/>
  <c r="I254" i="29"/>
  <c r="K255" i="29"/>
  <c r="G252" i="29"/>
  <c r="C251" i="29" a="1"/>
  <c r="C251" i="29" s="1"/>
  <c r="M251" i="29"/>
  <c r="F251" i="29"/>
  <c r="L252" i="29" a="1"/>
  <c r="L252" i="29" s="1"/>
  <c r="P250" i="29"/>
  <c r="O221" i="29" l="1" a="1"/>
  <c r="O221" i="29" s="1"/>
  <c r="R221" i="29" s="1"/>
  <c r="S221" i="29" s="1"/>
  <c r="K256" i="29"/>
  <c r="I255" i="29"/>
  <c r="N254" i="29" a="1"/>
  <c r="N254" i="29" s="1"/>
  <c r="Q254" i="29" a="1"/>
  <c r="Q254" i="29" s="1"/>
  <c r="F252" i="29"/>
  <c r="M252" i="29"/>
  <c r="C252" i="29" a="1"/>
  <c r="C252" i="29" s="1"/>
  <c r="L253" i="29" a="1"/>
  <c r="L253" i="29" s="1"/>
  <c r="B254" i="29" s="1"/>
  <c r="B253" i="29"/>
  <c r="P251" i="29"/>
  <c r="G253" i="29"/>
  <c r="O222" i="29" l="1" a="1"/>
  <c r="O222" i="29" s="1"/>
  <c r="R222" i="29" s="1"/>
  <c r="S222" i="29" s="1"/>
  <c r="N255" i="29" a="1"/>
  <c r="N255" i="29" s="1"/>
  <c r="Q255" i="29" a="1"/>
  <c r="Q255" i="29" s="1"/>
  <c r="G254" i="29"/>
  <c r="C253" i="29" a="1"/>
  <c r="C253" i="29" s="1"/>
  <c r="M253" i="29"/>
  <c r="F253" i="29"/>
  <c r="L254" i="29" a="1"/>
  <c r="L254" i="29" s="1"/>
  <c r="I256" i="29"/>
  <c r="K257" i="29"/>
  <c r="P252" i="29"/>
  <c r="O223" i="29" l="1" a="1"/>
  <c r="O223" i="29" s="1"/>
  <c r="R223" i="29" s="1"/>
  <c r="S223" i="29" s="1"/>
  <c r="K258" i="29"/>
  <c r="I257" i="29"/>
  <c r="N256" i="29" a="1"/>
  <c r="N256" i="29" s="1"/>
  <c r="Q256" i="29" a="1"/>
  <c r="Q256" i="29" s="1"/>
  <c r="G255" i="29"/>
  <c r="M254" i="29"/>
  <c r="C254" i="29" a="1"/>
  <c r="C254" i="29" s="1"/>
  <c r="F254" i="29"/>
  <c r="L255" i="29" a="1"/>
  <c r="L255" i="29" s="1"/>
  <c r="B256" i="29" s="1"/>
  <c r="B255" i="29"/>
  <c r="P253" i="29"/>
  <c r="O224" i="29" l="1" a="1"/>
  <c r="O224" i="29" s="1"/>
  <c r="R224" i="29" s="1"/>
  <c r="S224" i="29" s="1"/>
  <c r="G256" i="29"/>
  <c r="C255" i="29" a="1"/>
  <c r="C255" i="29" s="1"/>
  <c r="M255" i="29"/>
  <c r="F255" i="29"/>
  <c r="L256" i="29" a="1"/>
  <c r="L256" i="29" s="1"/>
  <c r="N257" i="29" a="1"/>
  <c r="N257" i="29" s="1"/>
  <c r="Q257" i="29" a="1"/>
  <c r="Q257" i="29" s="1"/>
  <c r="P254" i="29"/>
  <c r="I258" i="29"/>
  <c r="K259" i="29"/>
  <c r="O225" i="29" l="1" a="1"/>
  <c r="O225" i="29" s="1"/>
  <c r="R225" i="29" s="1"/>
  <c r="S225" i="29" s="1"/>
  <c r="K260" i="29"/>
  <c r="I259" i="29"/>
  <c r="M256" i="29"/>
  <c r="C256" i="29" a="1"/>
  <c r="C256" i="29" s="1"/>
  <c r="F256" i="29"/>
  <c r="L257" i="29" a="1"/>
  <c r="L257" i="29" s="1"/>
  <c r="Q258" i="29" a="1"/>
  <c r="Q258" i="29" s="1"/>
  <c r="N258" i="29" a="1"/>
  <c r="N258" i="29" s="1"/>
  <c r="P255" i="29"/>
  <c r="B257" i="29"/>
  <c r="G257" i="29"/>
  <c r="O226" i="29" l="1" a="1"/>
  <c r="O226" i="29" s="1"/>
  <c r="R226" i="29" s="1"/>
  <c r="S226" i="29" s="1"/>
  <c r="P256" i="29"/>
  <c r="C257" i="29" a="1"/>
  <c r="C257" i="29" s="1"/>
  <c r="M257" i="29"/>
  <c r="F257" i="29"/>
  <c r="L258" i="29" a="1"/>
  <c r="L258" i="29" s="1"/>
  <c r="B259" i="29" s="1"/>
  <c r="G258" i="29"/>
  <c r="N259" i="29" a="1"/>
  <c r="N259" i="29" s="1"/>
  <c r="Q259" i="29" a="1"/>
  <c r="Q259" i="29" s="1"/>
  <c r="B258" i="29"/>
  <c r="I260" i="29"/>
  <c r="K261" i="29"/>
  <c r="O227" i="29" l="1" a="1"/>
  <c r="O227" i="29" s="1"/>
  <c r="R227" i="29" s="1"/>
  <c r="S227" i="29" s="1"/>
  <c r="Q260" i="29" a="1"/>
  <c r="Q260" i="29" s="1"/>
  <c r="N260" i="29" a="1"/>
  <c r="N260" i="29" s="1"/>
  <c r="C258" i="29" a="1"/>
  <c r="C258" i="29" s="1"/>
  <c r="F258" i="29"/>
  <c r="M258" i="29"/>
  <c r="L259" i="29" a="1"/>
  <c r="L259" i="29" s="1"/>
  <c r="B260" i="29" s="1"/>
  <c r="P257" i="29"/>
  <c r="G259" i="29"/>
  <c r="I261" i="29"/>
  <c r="K262" i="29"/>
  <c r="O228" i="29" l="1" a="1"/>
  <c r="O228" i="29" s="1"/>
  <c r="R228" i="29" s="1"/>
  <c r="S228" i="29" s="1"/>
  <c r="I262" i="29"/>
  <c r="K263" i="29"/>
  <c r="Q261" i="29" a="1"/>
  <c r="Q261" i="29" s="1"/>
  <c r="N261" i="29" a="1"/>
  <c r="N261" i="29" s="1"/>
  <c r="G260" i="29"/>
  <c r="C259" i="29" a="1"/>
  <c r="C259" i="29" s="1"/>
  <c r="M259" i="29"/>
  <c r="F259" i="29"/>
  <c r="L260" i="29" a="1"/>
  <c r="L260" i="29" s="1"/>
  <c r="P258" i="29"/>
  <c r="O229" i="29" l="1" a="1"/>
  <c r="O229" i="29" s="1"/>
  <c r="R229" i="29" s="1"/>
  <c r="S229" i="29" s="1"/>
  <c r="F260" i="29"/>
  <c r="M260" i="29"/>
  <c r="C260" i="29" a="1"/>
  <c r="C260" i="29" s="1"/>
  <c r="L261" i="29" a="1"/>
  <c r="L261" i="29" s="1"/>
  <c r="B262" i="29" s="1"/>
  <c r="P259" i="29"/>
  <c r="K264" i="29"/>
  <c r="I263" i="29"/>
  <c r="G261" i="29"/>
  <c r="B261" i="29"/>
  <c r="Q262" i="29" a="1"/>
  <c r="Q262" i="29" s="1"/>
  <c r="N262" i="29" a="1"/>
  <c r="N262" i="29" s="1"/>
  <c r="O230" i="29" l="1" a="1"/>
  <c r="O230" i="29" s="1"/>
  <c r="R230" i="29" s="1"/>
  <c r="S230" i="29" s="1"/>
  <c r="N263" i="29" a="1"/>
  <c r="N263" i="29" s="1"/>
  <c r="Q263" i="29" a="1"/>
  <c r="Q263" i="29" s="1"/>
  <c r="C261" i="29" a="1"/>
  <c r="C261" i="29" s="1"/>
  <c r="M261" i="29"/>
  <c r="F261" i="29"/>
  <c r="L262" i="29" a="1"/>
  <c r="L262" i="29" s="1"/>
  <c r="B263" i="29" s="1"/>
  <c r="P260" i="29"/>
  <c r="G262" i="29"/>
  <c r="I264" i="29"/>
  <c r="K265" i="29"/>
  <c r="O231" i="29" l="1" a="1"/>
  <c r="O231" i="29" s="1"/>
  <c r="R231" i="29" s="1"/>
  <c r="S231" i="29" s="1"/>
  <c r="G263" i="29"/>
  <c r="K266" i="29"/>
  <c r="I265" i="29"/>
  <c r="P261" i="29"/>
  <c r="Q264" i="29" a="1"/>
  <c r="Q264" i="29" s="1"/>
  <c r="N264" i="29" a="1"/>
  <c r="N264" i="29" s="1"/>
  <c r="F262" i="29"/>
  <c r="C262" i="29" a="1"/>
  <c r="C262" i="29" s="1"/>
  <c r="M262" i="29"/>
  <c r="L263" i="29" a="1"/>
  <c r="L263" i="29" s="1"/>
  <c r="O232" i="29" l="1" a="1"/>
  <c r="O232" i="29" s="1"/>
  <c r="R232" i="29" s="1"/>
  <c r="S232" i="29" s="1"/>
  <c r="C263" i="29" a="1"/>
  <c r="C263" i="29" s="1"/>
  <c r="M263" i="29"/>
  <c r="F263" i="29"/>
  <c r="L264" i="29" a="1"/>
  <c r="L264" i="29" s="1"/>
  <c r="B265" i="29" s="1"/>
  <c r="P262" i="29"/>
  <c r="N265" i="29" a="1"/>
  <c r="N265" i="29" s="1"/>
  <c r="Q265" i="29" a="1"/>
  <c r="Q265" i="29" s="1"/>
  <c r="I266" i="29"/>
  <c r="K267" i="29"/>
  <c r="G264" i="29"/>
  <c r="B264" i="29"/>
  <c r="O233" i="29" l="1" a="1"/>
  <c r="O233" i="29" s="1"/>
  <c r="R233" i="29" s="1"/>
  <c r="S233" i="29" s="1"/>
  <c r="K268" i="29"/>
  <c r="I267" i="29"/>
  <c r="P263" i="29"/>
  <c r="C264" i="29" a="1"/>
  <c r="C264" i="29" s="1"/>
  <c r="M264" i="29"/>
  <c r="F264" i="29"/>
  <c r="L265" i="29" a="1"/>
  <c r="L265" i="29" s="1"/>
  <c r="B266" i="29" s="1"/>
  <c r="Q266" i="29" a="1"/>
  <c r="Q266" i="29" s="1"/>
  <c r="N266" i="29" a="1"/>
  <c r="N266" i="29" s="1"/>
  <c r="G265" i="29"/>
  <c r="O234" i="29" l="1" a="1"/>
  <c r="O234" i="29" s="1"/>
  <c r="R234" i="29" s="1"/>
  <c r="S234" i="29" s="1"/>
  <c r="P264" i="29"/>
  <c r="G266" i="29"/>
  <c r="N267" i="29" a="1"/>
  <c r="N267" i="29" s="1"/>
  <c r="Q267" i="29" a="1"/>
  <c r="Q267" i="29" s="1"/>
  <c r="I268" i="29"/>
  <c r="K269" i="29"/>
  <c r="C265" i="29" a="1"/>
  <c r="C265" i="29" s="1"/>
  <c r="M265" i="29"/>
  <c r="F265" i="29"/>
  <c r="L266" i="29" a="1"/>
  <c r="L266" i="29" s="1"/>
  <c r="O235" i="29" l="1" a="1"/>
  <c r="O235" i="29" s="1"/>
  <c r="R235" i="29" s="1"/>
  <c r="S235" i="29" s="1"/>
  <c r="F266" i="29"/>
  <c r="M266" i="29"/>
  <c r="C266" i="29" a="1"/>
  <c r="C266" i="29" s="1"/>
  <c r="L267" i="29" a="1"/>
  <c r="L267" i="29" s="1"/>
  <c r="B268" i="29" s="1"/>
  <c r="G267" i="29"/>
  <c r="P265" i="29"/>
  <c r="K270" i="29"/>
  <c r="I269" i="29"/>
  <c r="Q268" i="29" a="1"/>
  <c r="Q268" i="29" s="1"/>
  <c r="N268" i="29" a="1"/>
  <c r="N268" i="29" s="1"/>
  <c r="B267" i="29"/>
  <c r="O236" i="29" l="1" a="1"/>
  <c r="O236" i="29" s="1"/>
  <c r="R236" i="29" s="1"/>
  <c r="S236" i="29" s="1"/>
  <c r="G268" i="29"/>
  <c r="C267" i="29" a="1"/>
  <c r="C267" i="29" s="1"/>
  <c r="M267" i="29"/>
  <c r="F267" i="29"/>
  <c r="L268" i="29" a="1"/>
  <c r="L268" i="29" s="1"/>
  <c r="N269" i="29" a="1"/>
  <c r="N269" i="29" s="1"/>
  <c r="Q269" i="29" a="1"/>
  <c r="Q269" i="29" s="1"/>
  <c r="P266" i="29"/>
  <c r="I270" i="29"/>
  <c r="K271" i="29"/>
  <c r="O237" i="29" l="1" a="1"/>
  <c r="O237" i="29" s="1"/>
  <c r="R237" i="29" s="1"/>
  <c r="S237" i="29" s="1"/>
  <c r="K272" i="29"/>
  <c r="I271" i="29"/>
  <c r="P267" i="29"/>
  <c r="F268" i="29"/>
  <c r="M268" i="29"/>
  <c r="C268" i="29" a="1"/>
  <c r="C268" i="29" s="1"/>
  <c r="L269" i="29" a="1"/>
  <c r="L269" i="29" s="1"/>
  <c r="Q270" i="29" a="1"/>
  <c r="Q270" i="29" s="1"/>
  <c r="N270" i="29" a="1"/>
  <c r="N270" i="29" s="1"/>
  <c r="B269" i="29"/>
  <c r="G269" i="29"/>
  <c r="O238" i="29" l="1" a="1"/>
  <c r="O238" i="29" s="1"/>
  <c r="R238" i="29" s="1"/>
  <c r="S238" i="29" s="1"/>
  <c r="C269" i="29" a="1"/>
  <c r="C269" i="29" s="1"/>
  <c r="M269" i="29"/>
  <c r="F269" i="29"/>
  <c r="L270" i="29" a="1"/>
  <c r="L270" i="29" s="1"/>
  <c r="B271" i="29" s="1"/>
  <c r="P268" i="29"/>
  <c r="G270" i="29"/>
  <c r="B270" i="29"/>
  <c r="N271" i="29" a="1"/>
  <c r="N271" i="29" s="1"/>
  <c r="Q271" i="29" a="1"/>
  <c r="Q271" i="29" s="1"/>
  <c r="I272" i="29"/>
  <c r="K273" i="29"/>
  <c r="O239" i="29" l="1" a="1"/>
  <c r="O239" i="29" s="1"/>
  <c r="R239" i="29" s="1"/>
  <c r="S239" i="29" s="1"/>
  <c r="Q272" i="29" a="1"/>
  <c r="Q272" i="29" s="1"/>
  <c r="N272" i="29" a="1"/>
  <c r="N272" i="29" s="1"/>
  <c r="G271" i="29"/>
  <c r="C270" i="29" a="1"/>
  <c r="C270" i="29" s="1"/>
  <c r="F270" i="29"/>
  <c r="M270" i="29"/>
  <c r="L271" i="29" a="1"/>
  <c r="L271" i="29" s="1"/>
  <c r="P269" i="29"/>
  <c r="K274" i="29"/>
  <c r="I273" i="29"/>
  <c r="O240" i="29" l="1" a="1"/>
  <c r="O240" i="29" s="1"/>
  <c r="R240" i="29" s="1"/>
  <c r="S240" i="29" s="1"/>
  <c r="N273" i="29" a="1"/>
  <c r="N273" i="29" s="1"/>
  <c r="Q273" i="29" a="1"/>
  <c r="Q273" i="29" s="1"/>
  <c r="I274" i="29"/>
  <c r="K275" i="29"/>
  <c r="G272" i="29"/>
  <c r="C271" i="29" a="1"/>
  <c r="C271" i="29" s="1"/>
  <c r="M271" i="29"/>
  <c r="F271" i="29"/>
  <c r="L272" i="29" a="1"/>
  <c r="L272" i="29" s="1"/>
  <c r="B273" i="29" s="1"/>
  <c r="B272" i="29"/>
  <c r="P270" i="29"/>
  <c r="O241" i="29" l="1" a="1"/>
  <c r="O241" i="29" s="1"/>
  <c r="R241" i="29" s="1"/>
  <c r="S241" i="29" s="1"/>
  <c r="K276" i="29"/>
  <c r="I275" i="29"/>
  <c r="Q274" i="29" a="1"/>
  <c r="Q274" i="29" s="1"/>
  <c r="N274" i="29" a="1"/>
  <c r="N274" i="29" s="1"/>
  <c r="P271" i="29"/>
  <c r="F272" i="29"/>
  <c r="M272" i="29"/>
  <c r="C272" i="29" a="1"/>
  <c r="C272" i="29" s="1"/>
  <c r="L273" i="29" a="1"/>
  <c r="L273" i="29" s="1"/>
  <c r="B274" i="29" s="1"/>
  <c r="G273" i="29"/>
  <c r="O242" i="29" l="1" a="1"/>
  <c r="O242" i="29" s="1"/>
  <c r="R242" i="29" s="1"/>
  <c r="S242" i="29" s="1"/>
  <c r="G274" i="29"/>
  <c r="C273" i="29" a="1"/>
  <c r="C273" i="29" s="1"/>
  <c r="M273" i="29"/>
  <c r="F273" i="29"/>
  <c r="L274" i="29" a="1"/>
  <c r="L274" i="29" s="1"/>
  <c r="B275" i="29" s="1"/>
  <c r="P272" i="29"/>
  <c r="N275" i="29" a="1"/>
  <c r="N275" i="29" s="1"/>
  <c r="Q275" i="29" a="1"/>
  <c r="Q275" i="29" s="1"/>
  <c r="I276" i="29"/>
  <c r="K277" i="29"/>
  <c r="O243" i="29" l="1" a="1"/>
  <c r="O243" i="29" s="1"/>
  <c r="R243" i="29" s="1"/>
  <c r="S243" i="29" s="1"/>
  <c r="K278" i="29"/>
  <c r="I277" i="29"/>
  <c r="C274" i="29" a="1"/>
  <c r="C274" i="29" s="1"/>
  <c r="F274" i="29"/>
  <c r="M274" i="29"/>
  <c r="L275" i="29" a="1"/>
  <c r="L275" i="29" s="1"/>
  <c r="Q276" i="29" a="1"/>
  <c r="Q276" i="29" s="1"/>
  <c r="N276" i="29" a="1"/>
  <c r="N276" i="29" s="1"/>
  <c r="P273" i="29"/>
  <c r="G275" i="29"/>
  <c r="O244" i="29" l="1" a="1"/>
  <c r="O244" i="29" s="1"/>
  <c r="R244" i="29" s="1"/>
  <c r="S244" i="29" s="1"/>
  <c r="C275" i="29" a="1"/>
  <c r="C275" i="29" s="1"/>
  <c r="M275" i="29"/>
  <c r="F275" i="29"/>
  <c r="L276" i="29" a="1"/>
  <c r="L276" i="29" s="1"/>
  <c r="B277" i="29" s="1"/>
  <c r="P274" i="29"/>
  <c r="G276" i="29"/>
  <c r="B276" i="29"/>
  <c r="N277" i="29" a="1"/>
  <c r="N277" i="29" s="1"/>
  <c r="Q277" i="29" a="1"/>
  <c r="Q277" i="29" s="1"/>
  <c r="I278" i="29"/>
  <c r="K279" i="29"/>
  <c r="O245" i="29" l="1" a="1"/>
  <c r="O245" i="29" s="1"/>
  <c r="R245" i="29" s="1"/>
  <c r="S245" i="29" s="1"/>
  <c r="Q278" i="29" a="1"/>
  <c r="Q278" i="29" s="1"/>
  <c r="N278" i="29" a="1"/>
  <c r="N278" i="29" s="1"/>
  <c r="G277" i="29"/>
  <c r="F276" i="29"/>
  <c r="M276" i="29"/>
  <c r="C276" i="29" a="1"/>
  <c r="C276" i="29" s="1"/>
  <c r="L277" i="29" a="1"/>
  <c r="L277" i="29" s="1"/>
  <c r="P275" i="29"/>
  <c r="K280" i="29"/>
  <c r="I279" i="29"/>
  <c r="O246" i="29" l="1" a="1"/>
  <c r="O246" i="29" s="1"/>
  <c r="R246" i="29" s="1"/>
  <c r="S246" i="29" s="1"/>
  <c r="N279" i="29" a="1"/>
  <c r="N279" i="29" s="1"/>
  <c r="Q279" i="29" a="1"/>
  <c r="Q279" i="29" s="1"/>
  <c r="I280" i="29"/>
  <c r="K281" i="29"/>
  <c r="G278" i="29"/>
  <c r="C277" i="29" a="1"/>
  <c r="C277" i="29" s="1"/>
  <c r="M277" i="29"/>
  <c r="F277" i="29"/>
  <c r="L278" i="29" a="1"/>
  <c r="L278" i="29" s="1"/>
  <c r="B278" i="29"/>
  <c r="P276" i="29"/>
  <c r="O247" i="29" l="1" a="1"/>
  <c r="O247" i="29" s="1"/>
  <c r="R247" i="29" s="1"/>
  <c r="S247" i="29" s="1"/>
  <c r="Q280" i="29" a="1"/>
  <c r="Q280" i="29" s="1"/>
  <c r="N280" i="29" a="1"/>
  <c r="N280" i="29" s="1"/>
  <c r="C278" i="29" a="1"/>
  <c r="C278" i="29" s="1"/>
  <c r="F278" i="29"/>
  <c r="M278" i="29"/>
  <c r="L279" i="29" a="1"/>
  <c r="L279" i="29" s="1"/>
  <c r="B280" i="29" s="1"/>
  <c r="P277" i="29"/>
  <c r="K282" i="29"/>
  <c r="I281" i="29"/>
  <c r="B279" i="29"/>
  <c r="G279" i="29"/>
  <c r="O248" i="29" l="1" a="1"/>
  <c r="O248" i="29" s="1"/>
  <c r="R248" i="29" s="1"/>
  <c r="S248" i="29" s="1"/>
  <c r="N281" i="29" a="1"/>
  <c r="N281" i="29" s="1"/>
  <c r="Q281" i="29" a="1"/>
  <c r="Q281" i="29" s="1"/>
  <c r="I282" i="29"/>
  <c r="K283" i="29"/>
  <c r="G280" i="29"/>
  <c r="C279" i="29" a="1"/>
  <c r="C279" i="29" s="1"/>
  <c r="M279" i="29"/>
  <c r="F279" i="29"/>
  <c r="L280" i="29" a="1"/>
  <c r="L280" i="29" s="1"/>
  <c r="P278" i="29"/>
  <c r="O249" i="29" l="1" a="1"/>
  <c r="O249" i="29" s="1"/>
  <c r="R249" i="29" s="1"/>
  <c r="S249" i="29" s="1"/>
  <c r="K284" i="29"/>
  <c r="I283" i="29"/>
  <c r="Q282" i="29" a="1"/>
  <c r="Q282" i="29" s="1"/>
  <c r="N282" i="29" a="1"/>
  <c r="N282" i="29" s="1"/>
  <c r="F280" i="29"/>
  <c r="M280" i="29"/>
  <c r="C280" i="29" a="1"/>
  <c r="C280" i="29" s="1"/>
  <c r="L281" i="29" a="1"/>
  <c r="L281" i="29" s="1"/>
  <c r="B281" i="29"/>
  <c r="P279" i="29"/>
  <c r="G281" i="29"/>
  <c r="O250" i="29" l="1" a="1"/>
  <c r="O250" i="29" s="1"/>
  <c r="R250" i="29" s="1"/>
  <c r="S250" i="29" s="1"/>
  <c r="G282" i="29"/>
  <c r="C281" i="29" a="1"/>
  <c r="C281" i="29" s="1"/>
  <c r="M281" i="29"/>
  <c r="F281" i="29"/>
  <c r="L282" i="29" a="1"/>
  <c r="L282" i="29" s="1"/>
  <c r="N283" i="29" a="1"/>
  <c r="N283" i="29" s="1"/>
  <c r="Q283" i="29" a="1"/>
  <c r="Q283" i="29" s="1"/>
  <c r="B282" i="29"/>
  <c r="I284" i="29"/>
  <c r="K285" i="29"/>
  <c r="P280" i="29"/>
  <c r="O251" i="29" l="1" a="1"/>
  <c r="O251" i="29" s="1"/>
  <c r="R251" i="29" s="1"/>
  <c r="S251" i="29" s="1"/>
  <c r="C282" i="29" a="1"/>
  <c r="C282" i="29" s="1"/>
  <c r="F282" i="29"/>
  <c r="M282" i="29"/>
  <c r="L283" i="29" a="1"/>
  <c r="L283" i="29" s="1"/>
  <c r="P281" i="29"/>
  <c r="B283" i="29"/>
  <c r="K286" i="29"/>
  <c r="I285" i="29"/>
  <c r="Q284" i="29" a="1"/>
  <c r="Q284" i="29" s="1"/>
  <c r="N284" i="29" a="1"/>
  <c r="N284" i="29" s="1"/>
  <c r="G283" i="29"/>
  <c r="O252" i="29" l="1" a="1"/>
  <c r="O252" i="29" s="1"/>
  <c r="R252" i="29" s="1"/>
  <c r="S252" i="29" s="1"/>
  <c r="G284" i="29"/>
  <c r="N285" i="29" a="1"/>
  <c r="N285" i="29" s="1"/>
  <c r="Q285" i="29" a="1"/>
  <c r="Q285" i="29" s="1"/>
  <c r="B285" i="29"/>
  <c r="C283" i="29" a="1"/>
  <c r="C283" i="29" s="1"/>
  <c r="M283" i="29"/>
  <c r="F283" i="29"/>
  <c r="L284" i="29" a="1"/>
  <c r="L284" i="29" s="1"/>
  <c r="B284" i="29"/>
  <c r="P282" i="29"/>
  <c r="I286" i="29"/>
  <c r="K287" i="29"/>
  <c r="O253" i="29" l="1" a="1"/>
  <c r="O253" i="29" s="1"/>
  <c r="R253" i="29" s="1"/>
  <c r="S253" i="29" s="1"/>
  <c r="N286" i="29" a="1"/>
  <c r="N286" i="29" s="1"/>
  <c r="Q286" i="29" a="1"/>
  <c r="Q286" i="29" s="1"/>
  <c r="G285" i="29"/>
  <c r="P283" i="29"/>
  <c r="F284" i="29"/>
  <c r="M284" i="29"/>
  <c r="C284" i="29" a="1"/>
  <c r="C284" i="29" s="1"/>
  <c r="L285" i="29" a="1"/>
  <c r="L285" i="29" s="1"/>
  <c r="K288" i="29"/>
  <c r="I287" i="29"/>
  <c r="O254" i="29" l="1" a="1"/>
  <c r="O254" i="29" s="1"/>
  <c r="R254" i="29" s="1"/>
  <c r="S254" i="29" s="1"/>
  <c r="N287" i="29" a="1"/>
  <c r="N287" i="29" s="1"/>
  <c r="Q287" i="29" a="1"/>
  <c r="Q287" i="29" s="1"/>
  <c r="C285" i="29" a="1"/>
  <c r="C285" i="29" s="1"/>
  <c r="M285" i="29"/>
  <c r="F285" i="29"/>
  <c r="L286" i="29" a="1"/>
  <c r="L286" i="29" s="1"/>
  <c r="B287" i="29" s="1"/>
  <c r="I288" i="29"/>
  <c r="K289" i="29"/>
  <c r="P284" i="29"/>
  <c r="B286" i="29"/>
  <c r="G286" i="29"/>
  <c r="O255" i="29" l="1" a="1"/>
  <c r="O255" i="29" s="1"/>
  <c r="R255" i="29" s="1"/>
  <c r="S255" i="29" s="1"/>
  <c r="P285" i="29"/>
  <c r="Q288" i="29" a="1"/>
  <c r="Q288" i="29" s="1"/>
  <c r="N288" i="29" a="1"/>
  <c r="N288" i="29" s="1"/>
  <c r="G287" i="29"/>
  <c r="K290" i="29"/>
  <c r="I289" i="29"/>
  <c r="M286" i="29"/>
  <c r="C286" i="29" a="1"/>
  <c r="C286" i="29" s="1"/>
  <c r="F286" i="29"/>
  <c r="L287" i="29" a="1"/>
  <c r="L287" i="29" s="1"/>
  <c r="B288" i="29" s="1"/>
  <c r="O256" i="29" l="1" a="1"/>
  <c r="O256" i="29" s="1"/>
  <c r="R256" i="29" s="1"/>
  <c r="S256" i="29" s="1"/>
  <c r="G288" i="29"/>
  <c r="C287" i="29" a="1"/>
  <c r="C287" i="29" s="1"/>
  <c r="M287" i="29"/>
  <c r="F287" i="29"/>
  <c r="L288" i="29" a="1"/>
  <c r="L288" i="29" s="1"/>
  <c r="P286" i="29"/>
  <c r="N289" i="29" a="1"/>
  <c r="N289" i="29" s="1"/>
  <c r="Q289" i="29" a="1"/>
  <c r="Q289" i="29" s="1"/>
  <c r="I290" i="29"/>
  <c r="K291" i="29"/>
  <c r="O257" i="29" l="1" a="1"/>
  <c r="O257" i="29" s="1"/>
  <c r="R257" i="29" s="1"/>
  <c r="S257" i="29" s="1"/>
  <c r="K292" i="29"/>
  <c r="I291" i="29"/>
  <c r="C288" i="29" a="1"/>
  <c r="C288" i="29" s="1"/>
  <c r="F288" i="29"/>
  <c r="M288" i="29"/>
  <c r="L289" i="29" a="1"/>
  <c r="L289" i="29" s="1"/>
  <c r="Q290" i="29" a="1"/>
  <c r="Q290" i="29" s="1"/>
  <c r="N290" i="29" a="1"/>
  <c r="N290" i="29" s="1"/>
  <c r="B289" i="29"/>
  <c r="P287" i="29"/>
  <c r="G289" i="29"/>
  <c r="O258" i="29" l="1" a="1"/>
  <c r="O258" i="29" s="1"/>
  <c r="R258" i="29" s="1"/>
  <c r="S258" i="29" s="1"/>
  <c r="C289" i="29" a="1"/>
  <c r="C289" i="29" s="1"/>
  <c r="M289" i="29"/>
  <c r="F289" i="29"/>
  <c r="L290" i="29" a="1"/>
  <c r="L290" i="29" s="1"/>
  <c r="P288" i="29"/>
  <c r="G290" i="29"/>
  <c r="N291" i="29" a="1"/>
  <c r="N291" i="29" s="1"/>
  <c r="Q291" i="29" a="1"/>
  <c r="Q291" i="29" s="1"/>
  <c r="B290" i="29"/>
  <c r="I292" i="29"/>
  <c r="K293" i="29"/>
  <c r="O259" i="29" l="1" a="1"/>
  <c r="O259" i="29" s="1"/>
  <c r="R259" i="29" s="1"/>
  <c r="S259" i="29" s="1"/>
  <c r="F290" i="29"/>
  <c r="M290" i="29"/>
  <c r="C290" i="29" a="1"/>
  <c r="C290" i="29" s="1"/>
  <c r="L291" i="29" a="1"/>
  <c r="L291" i="29" s="1"/>
  <c r="G291" i="29"/>
  <c r="N292" i="29" a="1"/>
  <c r="N292" i="29" s="1"/>
  <c r="Q292" i="29" a="1"/>
  <c r="Q292" i="29" s="1"/>
  <c r="B291" i="29"/>
  <c r="P289" i="29"/>
  <c r="K294" i="29"/>
  <c r="I293" i="29"/>
  <c r="O260" i="29" l="1" a="1"/>
  <c r="O260" i="29" s="1"/>
  <c r="R260" i="29" s="1"/>
  <c r="S260" i="29" s="1"/>
  <c r="C291" i="29" a="1"/>
  <c r="C291" i="29" s="1"/>
  <c r="M291" i="29"/>
  <c r="F291" i="29"/>
  <c r="L292" i="29" a="1"/>
  <c r="L292" i="29" s="1"/>
  <c r="P290" i="29"/>
  <c r="I294" i="29"/>
  <c r="K295" i="29"/>
  <c r="G292" i="29"/>
  <c r="B292" i="29"/>
  <c r="N293" i="29" a="1"/>
  <c r="N293" i="29" s="1"/>
  <c r="Q293" i="29" a="1"/>
  <c r="Q293" i="29" s="1"/>
  <c r="O261" i="29" l="1" a="1"/>
  <c r="O261" i="29" s="1"/>
  <c r="R261" i="29" s="1"/>
  <c r="S261" i="29" s="1"/>
  <c r="M292" i="29"/>
  <c r="C292" i="29" a="1"/>
  <c r="C292" i="29" s="1"/>
  <c r="F292" i="29"/>
  <c r="L293" i="29" a="1"/>
  <c r="L293" i="29" s="1"/>
  <c r="B294" i="29" s="1"/>
  <c r="P291" i="29"/>
  <c r="B293" i="29"/>
  <c r="G293" i="29"/>
  <c r="K296" i="29"/>
  <c r="I295" i="29"/>
  <c r="N294" i="29" a="1"/>
  <c r="N294" i="29" s="1"/>
  <c r="Q294" i="29" a="1"/>
  <c r="Q294" i="29" s="1"/>
  <c r="O262" i="29" l="1" a="1"/>
  <c r="O262" i="29" s="1"/>
  <c r="R262" i="29" s="1"/>
  <c r="S262" i="29" s="1"/>
  <c r="G294" i="29"/>
  <c r="N295" i="29" a="1"/>
  <c r="N295" i="29" s="1"/>
  <c r="Q295" i="29" a="1"/>
  <c r="Q295" i="29" s="1"/>
  <c r="I296" i="29"/>
  <c r="K297" i="29"/>
  <c r="C293" i="29" a="1"/>
  <c r="C293" i="29" s="1"/>
  <c r="M293" i="29"/>
  <c r="F293" i="29"/>
  <c r="L294" i="29" a="1"/>
  <c r="L294" i="29" s="1"/>
  <c r="P292" i="29"/>
  <c r="O263" i="29" l="1" a="1"/>
  <c r="O263" i="29" s="1"/>
  <c r="R263" i="29" s="1"/>
  <c r="S263" i="29" s="1"/>
  <c r="M294" i="29"/>
  <c r="C294" i="29" a="1"/>
  <c r="C294" i="29" s="1"/>
  <c r="F294" i="29"/>
  <c r="L295" i="29" a="1"/>
  <c r="L295" i="29" s="1"/>
  <c r="B295" i="29"/>
  <c r="P293" i="29"/>
  <c r="G295" i="29"/>
  <c r="K298" i="29"/>
  <c r="I297" i="29"/>
  <c r="Q296" i="29" a="1"/>
  <c r="Q296" i="29" s="1"/>
  <c r="N296" i="29" a="1"/>
  <c r="N296" i="29" s="1"/>
  <c r="O264" i="29" l="1" a="1"/>
  <c r="O264" i="29" s="1"/>
  <c r="R264" i="29" s="1"/>
  <c r="S264" i="29" s="1"/>
  <c r="C295" i="29" a="1"/>
  <c r="C295" i="29" s="1"/>
  <c r="M295" i="29"/>
  <c r="F295" i="29"/>
  <c r="L296" i="29" a="1"/>
  <c r="L296" i="29" s="1"/>
  <c r="N297" i="29" a="1"/>
  <c r="N297" i="29" s="1"/>
  <c r="Q297" i="29" a="1"/>
  <c r="Q297" i="29" s="1"/>
  <c r="I298" i="29"/>
  <c r="K299" i="29"/>
  <c r="B296" i="29"/>
  <c r="P294" i="29"/>
  <c r="G296" i="29"/>
  <c r="O265" i="29" l="1" a="1"/>
  <c r="O265" i="29" s="1"/>
  <c r="R265" i="29" s="1"/>
  <c r="S265" i="29" s="1"/>
  <c r="C296" i="29" a="1"/>
  <c r="C296" i="29" s="1"/>
  <c r="F296" i="29"/>
  <c r="M296" i="29"/>
  <c r="L297" i="29" a="1"/>
  <c r="L297" i="29" s="1"/>
  <c r="B298" i="29" s="1"/>
  <c r="P295" i="29"/>
  <c r="Q298" i="29" a="1"/>
  <c r="Q298" i="29" s="1"/>
  <c r="N298" i="29" a="1"/>
  <c r="N298" i="29" s="1"/>
  <c r="G297" i="29"/>
  <c r="K300" i="29"/>
  <c r="I299" i="29"/>
  <c r="B297" i="29"/>
  <c r="O266" i="29" l="1" a="1"/>
  <c r="O266" i="29" s="1"/>
  <c r="R266" i="29" s="1"/>
  <c r="S266" i="29" s="1"/>
  <c r="N299" i="29" a="1"/>
  <c r="N299" i="29" s="1"/>
  <c r="Q299" i="29" a="1"/>
  <c r="Q299" i="29" s="1"/>
  <c r="I300" i="29"/>
  <c r="K301" i="29"/>
  <c r="G298" i="29"/>
  <c r="C297" i="29" a="1"/>
  <c r="C297" i="29" s="1"/>
  <c r="M297" i="29"/>
  <c r="F297" i="29"/>
  <c r="L298" i="29" a="1"/>
  <c r="L298" i="29" s="1"/>
  <c r="P296" i="29"/>
  <c r="O267" i="29" l="1" a="1"/>
  <c r="O267" i="29" s="1"/>
  <c r="R267" i="29" s="1"/>
  <c r="S267" i="29" s="1"/>
  <c r="K302" i="29"/>
  <c r="I301" i="29"/>
  <c r="N300" i="29" a="1"/>
  <c r="N300" i="29" s="1"/>
  <c r="Q300" i="29" a="1"/>
  <c r="Q300" i="29" s="1"/>
  <c r="F298" i="29"/>
  <c r="M298" i="29"/>
  <c r="C298" i="29" a="1"/>
  <c r="C298" i="29" s="1"/>
  <c r="L299" i="29" a="1"/>
  <c r="L299" i="29" s="1"/>
  <c r="B299" i="29"/>
  <c r="P297" i="29"/>
  <c r="G299" i="29"/>
  <c r="O268" i="29" l="1" a="1"/>
  <c r="O268" i="29" s="1"/>
  <c r="R268" i="29" s="1"/>
  <c r="S268" i="29" s="1"/>
  <c r="C299" i="29" a="1"/>
  <c r="C299" i="29" s="1"/>
  <c r="M299" i="29"/>
  <c r="F299" i="29"/>
  <c r="L300" i="29" a="1"/>
  <c r="L300" i="29" s="1"/>
  <c r="N301" i="29" a="1"/>
  <c r="N301" i="29" s="1"/>
  <c r="Q301" i="29" a="1"/>
  <c r="Q301" i="29" s="1"/>
  <c r="G300" i="29"/>
  <c r="B300" i="29"/>
  <c r="I302" i="29"/>
  <c r="K303" i="29"/>
  <c r="P298" i="29"/>
  <c r="O269" i="29" l="1" a="1"/>
  <c r="O269" i="29" s="1"/>
  <c r="R269" i="29" s="1"/>
  <c r="S269" i="29" s="1"/>
  <c r="K304" i="29"/>
  <c r="I303" i="29"/>
  <c r="M300" i="29"/>
  <c r="C300" i="29" a="1"/>
  <c r="C300" i="29" s="1"/>
  <c r="F300" i="29"/>
  <c r="L301" i="29" a="1"/>
  <c r="L301" i="29" s="1"/>
  <c r="P299" i="29"/>
  <c r="B301" i="29"/>
  <c r="G301" i="29"/>
  <c r="N302" i="29" a="1"/>
  <c r="N302" i="29" s="1"/>
  <c r="Q302" i="29" a="1"/>
  <c r="Q302" i="29" s="1"/>
  <c r="O270" i="29" l="1" a="1"/>
  <c r="O270" i="29" s="1"/>
  <c r="R270" i="29" s="1"/>
  <c r="S270" i="29" s="1"/>
  <c r="N303" i="29" a="1"/>
  <c r="N303" i="29" s="1"/>
  <c r="Q303" i="29" a="1"/>
  <c r="Q303" i="29" s="1"/>
  <c r="C301" i="29" a="1"/>
  <c r="C301" i="29" s="1"/>
  <c r="M301" i="29"/>
  <c r="F301" i="29"/>
  <c r="L302" i="29" a="1"/>
  <c r="L302" i="29" s="1"/>
  <c r="B303" i="29" s="1"/>
  <c r="G302" i="29"/>
  <c r="B302" i="29"/>
  <c r="P300" i="29"/>
  <c r="I304" i="29"/>
  <c r="K305" i="29"/>
  <c r="O271" i="29" l="1" a="1"/>
  <c r="O271" i="29" s="1"/>
  <c r="R271" i="29" s="1"/>
  <c r="S271" i="29" s="1"/>
  <c r="Q304" i="29" a="1"/>
  <c r="Q304" i="29" s="1"/>
  <c r="N304" i="29" a="1"/>
  <c r="N304" i="29" s="1"/>
  <c r="G303" i="29"/>
  <c r="P301" i="29"/>
  <c r="M302" i="29"/>
  <c r="C302" i="29" a="1"/>
  <c r="C302" i="29" s="1"/>
  <c r="F302" i="29"/>
  <c r="L303" i="29" a="1"/>
  <c r="L303" i="29" s="1"/>
  <c r="B304" i="29" s="1"/>
  <c r="K306" i="29"/>
  <c r="I305" i="29"/>
  <c r="O272" i="29" l="1" a="1"/>
  <c r="O272" i="29" s="1"/>
  <c r="R272" i="29" s="1"/>
  <c r="S272" i="29" s="1"/>
  <c r="N305" i="29" a="1"/>
  <c r="N305" i="29" s="1"/>
  <c r="Q305" i="29" a="1"/>
  <c r="Q305" i="29" s="1"/>
  <c r="I306" i="29"/>
  <c r="K307" i="29"/>
  <c r="G304" i="29"/>
  <c r="C303" i="29" a="1"/>
  <c r="C303" i="29" s="1"/>
  <c r="M303" i="29"/>
  <c r="F303" i="29"/>
  <c r="L304" i="29" a="1"/>
  <c r="L304" i="29" s="1"/>
  <c r="P302" i="29"/>
  <c r="O273" i="29" l="1" a="1"/>
  <c r="O273" i="29" s="1"/>
  <c r="R273" i="29" s="1"/>
  <c r="S273" i="29" s="1"/>
  <c r="K308" i="29"/>
  <c r="I307" i="29"/>
  <c r="Q306" i="29" a="1"/>
  <c r="Q306" i="29" s="1"/>
  <c r="N306" i="29" a="1"/>
  <c r="N306" i="29" s="1"/>
  <c r="C304" i="29" a="1"/>
  <c r="C304" i="29" s="1"/>
  <c r="F304" i="29"/>
  <c r="M304" i="29"/>
  <c r="L305" i="29" a="1"/>
  <c r="L305" i="29" s="1"/>
  <c r="B306" i="29" s="1"/>
  <c r="B305" i="29"/>
  <c r="P303" i="29"/>
  <c r="G305" i="29"/>
  <c r="O274" i="29" l="1" a="1"/>
  <c r="O274" i="29" s="1"/>
  <c r="R274" i="29" s="1"/>
  <c r="S274" i="29" s="1"/>
  <c r="G306" i="29"/>
  <c r="C305" i="29" a="1"/>
  <c r="C305" i="29" s="1"/>
  <c r="M305" i="29"/>
  <c r="F305" i="29"/>
  <c r="L306" i="29" a="1"/>
  <c r="L306" i="29" s="1"/>
  <c r="N307" i="29" a="1"/>
  <c r="N307" i="29" s="1"/>
  <c r="Q307" i="29" a="1"/>
  <c r="Q307" i="29" s="1"/>
  <c r="P304" i="29"/>
  <c r="I308" i="29"/>
  <c r="K309" i="29"/>
  <c r="O275" i="29" l="1" a="1"/>
  <c r="O275" i="29" s="1"/>
  <c r="R275" i="29" s="1"/>
  <c r="S275" i="29" s="1"/>
  <c r="F306" i="29"/>
  <c r="M306" i="29"/>
  <c r="C306" i="29" a="1"/>
  <c r="C306" i="29" s="1"/>
  <c r="L307" i="29" a="1"/>
  <c r="L307" i="29" s="1"/>
  <c r="K310" i="29"/>
  <c r="I309" i="29"/>
  <c r="N308" i="29" a="1"/>
  <c r="N308" i="29" s="1"/>
  <c r="Q308" i="29" a="1"/>
  <c r="Q308" i="29" s="1"/>
  <c r="P305" i="29"/>
  <c r="B307" i="29"/>
  <c r="G307" i="29"/>
  <c r="O276" i="29" l="1" a="1"/>
  <c r="O276" i="29" s="1"/>
  <c r="R276" i="29" s="1"/>
  <c r="S276" i="29" s="1"/>
  <c r="C307" i="29" a="1"/>
  <c r="C307" i="29" s="1"/>
  <c r="M307" i="29"/>
  <c r="F307" i="29"/>
  <c r="L308" i="29" a="1"/>
  <c r="L308" i="29" s="1"/>
  <c r="B309" i="29" s="1"/>
  <c r="P306" i="29"/>
  <c r="B308" i="29"/>
  <c r="N309" i="29" a="1"/>
  <c r="N309" i="29" s="1"/>
  <c r="Q309" i="29" a="1"/>
  <c r="Q309" i="29" s="1"/>
  <c r="I310" i="29"/>
  <c r="K311" i="29"/>
  <c r="G308" i="29"/>
  <c r="O277" i="29" l="1" a="1"/>
  <c r="O277" i="29" s="1"/>
  <c r="R277" i="29" s="1"/>
  <c r="S277" i="29" s="1"/>
  <c r="K312" i="29"/>
  <c r="I311" i="29"/>
  <c r="N310" i="29" a="1"/>
  <c r="N310" i="29" s="1"/>
  <c r="Q310" i="29" a="1"/>
  <c r="Q310" i="29" s="1"/>
  <c r="P307" i="29"/>
  <c r="M308" i="29"/>
  <c r="C308" i="29" a="1"/>
  <c r="C308" i="29" s="1"/>
  <c r="F308" i="29"/>
  <c r="L309" i="29" a="1"/>
  <c r="L309" i="29" s="1"/>
  <c r="G309" i="29"/>
  <c r="O278" i="29" l="1" a="1"/>
  <c r="O278" i="29" s="1"/>
  <c r="R278" i="29" s="1"/>
  <c r="S278" i="29" s="1"/>
  <c r="C309" i="29" a="1"/>
  <c r="C309" i="29" s="1"/>
  <c r="M309" i="29"/>
  <c r="F309" i="29"/>
  <c r="L310" i="29" a="1"/>
  <c r="L310" i="29" s="1"/>
  <c r="B311" i="29" s="1"/>
  <c r="G310" i="29"/>
  <c r="B310" i="29"/>
  <c r="N311" i="29" a="1"/>
  <c r="N311" i="29" s="1"/>
  <c r="Q311" i="29" a="1"/>
  <c r="Q311" i="29" s="1"/>
  <c r="P308" i="29"/>
  <c r="I312" i="29"/>
  <c r="K313" i="29"/>
  <c r="O279" i="29" l="1" a="1"/>
  <c r="O279" i="29" s="1"/>
  <c r="R279" i="29" s="1"/>
  <c r="S279" i="29" s="1"/>
  <c r="Q312" i="29" a="1"/>
  <c r="Q312" i="29" s="1"/>
  <c r="N312" i="29" a="1"/>
  <c r="N312" i="29" s="1"/>
  <c r="P309" i="29"/>
  <c r="M310" i="29"/>
  <c r="C310" i="29" a="1"/>
  <c r="C310" i="29" s="1"/>
  <c r="F310" i="29"/>
  <c r="L311" i="29" a="1"/>
  <c r="L311" i="29" s="1"/>
  <c r="B312" i="29" s="1"/>
  <c r="G311" i="29"/>
  <c r="K314" i="29"/>
  <c r="I313" i="29"/>
  <c r="O280" i="29" l="1" a="1"/>
  <c r="O280" i="29" s="1"/>
  <c r="R280" i="29" s="1"/>
  <c r="S280" i="29" s="1"/>
  <c r="N313" i="29" a="1"/>
  <c r="N313" i="29" s="1"/>
  <c r="Q313" i="29" a="1"/>
  <c r="Q313" i="29" s="1"/>
  <c r="I314" i="29"/>
  <c r="K315" i="29"/>
  <c r="G312" i="29"/>
  <c r="C311" i="29" a="1"/>
  <c r="C311" i="29" s="1"/>
  <c r="M311" i="29"/>
  <c r="F311" i="29"/>
  <c r="L312" i="29" a="1"/>
  <c r="L312" i="29" s="1"/>
  <c r="P310" i="29"/>
  <c r="O281" i="29" l="1" a="1"/>
  <c r="O281" i="29" s="1"/>
  <c r="R281" i="29" s="1"/>
  <c r="S281" i="29" s="1"/>
  <c r="Q314" i="29" a="1"/>
  <c r="Q314" i="29" s="1"/>
  <c r="N314" i="29" a="1"/>
  <c r="N314" i="29" s="1"/>
  <c r="C312" i="29" a="1"/>
  <c r="C312" i="29" s="1"/>
  <c r="F312" i="29"/>
  <c r="M312" i="29"/>
  <c r="L313" i="29" a="1"/>
  <c r="L313" i="29" s="1"/>
  <c r="B314" i="29" s="1"/>
  <c r="P311" i="29"/>
  <c r="I315" i="29"/>
  <c r="K316" i="29"/>
  <c r="B313" i="29"/>
  <c r="G313" i="29"/>
  <c r="O282" i="29" l="1" a="1"/>
  <c r="O282" i="29" s="1"/>
  <c r="R282" i="29" s="1"/>
  <c r="S282" i="29" s="1"/>
  <c r="Q315" i="29" a="1"/>
  <c r="Q315" i="29" s="1"/>
  <c r="N315" i="29" a="1"/>
  <c r="N315" i="29" s="1"/>
  <c r="I316" i="29"/>
  <c r="K317" i="29"/>
  <c r="G314" i="29"/>
  <c r="C313" i="29" a="1"/>
  <c r="C313" i="29" s="1"/>
  <c r="M313" i="29"/>
  <c r="F313" i="29"/>
  <c r="L314" i="29" a="1"/>
  <c r="L314" i="29" s="1"/>
  <c r="P312" i="29"/>
  <c r="O283" i="29" l="1" a="1"/>
  <c r="O283" i="29" s="1"/>
  <c r="R283" i="29" s="1"/>
  <c r="S283" i="29" s="1"/>
  <c r="F314" i="29"/>
  <c r="M314" i="29"/>
  <c r="C314" i="29" a="1"/>
  <c r="C314" i="29" s="1"/>
  <c r="L315" i="29" a="1"/>
  <c r="L315" i="29" s="1"/>
  <c r="B316" i="29" s="1"/>
  <c r="P313" i="29"/>
  <c r="K318" i="29"/>
  <c r="I317" i="29"/>
  <c r="N316" i="29" a="1"/>
  <c r="N316" i="29" s="1"/>
  <c r="Q316" i="29" a="1"/>
  <c r="Q316" i="29" s="1"/>
  <c r="B315" i="29"/>
  <c r="G315" i="29"/>
  <c r="O284" i="29" l="1" a="1"/>
  <c r="O284" i="29" s="1"/>
  <c r="R284" i="29" s="1"/>
  <c r="S284" i="29" s="1"/>
  <c r="C315" i="29" a="1"/>
  <c r="C315" i="29" s="1"/>
  <c r="M315" i="29"/>
  <c r="F315" i="29"/>
  <c r="L316" i="29" a="1"/>
  <c r="L316" i="29" s="1"/>
  <c r="P314" i="29"/>
  <c r="G316" i="29"/>
  <c r="N317" i="29" a="1"/>
  <c r="N317" i="29" s="1"/>
  <c r="Q317" i="29" a="1"/>
  <c r="Q317" i="29" s="1"/>
  <c r="I318" i="29"/>
  <c r="K319" i="29"/>
  <c r="O285" i="29" l="1" a="1"/>
  <c r="O285" i="29" s="1"/>
  <c r="R285" i="29" s="1"/>
  <c r="S285" i="29" s="1"/>
  <c r="C316" i="29" a="1"/>
  <c r="C316" i="29" s="1"/>
  <c r="F316" i="29"/>
  <c r="M316" i="29"/>
  <c r="L317" i="29" a="1"/>
  <c r="L317" i="29" s="1"/>
  <c r="B317" i="29"/>
  <c r="I319" i="29"/>
  <c r="K320" i="29"/>
  <c r="N318" i="29" a="1"/>
  <c r="N318" i="29" s="1"/>
  <c r="Q318" i="29" a="1"/>
  <c r="Q318" i="29" s="1"/>
  <c r="G317" i="29"/>
  <c r="P315" i="29"/>
  <c r="O286" i="29" l="1" a="1"/>
  <c r="O286" i="29" s="1"/>
  <c r="R286" i="29" s="1"/>
  <c r="S286" i="29" s="1"/>
  <c r="Q319" i="29" a="1"/>
  <c r="Q319" i="29" s="1"/>
  <c r="N319" i="29" a="1"/>
  <c r="N319" i="29" s="1"/>
  <c r="P316" i="29"/>
  <c r="C317" i="29" a="1"/>
  <c r="C317" i="29" s="1"/>
  <c r="M317" i="29"/>
  <c r="F317" i="29"/>
  <c r="L318" i="29" a="1"/>
  <c r="L318" i="29" s="1"/>
  <c r="B319" i="29" s="1"/>
  <c r="G318" i="29"/>
  <c r="B318" i="29"/>
  <c r="I320" i="29"/>
  <c r="K321" i="29"/>
  <c r="O287" i="29" l="1" a="1"/>
  <c r="O287" i="29" s="1"/>
  <c r="R287" i="29" s="1"/>
  <c r="S287" i="29" s="1"/>
  <c r="Q320" i="29" a="1"/>
  <c r="Q320" i="29" s="1"/>
  <c r="N320" i="29" a="1"/>
  <c r="N320" i="29" s="1"/>
  <c r="G319" i="29"/>
  <c r="M318" i="29"/>
  <c r="C318" i="29" a="1"/>
  <c r="C318" i="29" s="1"/>
  <c r="F318" i="29"/>
  <c r="L319" i="29" a="1"/>
  <c r="L319" i="29" s="1"/>
  <c r="P317" i="29"/>
  <c r="K322" i="29"/>
  <c r="I321" i="29"/>
  <c r="O288" i="29" l="1" a="1"/>
  <c r="O288" i="29" s="1"/>
  <c r="R288" i="29" s="1"/>
  <c r="S288" i="29" s="1"/>
  <c r="C319" i="29" a="1"/>
  <c r="C319" i="29" s="1"/>
  <c r="M319" i="29"/>
  <c r="F319" i="29"/>
  <c r="L320" i="29" a="1"/>
  <c r="L320" i="29" s="1"/>
  <c r="B321" i="29" s="1"/>
  <c r="N321" i="29" a="1"/>
  <c r="N321" i="29" s="1"/>
  <c r="Q321" i="29" a="1"/>
  <c r="Q321" i="29" s="1"/>
  <c r="I322" i="29"/>
  <c r="K323" i="29"/>
  <c r="B320" i="29"/>
  <c r="G320" i="29"/>
  <c r="P318" i="29"/>
  <c r="O289" i="29" l="1" a="1"/>
  <c r="O289" i="29" s="1"/>
  <c r="R289" i="29" s="1"/>
  <c r="S289" i="29" s="1"/>
  <c r="G321" i="29"/>
  <c r="P319" i="29"/>
  <c r="Q322" i="29" a="1"/>
  <c r="Q322" i="29" s="1"/>
  <c r="N322" i="29" a="1"/>
  <c r="N322" i="29" s="1"/>
  <c r="F320" i="29"/>
  <c r="C320" i="29" a="1"/>
  <c r="C320" i="29" s="1"/>
  <c r="M320" i="29"/>
  <c r="L321" i="29" a="1"/>
  <c r="L321" i="29" s="1"/>
  <c r="K324" i="29"/>
  <c r="I323" i="29"/>
  <c r="O290" i="29" l="1" a="1"/>
  <c r="O290" i="29" s="1"/>
  <c r="R290" i="29" s="1"/>
  <c r="S290" i="29" s="1"/>
  <c r="N323" i="29" a="1"/>
  <c r="N323" i="29" s="1"/>
  <c r="Q323" i="29" a="1"/>
  <c r="Q323" i="29" s="1"/>
  <c r="I324" i="29"/>
  <c r="K325" i="29"/>
  <c r="G322" i="29"/>
  <c r="P320" i="29"/>
  <c r="C321" i="29" a="1"/>
  <c r="C321" i="29" s="1"/>
  <c r="M321" i="29"/>
  <c r="F321" i="29"/>
  <c r="L322" i="29" a="1"/>
  <c r="L322" i="29" s="1"/>
  <c r="B322" i="29"/>
  <c r="O291" i="29" l="1" a="1"/>
  <c r="O291" i="29" s="1"/>
  <c r="R291" i="29" s="1"/>
  <c r="S291" i="29" s="1"/>
  <c r="C322" i="29" a="1"/>
  <c r="C322" i="29" s="1"/>
  <c r="F322" i="29"/>
  <c r="M322" i="29"/>
  <c r="L323" i="29" a="1"/>
  <c r="L323" i="29" s="1"/>
  <c r="Q324" i="29" a="1"/>
  <c r="Q324" i="29" s="1"/>
  <c r="N324" i="29" a="1"/>
  <c r="N324" i="29" s="1"/>
  <c r="K326" i="29"/>
  <c r="I325" i="29"/>
  <c r="P321" i="29"/>
  <c r="G323" i="29"/>
  <c r="B323" i="29"/>
  <c r="O292" i="29" l="1" a="1"/>
  <c r="O292" i="29" s="1"/>
  <c r="R292" i="29" s="1"/>
  <c r="S292" i="29" s="1"/>
  <c r="G324" i="29"/>
  <c r="I326" i="29"/>
  <c r="K327" i="29"/>
  <c r="C323" i="29" a="1"/>
  <c r="C323" i="29" s="1"/>
  <c r="M323" i="29"/>
  <c r="F323" i="29"/>
  <c r="L324" i="29" a="1"/>
  <c r="L324" i="29" s="1"/>
  <c r="B325" i="29" s="1"/>
  <c r="P322" i="29"/>
  <c r="N325" i="29" a="1"/>
  <c r="N325" i="29" s="1"/>
  <c r="Q325" i="29" a="1"/>
  <c r="Q325" i="29" s="1"/>
  <c r="B324" i="29"/>
  <c r="O293" i="29" l="1" a="1"/>
  <c r="O293" i="29" s="1"/>
  <c r="R293" i="29" s="1"/>
  <c r="S293" i="29" s="1"/>
  <c r="G325" i="29"/>
  <c r="K328" i="29"/>
  <c r="I327" i="29"/>
  <c r="Q326" i="29" a="1"/>
  <c r="Q326" i="29" s="1"/>
  <c r="N326" i="29" a="1"/>
  <c r="N326" i="29" s="1"/>
  <c r="P323" i="29"/>
  <c r="F324" i="29"/>
  <c r="M324" i="29"/>
  <c r="C324" i="29" a="1"/>
  <c r="C324" i="29" s="1"/>
  <c r="L325" i="29" a="1"/>
  <c r="L325" i="29" s="1"/>
  <c r="O294" i="29" l="1" a="1"/>
  <c r="O294" i="29" s="1"/>
  <c r="R294" i="29" s="1"/>
  <c r="S294" i="29" s="1"/>
  <c r="C325" i="29" a="1"/>
  <c r="C325" i="29" s="1"/>
  <c r="M325" i="29"/>
  <c r="F325" i="29"/>
  <c r="L326" i="29" a="1"/>
  <c r="L326" i="29" s="1"/>
  <c r="G326" i="29"/>
  <c r="P324" i="29"/>
  <c r="N327" i="29" a="1"/>
  <c r="N327" i="29" s="1"/>
  <c r="Q327" i="29" a="1"/>
  <c r="Q327" i="29" s="1"/>
  <c r="I328" i="29"/>
  <c r="K329" i="29"/>
  <c r="B326" i="29"/>
  <c r="O295" i="29" l="1" a="1"/>
  <c r="O295" i="29" s="1"/>
  <c r="R295" i="29" s="1"/>
  <c r="S295" i="29" s="1"/>
  <c r="Q328" i="29" a="1"/>
  <c r="Q328" i="29" s="1"/>
  <c r="N328" i="29" a="1"/>
  <c r="N328" i="29" s="1"/>
  <c r="C326" i="29" a="1"/>
  <c r="C326" i="29" s="1"/>
  <c r="F326" i="29"/>
  <c r="M326" i="29"/>
  <c r="L327" i="29" a="1"/>
  <c r="L327" i="29" s="1"/>
  <c r="B328" i="29" s="1"/>
  <c r="P325" i="29"/>
  <c r="B327" i="29"/>
  <c r="K330" i="29"/>
  <c r="I329" i="29"/>
  <c r="G327" i="29"/>
  <c r="O296" i="29" l="1" a="1"/>
  <c r="O296" i="29" s="1"/>
  <c r="R296" i="29" s="1"/>
  <c r="S296" i="29" s="1"/>
  <c r="I330" i="29"/>
  <c r="K331" i="29"/>
  <c r="G328" i="29"/>
  <c r="N329" i="29" a="1"/>
  <c r="N329" i="29" s="1"/>
  <c r="Q329" i="29" a="1"/>
  <c r="Q329" i="29" s="1"/>
  <c r="C327" i="29" a="1"/>
  <c r="C327" i="29" s="1"/>
  <c r="M327" i="29"/>
  <c r="F327" i="29"/>
  <c r="L328" i="29" a="1"/>
  <c r="L328" i="29" s="1"/>
  <c r="B329" i="29" s="1"/>
  <c r="P326" i="29"/>
  <c r="O297" i="29" l="1" a="1"/>
  <c r="O297" i="29" s="1"/>
  <c r="R297" i="29" s="1"/>
  <c r="S297" i="29" s="1"/>
  <c r="G329" i="29"/>
  <c r="P327" i="29"/>
  <c r="K332" i="29"/>
  <c r="I331" i="29"/>
  <c r="F328" i="29"/>
  <c r="M328" i="29"/>
  <c r="C328" i="29" a="1"/>
  <c r="C328" i="29" s="1"/>
  <c r="L329" i="29" a="1"/>
  <c r="L329" i="29" s="1"/>
  <c r="B330" i="29" s="1"/>
  <c r="Q330" i="29" a="1"/>
  <c r="Q330" i="29" s="1"/>
  <c r="N330" i="29" a="1"/>
  <c r="N330" i="29" s="1"/>
  <c r="O298" i="29" l="1" a="1"/>
  <c r="O298" i="29" s="1"/>
  <c r="R298" i="29" s="1"/>
  <c r="S298" i="29" s="1"/>
  <c r="N331" i="29" a="1"/>
  <c r="N331" i="29" s="1"/>
  <c r="Q331" i="29" a="1"/>
  <c r="Q331" i="29" s="1"/>
  <c r="I332" i="29"/>
  <c r="K333" i="29"/>
  <c r="G330" i="29"/>
  <c r="C329" i="29" a="1"/>
  <c r="C329" i="29" s="1"/>
  <c r="M329" i="29"/>
  <c r="F329" i="29"/>
  <c r="L330" i="29" a="1"/>
  <c r="L330" i="29" s="1"/>
  <c r="P328" i="29"/>
  <c r="O299" i="29" l="1" a="1"/>
  <c r="O299" i="29" s="1"/>
  <c r="R299" i="29" s="1"/>
  <c r="S299" i="29" s="1"/>
  <c r="C330" i="29" a="1"/>
  <c r="C330" i="29" s="1"/>
  <c r="F330" i="29"/>
  <c r="M330" i="29"/>
  <c r="L331" i="29" a="1"/>
  <c r="L331" i="29" s="1"/>
  <c r="B332" i="29" s="1"/>
  <c r="G331" i="29"/>
  <c r="K334" i="29"/>
  <c r="I333" i="29"/>
  <c r="Q332" i="29" a="1"/>
  <c r="Q332" i="29" s="1"/>
  <c r="N332" i="29" a="1"/>
  <c r="N332" i="29" s="1"/>
  <c r="P329" i="29"/>
  <c r="B331" i="29"/>
  <c r="O300" i="29" l="1" a="1"/>
  <c r="O300" i="29" s="1"/>
  <c r="R300" i="29" s="1"/>
  <c r="S300" i="29" s="1"/>
  <c r="C331" i="29" a="1"/>
  <c r="C331" i="29" s="1"/>
  <c r="M331" i="29"/>
  <c r="F331" i="29"/>
  <c r="L332" i="29" a="1"/>
  <c r="L332" i="29" s="1"/>
  <c r="P330" i="29"/>
  <c r="G332" i="29"/>
  <c r="N333" i="29" a="1"/>
  <c r="N333" i="29" s="1"/>
  <c r="Q333" i="29" a="1"/>
  <c r="Q333" i="29" s="1"/>
  <c r="I334" i="29"/>
  <c r="K335" i="29"/>
  <c r="O301" i="29" l="1" a="1"/>
  <c r="O301" i="29" s="1"/>
  <c r="R301" i="29" s="1"/>
  <c r="S301" i="29" s="1"/>
  <c r="K336" i="29"/>
  <c r="I335" i="29"/>
  <c r="Q334" i="29" a="1"/>
  <c r="Q334" i="29" s="1"/>
  <c r="N334" i="29" a="1"/>
  <c r="N334" i="29" s="1"/>
  <c r="P331" i="29"/>
  <c r="F332" i="29"/>
  <c r="M332" i="29"/>
  <c r="C332" i="29" a="1"/>
  <c r="C332" i="29" s="1"/>
  <c r="L333" i="29" a="1"/>
  <c r="L333" i="29" s="1"/>
  <c r="B334" i="29" s="1"/>
  <c r="G333" i="29"/>
  <c r="B333" i="29"/>
  <c r="O302" i="29" l="1" a="1"/>
  <c r="O302" i="29" s="1"/>
  <c r="R302" i="29" s="1"/>
  <c r="S302" i="29" s="1"/>
  <c r="C333" i="29" a="1"/>
  <c r="C333" i="29" s="1"/>
  <c r="M333" i="29"/>
  <c r="F333" i="29"/>
  <c r="L334" i="29" a="1"/>
  <c r="L334" i="29" s="1"/>
  <c r="B335" i="29" s="1"/>
  <c r="G334" i="29"/>
  <c r="P332" i="29"/>
  <c r="N335" i="29" a="1"/>
  <c r="N335" i="29" s="1"/>
  <c r="Q335" i="29" a="1"/>
  <c r="Q335" i="29" s="1"/>
  <c r="I336" i="29"/>
  <c r="K337" i="29"/>
  <c r="O303" i="29" l="1" a="1"/>
  <c r="O303" i="29" s="1"/>
  <c r="R303" i="29" s="1"/>
  <c r="S303" i="29" s="1"/>
  <c r="K338" i="29"/>
  <c r="I337" i="29"/>
  <c r="Q336" i="29" a="1"/>
  <c r="Q336" i="29" s="1"/>
  <c r="N336" i="29" a="1"/>
  <c r="N336" i="29" s="1"/>
  <c r="G335" i="29"/>
  <c r="C334" i="29" a="1"/>
  <c r="C334" i="29" s="1"/>
  <c r="F334" i="29"/>
  <c r="M334" i="29"/>
  <c r="L335" i="29" a="1"/>
  <c r="L335" i="29" s="1"/>
  <c r="B336" i="29" s="1"/>
  <c r="P333" i="29"/>
  <c r="O304" i="29" l="1" a="1"/>
  <c r="O304" i="29" s="1"/>
  <c r="R304" i="29" s="1"/>
  <c r="S304" i="29" s="1"/>
  <c r="P334" i="29"/>
  <c r="N337" i="29" a="1"/>
  <c r="N337" i="29" s="1"/>
  <c r="Q337" i="29" a="1"/>
  <c r="Q337" i="29" s="1"/>
  <c r="C335" i="29" a="1"/>
  <c r="C335" i="29" s="1"/>
  <c r="M335" i="29"/>
  <c r="F335" i="29"/>
  <c r="L336" i="29" a="1"/>
  <c r="L336" i="29" s="1"/>
  <c r="B337" i="29" s="1"/>
  <c r="G336" i="29"/>
  <c r="I338" i="29"/>
  <c r="K339" i="29"/>
  <c r="O305" i="29" l="1" a="1"/>
  <c r="O305" i="29" s="1"/>
  <c r="R305" i="29" s="1"/>
  <c r="S305" i="29" s="1"/>
  <c r="Q338" i="29" a="1"/>
  <c r="Q338" i="29" s="1"/>
  <c r="N338" i="29" a="1"/>
  <c r="N338" i="29" s="1"/>
  <c r="I339" i="29"/>
  <c r="K340" i="29"/>
  <c r="G337" i="29"/>
  <c r="F336" i="29"/>
  <c r="M336" i="29"/>
  <c r="C336" i="29" a="1"/>
  <c r="C336" i="29" s="1"/>
  <c r="L337" i="29" a="1"/>
  <c r="L337" i="29" s="1"/>
  <c r="B338" i="29" s="1"/>
  <c r="P335" i="29"/>
  <c r="O306" i="29" l="1" a="1"/>
  <c r="O306" i="29" s="1"/>
  <c r="R306" i="29" s="1"/>
  <c r="S306" i="29" s="1"/>
  <c r="I340" i="29"/>
  <c r="K341" i="29"/>
  <c r="Q339" i="29" a="1"/>
  <c r="Q339" i="29" s="1"/>
  <c r="N339" i="29" a="1"/>
  <c r="N339" i="29" s="1"/>
  <c r="G338" i="29"/>
  <c r="C337" i="29" a="1"/>
  <c r="C337" i="29" s="1"/>
  <c r="M337" i="29"/>
  <c r="F337" i="29"/>
  <c r="L338" i="29" a="1"/>
  <c r="L338" i="29" s="1"/>
  <c r="P336" i="29"/>
  <c r="O307" i="29" l="1" a="1"/>
  <c r="O307" i="29" s="1"/>
  <c r="R307" i="29" s="1"/>
  <c r="S307" i="29" s="1"/>
  <c r="F338" i="29"/>
  <c r="M338" i="29"/>
  <c r="C338" i="29" a="1"/>
  <c r="C338" i="29" s="1"/>
  <c r="L339" i="29" a="1"/>
  <c r="L339" i="29" s="1"/>
  <c r="B340" i="29" s="1"/>
  <c r="B339" i="29"/>
  <c r="K342" i="29"/>
  <c r="I341" i="29"/>
  <c r="G339" i="29"/>
  <c r="P337" i="29"/>
  <c r="N340" i="29" a="1"/>
  <c r="N340" i="29" s="1"/>
  <c r="Q340" i="29" a="1"/>
  <c r="Q340" i="29" s="1"/>
  <c r="O308" i="29" l="1" a="1"/>
  <c r="O308" i="29" s="1"/>
  <c r="R308" i="29" s="1"/>
  <c r="S308" i="29" s="1"/>
  <c r="C339" i="29" a="1"/>
  <c r="C339" i="29" s="1"/>
  <c r="M339" i="29"/>
  <c r="F339" i="29"/>
  <c r="L340" i="29" a="1"/>
  <c r="L340" i="29" s="1"/>
  <c r="P338" i="29"/>
  <c r="G340" i="29"/>
  <c r="I342" i="29"/>
  <c r="K343" i="29"/>
  <c r="N341" i="29" a="1"/>
  <c r="N341" i="29" s="1"/>
  <c r="Q341" i="29" a="1"/>
  <c r="Q341" i="29" s="1"/>
  <c r="O309" i="29" l="1" a="1"/>
  <c r="O309" i="29" s="1"/>
  <c r="R309" i="29" s="1"/>
  <c r="S309" i="29" s="1"/>
  <c r="G341" i="29"/>
  <c r="N342" i="29" a="1"/>
  <c r="N342" i="29" s="1"/>
  <c r="Q342" i="29" a="1"/>
  <c r="Q342" i="29" s="1"/>
  <c r="M340" i="29"/>
  <c r="C340" i="29" a="1"/>
  <c r="C340" i="29" s="1"/>
  <c r="F340" i="29"/>
  <c r="L341" i="29" a="1"/>
  <c r="L341" i="29" s="1"/>
  <c r="B341" i="29"/>
  <c r="K344" i="29"/>
  <c r="I343" i="29"/>
  <c r="P339" i="29"/>
  <c r="O310" i="29" l="1" a="1"/>
  <c r="O310" i="29" s="1"/>
  <c r="R310" i="29" s="1"/>
  <c r="S310" i="29" s="1"/>
  <c r="C341" i="29" a="1"/>
  <c r="C341" i="29" s="1"/>
  <c r="M341" i="29"/>
  <c r="F341" i="29"/>
  <c r="L342" i="29" a="1"/>
  <c r="L342" i="29" s="1"/>
  <c r="B343" i="29" s="1"/>
  <c r="Q343" i="29" a="1"/>
  <c r="Q343" i="29" s="1"/>
  <c r="N343" i="29" a="1"/>
  <c r="N343" i="29" s="1"/>
  <c r="I344" i="29"/>
  <c r="K345" i="29"/>
  <c r="G342" i="29"/>
  <c r="B342" i="29"/>
  <c r="P340" i="29"/>
  <c r="O311" i="29" l="1" a="1"/>
  <c r="O311" i="29" s="1"/>
  <c r="R311" i="29" s="1"/>
  <c r="S311" i="29" s="1"/>
  <c r="P341" i="29"/>
  <c r="Q344" i="29" a="1"/>
  <c r="Q344" i="29" s="1"/>
  <c r="N344" i="29" a="1"/>
  <c r="N344" i="29" s="1"/>
  <c r="M342" i="29"/>
  <c r="C342" i="29" a="1"/>
  <c r="C342" i="29" s="1"/>
  <c r="F342" i="29"/>
  <c r="L343" i="29" a="1"/>
  <c r="L343" i="29" s="1"/>
  <c r="K346" i="29"/>
  <c r="I345" i="29"/>
  <c r="G343" i="29"/>
  <c r="O312" i="29" l="1" a="1"/>
  <c r="O312" i="29" s="1"/>
  <c r="R312" i="29" s="1"/>
  <c r="S312" i="29" s="1"/>
  <c r="C343" i="29" a="1"/>
  <c r="C343" i="29" s="1"/>
  <c r="M343" i="29"/>
  <c r="F343" i="29"/>
  <c r="L344" i="29" a="1"/>
  <c r="L344" i="29" s="1"/>
  <c r="G344" i="29"/>
  <c r="B344" i="29"/>
  <c r="Q345" i="29" a="1"/>
  <c r="Q345" i="29" s="1"/>
  <c r="N345" i="29" a="1"/>
  <c r="N345" i="29" s="1"/>
  <c r="I346" i="29"/>
  <c r="K347" i="29"/>
  <c r="P342" i="29"/>
  <c r="O313" i="29" l="1" a="1"/>
  <c r="O313" i="29" s="1"/>
  <c r="R313" i="29" s="1"/>
  <c r="S313" i="29" s="1"/>
  <c r="Q346" i="29" a="1"/>
  <c r="Q346" i="29" s="1"/>
  <c r="N346" i="29" a="1"/>
  <c r="N346" i="29" s="1"/>
  <c r="C344" i="29" a="1"/>
  <c r="C344" i="29" s="1"/>
  <c r="F344" i="29"/>
  <c r="M344" i="29"/>
  <c r="L345" i="29" a="1"/>
  <c r="L345" i="29" s="1"/>
  <c r="B346" i="29" s="1"/>
  <c r="I347" i="29"/>
  <c r="K348" i="29"/>
  <c r="G345" i="29"/>
  <c r="P343" i="29"/>
  <c r="B345" i="29"/>
  <c r="O314" i="29" l="1" a="1"/>
  <c r="O314" i="29" s="1"/>
  <c r="R314" i="29" s="1"/>
  <c r="S314" i="29" s="1"/>
  <c r="G346" i="29"/>
  <c r="I348" i="29"/>
  <c r="K349" i="29"/>
  <c r="Q347" i="29" a="1"/>
  <c r="Q347" i="29" s="1"/>
  <c r="N347" i="29" a="1"/>
  <c r="N347" i="29" s="1"/>
  <c r="C345" i="29" a="1"/>
  <c r="C345" i="29" s="1"/>
  <c r="M345" i="29"/>
  <c r="F345" i="29"/>
  <c r="L346" i="29" a="1"/>
  <c r="L346" i="29" s="1"/>
  <c r="B347" i="29" s="1"/>
  <c r="P344" i="29"/>
  <c r="O315" i="29" l="1" a="1"/>
  <c r="O315" i="29" s="1"/>
  <c r="R315" i="29" s="1"/>
  <c r="S315" i="29" s="1"/>
  <c r="P345" i="29"/>
  <c r="F346" i="29"/>
  <c r="M346" i="29"/>
  <c r="C346" i="29" a="1"/>
  <c r="C346" i="29" s="1"/>
  <c r="L347" i="29" a="1"/>
  <c r="L347" i="29" s="1"/>
  <c r="K350" i="29"/>
  <c r="I349" i="29"/>
  <c r="N348" i="29" a="1"/>
  <c r="N348" i="29" s="1"/>
  <c r="Q348" i="29" a="1"/>
  <c r="Q348" i="29" s="1"/>
  <c r="G347" i="29"/>
  <c r="O316" i="29" l="1" a="1"/>
  <c r="O316" i="29" s="1"/>
  <c r="R316" i="29" s="1"/>
  <c r="S316" i="29" s="1"/>
  <c r="C347" i="29" a="1"/>
  <c r="C347" i="29" s="1"/>
  <c r="M347" i="29"/>
  <c r="F347" i="29"/>
  <c r="L348" i="29" a="1"/>
  <c r="L348" i="29" s="1"/>
  <c r="P346" i="29"/>
  <c r="G348" i="29"/>
  <c r="B348" i="29"/>
  <c r="N349" i="29" a="1"/>
  <c r="N349" i="29" s="1"/>
  <c r="Q349" i="29" a="1"/>
  <c r="Q349" i="29" s="1"/>
  <c r="I350" i="29"/>
  <c r="K351" i="29"/>
  <c r="O317" i="29" l="1" a="1"/>
  <c r="O317" i="29" s="1"/>
  <c r="R317" i="29" s="1"/>
  <c r="S317" i="29" s="1"/>
  <c r="M348" i="29"/>
  <c r="C348" i="29" a="1"/>
  <c r="C348" i="29" s="1"/>
  <c r="F348" i="29"/>
  <c r="L349" i="29" a="1"/>
  <c r="L349" i="29" s="1"/>
  <c r="B350" i="29" s="1"/>
  <c r="N350" i="29" a="1"/>
  <c r="N350" i="29" s="1"/>
  <c r="Q350" i="29" a="1"/>
  <c r="Q350" i="29" s="1"/>
  <c r="G349" i="29"/>
  <c r="B349" i="29"/>
  <c r="P347" i="29"/>
  <c r="K352" i="29"/>
  <c r="I351" i="29"/>
  <c r="O318" i="29" l="1" a="1"/>
  <c r="O318" i="29" s="1"/>
  <c r="R318" i="29" s="1"/>
  <c r="S318" i="29" s="1"/>
  <c r="I352" i="29"/>
  <c r="K353" i="29"/>
  <c r="G350" i="29"/>
  <c r="C349" i="29" a="1"/>
  <c r="C349" i="29" s="1"/>
  <c r="M349" i="29"/>
  <c r="F349" i="29"/>
  <c r="L350" i="29" a="1"/>
  <c r="L350" i="29" s="1"/>
  <c r="B351" i="29" s="1"/>
  <c r="P348" i="29"/>
  <c r="Q351" i="29" a="1"/>
  <c r="Q351" i="29" s="1"/>
  <c r="N351" i="29" a="1"/>
  <c r="N351" i="29" s="1"/>
  <c r="O319" i="29" l="1" a="1"/>
  <c r="O319" i="29" s="1"/>
  <c r="R319" i="29" s="1"/>
  <c r="S319" i="29" s="1"/>
  <c r="P349" i="29"/>
  <c r="K354" i="29"/>
  <c r="I353" i="29"/>
  <c r="Q352" i="29" a="1"/>
  <c r="Q352" i="29" s="1"/>
  <c r="N352" i="29" a="1"/>
  <c r="N352" i="29" s="1"/>
  <c r="G351" i="29"/>
  <c r="M350" i="29"/>
  <c r="C350" i="29" a="1"/>
  <c r="C350" i="29" s="1"/>
  <c r="F350" i="29"/>
  <c r="L351" i="29" a="1"/>
  <c r="L351" i="29" s="1"/>
  <c r="O320" i="29" l="1" a="1"/>
  <c r="O320" i="29" s="1"/>
  <c r="R320" i="29" s="1"/>
  <c r="S320" i="29" s="1"/>
  <c r="Q353" i="29" a="1"/>
  <c r="Q353" i="29" s="1"/>
  <c r="N353" i="29" a="1"/>
  <c r="N353" i="29" s="1"/>
  <c r="C351" i="29" a="1"/>
  <c r="C351" i="29" s="1"/>
  <c r="M351" i="29"/>
  <c r="F351" i="29"/>
  <c r="L352" i="29" a="1"/>
  <c r="L352" i="29" s="1"/>
  <c r="B353" i="29" s="1"/>
  <c r="P350" i="29"/>
  <c r="I354" i="29"/>
  <c r="K355" i="29"/>
  <c r="G352" i="29"/>
  <c r="B352" i="29"/>
  <c r="O321" i="29" l="1" a="1"/>
  <c r="O321" i="29" s="1"/>
  <c r="R321" i="29" s="1"/>
  <c r="S321" i="29" s="1"/>
  <c r="G353" i="29"/>
  <c r="P351" i="29"/>
  <c r="I355" i="29"/>
  <c r="K356" i="29"/>
  <c r="Q354" i="29" a="1"/>
  <c r="Q354" i="29" s="1"/>
  <c r="N354" i="29" a="1"/>
  <c r="N354" i="29" s="1"/>
  <c r="C352" i="29" a="1"/>
  <c r="C352" i="29" s="1"/>
  <c r="F352" i="29"/>
  <c r="M352" i="29"/>
  <c r="L353" i="29" a="1"/>
  <c r="L353" i="29" s="1"/>
  <c r="O322" i="29" l="1" a="1"/>
  <c r="O322" i="29" s="1"/>
  <c r="R322" i="29" s="1"/>
  <c r="S322" i="29" s="1"/>
  <c r="I356" i="29"/>
  <c r="K357" i="29"/>
  <c r="P352" i="29"/>
  <c r="Q355" i="29" a="1"/>
  <c r="Q355" i="29" s="1"/>
  <c r="N355" i="29" a="1"/>
  <c r="N355" i="29" s="1"/>
  <c r="C353" i="29" a="1"/>
  <c r="C353" i="29" s="1"/>
  <c r="M353" i="29"/>
  <c r="F353" i="29"/>
  <c r="L354" i="29" a="1"/>
  <c r="L354" i="29" s="1"/>
  <c r="B355" i="29" s="1"/>
  <c r="G354" i="29"/>
  <c r="B354" i="29"/>
  <c r="O323" i="29" l="1" a="1"/>
  <c r="O323" i="29" s="1"/>
  <c r="R323" i="29" s="1"/>
  <c r="S323" i="29" s="1"/>
  <c r="P353" i="29"/>
  <c r="K358" i="29"/>
  <c r="I357" i="29"/>
  <c r="F354" i="29"/>
  <c r="M354" i="29"/>
  <c r="C354" i="29" a="1"/>
  <c r="C354" i="29" s="1"/>
  <c r="L355" i="29" a="1"/>
  <c r="L355" i="29" s="1"/>
  <c r="N356" i="29" a="1"/>
  <c r="N356" i="29" s="1"/>
  <c r="Q356" i="29" a="1"/>
  <c r="Q356" i="29" s="1"/>
  <c r="G355" i="29"/>
  <c r="O324" i="29" l="1" a="1"/>
  <c r="O324" i="29" s="1"/>
  <c r="R324" i="29" s="1"/>
  <c r="S324" i="29" s="1"/>
  <c r="C355" i="29" a="1"/>
  <c r="C355" i="29" s="1"/>
  <c r="M355" i="29"/>
  <c r="F355" i="29"/>
  <c r="L356" i="29" a="1"/>
  <c r="L356" i="29" s="1"/>
  <c r="P354" i="29"/>
  <c r="N357" i="29" a="1"/>
  <c r="N357" i="29" s="1"/>
  <c r="Q357" i="29" a="1"/>
  <c r="Q357" i="29" s="1"/>
  <c r="G356" i="29"/>
  <c r="I358" i="29"/>
  <c r="K359" i="29"/>
  <c r="B356" i="29"/>
  <c r="O325" i="29" l="1" a="1"/>
  <c r="O325" i="29" s="1"/>
  <c r="R325" i="29" s="1"/>
  <c r="S325" i="29" s="1"/>
  <c r="N358" i="29" a="1"/>
  <c r="N358" i="29" s="1"/>
  <c r="Q358" i="29" a="1"/>
  <c r="Q358" i="29" s="1"/>
  <c r="K360" i="29"/>
  <c r="I359" i="29"/>
  <c r="M356" i="29"/>
  <c r="C356" i="29" a="1"/>
  <c r="C356" i="29" s="1"/>
  <c r="F356" i="29"/>
  <c r="L357" i="29" a="1"/>
  <c r="L357" i="29" s="1"/>
  <c r="P355" i="29"/>
  <c r="G357" i="29"/>
  <c r="B357" i="29"/>
  <c r="O326" i="29" l="1" a="1"/>
  <c r="O326" i="29" s="1"/>
  <c r="R326" i="29" s="1"/>
  <c r="S326" i="29" s="1"/>
  <c r="C357" i="29" a="1"/>
  <c r="C357" i="29" s="1"/>
  <c r="M357" i="29"/>
  <c r="F357" i="29"/>
  <c r="L358" i="29" a="1"/>
  <c r="L358" i="29" s="1"/>
  <c r="B359" i="29" s="1"/>
  <c r="B358" i="29"/>
  <c r="Q359" i="29" a="1"/>
  <c r="Q359" i="29" s="1"/>
  <c r="N359" i="29" a="1"/>
  <c r="N359" i="29" s="1"/>
  <c r="I360" i="29"/>
  <c r="K361" i="29"/>
  <c r="G358" i="29"/>
  <c r="P356" i="29"/>
  <c r="O327" i="29" l="1" a="1"/>
  <c r="O327" i="29" s="1"/>
  <c r="R327" i="29" s="1"/>
  <c r="S327" i="29" s="1"/>
  <c r="I361" i="29"/>
  <c r="K362" i="29"/>
  <c r="G359" i="29"/>
  <c r="M358" i="29"/>
  <c r="C358" i="29" a="1"/>
  <c r="C358" i="29" s="1"/>
  <c r="F358" i="29"/>
  <c r="L359" i="29" a="1"/>
  <c r="L359" i="29" s="1"/>
  <c r="B360" i="29" s="1"/>
  <c r="Q360" i="29" a="1"/>
  <c r="Q360" i="29" s="1"/>
  <c r="N360" i="29" a="1"/>
  <c r="N360" i="29" s="1"/>
  <c r="P357" i="29"/>
  <c r="O328" i="29" l="1" a="1"/>
  <c r="O328" i="29" s="1"/>
  <c r="R328" i="29" s="1"/>
  <c r="S328" i="29" s="1"/>
  <c r="P358" i="29"/>
  <c r="I362" i="29"/>
  <c r="K363" i="29"/>
  <c r="Q361" i="29" a="1"/>
  <c r="Q361" i="29" s="1"/>
  <c r="N361" i="29" a="1"/>
  <c r="N361" i="29" s="1"/>
  <c r="G360" i="29"/>
  <c r="C359" i="29" a="1"/>
  <c r="C359" i="29" s="1"/>
  <c r="M359" i="29"/>
  <c r="F359" i="29"/>
  <c r="L360" i="29" a="1"/>
  <c r="L360" i="29" s="1"/>
  <c r="O329" i="29" l="1" a="1"/>
  <c r="O329" i="29" s="1"/>
  <c r="R329" i="29" s="1"/>
  <c r="S329" i="29" s="1"/>
  <c r="C360" i="29" a="1"/>
  <c r="C360" i="29" s="1"/>
  <c r="F360" i="29"/>
  <c r="M360" i="29"/>
  <c r="L361" i="29" a="1"/>
  <c r="L361" i="29" s="1"/>
  <c r="B361" i="29"/>
  <c r="P359" i="29"/>
  <c r="I363" i="29"/>
  <c r="K364" i="29"/>
  <c r="Q362" i="29" a="1"/>
  <c r="Q362" i="29" s="1"/>
  <c r="N362" i="29" a="1"/>
  <c r="N362" i="29" s="1"/>
  <c r="G361" i="29"/>
  <c r="O330" i="29" l="1" a="1"/>
  <c r="O330" i="29" s="1"/>
  <c r="R330" i="29" s="1"/>
  <c r="S330" i="29" s="1"/>
  <c r="C361" i="29" a="1"/>
  <c r="C361" i="29" s="1"/>
  <c r="M361" i="29"/>
  <c r="F361" i="29"/>
  <c r="L362" i="29" a="1"/>
  <c r="L362" i="29" s="1"/>
  <c r="P360" i="29"/>
  <c r="K365" i="29"/>
  <c r="I364" i="29"/>
  <c r="B362" i="29"/>
  <c r="G362" i="29"/>
  <c r="N363" i="29" a="1"/>
  <c r="N363" i="29" s="1"/>
  <c r="Q363" i="29" a="1"/>
  <c r="Q363" i="29" s="1"/>
  <c r="O331" i="29" l="1" a="1"/>
  <c r="O331" i="29" s="1"/>
  <c r="R331" i="29" s="1"/>
  <c r="S331" i="29" s="1"/>
  <c r="F362" i="29"/>
  <c r="C362" i="29" a="1"/>
  <c r="C362" i="29" s="1"/>
  <c r="M362" i="29"/>
  <c r="L363" i="29" a="1"/>
  <c r="L363" i="29" s="1"/>
  <c r="B364" i="29" s="1"/>
  <c r="G363" i="29"/>
  <c r="B363" i="29"/>
  <c r="P361" i="29"/>
  <c r="N364" i="29" a="1"/>
  <c r="N364" i="29" s="1"/>
  <c r="Q364" i="29" a="1"/>
  <c r="Q364" i="29" s="1"/>
  <c r="I365" i="29"/>
  <c r="K366" i="29"/>
  <c r="O332" i="29" l="1" a="1"/>
  <c r="O332" i="29" s="1"/>
  <c r="R332" i="29" s="1"/>
  <c r="S332" i="29" s="1"/>
  <c r="Q365" i="29" a="1"/>
  <c r="Q365" i="29" s="1"/>
  <c r="N365" i="29" a="1"/>
  <c r="N365" i="29" s="1"/>
  <c r="G364" i="29"/>
  <c r="P362" i="29"/>
  <c r="C363" i="29" a="1"/>
  <c r="C363" i="29" s="1"/>
  <c r="F363" i="29"/>
  <c r="M363" i="29"/>
  <c r="L364" i="29" a="1"/>
  <c r="L364" i="29" s="1"/>
  <c r="K367" i="29"/>
  <c r="I366" i="29"/>
  <c r="O333" i="29" l="1" a="1"/>
  <c r="O333" i="29" s="1"/>
  <c r="R333" i="29" s="1"/>
  <c r="S333" i="29" s="1"/>
  <c r="M364" i="29"/>
  <c r="C364" i="29" a="1"/>
  <c r="C364" i="29" s="1"/>
  <c r="F364" i="29"/>
  <c r="L365" i="29" a="1"/>
  <c r="L365" i="29" s="1"/>
  <c r="N366" i="29" a="1"/>
  <c r="N366" i="29" s="1"/>
  <c r="Q366" i="29" a="1"/>
  <c r="Q366" i="29" s="1"/>
  <c r="I367" i="29"/>
  <c r="K368" i="29"/>
  <c r="P363" i="29"/>
  <c r="G365" i="29"/>
  <c r="B365" i="29"/>
  <c r="O334" i="29" l="1" a="1"/>
  <c r="O334" i="29" s="1"/>
  <c r="R334" i="29" s="1"/>
  <c r="S334" i="29" s="1"/>
  <c r="C365" i="29" a="1"/>
  <c r="C365" i="29" s="1"/>
  <c r="M365" i="29"/>
  <c r="F365" i="29"/>
  <c r="L366" i="29" a="1"/>
  <c r="L366" i="29" s="1"/>
  <c r="B366" i="29"/>
  <c r="K369" i="29"/>
  <c r="I368" i="29"/>
  <c r="Q367" i="29" a="1"/>
  <c r="Q367" i="29" s="1"/>
  <c r="N367" i="29" a="1"/>
  <c r="N367" i="29" s="1"/>
  <c r="G366" i="29"/>
  <c r="P364" i="29"/>
  <c r="O335" i="29" l="1" a="1"/>
  <c r="O335" i="29" s="1"/>
  <c r="R335" i="29" s="1"/>
  <c r="S335" i="29" s="1"/>
  <c r="C366" i="29" a="1"/>
  <c r="C366" i="29" s="1"/>
  <c r="M366" i="29"/>
  <c r="F366" i="29"/>
  <c r="L367" i="29" a="1"/>
  <c r="L367" i="29" s="1"/>
  <c r="B368" i="29" s="1"/>
  <c r="P365" i="29"/>
  <c r="B367" i="29"/>
  <c r="I369" i="29"/>
  <c r="K370" i="29"/>
  <c r="G367" i="29"/>
  <c r="N368" i="29" a="1"/>
  <c r="N368" i="29" s="1"/>
  <c r="Q368" i="29" a="1"/>
  <c r="Q368" i="29" s="1"/>
  <c r="O336" i="29" l="1" a="1"/>
  <c r="O336" i="29" s="1"/>
  <c r="R336" i="29" s="1"/>
  <c r="S336" i="29" s="1"/>
  <c r="G368" i="29"/>
  <c r="P366" i="29"/>
  <c r="K371" i="29"/>
  <c r="I370" i="29"/>
  <c r="C367" i="29" a="1"/>
  <c r="C367" i="29" s="1"/>
  <c r="M367" i="29"/>
  <c r="F367" i="29"/>
  <c r="L368" i="29" a="1"/>
  <c r="L368" i="29" s="1"/>
  <c r="B369" i="29" s="1"/>
  <c r="Q369" i="29" a="1"/>
  <c r="Q369" i="29" s="1"/>
  <c r="N369" i="29" a="1"/>
  <c r="N369" i="29" s="1"/>
  <c r="O337" i="29" l="1" a="1"/>
  <c r="O337" i="29" s="1"/>
  <c r="R337" i="29" s="1"/>
  <c r="S337" i="29" s="1"/>
  <c r="N370" i="29" a="1"/>
  <c r="N370" i="29" s="1"/>
  <c r="Q370" i="29" a="1"/>
  <c r="Q370" i="29" s="1"/>
  <c r="I371" i="29"/>
  <c r="K372" i="29"/>
  <c r="G369" i="29"/>
  <c r="C368" i="29" a="1"/>
  <c r="C368" i="29" s="1"/>
  <c r="M368" i="29"/>
  <c r="F368" i="29"/>
  <c r="L369" i="29" a="1"/>
  <c r="L369" i="29" s="1"/>
  <c r="P367" i="29"/>
  <c r="O338" i="29" l="1" a="1"/>
  <c r="O338" i="29" s="1"/>
  <c r="R338" i="29" s="1"/>
  <c r="S338" i="29" s="1"/>
  <c r="C369" i="29" a="1"/>
  <c r="C369" i="29" s="1"/>
  <c r="M369" i="29"/>
  <c r="F369" i="29"/>
  <c r="L370" i="29" a="1"/>
  <c r="L370" i="29" s="1"/>
  <c r="G370" i="29"/>
  <c r="K373" i="29"/>
  <c r="I372" i="29"/>
  <c r="Q371" i="29" a="1"/>
  <c r="Q371" i="29" s="1"/>
  <c r="N371" i="29" a="1"/>
  <c r="N371" i="29" s="1"/>
  <c r="P368" i="29"/>
  <c r="B370" i="29"/>
  <c r="O339" i="29" l="1" a="1"/>
  <c r="O339" i="29" s="1"/>
  <c r="R339" i="29" s="1"/>
  <c r="S339" i="29" s="1"/>
  <c r="C370" i="29" a="1"/>
  <c r="C370" i="29" s="1"/>
  <c r="M370" i="29"/>
  <c r="F370" i="29"/>
  <c r="L371" i="29" a="1"/>
  <c r="L371" i="29" s="1"/>
  <c r="G371" i="29"/>
  <c r="B371" i="29"/>
  <c r="P369" i="29"/>
  <c r="N372" i="29" a="1"/>
  <c r="N372" i="29" s="1"/>
  <c r="Q372" i="29" a="1"/>
  <c r="Q372" i="29" s="1"/>
  <c r="I373" i="29"/>
  <c r="K374" i="29"/>
  <c r="O340" i="29" l="1" a="1"/>
  <c r="O340" i="29" s="1"/>
  <c r="R340" i="29" s="1"/>
  <c r="S340" i="29" s="1"/>
  <c r="C371" i="29" a="1"/>
  <c r="C371" i="29" s="1"/>
  <c r="M371" i="29"/>
  <c r="F371" i="29"/>
  <c r="L372" i="29" a="1"/>
  <c r="L372" i="29" s="1"/>
  <c r="B372" i="29"/>
  <c r="Q373" i="29" a="1"/>
  <c r="Q373" i="29" s="1"/>
  <c r="N373" i="29" a="1"/>
  <c r="N373" i="29" s="1"/>
  <c r="G372" i="29"/>
  <c r="P370" i="29"/>
  <c r="K375" i="29"/>
  <c r="I374" i="29"/>
  <c r="O341" i="29" l="1" a="1"/>
  <c r="O341" i="29" s="1"/>
  <c r="R341" i="29" s="1"/>
  <c r="S341" i="29" s="1"/>
  <c r="I375" i="29"/>
  <c r="K376" i="29"/>
  <c r="C372" i="29" a="1"/>
  <c r="C372" i="29" s="1"/>
  <c r="M372" i="29"/>
  <c r="F372" i="29"/>
  <c r="L373" i="29" a="1"/>
  <c r="L373" i="29" s="1"/>
  <c r="B374" i="29" s="1"/>
  <c r="P371" i="29"/>
  <c r="G373" i="29"/>
  <c r="N374" i="29" a="1"/>
  <c r="N374" i="29" s="1"/>
  <c r="Q374" i="29" a="1"/>
  <c r="Q374" i="29" s="1"/>
  <c r="B373" i="29"/>
  <c r="O342" i="29" l="1" a="1"/>
  <c r="O342" i="29" s="1"/>
  <c r="R342" i="29" s="1"/>
  <c r="S342" i="29" s="1"/>
  <c r="P372" i="29"/>
  <c r="C373" i="29" a="1"/>
  <c r="C373" i="29" s="1"/>
  <c r="F373" i="29"/>
  <c r="M373" i="29"/>
  <c r="L374" i="29" a="1"/>
  <c r="L374" i="29" s="1"/>
  <c r="B375" i="29" s="1"/>
  <c r="G374" i="29"/>
  <c r="K377" i="29"/>
  <c r="I376" i="29"/>
  <c r="Q375" i="29" a="1"/>
  <c r="Q375" i="29" s="1"/>
  <c r="N375" i="29" a="1"/>
  <c r="N375" i="29" s="1"/>
  <c r="O343" i="29" l="1" a="1"/>
  <c r="O343" i="29" s="1"/>
  <c r="R343" i="29" s="1"/>
  <c r="S343" i="29" s="1"/>
  <c r="C374" i="29" a="1"/>
  <c r="C374" i="29" s="1"/>
  <c r="M374" i="29"/>
  <c r="F374" i="29"/>
  <c r="L375" i="29" a="1"/>
  <c r="L375" i="29" s="1"/>
  <c r="P373" i="29"/>
  <c r="G375" i="29"/>
  <c r="N376" i="29" a="1"/>
  <c r="N376" i="29" s="1"/>
  <c r="Q376" i="29" a="1"/>
  <c r="Q376" i="29" s="1"/>
  <c r="I377" i="29"/>
  <c r="K378" i="29"/>
  <c r="O344" i="29" l="1" a="1"/>
  <c r="O344" i="29" s="1"/>
  <c r="R344" i="29" s="1"/>
  <c r="S344" i="29" s="1"/>
  <c r="K379" i="29"/>
  <c r="I378" i="29"/>
  <c r="Q377" i="29" a="1"/>
  <c r="Q377" i="29" s="1"/>
  <c r="N377" i="29" a="1"/>
  <c r="N377" i="29" s="1"/>
  <c r="P374" i="29"/>
  <c r="M375" i="29"/>
  <c r="C375" i="29" a="1"/>
  <c r="C375" i="29" s="1"/>
  <c r="F375" i="29"/>
  <c r="L376" i="29" a="1"/>
  <c r="L376" i="29" s="1"/>
  <c r="G376" i="29"/>
  <c r="B376" i="29"/>
  <c r="O345" i="29" l="1" a="1"/>
  <c r="O345" i="29" s="1"/>
  <c r="R345" i="29" s="1"/>
  <c r="S345" i="29" s="1"/>
  <c r="C376" i="29" a="1"/>
  <c r="C376" i="29" s="1"/>
  <c r="M376" i="29"/>
  <c r="F376" i="29"/>
  <c r="L377" i="29" a="1"/>
  <c r="L377" i="29" s="1"/>
  <c r="B377" i="29"/>
  <c r="G377" i="29"/>
  <c r="N378" i="29" a="1"/>
  <c r="N378" i="29" s="1"/>
  <c r="Q378" i="29" a="1"/>
  <c r="Q378" i="29" s="1"/>
  <c r="P375" i="29"/>
  <c r="I379" i="29"/>
  <c r="K380" i="29"/>
  <c r="O346" i="29" l="1" a="1"/>
  <c r="O346" i="29" s="1"/>
  <c r="R346" i="29" s="1"/>
  <c r="S346" i="29" s="1"/>
  <c r="Q379" i="29" a="1"/>
  <c r="Q379" i="29" s="1"/>
  <c r="N379" i="29" a="1"/>
  <c r="N379" i="29" s="1"/>
  <c r="C377" i="29" a="1"/>
  <c r="C377" i="29" s="1"/>
  <c r="F377" i="29"/>
  <c r="M377" i="29"/>
  <c r="L378" i="29" a="1"/>
  <c r="L378" i="29" s="1"/>
  <c r="B379" i="29" s="1"/>
  <c r="G378" i="29"/>
  <c r="P376" i="29"/>
  <c r="B378" i="29"/>
  <c r="K381" i="29"/>
  <c r="I380" i="29"/>
  <c r="O347" i="29" l="1" a="1"/>
  <c r="O347" i="29" s="1"/>
  <c r="R347" i="29" s="1"/>
  <c r="S347" i="29" s="1"/>
  <c r="I381" i="29"/>
  <c r="K382" i="29"/>
  <c r="G379" i="29"/>
  <c r="C378" i="29" a="1"/>
  <c r="C378" i="29" s="1"/>
  <c r="M378" i="29"/>
  <c r="F378" i="29"/>
  <c r="L379" i="29" a="1"/>
  <c r="L379" i="29" s="1"/>
  <c r="B380" i="29" s="1"/>
  <c r="N380" i="29" a="1"/>
  <c r="N380" i="29" s="1"/>
  <c r="Q380" i="29" a="1"/>
  <c r="Q380" i="29" s="1"/>
  <c r="P377" i="29"/>
  <c r="O348" i="29" l="1" a="1"/>
  <c r="O348" i="29" s="1"/>
  <c r="R348" i="29" s="1"/>
  <c r="S348" i="29" s="1"/>
  <c r="P378" i="29"/>
  <c r="G380" i="29"/>
  <c r="K383" i="29"/>
  <c r="I382" i="29"/>
  <c r="Q381" i="29" a="1"/>
  <c r="Q381" i="29" s="1"/>
  <c r="N381" i="29" a="1"/>
  <c r="N381" i="29" s="1"/>
  <c r="M379" i="29"/>
  <c r="C379" i="29" a="1"/>
  <c r="C379" i="29" s="1"/>
  <c r="F379" i="29"/>
  <c r="L380" i="29" a="1"/>
  <c r="L380" i="29" s="1"/>
  <c r="O349" i="29" l="1" a="1"/>
  <c r="O349" i="29" s="1"/>
  <c r="R349" i="29" s="1"/>
  <c r="S349" i="29" s="1"/>
  <c r="C380" i="29" a="1"/>
  <c r="C380" i="29" s="1"/>
  <c r="M380" i="29"/>
  <c r="F380" i="29"/>
  <c r="L381" i="29" a="1"/>
  <c r="L381" i="29" s="1"/>
  <c r="N382" i="29" a="1"/>
  <c r="N382" i="29" s="1"/>
  <c r="Q382" i="29" a="1"/>
  <c r="Q382" i="29" s="1"/>
  <c r="I383" i="29"/>
  <c r="K384" i="29"/>
  <c r="P379" i="29"/>
  <c r="B381" i="29"/>
  <c r="G381" i="29"/>
  <c r="O350" i="29" l="1" a="1"/>
  <c r="O350" i="29" s="1"/>
  <c r="R350" i="29" s="1"/>
  <c r="S350" i="29" s="1"/>
  <c r="C381" i="29" a="1"/>
  <c r="C381" i="29" s="1"/>
  <c r="F381" i="29"/>
  <c r="M381" i="29"/>
  <c r="L382" i="29" a="1"/>
  <c r="L382" i="29" s="1"/>
  <c r="B383" i="29" s="1"/>
  <c r="K385" i="29"/>
  <c r="I384" i="29"/>
  <c r="P380" i="29"/>
  <c r="Q383" i="29" a="1"/>
  <c r="Q383" i="29" s="1"/>
  <c r="N383" i="29" a="1"/>
  <c r="N383" i="29" s="1"/>
  <c r="G382" i="29"/>
  <c r="B382" i="29"/>
  <c r="O351" i="29" l="1" a="1"/>
  <c r="O351" i="29" s="1"/>
  <c r="R351" i="29" s="1"/>
  <c r="S351" i="29" s="1"/>
  <c r="I385" i="29"/>
  <c r="K386" i="29"/>
  <c r="N384" i="29" a="1"/>
  <c r="N384" i="29" s="1"/>
  <c r="Q384" i="29" a="1"/>
  <c r="Q384" i="29" s="1"/>
  <c r="P381" i="29"/>
  <c r="C382" i="29" a="1"/>
  <c r="C382" i="29" s="1"/>
  <c r="M382" i="29"/>
  <c r="F382" i="29"/>
  <c r="L383" i="29" a="1"/>
  <c r="L383" i="29" s="1"/>
  <c r="G383" i="29"/>
  <c r="O352" i="29" l="1" a="1"/>
  <c r="O352" i="29" s="1"/>
  <c r="R352" i="29" s="1"/>
  <c r="S352" i="29" s="1"/>
  <c r="M383" i="29"/>
  <c r="C383" i="29" a="1"/>
  <c r="C383" i="29" s="1"/>
  <c r="F383" i="29"/>
  <c r="L384" i="29" a="1"/>
  <c r="L384" i="29" s="1"/>
  <c r="K387" i="29"/>
  <c r="I386" i="29"/>
  <c r="G384" i="29"/>
  <c r="B384" i="29"/>
  <c r="P382" i="29"/>
  <c r="Q385" i="29" a="1"/>
  <c r="Q385" i="29" s="1"/>
  <c r="N385" i="29" a="1"/>
  <c r="N385" i="29" s="1"/>
  <c r="O353" i="29" l="1" a="1"/>
  <c r="O353" i="29" s="1"/>
  <c r="R353" i="29" s="1"/>
  <c r="S353" i="29" s="1"/>
  <c r="N386" i="29" a="1"/>
  <c r="N386" i="29" s="1"/>
  <c r="Q386" i="29" a="1"/>
  <c r="Q386" i="29" s="1"/>
  <c r="C384" i="29" a="1"/>
  <c r="C384" i="29" s="1"/>
  <c r="M384" i="29"/>
  <c r="F384" i="29"/>
  <c r="L385" i="29" a="1"/>
  <c r="L385" i="29" s="1"/>
  <c r="B386" i="29" s="1"/>
  <c r="G385" i="29"/>
  <c r="I387" i="29"/>
  <c r="K388" i="29"/>
  <c r="P383" i="29"/>
  <c r="B385" i="29"/>
  <c r="O354" i="29" l="1" a="1"/>
  <c r="O354" i="29" s="1"/>
  <c r="R354" i="29" s="1"/>
  <c r="S354" i="29" s="1"/>
  <c r="P384" i="29"/>
  <c r="G386" i="29"/>
  <c r="K389" i="29"/>
  <c r="I388" i="29"/>
  <c r="Q387" i="29" a="1"/>
  <c r="Q387" i="29" s="1"/>
  <c r="N387" i="29" a="1"/>
  <c r="N387" i="29" s="1"/>
  <c r="C385" i="29" a="1"/>
  <c r="C385" i="29" s="1"/>
  <c r="F385" i="29"/>
  <c r="M385" i="29"/>
  <c r="L386" i="29" a="1"/>
  <c r="L386" i="29" s="1"/>
  <c r="O355" i="29" l="1" a="1"/>
  <c r="O355" i="29" s="1"/>
  <c r="R355" i="29" s="1"/>
  <c r="S355" i="29" s="1"/>
  <c r="C386" i="29" a="1"/>
  <c r="C386" i="29" s="1"/>
  <c r="M386" i="29"/>
  <c r="F386" i="29"/>
  <c r="L387" i="29" a="1"/>
  <c r="L387" i="29" s="1"/>
  <c r="P385" i="29"/>
  <c r="I389" i="29"/>
  <c r="K390" i="29"/>
  <c r="B387" i="29"/>
  <c r="N388" i="29" a="1"/>
  <c r="N388" i="29" s="1"/>
  <c r="Q388" i="29" a="1"/>
  <c r="Q388" i="29" s="1"/>
  <c r="G387" i="29"/>
  <c r="O356" i="29" l="1" a="1"/>
  <c r="O356" i="29" s="1"/>
  <c r="R356" i="29" s="1"/>
  <c r="S356" i="29" s="1"/>
  <c r="M387" i="29"/>
  <c r="C387" i="29" a="1"/>
  <c r="C387" i="29" s="1"/>
  <c r="F387" i="29"/>
  <c r="L388" i="29" a="1"/>
  <c r="L388" i="29" s="1"/>
  <c r="B388" i="29"/>
  <c r="G388" i="29"/>
  <c r="P386" i="29"/>
  <c r="K391" i="29"/>
  <c r="I390" i="29"/>
  <c r="Q389" i="29" a="1"/>
  <c r="Q389" i="29" s="1"/>
  <c r="N389" i="29" a="1"/>
  <c r="N389" i="29" s="1"/>
  <c r="O357" i="29" l="1" a="1"/>
  <c r="O357" i="29" s="1"/>
  <c r="R357" i="29" s="1"/>
  <c r="S357" i="29" s="1"/>
  <c r="C388" i="29" a="1"/>
  <c r="C388" i="29" s="1"/>
  <c r="M388" i="29"/>
  <c r="F388" i="29"/>
  <c r="L389" i="29" a="1"/>
  <c r="L389" i="29" s="1"/>
  <c r="B390" i="29" s="1"/>
  <c r="N390" i="29" a="1"/>
  <c r="N390" i="29" s="1"/>
  <c r="Q390" i="29" a="1"/>
  <c r="Q390" i="29" s="1"/>
  <c r="I391" i="29"/>
  <c r="K392" i="29"/>
  <c r="G389" i="29"/>
  <c r="P387" i="29"/>
  <c r="B389" i="29"/>
  <c r="O358" i="29" l="1" a="1"/>
  <c r="O358" i="29" s="1"/>
  <c r="R358" i="29" s="1"/>
  <c r="S358" i="29" s="1"/>
  <c r="G390" i="29"/>
  <c r="P388" i="29"/>
  <c r="Q391" i="29" a="1"/>
  <c r="Q391" i="29" s="1"/>
  <c r="N391" i="29" a="1"/>
  <c r="N391" i="29" s="1"/>
  <c r="C389" i="29" a="1"/>
  <c r="C389" i="29" s="1"/>
  <c r="F389" i="29"/>
  <c r="M389" i="29"/>
  <c r="L390" i="29" a="1"/>
  <c r="L390" i="29" s="1"/>
  <c r="K393" i="29"/>
  <c r="I392" i="29"/>
  <c r="O359" i="29" l="1" a="1"/>
  <c r="O359" i="29" s="1"/>
  <c r="R359" i="29" s="1"/>
  <c r="S359" i="29" s="1"/>
  <c r="N392" i="29" a="1"/>
  <c r="N392" i="29" s="1"/>
  <c r="Q392" i="29" a="1"/>
  <c r="Q392" i="29" s="1"/>
  <c r="G391" i="29"/>
  <c r="I393" i="29"/>
  <c r="K394" i="29"/>
  <c r="P389" i="29"/>
  <c r="C390" i="29" a="1"/>
  <c r="C390" i="29" s="1"/>
  <c r="M390" i="29"/>
  <c r="F390" i="29"/>
  <c r="L391" i="29" a="1"/>
  <c r="L391" i="29" s="1"/>
  <c r="B391" i="29"/>
  <c r="O360" i="29" l="1" a="1"/>
  <c r="O360" i="29" s="1"/>
  <c r="R360" i="29" s="1"/>
  <c r="S360" i="29" s="1"/>
  <c r="P390" i="29"/>
  <c r="G392" i="29"/>
  <c r="M391" i="29"/>
  <c r="C391" i="29" a="1"/>
  <c r="C391" i="29" s="1"/>
  <c r="F391" i="29"/>
  <c r="L392" i="29" a="1"/>
  <c r="L392" i="29" s="1"/>
  <c r="B392" i="29"/>
  <c r="K395" i="29"/>
  <c r="I394" i="29"/>
  <c r="N393" i="29" a="1"/>
  <c r="N393" i="29" s="1"/>
  <c r="Q393" i="29" a="1"/>
  <c r="Q393" i="29" s="1"/>
  <c r="O361" i="29" l="1" a="1"/>
  <c r="O361" i="29" s="1"/>
  <c r="R361" i="29" s="1"/>
  <c r="S361" i="29" s="1"/>
  <c r="C392" i="29" a="1"/>
  <c r="C392" i="29" s="1"/>
  <c r="M392" i="29"/>
  <c r="F392" i="29"/>
  <c r="L393" i="29" a="1"/>
  <c r="L393" i="29" s="1"/>
  <c r="B393" i="29"/>
  <c r="P391" i="29"/>
  <c r="G393" i="29"/>
  <c r="N394" i="29" a="1"/>
  <c r="N394" i="29" s="1"/>
  <c r="Q394" i="29" a="1"/>
  <c r="Q394" i="29" s="1"/>
  <c r="I395" i="29"/>
  <c r="K396" i="29"/>
  <c r="O362" i="29" l="1" a="1"/>
  <c r="O362" i="29" s="1"/>
  <c r="R362" i="29" s="1"/>
  <c r="S362" i="29" s="1"/>
  <c r="N395" i="29" a="1"/>
  <c r="N395" i="29" s="1"/>
  <c r="Q395" i="29" a="1"/>
  <c r="Q395" i="29" s="1"/>
  <c r="M393" i="29"/>
  <c r="C393" i="29" a="1"/>
  <c r="C393" i="29" s="1"/>
  <c r="F393" i="29"/>
  <c r="L394" i="29" a="1"/>
  <c r="L394" i="29" s="1"/>
  <c r="G394" i="29"/>
  <c r="B394" i="29"/>
  <c r="P392" i="29"/>
  <c r="K397" i="29"/>
  <c r="I396" i="29"/>
  <c r="O363" i="29" l="1" a="1"/>
  <c r="O363" i="29" s="1"/>
  <c r="R363" i="29" s="1"/>
  <c r="S363" i="29" s="1"/>
  <c r="P393" i="29"/>
  <c r="I397" i="29"/>
  <c r="K398" i="29"/>
  <c r="C394" i="29" a="1"/>
  <c r="C394" i="29" s="1"/>
  <c r="M394" i="29"/>
  <c r="F394" i="29"/>
  <c r="L395" i="29" a="1"/>
  <c r="L395" i="29" s="1"/>
  <c r="B395" i="29"/>
  <c r="G395" i="29"/>
  <c r="N396" i="29" a="1"/>
  <c r="N396" i="29" s="1"/>
  <c r="Q396" i="29" a="1"/>
  <c r="Q396" i="29" s="1"/>
  <c r="O364" i="29" l="1" a="1"/>
  <c r="O364" i="29" s="1"/>
  <c r="R364" i="29" s="1"/>
  <c r="S364" i="29" s="1"/>
  <c r="G396" i="29"/>
  <c r="M395" i="29"/>
  <c r="C395" i="29" a="1"/>
  <c r="C395" i="29" s="1"/>
  <c r="F395" i="29"/>
  <c r="L396" i="29" a="1"/>
  <c r="L396" i="29" s="1"/>
  <c r="P394" i="29"/>
  <c r="B396" i="29"/>
  <c r="K399" i="29"/>
  <c r="I398" i="29"/>
  <c r="N397" i="29" a="1"/>
  <c r="N397" i="29" s="1"/>
  <c r="Q397" i="29" a="1"/>
  <c r="Q397" i="29" s="1"/>
  <c r="O365" i="29" l="1" a="1"/>
  <c r="O365" i="29" s="1"/>
  <c r="R365" i="29" s="1"/>
  <c r="S365" i="29" s="1"/>
  <c r="C396" i="29" a="1"/>
  <c r="C396" i="29" s="1"/>
  <c r="M396" i="29"/>
  <c r="F396" i="29"/>
  <c r="L397" i="29" a="1"/>
  <c r="L397" i="29" s="1"/>
  <c r="B397" i="29"/>
  <c r="G397" i="29"/>
  <c r="Q398" i="29" a="1"/>
  <c r="Q398" i="29" s="1"/>
  <c r="N398" i="29" a="1"/>
  <c r="N398" i="29" s="1"/>
  <c r="P395" i="29"/>
  <c r="I399" i="29"/>
  <c r="K400" i="29"/>
  <c r="O366" i="29" l="1" a="1"/>
  <c r="O366" i="29" s="1"/>
  <c r="R366" i="29" s="1"/>
  <c r="S366" i="29" s="1"/>
  <c r="P396" i="29"/>
  <c r="M397" i="29"/>
  <c r="C397" i="29" a="1"/>
  <c r="C397" i="29" s="1"/>
  <c r="F397" i="29"/>
  <c r="L398" i="29" a="1"/>
  <c r="L398" i="29" s="1"/>
  <c r="Q399" i="29" a="1"/>
  <c r="Q399" i="29" s="1"/>
  <c r="N399" i="29" a="1"/>
  <c r="N399" i="29" s="1"/>
  <c r="G398" i="29"/>
  <c r="B398" i="29"/>
  <c r="K401" i="29"/>
  <c r="I400" i="29"/>
  <c r="O367" i="29" l="1" a="1"/>
  <c r="O367" i="29" s="1"/>
  <c r="R367" i="29" s="1"/>
  <c r="S367" i="29" s="1"/>
  <c r="C398" i="29" a="1"/>
  <c r="C398" i="29" s="1"/>
  <c r="M398" i="29"/>
  <c r="F398" i="29"/>
  <c r="L399" i="29" a="1"/>
  <c r="L399" i="29" s="1"/>
  <c r="B400" i="29" s="1"/>
  <c r="G399" i="29"/>
  <c r="B399" i="29"/>
  <c r="I401" i="29"/>
  <c r="K402" i="29"/>
  <c r="P397" i="29"/>
  <c r="Q400" i="29" a="1"/>
  <c r="Q400" i="29" s="1"/>
  <c r="N400" i="29" a="1"/>
  <c r="N400" i="29" s="1"/>
  <c r="O368" i="29" l="1" a="1"/>
  <c r="O368" i="29" s="1"/>
  <c r="R368" i="29" s="1"/>
  <c r="S368" i="29" s="1"/>
  <c r="P398" i="29"/>
  <c r="I402" i="29"/>
  <c r="K403" i="29"/>
  <c r="C399" i="29" a="1"/>
  <c r="C399" i="29" s="1"/>
  <c r="F399" i="29"/>
  <c r="M399" i="29"/>
  <c r="L400" i="29" a="1"/>
  <c r="L400" i="29" s="1"/>
  <c r="Q401" i="29" a="1"/>
  <c r="Q401" i="29" s="1"/>
  <c r="N401" i="29" a="1"/>
  <c r="N401" i="29" s="1"/>
  <c r="G400" i="29"/>
  <c r="O369" i="29" l="1" a="1"/>
  <c r="O369" i="29" s="1"/>
  <c r="R369" i="29" s="1"/>
  <c r="S369" i="29" s="1"/>
  <c r="C400" i="29" a="1"/>
  <c r="C400" i="29" s="1"/>
  <c r="M400" i="29"/>
  <c r="F400" i="29"/>
  <c r="L401" i="29" a="1"/>
  <c r="L401" i="29" s="1"/>
  <c r="G401" i="29"/>
  <c r="I403" i="29"/>
  <c r="K404" i="29"/>
  <c r="B401" i="29"/>
  <c r="Q402" i="29" a="1"/>
  <c r="Q402" i="29" s="1"/>
  <c r="N402" i="29" a="1"/>
  <c r="N402" i="29" s="1"/>
  <c r="P399" i="29"/>
  <c r="O370" i="29" l="1" a="1"/>
  <c r="O370" i="29" s="1"/>
  <c r="R370" i="29" s="1"/>
  <c r="S370" i="29" s="1"/>
  <c r="F401" i="29"/>
  <c r="M401" i="29"/>
  <c r="C401" i="29" a="1"/>
  <c r="C401" i="29" s="1"/>
  <c r="L402" i="29" a="1"/>
  <c r="L402" i="29" s="1"/>
  <c r="K405" i="29"/>
  <c r="I404" i="29"/>
  <c r="G402" i="29"/>
  <c r="B402" i="29"/>
  <c r="P400" i="29"/>
  <c r="N403" i="29" a="1"/>
  <c r="N403" i="29" s="1"/>
  <c r="Q403" i="29" a="1"/>
  <c r="Q403" i="29" s="1"/>
  <c r="O371" i="29" l="1" a="1"/>
  <c r="O371" i="29" s="1"/>
  <c r="R371" i="29" s="1"/>
  <c r="S371" i="29" s="1"/>
  <c r="C402" i="29" a="1"/>
  <c r="C402" i="29" s="1"/>
  <c r="M402" i="29"/>
  <c r="F402" i="29"/>
  <c r="L403" i="29" a="1"/>
  <c r="L403" i="29" s="1"/>
  <c r="G403" i="29"/>
  <c r="N404" i="29" a="1"/>
  <c r="N404" i="29" s="1"/>
  <c r="Q404" i="29" a="1"/>
  <c r="Q404" i="29" s="1"/>
  <c r="B403" i="29"/>
  <c r="I405" i="29"/>
  <c r="K406" i="29"/>
  <c r="P401" i="29"/>
  <c r="O372" i="29" l="1" a="1"/>
  <c r="O372" i="29" s="1"/>
  <c r="R372" i="29" s="1"/>
  <c r="S372" i="29" s="1"/>
  <c r="M403" i="29"/>
  <c r="C403" i="29" a="1"/>
  <c r="C403" i="29" s="1"/>
  <c r="F403" i="29"/>
  <c r="L404" i="29" a="1"/>
  <c r="L404" i="29" s="1"/>
  <c r="B405" i="29" s="1"/>
  <c r="G404" i="29"/>
  <c r="K407" i="29"/>
  <c r="I406" i="29"/>
  <c r="N405" i="29" a="1"/>
  <c r="N405" i="29" s="1"/>
  <c r="Q405" i="29" a="1"/>
  <c r="Q405" i="29" s="1"/>
  <c r="P402" i="29"/>
  <c r="B404" i="29"/>
  <c r="O373" i="29" l="1" a="1"/>
  <c r="O373" i="29" s="1"/>
  <c r="R373" i="29" s="1"/>
  <c r="S373" i="29" s="1"/>
  <c r="G405" i="29"/>
  <c r="C404" i="29" a="1"/>
  <c r="C404" i="29" s="1"/>
  <c r="M404" i="29"/>
  <c r="F404" i="29"/>
  <c r="L405" i="29" a="1"/>
  <c r="L405" i="29" s="1"/>
  <c r="P403" i="29"/>
  <c r="Q406" i="29" a="1"/>
  <c r="Q406" i="29" s="1"/>
  <c r="N406" i="29" a="1"/>
  <c r="N406" i="29" s="1"/>
  <c r="I407" i="29"/>
  <c r="K408" i="29"/>
  <c r="O374" i="29" l="1" a="1"/>
  <c r="O374" i="29" s="1"/>
  <c r="R374" i="29" s="1"/>
  <c r="S374" i="29" s="1"/>
  <c r="G406" i="29"/>
  <c r="K409" i="29"/>
  <c r="I408" i="29"/>
  <c r="M405" i="29"/>
  <c r="C405" i="29" a="1"/>
  <c r="C405" i="29" s="1"/>
  <c r="F405" i="29"/>
  <c r="L406" i="29" a="1"/>
  <c r="L406" i="29" s="1"/>
  <c r="Q407" i="29" a="1"/>
  <c r="Q407" i="29" s="1"/>
  <c r="N407" i="29" a="1"/>
  <c r="N407" i="29" s="1"/>
  <c r="P404" i="29"/>
  <c r="B406" i="29"/>
  <c r="O375" i="29" l="1" a="1"/>
  <c r="O375" i="29" s="1"/>
  <c r="R375" i="29" s="1"/>
  <c r="S375" i="29" s="1"/>
  <c r="P405" i="29"/>
  <c r="I409" i="29"/>
  <c r="K410" i="29"/>
  <c r="C406" i="29" a="1"/>
  <c r="C406" i="29" s="1"/>
  <c r="M406" i="29"/>
  <c r="F406" i="29"/>
  <c r="L407" i="29" a="1"/>
  <c r="L407" i="29" s="1"/>
  <c r="B408" i="29" s="1"/>
  <c r="G407" i="29"/>
  <c r="Q408" i="29" a="1"/>
  <c r="Q408" i="29" s="1"/>
  <c r="N408" i="29" a="1"/>
  <c r="N408" i="29" s="1"/>
  <c r="B407" i="29"/>
  <c r="O376" i="29" l="1" a="1"/>
  <c r="O376" i="29" s="1"/>
  <c r="R376" i="29" s="1"/>
  <c r="S376" i="29" s="1"/>
  <c r="P406" i="29"/>
  <c r="I410" i="29"/>
  <c r="K411" i="29"/>
  <c r="Q409" i="29" a="1"/>
  <c r="Q409" i="29" s="1"/>
  <c r="N409" i="29" a="1"/>
  <c r="N409" i="29" s="1"/>
  <c r="G408" i="29"/>
  <c r="C407" i="29" a="1"/>
  <c r="C407" i="29" s="1"/>
  <c r="F407" i="29"/>
  <c r="M407" i="29"/>
  <c r="L408" i="29" a="1"/>
  <c r="L408" i="29" s="1"/>
  <c r="O377" i="29" l="1" a="1"/>
  <c r="O377" i="29" s="1"/>
  <c r="R377" i="29" s="1"/>
  <c r="S377" i="29" s="1"/>
  <c r="C408" i="29" a="1"/>
  <c r="C408" i="29" s="1"/>
  <c r="M408" i="29"/>
  <c r="F408" i="29"/>
  <c r="L409" i="29" a="1"/>
  <c r="L409" i="29" s="1"/>
  <c r="P407" i="29"/>
  <c r="I411" i="29"/>
  <c r="K412" i="29"/>
  <c r="Q410" i="29" a="1"/>
  <c r="Q410" i="29" s="1"/>
  <c r="N410" i="29" a="1"/>
  <c r="N410" i="29" s="1"/>
  <c r="G409" i="29"/>
  <c r="B409" i="29"/>
  <c r="O378" i="29" l="1" a="1"/>
  <c r="O378" i="29" s="1"/>
  <c r="R378" i="29" s="1"/>
  <c r="S378" i="29" s="1"/>
  <c r="F409" i="29"/>
  <c r="M409" i="29"/>
  <c r="C409" i="29" a="1"/>
  <c r="C409" i="29" s="1"/>
  <c r="L410" i="29" a="1"/>
  <c r="L410" i="29" s="1"/>
  <c r="P408" i="29"/>
  <c r="B410" i="29"/>
  <c r="G410" i="29"/>
  <c r="K413" i="29"/>
  <c r="I412" i="29"/>
  <c r="N411" i="29" a="1"/>
  <c r="N411" i="29" s="1"/>
  <c r="Q411" i="29" a="1"/>
  <c r="Q411" i="29" s="1"/>
  <c r="O379" i="29" l="1" a="1"/>
  <c r="O379" i="29" s="1"/>
  <c r="R379" i="29" s="1"/>
  <c r="S379" i="29" s="1"/>
  <c r="C410" i="29" a="1"/>
  <c r="C410" i="29" s="1"/>
  <c r="M410" i="29"/>
  <c r="F410" i="29"/>
  <c r="L411" i="29" a="1"/>
  <c r="L411" i="29" s="1"/>
  <c r="N412" i="29" a="1"/>
  <c r="N412" i="29" s="1"/>
  <c r="Q412" i="29" a="1"/>
  <c r="Q412" i="29" s="1"/>
  <c r="P409" i="29"/>
  <c r="G411" i="29"/>
  <c r="B411" i="29"/>
  <c r="I413" i="29"/>
  <c r="K414" i="29"/>
  <c r="O380" i="29" l="1" a="1"/>
  <c r="O380" i="29" s="1"/>
  <c r="R380" i="29" s="1"/>
  <c r="S380" i="29" s="1"/>
  <c r="N413" i="29" a="1"/>
  <c r="N413" i="29" s="1"/>
  <c r="Q413" i="29" a="1"/>
  <c r="Q413" i="29" s="1"/>
  <c r="M411" i="29"/>
  <c r="C411" i="29" a="1"/>
  <c r="C411" i="29" s="1"/>
  <c r="F411" i="29"/>
  <c r="L412" i="29" a="1"/>
  <c r="L412" i="29" s="1"/>
  <c r="B413" i="29" s="1"/>
  <c r="P410" i="29"/>
  <c r="G412" i="29"/>
  <c r="B412" i="29"/>
  <c r="I414" i="29"/>
  <c r="K415" i="29"/>
  <c r="O381" i="29" l="1" a="1"/>
  <c r="O381" i="29" s="1"/>
  <c r="R381" i="29" s="1"/>
  <c r="S381" i="29" s="1"/>
  <c r="N414" i="29" a="1"/>
  <c r="N414" i="29" s="1"/>
  <c r="Q414" i="29" a="1"/>
  <c r="Q414" i="29" s="1"/>
  <c r="P411" i="29"/>
  <c r="G413" i="29"/>
  <c r="C412" i="29" a="1"/>
  <c r="C412" i="29" s="1"/>
  <c r="M412" i="29"/>
  <c r="F412" i="29"/>
  <c r="L413" i="29" a="1"/>
  <c r="L413" i="29" s="1"/>
  <c r="K416" i="29"/>
  <c r="I415" i="29"/>
  <c r="O382" i="29" l="1" a="1"/>
  <c r="O382" i="29" s="1"/>
  <c r="R382" i="29" s="1"/>
  <c r="S382" i="29" s="1"/>
  <c r="M413" i="29"/>
  <c r="C413" i="29" a="1"/>
  <c r="C413" i="29" s="1"/>
  <c r="F413" i="29"/>
  <c r="L414" i="29" a="1"/>
  <c r="L414" i="29" s="1"/>
  <c r="G414" i="29"/>
  <c r="N415" i="29" a="1"/>
  <c r="N415" i="29" s="1"/>
  <c r="Q415" i="29" a="1"/>
  <c r="Q415" i="29" s="1"/>
  <c r="K417" i="29"/>
  <c r="I416" i="29"/>
  <c r="P412" i="29"/>
  <c r="B414" i="29"/>
  <c r="O383" i="29" l="1" a="1"/>
  <c r="O383" i="29" s="1"/>
  <c r="R383" i="29" s="1"/>
  <c r="S383" i="29" s="1"/>
  <c r="C414" i="29" a="1"/>
  <c r="C414" i="29" s="1"/>
  <c r="F414" i="29"/>
  <c r="M414" i="29"/>
  <c r="L415" i="29" a="1"/>
  <c r="L415" i="29" s="1"/>
  <c r="G415" i="29"/>
  <c r="Q416" i="29" a="1"/>
  <c r="Q416" i="29" s="1"/>
  <c r="N416" i="29" a="1"/>
  <c r="N416" i="29" s="1"/>
  <c r="I417" i="29"/>
  <c r="K418" i="29"/>
  <c r="P413" i="29"/>
  <c r="B415" i="29"/>
  <c r="O384" i="29" l="1" a="1"/>
  <c r="O384" i="29" s="1"/>
  <c r="R384" i="29" s="1"/>
  <c r="S384" i="29" s="1"/>
  <c r="M415" i="29"/>
  <c r="C415" i="29" a="1"/>
  <c r="C415" i="29" s="1"/>
  <c r="F415" i="29"/>
  <c r="L416" i="29" a="1"/>
  <c r="L416" i="29" s="1"/>
  <c r="K419" i="29"/>
  <c r="I418" i="29"/>
  <c r="Q417" i="29" a="1"/>
  <c r="Q417" i="29" s="1"/>
  <c r="N417" i="29" a="1"/>
  <c r="N417" i="29" s="1"/>
  <c r="P414" i="29"/>
  <c r="G416" i="29"/>
  <c r="B416" i="29"/>
  <c r="O385" i="29" l="1" a="1"/>
  <c r="O385" i="29" s="1"/>
  <c r="R385" i="29" s="1"/>
  <c r="S385" i="29" s="1"/>
  <c r="N418" i="29" a="1"/>
  <c r="N418" i="29" s="1"/>
  <c r="Q418" i="29" a="1"/>
  <c r="Q418" i="29" s="1"/>
  <c r="M416" i="29"/>
  <c r="C416" i="29" a="1"/>
  <c r="C416" i="29" s="1"/>
  <c r="F416" i="29"/>
  <c r="L417" i="29" a="1"/>
  <c r="L417" i="29" s="1"/>
  <c r="B418" i="29" s="1"/>
  <c r="G417" i="29"/>
  <c r="K420" i="29"/>
  <c r="I419" i="29"/>
  <c r="P415" i="29"/>
  <c r="B417" i="29"/>
  <c r="O386" i="29" l="1" a="1"/>
  <c r="O386" i="29" s="1"/>
  <c r="R386" i="29" s="1"/>
  <c r="S386" i="29" s="1"/>
  <c r="Q419" i="29" a="1"/>
  <c r="Q419" i="29" s="1"/>
  <c r="N419" i="29" a="1"/>
  <c r="N419" i="29" s="1"/>
  <c r="K421" i="29"/>
  <c r="I420" i="29"/>
  <c r="G418" i="29"/>
  <c r="P416" i="29"/>
  <c r="M417" i="29"/>
  <c r="C417" i="29" a="1"/>
  <c r="C417" i="29" s="1"/>
  <c r="F417" i="29"/>
  <c r="L418" i="29" a="1"/>
  <c r="L418" i="29" s="1"/>
  <c r="O387" i="29" l="1" a="1"/>
  <c r="O387" i="29" s="1"/>
  <c r="R387" i="29" s="1"/>
  <c r="S387" i="29" s="1"/>
  <c r="F418" i="29"/>
  <c r="C418" i="29" a="1"/>
  <c r="C418" i="29" s="1"/>
  <c r="M418" i="29"/>
  <c r="L419" i="29" a="1"/>
  <c r="L419" i="29" s="1"/>
  <c r="N420" i="29" a="1"/>
  <c r="N420" i="29" s="1"/>
  <c r="Q420" i="29" a="1"/>
  <c r="Q420" i="29" s="1"/>
  <c r="K422" i="29"/>
  <c r="I421" i="29"/>
  <c r="P417" i="29"/>
  <c r="G419" i="29"/>
  <c r="B419" i="29"/>
  <c r="O388" i="29" l="1" a="1"/>
  <c r="O388" i="29" s="1"/>
  <c r="R388" i="29" s="1"/>
  <c r="S388" i="29" s="1"/>
  <c r="G420" i="29"/>
  <c r="C419" i="29" a="1"/>
  <c r="C419" i="29" s="1"/>
  <c r="M419" i="29"/>
  <c r="F419" i="29"/>
  <c r="L420" i="29" a="1"/>
  <c r="L420" i="29" s="1"/>
  <c r="P418" i="29"/>
  <c r="Q421" i="29" a="1"/>
  <c r="Q421" i="29" s="1"/>
  <c r="N421" i="29" a="1"/>
  <c r="N421" i="29" s="1"/>
  <c r="K423" i="29"/>
  <c r="I422" i="29"/>
  <c r="B420" i="29"/>
  <c r="O389" i="29" l="1" a="1"/>
  <c r="O389" i="29" s="1"/>
  <c r="R389" i="29" s="1"/>
  <c r="S389" i="29" s="1"/>
  <c r="N422" i="29" a="1"/>
  <c r="N422" i="29" s="1"/>
  <c r="Q422" i="29" a="1"/>
  <c r="Q422" i="29" s="1"/>
  <c r="F420" i="29"/>
  <c r="C420" i="29" a="1"/>
  <c r="C420" i="29" s="1"/>
  <c r="M420" i="29"/>
  <c r="L421" i="29" a="1"/>
  <c r="L421" i="29" s="1"/>
  <c r="B422" i="29" s="1"/>
  <c r="K424" i="29"/>
  <c r="I423" i="29"/>
  <c r="P419" i="29"/>
  <c r="G421" i="29"/>
  <c r="B421" i="29"/>
  <c r="O390" i="29" l="1" a="1"/>
  <c r="O390" i="29" s="1"/>
  <c r="R390" i="29" s="1"/>
  <c r="S390" i="29" s="1"/>
  <c r="Q423" i="29" a="1"/>
  <c r="Q423" i="29" s="1"/>
  <c r="N423" i="29" a="1"/>
  <c r="N423" i="29" s="1"/>
  <c r="K425" i="29"/>
  <c r="I424" i="29"/>
  <c r="G422" i="29"/>
  <c r="C421" i="29" a="1"/>
  <c r="C421" i="29" s="1"/>
  <c r="M421" i="29"/>
  <c r="F421" i="29"/>
  <c r="L422" i="29" a="1"/>
  <c r="L422" i="29" s="1"/>
  <c r="P420" i="29"/>
  <c r="O391" i="29" l="1" a="1"/>
  <c r="O391" i="29" s="1"/>
  <c r="R391" i="29" s="1"/>
  <c r="S391" i="29" s="1"/>
  <c r="N424" i="29" a="1"/>
  <c r="N424" i="29" s="1"/>
  <c r="Q424" i="29" a="1"/>
  <c r="Q424" i="29" s="1"/>
  <c r="K426" i="29"/>
  <c r="I425" i="29"/>
  <c r="F422" i="29"/>
  <c r="C422" i="29" a="1"/>
  <c r="C422" i="29" s="1"/>
  <c r="M422" i="29"/>
  <c r="L423" i="29" a="1"/>
  <c r="L423" i="29" s="1"/>
  <c r="B424" i="29" s="1"/>
  <c r="G423" i="29"/>
  <c r="P421" i="29"/>
  <c r="B423" i="29"/>
  <c r="O392" i="29" l="1" a="1"/>
  <c r="O392" i="29" s="1"/>
  <c r="R392" i="29" s="1"/>
  <c r="S392" i="29" s="1"/>
  <c r="Q425" i="29" a="1"/>
  <c r="Q425" i="29" s="1"/>
  <c r="N425" i="29" a="1"/>
  <c r="N425" i="29" s="1"/>
  <c r="K427" i="29"/>
  <c r="I426" i="29"/>
  <c r="G424" i="29"/>
  <c r="C423" i="29" a="1"/>
  <c r="C423" i="29" s="1"/>
  <c r="M423" i="29"/>
  <c r="F423" i="29"/>
  <c r="L424" i="29" a="1"/>
  <c r="L424" i="29" s="1"/>
  <c r="B425" i="29" s="1"/>
  <c r="P422" i="29"/>
  <c r="O393" i="29" l="1" a="1"/>
  <c r="O393" i="29" s="1"/>
  <c r="R393" i="29" s="1"/>
  <c r="S393" i="29" s="1"/>
  <c r="N426" i="29" a="1"/>
  <c r="N426" i="29" s="1"/>
  <c r="Q426" i="29" a="1"/>
  <c r="Q426" i="29" s="1"/>
  <c r="K428" i="29"/>
  <c r="I427" i="29"/>
  <c r="G425" i="29"/>
  <c r="P423" i="29"/>
  <c r="F424" i="29"/>
  <c r="C424" i="29" a="1"/>
  <c r="C424" i="29" s="1"/>
  <c r="M424" i="29"/>
  <c r="L425" i="29" a="1"/>
  <c r="L425" i="29" s="1"/>
  <c r="O394" i="29" l="1" a="1"/>
  <c r="O394" i="29" s="1"/>
  <c r="R394" i="29" s="1"/>
  <c r="S394" i="29" s="1"/>
  <c r="C425" i="29" a="1"/>
  <c r="C425" i="29" s="1"/>
  <c r="M425" i="29"/>
  <c r="F425" i="29"/>
  <c r="L426" i="29" a="1"/>
  <c r="L426" i="29" s="1"/>
  <c r="B427" i="29" s="1"/>
  <c r="Q427" i="29" a="1"/>
  <c r="Q427" i="29" s="1"/>
  <c r="N427" i="29" a="1"/>
  <c r="N427" i="29" s="1"/>
  <c r="P424" i="29"/>
  <c r="K429" i="29"/>
  <c r="I428" i="29"/>
  <c r="B426" i="29"/>
  <c r="G426" i="29"/>
  <c r="O395" i="29" l="1" a="1"/>
  <c r="O395" i="29" s="1"/>
  <c r="R395" i="29" s="1"/>
  <c r="S395" i="29" s="1"/>
  <c r="F426" i="29"/>
  <c r="C426" i="29" a="1"/>
  <c r="C426" i="29" s="1"/>
  <c r="M426" i="29"/>
  <c r="L427" i="29" a="1"/>
  <c r="L427" i="29" s="1"/>
  <c r="P425" i="29"/>
  <c r="N428" i="29" a="1"/>
  <c r="N428" i="29" s="1"/>
  <c r="Q428" i="29" a="1"/>
  <c r="Q428" i="29" s="1"/>
  <c r="I429" i="29"/>
  <c r="K430" i="29"/>
  <c r="G427" i="29"/>
  <c r="O396" i="29" l="1" a="1"/>
  <c r="O396" i="29" s="1"/>
  <c r="R396" i="29" s="1"/>
  <c r="S396" i="29" s="1"/>
  <c r="K431" i="29"/>
  <c r="I430" i="29"/>
  <c r="C427" i="29" a="1"/>
  <c r="C427" i="29" s="1"/>
  <c r="M427" i="29"/>
  <c r="F427" i="29"/>
  <c r="L428" i="29" a="1"/>
  <c r="L428" i="29" s="1"/>
  <c r="Q429" i="29" a="1"/>
  <c r="Q429" i="29" s="1"/>
  <c r="N429" i="29" a="1"/>
  <c r="N429" i="29" s="1"/>
  <c r="P426" i="29"/>
  <c r="B428" i="29"/>
  <c r="G428" i="29"/>
  <c r="O397" i="29" l="1" a="1"/>
  <c r="O397" i="29" s="1"/>
  <c r="R397" i="29" s="1"/>
  <c r="S397" i="29" s="1"/>
  <c r="F428" i="29"/>
  <c r="C428" i="29" a="1"/>
  <c r="C428" i="29" s="1"/>
  <c r="M428" i="29"/>
  <c r="L429" i="29" a="1"/>
  <c r="L429" i="29" s="1"/>
  <c r="P427" i="29"/>
  <c r="N430" i="29" a="1"/>
  <c r="N430" i="29" s="1"/>
  <c r="Q430" i="29" a="1"/>
  <c r="Q430" i="29" s="1"/>
  <c r="G429" i="29"/>
  <c r="I431" i="29"/>
  <c r="K432" i="29"/>
  <c r="B429" i="29"/>
  <c r="O398" i="29" l="1" a="1"/>
  <c r="O398" i="29" s="1"/>
  <c r="R398" i="29" s="1"/>
  <c r="S398" i="29" s="1"/>
  <c r="K433" i="29"/>
  <c r="I432" i="29"/>
  <c r="Q431" i="29" a="1"/>
  <c r="Q431" i="29" s="1"/>
  <c r="N431" i="29" a="1"/>
  <c r="N431" i="29" s="1"/>
  <c r="P428" i="29"/>
  <c r="C429" i="29" a="1"/>
  <c r="C429" i="29" s="1"/>
  <c r="M429" i="29"/>
  <c r="F429" i="29"/>
  <c r="L430" i="29" a="1"/>
  <c r="L430" i="29" s="1"/>
  <c r="B430" i="29"/>
  <c r="G430" i="29"/>
  <c r="O399" i="29" l="1" a="1"/>
  <c r="O399" i="29" s="1"/>
  <c r="R399" i="29" s="1"/>
  <c r="S399" i="29" s="1"/>
  <c r="G431" i="29"/>
  <c r="N432" i="29" a="1"/>
  <c r="N432" i="29" s="1"/>
  <c r="Q432" i="29" a="1"/>
  <c r="Q432" i="29" s="1"/>
  <c r="F430" i="29"/>
  <c r="C430" i="29" a="1"/>
  <c r="C430" i="29" s="1"/>
  <c r="M430" i="29"/>
  <c r="L431" i="29" a="1"/>
  <c r="L431" i="29" s="1"/>
  <c r="B432" i="29" s="1"/>
  <c r="B431" i="29"/>
  <c r="P429" i="29"/>
  <c r="I433" i="29"/>
  <c r="K434" i="29"/>
  <c r="O400" i="29" l="1" a="1"/>
  <c r="O400" i="29" s="1"/>
  <c r="R400" i="29" s="1"/>
  <c r="S400" i="29" s="1"/>
  <c r="Q433" i="29" a="1"/>
  <c r="Q433" i="29" s="1"/>
  <c r="N433" i="29" a="1"/>
  <c r="N433" i="29" s="1"/>
  <c r="G432" i="29"/>
  <c r="C431" i="29" a="1"/>
  <c r="C431" i="29" s="1"/>
  <c r="M431" i="29"/>
  <c r="F431" i="29"/>
  <c r="L432" i="29" a="1"/>
  <c r="L432" i="29" s="1"/>
  <c r="P430" i="29"/>
  <c r="K435" i="29"/>
  <c r="I434" i="29"/>
  <c r="O401" i="29" l="1" a="1"/>
  <c r="O401" i="29" s="1"/>
  <c r="R401" i="29" s="1"/>
  <c r="S401" i="29" s="1"/>
  <c r="N434" i="29" a="1"/>
  <c r="N434" i="29" s="1"/>
  <c r="Q434" i="29" a="1"/>
  <c r="Q434" i="29" s="1"/>
  <c r="I435" i="29"/>
  <c r="K436" i="29"/>
  <c r="G433" i="29"/>
  <c r="P431" i="29"/>
  <c r="F432" i="29"/>
  <c r="M432" i="29"/>
  <c r="C432" i="29" a="1"/>
  <c r="C432" i="29" s="1"/>
  <c r="L433" i="29" a="1"/>
  <c r="L433" i="29" s="1"/>
  <c r="B433" i="29"/>
  <c r="O402" i="29" l="1" a="1"/>
  <c r="O402" i="29" s="1"/>
  <c r="R402" i="29" s="1"/>
  <c r="S402" i="29" s="1"/>
  <c r="C433" i="29" a="1"/>
  <c r="C433" i="29" s="1"/>
  <c r="M433" i="29"/>
  <c r="F433" i="29"/>
  <c r="L434" i="29" a="1"/>
  <c r="L434" i="29" s="1"/>
  <c r="K437" i="29"/>
  <c r="I436" i="29"/>
  <c r="P432" i="29"/>
  <c r="Q435" i="29" a="1"/>
  <c r="Q435" i="29" s="1"/>
  <c r="N435" i="29" a="1"/>
  <c r="N435" i="29" s="1"/>
  <c r="B434" i="29"/>
  <c r="G434" i="29"/>
  <c r="O403" i="29" l="1" a="1"/>
  <c r="O403" i="29" s="1"/>
  <c r="R403" i="29" s="1"/>
  <c r="S403" i="29" s="1"/>
  <c r="N436" i="29" a="1"/>
  <c r="N436" i="29" s="1"/>
  <c r="Q436" i="29" a="1"/>
  <c r="Q436" i="29" s="1"/>
  <c r="I437" i="29"/>
  <c r="K438" i="29"/>
  <c r="F434" i="29"/>
  <c r="C434" i="29" a="1"/>
  <c r="C434" i="29" s="1"/>
  <c r="M434" i="29"/>
  <c r="L435" i="29" a="1"/>
  <c r="L435" i="29" s="1"/>
  <c r="B436" i="29" s="1"/>
  <c r="G435" i="29"/>
  <c r="B435" i="29"/>
  <c r="P433" i="29"/>
  <c r="O404" i="29" l="1" a="1"/>
  <c r="O404" i="29" s="1"/>
  <c r="R404" i="29" s="1"/>
  <c r="S404" i="29" s="1"/>
  <c r="K439" i="29"/>
  <c r="I438" i="29"/>
  <c r="Q437" i="29" a="1"/>
  <c r="Q437" i="29" s="1"/>
  <c r="N437" i="29" a="1"/>
  <c r="N437" i="29" s="1"/>
  <c r="G436" i="29"/>
  <c r="C435" i="29" a="1"/>
  <c r="C435" i="29" s="1"/>
  <c r="M435" i="29"/>
  <c r="F435" i="29"/>
  <c r="L436" i="29" a="1"/>
  <c r="L436" i="29" s="1"/>
  <c r="B437" i="29" s="1"/>
  <c r="P434" i="29"/>
  <c r="O405" i="29" l="1" a="1"/>
  <c r="O405" i="29" s="1"/>
  <c r="R405" i="29" s="1"/>
  <c r="S405" i="29" s="1"/>
  <c r="G437" i="29"/>
  <c r="N438" i="29" a="1"/>
  <c r="N438" i="29" s="1"/>
  <c r="Q438" i="29" a="1"/>
  <c r="Q438" i="29" s="1"/>
  <c r="F436" i="29"/>
  <c r="M436" i="29"/>
  <c r="C436" i="29" a="1"/>
  <c r="C436" i="29" s="1"/>
  <c r="L437" i="29" a="1"/>
  <c r="L437" i="29" s="1"/>
  <c r="P435" i="29"/>
  <c r="I439" i="29"/>
  <c r="K440" i="29"/>
  <c r="O406" i="29" l="1" a="1"/>
  <c r="O406" i="29" s="1"/>
  <c r="R406" i="29" s="1"/>
  <c r="S406" i="29" s="1"/>
  <c r="C437" i="29" a="1"/>
  <c r="C437" i="29" s="1"/>
  <c r="M437" i="29"/>
  <c r="F437" i="29"/>
  <c r="L438" i="29" a="1"/>
  <c r="L438" i="29" s="1"/>
  <c r="K441" i="29"/>
  <c r="I440" i="29"/>
  <c r="Q439" i="29" a="1"/>
  <c r="Q439" i="29" s="1"/>
  <c r="N439" i="29" a="1"/>
  <c r="N439" i="29" s="1"/>
  <c r="B438" i="29"/>
  <c r="G438" i="29"/>
  <c r="P436" i="29"/>
  <c r="O407" i="29" l="1" a="1"/>
  <c r="O407" i="29" s="1"/>
  <c r="R407" i="29" s="1"/>
  <c r="S407" i="29" s="1"/>
  <c r="F438" i="29"/>
  <c r="C438" i="29" a="1"/>
  <c r="C438" i="29" s="1"/>
  <c r="M438" i="29"/>
  <c r="L439" i="29" a="1"/>
  <c r="L439" i="29" s="1"/>
  <c r="G439" i="29"/>
  <c r="N440" i="29" a="1"/>
  <c r="N440" i="29" s="1"/>
  <c r="Q440" i="29" a="1"/>
  <c r="Q440" i="29" s="1"/>
  <c r="I441" i="29"/>
  <c r="K442" i="29"/>
  <c r="P437" i="29"/>
  <c r="B439" i="29"/>
  <c r="O408" i="29" l="1" a="1"/>
  <c r="O408" i="29" s="1"/>
  <c r="R408" i="29" s="1"/>
  <c r="S408" i="29" s="1"/>
  <c r="K443" i="29"/>
  <c r="I442" i="29"/>
  <c r="C439" i="29" a="1"/>
  <c r="C439" i="29" s="1"/>
  <c r="M439" i="29"/>
  <c r="F439" i="29"/>
  <c r="L440" i="29" a="1"/>
  <c r="L440" i="29" s="1"/>
  <c r="Q441" i="29" a="1"/>
  <c r="Q441" i="29" s="1"/>
  <c r="N441" i="29" a="1"/>
  <c r="N441" i="29" s="1"/>
  <c r="P438" i="29"/>
  <c r="B440" i="29"/>
  <c r="G440" i="29"/>
  <c r="O409" i="29" l="1" a="1"/>
  <c r="O409" i="29" s="1"/>
  <c r="R409" i="29" s="1"/>
  <c r="S409" i="29" s="1"/>
  <c r="P439" i="29"/>
  <c r="G441" i="29"/>
  <c r="F440" i="29"/>
  <c r="M440" i="29"/>
  <c r="C440" i="29" a="1"/>
  <c r="C440" i="29" s="1"/>
  <c r="L441" i="29" a="1"/>
  <c r="L441" i="29" s="1"/>
  <c r="B442" i="29" s="1"/>
  <c r="N442" i="29" a="1"/>
  <c r="N442" i="29" s="1"/>
  <c r="Q442" i="29" a="1"/>
  <c r="Q442" i="29" s="1"/>
  <c r="I443" i="29"/>
  <c r="K444" i="29"/>
  <c r="B441" i="29"/>
  <c r="O410" i="29" l="1" a="1"/>
  <c r="O410" i="29" s="1"/>
  <c r="R410" i="29" s="1"/>
  <c r="S410" i="29" s="1"/>
  <c r="K445" i="29"/>
  <c r="I444" i="29"/>
  <c r="Q443" i="29" a="1"/>
  <c r="Q443" i="29" s="1"/>
  <c r="N443" i="29" a="1"/>
  <c r="N443" i="29" s="1"/>
  <c r="G442" i="29"/>
  <c r="P440" i="29"/>
  <c r="C441" i="29" a="1"/>
  <c r="C441" i="29" s="1"/>
  <c r="M441" i="29"/>
  <c r="F441" i="29"/>
  <c r="L442" i="29" a="1"/>
  <c r="L442" i="29" s="1"/>
  <c r="O411" i="29" l="1" a="1"/>
  <c r="O411" i="29" s="1"/>
  <c r="R411" i="29" s="1"/>
  <c r="S411" i="29" s="1"/>
  <c r="F442" i="29"/>
  <c r="C442" i="29" a="1"/>
  <c r="C442" i="29" s="1"/>
  <c r="M442" i="29"/>
  <c r="L443" i="29" a="1"/>
  <c r="L443" i="29" s="1"/>
  <c r="B444" i="29" s="1"/>
  <c r="G443" i="29"/>
  <c r="P441" i="29"/>
  <c r="B443" i="29"/>
  <c r="N444" i="29" a="1"/>
  <c r="N444" i="29" s="1"/>
  <c r="Q444" i="29" a="1"/>
  <c r="Q444" i="29" s="1"/>
  <c r="I445" i="29"/>
  <c r="K446" i="29"/>
  <c r="O412" i="29" l="1" a="1"/>
  <c r="O412" i="29" s="1"/>
  <c r="R412" i="29" s="1"/>
  <c r="S412" i="29" s="1"/>
  <c r="C443" i="29" a="1"/>
  <c r="C443" i="29" s="1"/>
  <c r="M443" i="29"/>
  <c r="F443" i="29"/>
  <c r="L444" i="29" a="1"/>
  <c r="L444" i="29" s="1"/>
  <c r="G444" i="29"/>
  <c r="Q445" i="29" a="1"/>
  <c r="Q445" i="29" s="1"/>
  <c r="N445" i="29" a="1"/>
  <c r="N445" i="29" s="1"/>
  <c r="P442" i="29"/>
  <c r="K447" i="29"/>
  <c r="I446" i="29"/>
  <c r="O413" i="29" l="1" a="1"/>
  <c r="O413" i="29" s="1"/>
  <c r="R413" i="29" s="1"/>
  <c r="S413" i="29" s="1"/>
  <c r="F444" i="29"/>
  <c r="M444" i="29"/>
  <c r="C444" i="29" a="1"/>
  <c r="C444" i="29" s="1"/>
  <c r="L445" i="29" a="1"/>
  <c r="L445" i="29" s="1"/>
  <c r="G445" i="29"/>
  <c r="N446" i="29" a="1"/>
  <c r="N446" i="29" s="1"/>
  <c r="Q446" i="29" a="1"/>
  <c r="Q446" i="29" s="1"/>
  <c r="I447" i="29"/>
  <c r="K448" i="29"/>
  <c r="P443" i="29"/>
  <c r="B445" i="29"/>
  <c r="O414" i="29" l="1" a="1"/>
  <c r="O414" i="29" s="1"/>
  <c r="R414" i="29" s="1"/>
  <c r="S414" i="29" s="1"/>
  <c r="K449" i="29"/>
  <c r="I448" i="29"/>
  <c r="Q447" i="29" a="1"/>
  <c r="Q447" i="29" s="1"/>
  <c r="N447" i="29" a="1"/>
  <c r="N447" i="29" s="1"/>
  <c r="C445" i="29" a="1"/>
  <c r="C445" i="29" s="1"/>
  <c r="M445" i="29"/>
  <c r="F445" i="29"/>
  <c r="L446" i="29" a="1"/>
  <c r="L446" i="29" s="1"/>
  <c r="B447" i="29" s="1"/>
  <c r="P444" i="29"/>
  <c r="B446" i="29"/>
  <c r="G446" i="29"/>
  <c r="O415" i="29" l="1" a="1"/>
  <c r="O415" i="29" s="1"/>
  <c r="R415" i="29" s="1"/>
  <c r="S415" i="29" s="1"/>
  <c r="G447" i="29"/>
  <c r="N448" i="29" a="1"/>
  <c r="N448" i="29" s="1"/>
  <c r="Q448" i="29" a="1"/>
  <c r="Q448" i="29" s="1"/>
  <c r="F446" i="29"/>
  <c r="C446" i="29" a="1"/>
  <c r="C446" i="29" s="1"/>
  <c r="M446" i="29"/>
  <c r="L447" i="29" a="1"/>
  <c r="L447" i="29" s="1"/>
  <c r="B448" i="29" s="1"/>
  <c r="I449" i="29"/>
  <c r="K450" i="29"/>
  <c r="P445" i="29"/>
  <c r="O416" i="29" l="1" a="1"/>
  <c r="O416" i="29" s="1"/>
  <c r="R416" i="29" s="1"/>
  <c r="S416" i="29" s="1"/>
  <c r="K451" i="29"/>
  <c r="I450" i="29"/>
  <c r="Q449" i="29" a="1"/>
  <c r="Q449" i="29" s="1"/>
  <c r="N449" i="29" a="1"/>
  <c r="N449" i="29" s="1"/>
  <c r="G448" i="29"/>
  <c r="P446" i="29"/>
  <c r="C447" i="29" a="1"/>
  <c r="C447" i="29" s="1"/>
  <c r="M447" i="29"/>
  <c r="F447" i="29"/>
  <c r="L448" i="29" a="1"/>
  <c r="L448" i="29" s="1"/>
  <c r="B449" i="29" s="1"/>
  <c r="O417" i="29" l="1" a="1"/>
  <c r="O417" i="29" s="1"/>
  <c r="R417" i="29" s="1"/>
  <c r="S417" i="29" s="1"/>
  <c r="P447" i="29"/>
  <c r="F448" i="29"/>
  <c r="M448" i="29"/>
  <c r="C448" i="29" a="1"/>
  <c r="C448" i="29" s="1"/>
  <c r="L449" i="29" a="1"/>
  <c r="L449" i="29" s="1"/>
  <c r="G449" i="29"/>
  <c r="N450" i="29" a="1"/>
  <c r="N450" i="29" s="1"/>
  <c r="Q450" i="29" a="1"/>
  <c r="Q450" i="29" s="1"/>
  <c r="K452" i="29"/>
  <c r="I451" i="29"/>
  <c r="O418" i="29" l="1" a="1"/>
  <c r="O418" i="29" s="1"/>
  <c r="R418" i="29" s="1"/>
  <c r="S418" i="29" s="1"/>
  <c r="C449" i="29" a="1"/>
  <c r="C449" i="29" s="1"/>
  <c r="M449" i="29"/>
  <c r="F449" i="29"/>
  <c r="L450" i="29" a="1"/>
  <c r="L450" i="29" s="1"/>
  <c r="K453" i="29"/>
  <c r="I452" i="29"/>
  <c r="P448" i="29"/>
  <c r="Q451" i="29" a="1"/>
  <c r="Q451" i="29" s="1"/>
  <c r="N451" i="29" a="1"/>
  <c r="N451" i="29" s="1"/>
  <c r="B450" i="29"/>
  <c r="G450" i="29"/>
  <c r="O419" i="29" l="1" a="1"/>
  <c r="O419" i="29" s="1"/>
  <c r="R419" i="29" s="1"/>
  <c r="S419" i="29" s="1"/>
  <c r="F450" i="29"/>
  <c r="C450" i="29" a="1"/>
  <c r="C450" i="29" s="1"/>
  <c r="M450" i="29"/>
  <c r="L451" i="29" a="1"/>
  <c r="L451" i="29" s="1"/>
  <c r="P449" i="29"/>
  <c r="N452" i="29" a="1"/>
  <c r="N452" i="29" s="1"/>
  <c r="Q452" i="29" a="1"/>
  <c r="Q452" i="29" s="1"/>
  <c r="K454" i="29"/>
  <c r="I453" i="29"/>
  <c r="G451" i="29"/>
  <c r="B451" i="29"/>
  <c r="O420" i="29" l="1" a="1"/>
  <c r="O420" i="29" s="1"/>
  <c r="R420" i="29" s="1"/>
  <c r="S420" i="29" s="1"/>
  <c r="Q453" i="29" a="1"/>
  <c r="Q453" i="29" s="1"/>
  <c r="N453" i="29" a="1"/>
  <c r="N453" i="29" s="1"/>
  <c r="C451" i="29" a="1"/>
  <c r="C451" i="29" s="1"/>
  <c r="F451" i="29"/>
  <c r="M451" i="29"/>
  <c r="L452" i="29" a="1"/>
  <c r="L452" i="29" s="1"/>
  <c r="B453" i="29" s="1"/>
  <c r="K455" i="29"/>
  <c r="I454" i="29"/>
  <c r="P450" i="29"/>
  <c r="B452" i="29"/>
  <c r="G452" i="29"/>
  <c r="O421" i="29" l="1" a="1"/>
  <c r="O421" i="29" s="1"/>
  <c r="R421" i="29" s="1"/>
  <c r="S421" i="29" s="1"/>
  <c r="G453" i="29"/>
  <c r="N454" i="29" a="1"/>
  <c r="N454" i="29" s="1"/>
  <c r="Q454" i="29" a="1"/>
  <c r="Q454" i="29" s="1"/>
  <c r="K456" i="29"/>
  <c r="I455" i="29"/>
  <c r="F452" i="29"/>
  <c r="M452" i="29"/>
  <c r="C452" i="29" a="1"/>
  <c r="C452" i="29" s="1"/>
  <c r="L453" i="29" a="1"/>
  <c r="L453" i="29" s="1"/>
  <c r="P451" i="29"/>
  <c r="O422" i="29" l="1" a="1"/>
  <c r="O422" i="29" s="1"/>
  <c r="R422" i="29" s="1"/>
  <c r="S422" i="29" s="1"/>
  <c r="C453" i="29" a="1"/>
  <c r="C453" i="29" s="1"/>
  <c r="F453" i="29"/>
  <c r="M453" i="29"/>
  <c r="L454" i="29" a="1"/>
  <c r="L454" i="29" s="1"/>
  <c r="B455" i="29" s="1"/>
  <c r="G454" i="29"/>
  <c r="B454" i="29"/>
  <c r="P452" i="29"/>
  <c r="Q455" i="29" a="1"/>
  <c r="Q455" i="29" s="1"/>
  <c r="N455" i="29" a="1"/>
  <c r="N455" i="29" s="1"/>
  <c r="K457" i="29"/>
  <c r="I456" i="29"/>
  <c r="O423" i="29" l="1" a="1"/>
  <c r="O423" i="29" s="1"/>
  <c r="R423" i="29" s="1"/>
  <c r="S423" i="29" s="1"/>
  <c r="I457" i="29"/>
  <c r="K458" i="29"/>
  <c r="G455" i="29"/>
  <c r="F454" i="29"/>
  <c r="C454" i="29" a="1"/>
  <c r="C454" i="29" s="1"/>
  <c r="M454" i="29"/>
  <c r="L455" i="29" a="1"/>
  <c r="L455" i="29" s="1"/>
  <c r="B456" i="29" s="1"/>
  <c r="P453" i="29"/>
  <c r="N456" i="29" a="1"/>
  <c r="N456" i="29" s="1"/>
  <c r="Q456" i="29" a="1"/>
  <c r="Q456" i="29" s="1"/>
  <c r="O424" i="29" l="1" a="1"/>
  <c r="O424" i="29" s="1"/>
  <c r="R424" i="29" s="1"/>
  <c r="S424" i="29" s="1"/>
  <c r="G456" i="29"/>
  <c r="K459" i="29"/>
  <c r="I458" i="29"/>
  <c r="Q457" i="29" a="1"/>
  <c r="Q457" i="29" s="1"/>
  <c r="N457" i="29" a="1"/>
  <c r="N457" i="29" s="1"/>
  <c r="F455" i="29"/>
  <c r="M455" i="29"/>
  <c r="C455" i="29" a="1"/>
  <c r="C455" i="29" s="1"/>
  <c r="L456" i="29" a="1"/>
  <c r="L456" i="29" s="1"/>
  <c r="P454" i="29"/>
  <c r="O425" i="29" l="1" a="1"/>
  <c r="O425" i="29" s="1"/>
  <c r="R425" i="29" s="1"/>
  <c r="S425" i="29" s="1"/>
  <c r="F456" i="29"/>
  <c r="M456" i="29"/>
  <c r="C456" i="29" a="1"/>
  <c r="C456" i="29" s="1"/>
  <c r="L457" i="29" a="1"/>
  <c r="L457" i="29" s="1"/>
  <c r="N458" i="29" a="1"/>
  <c r="N458" i="29" s="1"/>
  <c r="Q458" i="29" a="1"/>
  <c r="Q458" i="29" s="1"/>
  <c r="K460" i="29"/>
  <c r="I459" i="29"/>
  <c r="P455" i="29"/>
  <c r="G457" i="29"/>
  <c r="B457" i="29"/>
  <c r="O426" i="29" l="1" a="1"/>
  <c r="O426" i="29" s="1"/>
  <c r="R426" i="29" s="1"/>
  <c r="S426" i="29" s="1"/>
  <c r="M457" i="29"/>
  <c r="C457" i="29" a="1"/>
  <c r="C457" i="29" s="1"/>
  <c r="F457" i="29"/>
  <c r="L458" i="29" a="1"/>
  <c r="L458" i="29" s="1"/>
  <c r="Q459" i="29" a="1"/>
  <c r="Q459" i="29" s="1"/>
  <c r="N459" i="29" a="1"/>
  <c r="N459" i="29" s="1"/>
  <c r="G458" i="29"/>
  <c r="P456" i="29"/>
  <c r="K461" i="29"/>
  <c r="I460" i="29"/>
  <c r="B458" i="29"/>
  <c r="O427" i="29" l="1" a="1"/>
  <c r="O427" i="29" s="1"/>
  <c r="R427" i="29" s="1"/>
  <c r="S427" i="29" s="1"/>
  <c r="N460" i="29" a="1"/>
  <c r="N460" i="29" s="1"/>
  <c r="Q460" i="29" a="1"/>
  <c r="Q460" i="29" s="1"/>
  <c r="K462" i="29"/>
  <c r="I461" i="29"/>
  <c r="F458" i="29"/>
  <c r="M458" i="29"/>
  <c r="C458" i="29" a="1"/>
  <c r="C458" i="29" s="1"/>
  <c r="L459" i="29" a="1"/>
  <c r="L459" i="29" s="1"/>
  <c r="B460" i="29" s="1"/>
  <c r="B459" i="29"/>
  <c r="P457" i="29"/>
  <c r="G459" i="29"/>
  <c r="O428" i="29" l="1" a="1"/>
  <c r="O428" i="29" s="1"/>
  <c r="R428" i="29" s="1"/>
  <c r="S428" i="29" s="1"/>
  <c r="Q461" i="29" a="1"/>
  <c r="Q461" i="29" s="1"/>
  <c r="N461" i="29" a="1"/>
  <c r="N461" i="29" s="1"/>
  <c r="K463" i="29"/>
  <c r="I462" i="29"/>
  <c r="M459" i="29"/>
  <c r="C459" i="29" a="1"/>
  <c r="C459" i="29" s="1"/>
  <c r="F459" i="29"/>
  <c r="L460" i="29" a="1"/>
  <c r="L460" i="29" s="1"/>
  <c r="B461" i="29" s="1"/>
  <c r="G460" i="29"/>
  <c r="P458" i="29"/>
  <c r="O429" i="29" l="1" a="1"/>
  <c r="O429" i="29" s="1"/>
  <c r="R429" i="29" s="1"/>
  <c r="S429" i="29" s="1"/>
  <c r="N462" i="29" a="1"/>
  <c r="N462" i="29" s="1"/>
  <c r="Q462" i="29" a="1"/>
  <c r="Q462" i="29" s="1"/>
  <c r="K464" i="29"/>
  <c r="I463" i="29"/>
  <c r="G461" i="29"/>
  <c r="F460" i="29"/>
  <c r="M460" i="29"/>
  <c r="C460" i="29" a="1"/>
  <c r="C460" i="29" s="1"/>
  <c r="L461" i="29" a="1"/>
  <c r="L461" i="29" s="1"/>
  <c r="B462" i="29" s="1"/>
  <c r="P459" i="29"/>
  <c r="O430" i="29" l="1" a="1"/>
  <c r="O430" i="29" s="1"/>
  <c r="R430" i="29" s="1"/>
  <c r="S430" i="29" s="1"/>
  <c r="Q463" i="29" a="1"/>
  <c r="Q463" i="29" s="1"/>
  <c r="N463" i="29" a="1"/>
  <c r="N463" i="29" s="1"/>
  <c r="K465" i="29"/>
  <c r="I464" i="29"/>
  <c r="C461" i="29" a="1"/>
  <c r="C461" i="29" s="1"/>
  <c r="F461" i="29"/>
  <c r="M461" i="29"/>
  <c r="L462" i="29" a="1"/>
  <c r="L462" i="29" s="1"/>
  <c r="B463" i="29" s="1"/>
  <c r="P460" i="29"/>
  <c r="G462" i="29"/>
  <c r="O431" i="29" l="1" a="1"/>
  <c r="O431" i="29" s="1"/>
  <c r="R431" i="29" s="1"/>
  <c r="S431" i="29" s="1"/>
  <c r="N464" i="29" a="1"/>
  <c r="N464" i="29" s="1"/>
  <c r="Q464" i="29" a="1"/>
  <c r="Q464" i="29" s="1"/>
  <c r="I465" i="29"/>
  <c r="K466" i="29"/>
  <c r="G463" i="29"/>
  <c r="F462" i="29"/>
  <c r="C462" i="29" a="1"/>
  <c r="C462" i="29" s="1"/>
  <c r="M462" i="29"/>
  <c r="L463" i="29" a="1"/>
  <c r="L463" i="29" s="1"/>
  <c r="P461" i="29"/>
  <c r="O432" i="29" l="1" a="1"/>
  <c r="O432" i="29" s="1"/>
  <c r="R432" i="29" s="1"/>
  <c r="S432" i="29" s="1"/>
  <c r="K467" i="29"/>
  <c r="I466" i="29"/>
  <c r="Q465" i="29" a="1"/>
  <c r="Q465" i="29" s="1"/>
  <c r="N465" i="29" a="1"/>
  <c r="N465" i="29" s="1"/>
  <c r="P462" i="29"/>
  <c r="F463" i="29"/>
  <c r="M463" i="29"/>
  <c r="C463" i="29" a="1"/>
  <c r="C463" i="29" s="1"/>
  <c r="L464" i="29" a="1"/>
  <c r="L464" i="29" s="1"/>
  <c r="B465" i="29" s="1"/>
  <c r="B464" i="29"/>
  <c r="G464" i="29"/>
  <c r="O433" i="29" l="1" a="1"/>
  <c r="O433" i="29" s="1"/>
  <c r="R433" i="29" s="1"/>
  <c r="S433" i="29" s="1"/>
  <c r="G465" i="29"/>
  <c r="F464" i="29"/>
  <c r="M464" i="29"/>
  <c r="C464" i="29" a="1"/>
  <c r="C464" i="29" s="1"/>
  <c r="L465" i="29" a="1"/>
  <c r="L465" i="29" s="1"/>
  <c r="P463" i="29"/>
  <c r="N466" i="29" a="1"/>
  <c r="N466" i="29" s="1"/>
  <c r="Q466" i="29" a="1"/>
  <c r="Q466" i="29" s="1"/>
  <c r="I467" i="29"/>
  <c r="K468" i="29"/>
  <c r="O434" i="29" l="1" a="1"/>
  <c r="O434" i="29" s="1"/>
  <c r="R434" i="29" s="1"/>
  <c r="S434" i="29" s="1"/>
  <c r="M465" i="29"/>
  <c r="C465" i="29" a="1"/>
  <c r="C465" i="29" s="1"/>
  <c r="F465" i="29"/>
  <c r="L466" i="29" a="1"/>
  <c r="L466" i="29" s="1"/>
  <c r="B467" i="29" s="1"/>
  <c r="Q467" i="29" a="1"/>
  <c r="Q467" i="29" s="1"/>
  <c r="N467" i="29" a="1"/>
  <c r="N467" i="29" s="1"/>
  <c r="B466" i="29"/>
  <c r="K469" i="29"/>
  <c r="I468" i="29"/>
  <c r="P464" i="29"/>
  <c r="G466" i="29"/>
  <c r="O435" i="29" l="1" a="1"/>
  <c r="O435" i="29" s="1"/>
  <c r="R435" i="29" s="1"/>
  <c r="S435" i="29" s="1"/>
  <c r="N468" i="29" a="1"/>
  <c r="N468" i="29" s="1"/>
  <c r="Q468" i="29" a="1"/>
  <c r="Q468" i="29" s="1"/>
  <c r="I469" i="29"/>
  <c r="K470" i="29"/>
  <c r="F466" i="29"/>
  <c r="M466" i="29"/>
  <c r="C466" i="29" a="1"/>
  <c r="C466" i="29" s="1"/>
  <c r="L467" i="29" a="1"/>
  <c r="L467" i="29" s="1"/>
  <c r="B468" i="29" s="1"/>
  <c r="P465" i="29"/>
  <c r="G467" i="29"/>
  <c r="O436" i="29" l="1" a="1"/>
  <c r="O436" i="29" s="1"/>
  <c r="R436" i="29" s="1"/>
  <c r="S436" i="29" s="1"/>
  <c r="Q469" i="29" a="1"/>
  <c r="Q469" i="29" s="1"/>
  <c r="N469" i="29" a="1"/>
  <c r="N469" i="29" s="1"/>
  <c r="K471" i="29"/>
  <c r="I470" i="29"/>
  <c r="M467" i="29"/>
  <c r="C467" i="29" a="1"/>
  <c r="C467" i="29" s="1"/>
  <c r="F467" i="29"/>
  <c r="L468" i="29" a="1"/>
  <c r="L468" i="29" s="1"/>
  <c r="G468" i="29"/>
  <c r="P466" i="29"/>
  <c r="O437" i="29" l="1" a="1"/>
  <c r="O437" i="29" s="1"/>
  <c r="R437" i="29" s="1"/>
  <c r="S437" i="29" s="1"/>
  <c r="N470" i="29" a="1"/>
  <c r="N470" i="29" s="1"/>
  <c r="Q470" i="29" a="1"/>
  <c r="Q470" i="29" s="1"/>
  <c r="K472" i="29"/>
  <c r="I471" i="29"/>
  <c r="G469" i="29"/>
  <c r="M468" i="29"/>
  <c r="C468" i="29" a="1"/>
  <c r="C468" i="29" s="1"/>
  <c r="F468" i="29"/>
  <c r="L469" i="29" a="1"/>
  <c r="L469" i="29" s="1"/>
  <c r="B469" i="29"/>
  <c r="P467" i="29"/>
  <c r="O438" i="29" l="1" a="1"/>
  <c r="O438" i="29" s="1"/>
  <c r="R438" i="29" s="1"/>
  <c r="S438" i="29" s="1"/>
  <c r="N471" i="29" a="1"/>
  <c r="N471" i="29" s="1"/>
  <c r="Q471" i="29" a="1"/>
  <c r="Q471" i="29" s="1"/>
  <c r="F469" i="29"/>
  <c r="M469" i="29"/>
  <c r="C469" i="29" a="1"/>
  <c r="C469" i="29" s="1"/>
  <c r="L470" i="29" a="1"/>
  <c r="L470" i="29" s="1"/>
  <c r="B471" i="29" s="1"/>
  <c r="P468" i="29"/>
  <c r="K473" i="29"/>
  <c r="I472" i="29"/>
  <c r="B470" i="29"/>
  <c r="G470" i="29"/>
  <c r="O439" i="29" l="1" a="1"/>
  <c r="O439" i="29" s="1"/>
  <c r="R439" i="29" s="1"/>
  <c r="S439" i="29" s="1"/>
  <c r="G471" i="29"/>
  <c r="P469" i="29"/>
  <c r="N472" i="29" a="1"/>
  <c r="N472" i="29" s="1"/>
  <c r="Q472" i="29" a="1"/>
  <c r="Q472" i="29" s="1"/>
  <c r="I473" i="29"/>
  <c r="K474" i="29"/>
  <c r="M470" i="29"/>
  <c r="C470" i="29" a="1"/>
  <c r="C470" i="29" s="1"/>
  <c r="F470" i="29"/>
  <c r="L471" i="29" a="1"/>
  <c r="L471" i="29" s="1"/>
  <c r="O440" i="29" l="1" a="1"/>
  <c r="O440" i="29" s="1"/>
  <c r="R440" i="29" s="1"/>
  <c r="S440" i="29" s="1"/>
  <c r="G472" i="29"/>
  <c r="M471" i="29"/>
  <c r="C471" i="29" a="1"/>
  <c r="C471" i="29" s="1"/>
  <c r="F471" i="29"/>
  <c r="L472" i="29" a="1"/>
  <c r="L472" i="29" s="1"/>
  <c r="P470" i="29"/>
  <c r="K475" i="29"/>
  <c r="I474" i="29"/>
  <c r="Q473" i="29" a="1"/>
  <c r="Q473" i="29" s="1"/>
  <c r="N473" i="29" a="1"/>
  <c r="N473" i="29" s="1"/>
  <c r="B472" i="29"/>
  <c r="O441" i="29" l="1" a="1"/>
  <c r="O441" i="29" s="1"/>
  <c r="R441" i="29" s="1"/>
  <c r="S441" i="29" s="1"/>
  <c r="M472" i="29"/>
  <c r="C472" i="29" a="1"/>
  <c r="C472" i="29" s="1"/>
  <c r="F472" i="29"/>
  <c r="L473" i="29" a="1"/>
  <c r="L473" i="29" s="1"/>
  <c r="B473" i="29"/>
  <c r="G473" i="29"/>
  <c r="P471" i="29"/>
  <c r="N474" i="29" a="1"/>
  <c r="N474" i="29" s="1"/>
  <c r="Q474" i="29" a="1"/>
  <c r="Q474" i="29" s="1"/>
  <c r="I475" i="29"/>
  <c r="K476" i="29"/>
  <c r="O442" i="29" l="1" a="1"/>
  <c r="O442" i="29" s="1"/>
  <c r="R442" i="29" s="1"/>
  <c r="S442" i="29" s="1"/>
  <c r="M473" i="29"/>
  <c r="C473" i="29" a="1"/>
  <c r="C473" i="29" s="1"/>
  <c r="F473" i="29"/>
  <c r="L474" i="29" a="1"/>
  <c r="L474" i="29" s="1"/>
  <c r="B475" i="29" s="1"/>
  <c r="G474" i="29"/>
  <c r="N475" i="29" a="1"/>
  <c r="N475" i="29" s="1"/>
  <c r="Q475" i="29" a="1"/>
  <c r="Q475" i="29" s="1"/>
  <c r="B474" i="29"/>
  <c r="P472" i="29"/>
  <c r="K477" i="29"/>
  <c r="I476" i="29"/>
  <c r="O443" i="29" l="1" a="1"/>
  <c r="O443" i="29" s="1"/>
  <c r="R443" i="29" s="1"/>
  <c r="S443" i="29" s="1"/>
  <c r="K478" i="29"/>
  <c r="I477" i="29"/>
  <c r="F474" i="29"/>
  <c r="C474" i="29" a="1"/>
  <c r="C474" i="29" s="1"/>
  <c r="M474" i="29"/>
  <c r="L475" i="29" a="1"/>
  <c r="L475" i="29" s="1"/>
  <c r="P473" i="29"/>
  <c r="N476" i="29" a="1"/>
  <c r="N476" i="29" s="1"/>
  <c r="Q476" i="29" a="1"/>
  <c r="Q476" i="29" s="1"/>
  <c r="G475" i="29"/>
  <c r="O444" i="29" l="1" a="1"/>
  <c r="O444" i="29" s="1"/>
  <c r="R444" i="29" s="1"/>
  <c r="S444" i="29" s="1"/>
  <c r="C475" i="29" a="1"/>
  <c r="C475" i="29" s="1"/>
  <c r="F475" i="29"/>
  <c r="M475" i="29"/>
  <c r="L476" i="29" a="1"/>
  <c r="L476" i="29" s="1"/>
  <c r="P474" i="29"/>
  <c r="B476" i="29"/>
  <c r="N477" i="29" a="1"/>
  <c r="N477" i="29" s="1"/>
  <c r="Q477" i="29" a="1"/>
  <c r="Q477" i="29" s="1"/>
  <c r="G476" i="29"/>
  <c r="K479" i="29"/>
  <c r="I478" i="29"/>
  <c r="O445" i="29" l="1" a="1"/>
  <c r="O445" i="29" s="1"/>
  <c r="R445" i="29" s="1"/>
  <c r="S445" i="29" s="1"/>
  <c r="M476" i="29"/>
  <c r="C476" i="29" a="1"/>
  <c r="C476" i="29" s="1"/>
  <c r="F476" i="29"/>
  <c r="L477" i="29" a="1"/>
  <c r="L477" i="29" s="1"/>
  <c r="G477" i="29"/>
  <c r="I479" i="29"/>
  <c r="K480" i="29"/>
  <c r="P475" i="29"/>
  <c r="B477" i="29"/>
  <c r="N478" i="29" a="1"/>
  <c r="N478" i="29" s="1"/>
  <c r="Q478" i="29" a="1"/>
  <c r="Q478" i="29" s="1"/>
  <c r="O446" i="29" l="1" a="1"/>
  <c r="O446" i="29" s="1"/>
  <c r="R446" i="29" s="1"/>
  <c r="S446" i="29" s="1"/>
  <c r="G478" i="29"/>
  <c r="M477" i="29"/>
  <c r="C477" i="29" a="1"/>
  <c r="C477" i="29" s="1"/>
  <c r="F477" i="29"/>
  <c r="L478" i="29" a="1"/>
  <c r="L478" i="29" s="1"/>
  <c r="P476" i="29"/>
  <c r="I480" i="29"/>
  <c r="K481" i="29"/>
  <c r="B478" i="29"/>
  <c r="Q479" i="29" a="1"/>
  <c r="Q479" i="29" s="1"/>
  <c r="N479" i="29" a="1"/>
  <c r="N479" i="29" s="1"/>
  <c r="O447" i="29" l="1" a="1"/>
  <c r="O447" i="29" s="1"/>
  <c r="R447" i="29" s="1"/>
  <c r="S447" i="29" s="1"/>
  <c r="K482" i="29"/>
  <c r="I481" i="29"/>
  <c r="M478" i="29"/>
  <c r="C478" i="29" a="1"/>
  <c r="C478" i="29" s="1"/>
  <c r="F478" i="29"/>
  <c r="L479" i="29" a="1"/>
  <c r="L479" i="29" s="1"/>
  <c r="B479" i="29"/>
  <c r="P477" i="29"/>
  <c r="N480" i="29" a="1"/>
  <c r="N480" i="29" s="1"/>
  <c r="Q480" i="29" a="1"/>
  <c r="Q480" i="29" s="1"/>
  <c r="G479" i="29"/>
  <c r="O448" i="29" l="1" a="1"/>
  <c r="O448" i="29" s="1"/>
  <c r="R448" i="29" s="1"/>
  <c r="S448" i="29" s="1"/>
  <c r="F479" i="29"/>
  <c r="M479" i="29"/>
  <c r="C479" i="29" a="1"/>
  <c r="C479" i="29" s="1"/>
  <c r="L480" i="29" a="1"/>
  <c r="L480" i="29" s="1"/>
  <c r="B480" i="29"/>
  <c r="G480" i="29"/>
  <c r="P478" i="29"/>
  <c r="N481" i="29" a="1"/>
  <c r="N481" i="29" s="1"/>
  <c r="Q481" i="29" a="1"/>
  <c r="Q481" i="29" s="1"/>
  <c r="I482" i="29"/>
  <c r="K483" i="29"/>
  <c r="O449" i="29" l="1" a="1"/>
  <c r="O449" i="29" s="1"/>
  <c r="R449" i="29" s="1"/>
  <c r="S449" i="29" s="1"/>
  <c r="Q482" i="29" a="1"/>
  <c r="Q482" i="29" s="1"/>
  <c r="N482" i="29" a="1"/>
  <c r="N482" i="29" s="1"/>
  <c r="C480" i="29" a="1"/>
  <c r="C480" i="29" s="1"/>
  <c r="F480" i="29"/>
  <c r="M480" i="29"/>
  <c r="L481" i="29" a="1"/>
  <c r="L481" i="29" s="1"/>
  <c r="B482" i="29" s="1"/>
  <c r="G481" i="29"/>
  <c r="B481" i="29"/>
  <c r="P479" i="29"/>
  <c r="K484" i="29"/>
  <c r="I483" i="29"/>
  <c r="O450" i="29" l="1" a="1"/>
  <c r="O450" i="29" s="1"/>
  <c r="R450" i="29" s="1"/>
  <c r="S450" i="29" s="1"/>
  <c r="I484" i="29"/>
  <c r="K485" i="29"/>
  <c r="G482" i="29"/>
  <c r="C481" i="29" a="1"/>
  <c r="C481" i="29" s="1"/>
  <c r="M481" i="29"/>
  <c r="F481" i="29"/>
  <c r="L482" i="29" a="1"/>
  <c r="L482" i="29" s="1"/>
  <c r="B483" i="29" s="1"/>
  <c r="N483" i="29" a="1"/>
  <c r="N483" i="29" s="1"/>
  <c r="Q483" i="29" a="1"/>
  <c r="Q483" i="29" s="1"/>
  <c r="P480" i="29"/>
  <c r="O451" i="29" l="1" a="1"/>
  <c r="O451" i="29" s="1"/>
  <c r="R451" i="29" s="1"/>
  <c r="S451" i="29" s="1"/>
  <c r="G483" i="29"/>
  <c r="K486" i="29"/>
  <c r="I485" i="29"/>
  <c r="Q484" i="29" a="1"/>
  <c r="Q484" i="29" s="1"/>
  <c r="N484" i="29" a="1"/>
  <c r="N484" i="29" s="1"/>
  <c r="P481" i="29"/>
  <c r="C482" i="29" a="1"/>
  <c r="C482" i="29" s="1"/>
  <c r="M482" i="29"/>
  <c r="F482" i="29"/>
  <c r="L483" i="29" a="1"/>
  <c r="L483" i="29" s="1"/>
  <c r="O452" i="29" l="1" a="1"/>
  <c r="O452" i="29" s="1"/>
  <c r="R452" i="29" s="1"/>
  <c r="S452" i="29" s="1"/>
  <c r="P482" i="29"/>
  <c r="N485" i="29" a="1"/>
  <c r="N485" i="29" s="1"/>
  <c r="Q485" i="29" a="1"/>
  <c r="Q485" i="29" s="1"/>
  <c r="C483" i="29" a="1"/>
  <c r="C483" i="29" s="1"/>
  <c r="M483" i="29"/>
  <c r="F483" i="29"/>
  <c r="L484" i="29" a="1"/>
  <c r="L484" i="29" s="1"/>
  <c r="B485" i="29" s="1"/>
  <c r="B484" i="29"/>
  <c r="I486" i="29"/>
  <c r="K487" i="29"/>
  <c r="G484" i="29"/>
  <c r="O453" i="29" l="1" a="1"/>
  <c r="O453" i="29" s="1"/>
  <c r="R453" i="29" s="1"/>
  <c r="S453" i="29" s="1"/>
  <c r="Q486" i="29" a="1"/>
  <c r="Q486" i="29" s="1"/>
  <c r="N486" i="29" a="1"/>
  <c r="N486" i="29" s="1"/>
  <c r="K488" i="29"/>
  <c r="I487" i="29"/>
  <c r="G485" i="29"/>
  <c r="P483" i="29"/>
  <c r="C484" i="29" a="1"/>
  <c r="C484" i="29" s="1"/>
  <c r="M484" i="29"/>
  <c r="F484" i="29"/>
  <c r="L485" i="29" a="1"/>
  <c r="L485" i="29" s="1"/>
  <c r="O454" i="29" l="1" a="1"/>
  <c r="O454" i="29" s="1"/>
  <c r="R454" i="29" s="1"/>
  <c r="S454" i="29" s="1"/>
  <c r="C485" i="29" a="1"/>
  <c r="C485" i="29" s="1"/>
  <c r="M485" i="29"/>
  <c r="F485" i="29"/>
  <c r="L486" i="29" a="1"/>
  <c r="L486" i="29" s="1"/>
  <c r="N487" i="29" a="1"/>
  <c r="N487" i="29" s="1"/>
  <c r="Q487" i="29" a="1"/>
  <c r="Q487" i="29" s="1"/>
  <c r="I488" i="29"/>
  <c r="K489" i="29"/>
  <c r="P484" i="29"/>
  <c r="G486" i="29"/>
  <c r="B486" i="29"/>
  <c r="O455" i="29" l="1" a="1"/>
  <c r="O455" i="29" s="1"/>
  <c r="R455" i="29" s="1"/>
  <c r="S455" i="29" s="1"/>
  <c r="G487" i="29"/>
  <c r="C486" i="29" a="1"/>
  <c r="C486" i="29" s="1"/>
  <c r="F486" i="29"/>
  <c r="M486" i="29"/>
  <c r="L487" i="29" a="1"/>
  <c r="L487" i="29" s="1"/>
  <c r="P485" i="29"/>
  <c r="Q488" i="29" a="1"/>
  <c r="Q488" i="29" s="1"/>
  <c r="N488" i="29" a="1"/>
  <c r="N488" i="29" s="1"/>
  <c r="B487" i="29"/>
  <c r="K490" i="29"/>
  <c r="I489" i="29"/>
  <c r="O456" i="29" l="1" a="1"/>
  <c r="O456" i="29" s="1"/>
  <c r="R456" i="29" s="1"/>
  <c r="S456" i="29" s="1"/>
  <c r="F487" i="29"/>
  <c r="M487" i="29"/>
  <c r="C487" i="29" a="1"/>
  <c r="C487" i="29" s="1"/>
  <c r="L488" i="29" a="1"/>
  <c r="L488" i="29" s="1"/>
  <c r="P486" i="29"/>
  <c r="G488" i="29"/>
  <c r="K491" i="29"/>
  <c r="I490" i="29"/>
  <c r="B488" i="29"/>
  <c r="N489" i="29" a="1"/>
  <c r="N489" i="29" s="1"/>
  <c r="Q489" i="29" a="1"/>
  <c r="Q489" i="29" s="1"/>
  <c r="O457" i="29" l="1" a="1"/>
  <c r="O457" i="29" s="1"/>
  <c r="R457" i="29" s="1"/>
  <c r="S457" i="29" s="1"/>
  <c r="M488" i="29"/>
  <c r="C488" i="29" a="1"/>
  <c r="C488" i="29" s="1"/>
  <c r="F488" i="29"/>
  <c r="L489" i="29" a="1"/>
  <c r="L489" i="29" s="1"/>
  <c r="Q490" i="29" a="1"/>
  <c r="Q490" i="29" s="1"/>
  <c r="N490" i="29" a="1"/>
  <c r="N490" i="29" s="1"/>
  <c r="G489" i="29"/>
  <c r="B489" i="29"/>
  <c r="P487" i="29"/>
  <c r="K492" i="29"/>
  <c r="I491" i="29"/>
  <c r="O458" i="29" l="1" a="1"/>
  <c r="O458" i="29" s="1"/>
  <c r="R458" i="29" s="1"/>
  <c r="S458" i="29" s="1"/>
  <c r="G490" i="29"/>
  <c r="I492" i="29"/>
  <c r="K493" i="29"/>
  <c r="F489" i="29"/>
  <c r="C489" i="29" a="1"/>
  <c r="C489" i="29" s="1"/>
  <c r="M489" i="29"/>
  <c r="L490" i="29" a="1"/>
  <c r="L490" i="29" s="1"/>
  <c r="B491" i="29" s="1"/>
  <c r="P488" i="29"/>
  <c r="N491" i="29" a="1"/>
  <c r="N491" i="29" s="1"/>
  <c r="Q491" i="29" a="1"/>
  <c r="Q491" i="29" s="1"/>
  <c r="B490" i="29"/>
  <c r="O459" i="29" l="1" a="1"/>
  <c r="O459" i="29" s="1"/>
  <c r="R459" i="29" s="1"/>
  <c r="S459" i="29" s="1"/>
  <c r="G491" i="29"/>
  <c r="K494" i="29"/>
  <c r="I493" i="29"/>
  <c r="Q492" i="29" a="1"/>
  <c r="Q492" i="29" s="1"/>
  <c r="N492" i="29" a="1"/>
  <c r="N492" i="29" s="1"/>
  <c r="M490" i="29"/>
  <c r="C490" i="29" a="1"/>
  <c r="C490" i="29" s="1"/>
  <c r="F490" i="29"/>
  <c r="L491" i="29" a="1"/>
  <c r="L491" i="29" s="1"/>
  <c r="P489" i="29"/>
  <c r="O460" i="29" l="1" a="1"/>
  <c r="O460" i="29" s="1"/>
  <c r="R460" i="29" s="1"/>
  <c r="S460" i="29" s="1"/>
  <c r="G492" i="29"/>
  <c r="N493" i="29" a="1"/>
  <c r="N493" i="29" s="1"/>
  <c r="Q493" i="29" a="1"/>
  <c r="Q493" i="29" s="1"/>
  <c r="I494" i="29"/>
  <c r="K495" i="29"/>
  <c r="F491" i="29"/>
  <c r="C491" i="29" a="1"/>
  <c r="C491" i="29" s="1"/>
  <c r="M491" i="29"/>
  <c r="L492" i="29" a="1"/>
  <c r="L492" i="29" s="1"/>
  <c r="B493" i="29" s="1"/>
  <c r="P490" i="29"/>
  <c r="B492" i="29"/>
  <c r="O461" i="29" l="1" a="1"/>
  <c r="O461" i="29" s="1"/>
  <c r="R461" i="29" s="1"/>
  <c r="S461" i="29" s="1"/>
  <c r="P491" i="29"/>
  <c r="M492" i="29"/>
  <c r="C492" i="29" a="1"/>
  <c r="C492" i="29" s="1"/>
  <c r="F492" i="29"/>
  <c r="L493" i="29" a="1"/>
  <c r="L493" i="29" s="1"/>
  <c r="G493" i="29"/>
  <c r="K496" i="29"/>
  <c r="I495" i="29"/>
  <c r="Q494" i="29" a="1"/>
  <c r="Q494" i="29" s="1"/>
  <c r="N494" i="29" a="1"/>
  <c r="N494" i="29" s="1"/>
  <c r="O462" i="29" l="1" a="1"/>
  <c r="O462" i="29" s="1"/>
  <c r="R462" i="29" s="1"/>
  <c r="S462" i="29" s="1"/>
  <c r="G494" i="29"/>
  <c r="F493" i="29"/>
  <c r="C493" i="29" a="1"/>
  <c r="C493" i="29" s="1"/>
  <c r="M493" i="29"/>
  <c r="L494" i="29" a="1"/>
  <c r="L494" i="29" s="1"/>
  <c r="B494" i="29"/>
  <c r="P492" i="29"/>
  <c r="N495" i="29" a="1"/>
  <c r="N495" i="29" s="1"/>
  <c r="Q495" i="29" a="1"/>
  <c r="Q495" i="29" s="1"/>
  <c r="I496" i="29"/>
  <c r="K497" i="29"/>
  <c r="O463" i="29" l="1" a="1"/>
  <c r="O463" i="29" s="1"/>
  <c r="R463" i="29" s="1"/>
  <c r="S463" i="29" s="1"/>
  <c r="Q496" i="29" a="1"/>
  <c r="Q496" i="29" s="1"/>
  <c r="N496" i="29" a="1"/>
  <c r="N496" i="29" s="1"/>
  <c r="F494" i="29"/>
  <c r="M494" i="29"/>
  <c r="C494" i="29" a="1"/>
  <c r="C494" i="29" s="1"/>
  <c r="L495" i="29" a="1"/>
  <c r="L495" i="29" s="1"/>
  <c r="B496" i="29" s="1"/>
  <c r="P493" i="29"/>
  <c r="G495" i="29"/>
  <c r="B495" i="29"/>
  <c r="K498" i="29"/>
  <c r="I497" i="29"/>
  <c r="O464" i="29" l="1" a="1"/>
  <c r="O464" i="29" s="1"/>
  <c r="R464" i="29" s="1"/>
  <c r="S464" i="29" s="1"/>
  <c r="G496" i="29"/>
  <c r="P494" i="29"/>
  <c r="K499" i="29"/>
  <c r="I498" i="29"/>
  <c r="F495" i="29"/>
  <c r="M495" i="29"/>
  <c r="C495" i="29" a="1"/>
  <c r="C495" i="29" s="1"/>
  <c r="L496" i="29" a="1"/>
  <c r="L496" i="29" s="1"/>
  <c r="N497" i="29" a="1"/>
  <c r="N497" i="29" s="1"/>
  <c r="Q497" i="29" a="1"/>
  <c r="Q497" i="29" s="1"/>
  <c r="O465" i="29" l="1" a="1"/>
  <c r="O465" i="29" s="1"/>
  <c r="R465" i="29" s="1"/>
  <c r="S465" i="29" s="1"/>
  <c r="Q498" i="29" a="1"/>
  <c r="Q498" i="29" s="1"/>
  <c r="N498" i="29" a="1"/>
  <c r="N498" i="29" s="1"/>
  <c r="K500" i="29"/>
  <c r="I499" i="29"/>
  <c r="F496" i="29"/>
  <c r="M496" i="29"/>
  <c r="C496" i="29" a="1"/>
  <c r="C496" i="29" s="1"/>
  <c r="L497" i="29" a="1"/>
  <c r="L497" i="29" s="1"/>
  <c r="B498" i="29" s="1"/>
  <c r="G497" i="29"/>
  <c r="B497" i="29"/>
  <c r="P495" i="29"/>
  <c r="O466" i="29" l="1" a="1"/>
  <c r="O466" i="29" s="1"/>
  <c r="R466" i="29" s="1"/>
  <c r="S466" i="29" s="1"/>
  <c r="N499" i="29" a="1"/>
  <c r="N499" i="29" s="1"/>
  <c r="Q499" i="29" a="1"/>
  <c r="Q499" i="29" s="1"/>
  <c r="G498" i="29"/>
  <c r="K501" i="29"/>
  <c r="I500" i="29"/>
  <c r="F497" i="29"/>
  <c r="M497" i="29"/>
  <c r="C497" i="29" a="1"/>
  <c r="C497" i="29" s="1"/>
  <c r="L498" i="29" a="1"/>
  <c r="L498" i="29" s="1"/>
  <c r="P496" i="29"/>
  <c r="O467" i="29" l="1" a="1"/>
  <c r="O467" i="29" s="1"/>
  <c r="R467" i="29" s="1"/>
  <c r="S467" i="29" s="1"/>
  <c r="P497" i="29"/>
  <c r="C498" i="29" a="1"/>
  <c r="C498" i="29" s="1"/>
  <c r="F498" i="29"/>
  <c r="M498" i="29"/>
  <c r="L499" i="29" a="1"/>
  <c r="L499" i="29" s="1"/>
  <c r="G499" i="29"/>
  <c r="B499" i="29"/>
  <c r="Q500" i="29" a="1"/>
  <c r="Q500" i="29" s="1"/>
  <c r="N500" i="29" a="1"/>
  <c r="N500" i="29" s="1"/>
  <c r="K502" i="29"/>
  <c r="I501" i="29"/>
  <c r="O468" i="29" l="1" a="1"/>
  <c r="O468" i="29" s="1"/>
  <c r="R468" i="29" s="1"/>
  <c r="S468" i="29" s="1"/>
  <c r="K503" i="29"/>
  <c r="I502" i="29"/>
  <c r="F499" i="29"/>
  <c r="M499" i="29"/>
  <c r="C499" i="29" a="1"/>
  <c r="C499" i="29" s="1"/>
  <c r="L500" i="29" a="1"/>
  <c r="L500" i="29" s="1"/>
  <c r="B501" i="29" s="1"/>
  <c r="G500" i="29"/>
  <c r="P498" i="29"/>
  <c r="B500" i="29"/>
  <c r="N501" i="29" a="1"/>
  <c r="N501" i="29" s="1"/>
  <c r="Q501" i="29" a="1"/>
  <c r="Q501" i="29" s="1"/>
  <c r="O469" i="29" l="1" a="1"/>
  <c r="O469" i="29" s="1"/>
  <c r="R469" i="29" s="1"/>
  <c r="S469" i="29" s="1"/>
  <c r="G501" i="29"/>
  <c r="C500" i="29" a="1"/>
  <c r="C500" i="29" s="1"/>
  <c r="F500" i="29"/>
  <c r="M500" i="29"/>
  <c r="L501" i="29" a="1"/>
  <c r="L501" i="29" s="1"/>
  <c r="P499" i="29"/>
  <c r="Q502" i="29" a="1"/>
  <c r="Q502" i="29" s="1"/>
  <c r="N502" i="29" a="1"/>
  <c r="N502" i="29" s="1"/>
  <c r="K504" i="29"/>
  <c r="I503" i="29"/>
  <c r="O470" i="29" l="1" a="1"/>
  <c r="O470" i="29" s="1"/>
  <c r="R470" i="29" s="1"/>
  <c r="S470" i="29" s="1"/>
  <c r="N503" i="29" a="1"/>
  <c r="N503" i="29" s="1"/>
  <c r="Q503" i="29" a="1"/>
  <c r="Q503" i="29" s="1"/>
  <c r="F501" i="29"/>
  <c r="M501" i="29"/>
  <c r="C501" i="29" a="1"/>
  <c r="C501" i="29" s="1"/>
  <c r="L502" i="29" a="1"/>
  <c r="L502" i="29" s="1"/>
  <c r="K505" i="29"/>
  <c r="I504" i="29"/>
  <c r="P500" i="29"/>
  <c r="B502" i="29"/>
  <c r="G502" i="29"/>
  <c r="O471" i="29" l="1" a="1"/>
  <c r="O471" i="29" s="1"/>
  <c r="R471" i="29" s="1"/>
  <c r="S471" i="29" s="1"/>
  <c r="P501" i="29"/>
  <c r="C502" i="29" a="1"/>
  <c r="C502" i="29" s="1"/>
  <c r="F502" i="29"/>
  <c r="M502" i="29"/>
  <c r="L503" i="29" a="1"/>
  <c r="L503" i="29" s="1"/>
  <c r="B504" i="29" s="1"/>
  <c r="Q504" i="29" a="1"/>
  <c r="Q504" i="29" s="1"/>
  <c r="N504" i="29" a="1"/>
  <c r="N504" i="29" s="1"/>
  <c r="G503" i="29"/>
  <c r="K506" i="29"/>
  <c r="I505" i="29"/>
  <c r="B503" i="29"/>
  <c r="O472" i="29" l="1" a="1"/>
  <c r="O472" i="29" s="1"/>
  <c r="R472" i="29" s="1"/>
  <c r="S472" i="29" s="1"/>
  <c r="N505" i="29" a="1"/>
  <c r="N505" i="29" s="1"/>
  <c r="Q505" i="29" a="1"/>
  <c r="Q505" i="29" s="1"/>
  <c r="F503" i="29"/>
  <c r="M503" i="29"/>
  <c r="C503" i="29" a="1"/>
  <c r="C503" i="29" s="1"/>
  <c r="L504" i="29" a="1"/>
  <c r="L504" i="29" s="1"/>
  <c r="K507" i="29"/>
  <c r="I506" i="29"/>
  <c r="P502" i="29"/>
  <c r="G504" i="29"/>
  <c r="O473" i="29" l="1" a="1"/>
  <c r="O473" i="29" s="1"/>
  <c r="R473" i="29" s="1"/>
  <c r="S473" i="29" s="1"/>
  <c r="M504" i="29"/>
  <c r="C504" i="29" a="1"/>
  <c r="C504" i="29" s="1"/>
  <c r="F504" i="29"/>
  <c r="L505" i="29" a="1"/>
  <c r="L505" i="29" s="1"/>
  <c r="P503" i="29"/>
  <c r="Q506" i="29" a="1"/>
  <c r="Q506" i="29" s="1"/>
  <c r="N506" i="29" a="1"/>
  <c r="N506" i="29" s="1"/>
  <c r="G505" i="29"/>
  <c r="K508" i="29"/>
  <c r="I507" i="29"/>
  <c r="B505" i="29"/>
  <c r="O474" i="29" l="1" a="1"/>
  <c r="O474" i="29" s="1"/>
  <c r="R474" i="29" s="1"/>
  <c r="S474" i="29" s="1"/>
  <c r="I508" i="29"/>
  <c r="K509" i="29"/>
  <c r="F505" i="29"/>
  <c r="C505" i="29" a="1"/>
  <c r="C505" i="29" s="1"/>
  <c r="M505" i="29"/>
  <c r="L506" i="29" a="1"/>
  <c r="L506" i="29" s="1"/>
  <c r="B506" i="29"/>
  <c r="N507" i="29" a="1"/>
  <c r="N507" i="29" s="1"/>
  <c r="Q507" i="29" a="1"/>
  <c r="Q507" i="29" s="1"/>
  <c r="P504" i="29"/>
  <c r="G506" i="29"/>
  <c r="O475" i="29" l="1" a="1"/>
  <c r="O475" i="29" s="1"/>
  <c r="R475" i="29" s="1"/>
  <c r="S475" i="29" s="1"/>
  <c r="P505" i="29"/>
  <c r="K510" i="29"/>
  <c r="I509" i="29"/>
  <c r="M506" i="29"/>
  <c r="C506" i="29" a="1"/>
  <c r="C506" i="29" s="1"/>
  <c r="F506" i="29"/>
  <c r="L507" i="29" a="1"/>
  <c r="L507" i="29" s="1"/>
  <c r="B508" i="29" s="1"/>
  <c r="G507" i="29"/>
  <c r="Q508" i="29" a="1"/>
  <c r="Q508" i="29" s="1"/>
  <c r="N508" i="29" a="1"/>
  <c r="N508" i="29" s="1"/>
  <c r="B507" i="29"/>
  <c r="O476" i="29" l="1" a="1"/>
  <c r="O476" i="29" s="1"/>
  <c r="R476" i="29" s="1"/>
  <c r="S476" i="29" s="1"/>
  <c r="P506" i="29"/>
  <c r="G508" i="29"/>
  <c r="N509" i="29" a="1"/>
  <c r="N509" i="29" s="1"/>
  <c r="Q509" i="29" a="1"/>
  <c r="Q509" i="29" s="1"/>
  <c r="K511" i="29"/>
  <c r="I510" i="29"/>
  <c r="F507" i="29"/>
  <c r="C507" i="29" a="1"/>
  <c r="C507" i="29" s="1"/>
  <c r="M507" i="29"/>
  <c r="L508" i="29" a="1"/>
  <c r="L508" i="29" s="1"/>
  <c r="O477" i="29" l="1" a="1"/>
  <c r="O477" i="29" s="1"/>
  <c r="R477" i="29" s="1"/>
  <c r="S477" i="29" s="1"/>
  <c r="N510" i="29" a="1"/>
  <c r="N510" i="29" s="1"/>
  <c r="Q510" i="29" a="1"/>
  <c r="Q510" i="29" s="1"/>
  <c r="M508" i="29"/>
  <c r="C508" i="29" a="1"/>
  <c r="C508" i="29" s="1"/>
  <c r="F508" i="29"/>
  <c r="L509" i="29" a="1"/>
  <c r="L509" i="29" s="1"/>
  <c r="B510" i="29" s="1"/>
  <c r="G509" i="29"/>
  <c r="P507" i="29"/>
  <c r="B509" i="29"/>
  <c r="K512" i="29"/>
  <c r="I511" i="29"/>
  <c r="O478" i="29" l="1" a="1"/>
  <c r="O478" i="29" s="1"/>
  <c r="R478" i="29" s="1"/>
  <c r="S478" i="29" s="1"/>
  <c r="P508" i="29"/>
  <c r="G510" i="29"/>
  <c r="I512" i="29"/>
  <c r="K513" i="29"/>
  <c r="F509" i="29"/>
  <c r="C509" i="29" a="1"/>
  <c r="C509" i="29" s="1"/>
  <c r="M509" i="29"/>
  <c r="L510" i="29" a="1"/>
  <c r="L510" i="29" s="1"/>
  <c r="B511" i="29" s="1"/>
  <c r="N511" i="29" a="1"/>
  <c r="N511" i="29" s="1"/>
  <c r="Q511" i="29" a="1"/>
  <c r="Q511" i="29" s="1"/>
  <c r="O479" i="29" l="1" a="1"/>
  <c r="O479" i="29" s="1"/>
  <c r="R479" i="29" s="1"/>
  <c r="S479" i="29" s="1"/>
  <c r="N512" i="29" a="1"/>
  <c r="N512" i="29" s="1"/>
  <c r="Q512" i="29" a="1"/>
  <c r="Q512" i="29" s="1"/>
  <c r="I513" i="29"/>
  <c r="K514" i="29"/>
  <c r="G511" i="29"/>
  <c r="P509" i="29"/>
  <c r="F510" i="29"/>
  <c r="M510" i="29"/>
  <c r="C510" i="29" a="1"/>
  <c r="C510" i="29" s="1"/>
  <c r="L511" i="29" a="1"/>
  <c r="L511" i="29" s="1"/>
  <c r="O480" i="29" l="1" a="1"/>
  <c r="O480" i="29" s="1"/>
  <c r="R480" i="29" s="1"/>
  <c r="S480" i="29" s="1"/>
  <c r="M511" i="29"/>
  <c r="C511" i="29" a="1"/>
  <c r="C511" i="29" s="1"/>
  <c r="F511" i="29"/>
  <c r="L512" i="29" a="1"/>
  <c r="L512" i="29" s="1"/>
  <c r="K515" i="29"/>
  <c r="I514" i="29"/>
  <c r="P510" i="29"/>
  <c r="N513" i="29" a="1"/>
  <c r="N513" i="29" s="1"/>
  <c r="Q513" i="29" a="1"/>
  <c r="Q513" i="29" s="1"/>
  <c r="G512" i="29"/>
  <c r="B512" i="29"/>
  <c r="O481" i="29" l="1" a="1"/>
  <c r="O481" i="29" s="1"/>
  <c r="R481" i="29" s="1"/>
  <c r="S481" i="29" s="1"/>
  <c r="K516" i="29"/>
  <c r="I515" i="29"/>
  <c r="M512" i="29"/>
  <c r="C512" i="29" a="1"/>
  <c r="C512" i="29" s="1"/>
  <c r="F512" i="29"/>
  <c r="L513" i="29" a="1"/>
  <c r="L513" i="29" s="1"/>
  <c r="G513" i="29"/>
  <c r="N514" i="29" a="1"/>
  <c r="N514" i="29" s="1"/>
  <c r="Q514" i="29" a="1"/>
  <c r="Q514" i="29" s="1"/>
  <c r="B513" i="29"/>
  <c r="P511" i="29"/>
  <c r="O482" i="29" l="1" a="1"/>
  <c r="O482" i="29" s="1"/>
  <c r="R482" i="29" s="1"/>
  <c r="S482" i="29" s="1"/>
  <c r="M513" i="29"/>
  <c r="C513" i="29" a="1"/>
  <c r="C513" i="29" s="1"/>
  <c r="F513" i="29"/>
  <c r="L514" i="29" a="1"/>
  <c r="L514" i="29" s="1"/>
  <c r="P512" i="29"/>
  <c r="G514" i="29"/>
  <c r="Q515" i="29" a="1"/>
  <c r="Q515" i="29" s="1"/>
  <c r="N515" i="29" a="1"/>
  <c r="N515" i="29" s="1"/>
  <c r="B514" i="29"/>
  <c r="I516" i="29"/>
  <c r="K517" i="29"/>
  <c r="O483" i="29" l="1" a="1"/>
  <c r="O483" i="29" s="1"/>
  <c r="R483" i="29" s="1"/>
  <c r="S483" i="29" s="1"/>
  <c r="Q516" i="29" a="1"/>
  <c r="Q516" i="29" s="1"/>
  <c r="N516" i="29" a="1"/>
  <c r="N516" i="29" s="1"/>
  <c r="G515" i="29"/>
  <c r="M514" i="29"/>
  <c r="C514" i="29" a="1"/>
  <c r="C514" i="29" s="1"/>
  <c r="F514" i="29"/>
  <c r="L515" i="29" a="1"/>
  <c r="L515" i="29" s="1"/>
  <c r="B515" i="29"/>
  <c r="P513" i="29"/>
  <c r="I517" i="29"/>
  <c r="K518" i="29"/>
  <c r="O484" i="29" l="1" a="1"/>
  <c r="O484" i="29" s="1"/>
  <c r="R484" i="29" s="1"/>
  <c r="S484" i="29" s="1"/>
  <c r="Q517" i="29" a="1"/>
  <c r="Q517" i="29" s="1"/>
  <c r="N517" i="29" a="1"/>
  <c r="N517" i="29" s="1"/>
  <c r="G516" i="29"/>
  <c r="M515" i="29"/>
  <c r="C515" i="29" a="1"/>
  <c r="C515" i="29" s="1"/>
  <c r="F515" i="29"/>
  <c r="L516" i="29" a="1"/>
  <c r="L516" i="29" s="1"/>
  <c r="B517" i="29" s="1"/>
  <c r="B516" i="29"/>
  <c r="I518" i="29"/>
  <c r="K519" i="29"/>
  <c r="P514" i="29"/>
  <c r="O485" i="29" l="1" a="1"/>
  <c r="O485" i="29" s="1"/>
  <c r="R485" i="29" s="1"/>
  <c r="S485" i="29" s="1"/>
  <c r="I519" i="29"/>
  <c r="K520" i="29"/>
  <c r="N518" i="29" a="1"/>
  <c r="N518" i="29" s="1"/>
  <c r="Q518" i="29" a="1"/>
  <c r="Q518" i="29" s="1"/>
  <c r="G517" i="29"/>
  <c r="M516" i="29"/>
  <c r="C516" i="29" a="1"/>
  <c r="C516" i="29" s="1"/>
  <c r="F516" i="29"/>
  <c r="L517" i="29" a="1"/>
  <c r="L517" i="29" s="1"/>
  <c r="B518" i="29" s="1"/>
  <c r="P515" i="29"/>
  <c r="O486" i="29" l="1" a="1"/>
  <c r="O486" i="29" s="1"/>
  <c r="R486" i="29" s="1"/>
  <c r="S486" i="29" s="1"/>
  <c r="G518" i="29"/>
  <c r="F517" i="29"/>
  <c r="M517" i="29"/>
  <c r="C517" i="29" a="1"/>
  <c r="C517" i="29" s="1"/>
  <c r="L518" i="29" a="1"/>
  <c r="L518" i="29" s="1"/>
  <c r="K521" i="29"/>
  <c r="I520" i="29"/>
  <c r="P516" i="29"/>
  <c r="N519" i="29" a="1"/>
  <c r="N519" i="29" s="1"/>
  <c r="Q519" i="29" a="1"/>
  <c r="Q519" i="29" s="1"/>
  <c r="O487" i="29" l="1" a="1"/>
  <c r="O487" i="29" s="1"/>
  <c r="R487" i="29" s="1"/>
  <c r="S487" i="29" s="1"/>
  <c r="G519" i="29"/>
  <c r="C518" i="29" a="1"/>
  <c r="C518" i="29" s="1"/>
  <c r="F518" i="29"/>
  <c r="M518" i="29"/>
  <c r="L519" i="29" a="1"/>
  <c r="L519" i="29" s="1"/>
  <c r="P517" i="29"/>
  <c r="B519" i="29"/>
  <c r="N520" i="29" a="1"/>
  <c r="N520" i="29" s="1"/>
  <c r="Q520" i="29" a="1"/>
  <c r="Q520" i="29" s="1"/>
  <c r="I521" i="29"/>
  <c r="K522" i="29"/>
  <c r="O488" i="29" l="1" a="1"/>
  <c r="O488" i="29" s="1"/>
  <c r="R488" i="29" s="1"/>
  <c r="S488" i="29" s="1"/>
  <c r="Q521" i="29" a="1"/>
  <c r="Q521" i="29" s="1"/>
  <c r="N521" i="29" a="1"/>
  <c r="N521" i="29" s="1"/>
  <c r="P518" i="29"/>
  <c r="M519" i="29"/>
  <c r="C519" i="29" a="1"/>
  <c r="C519" i="29" s="1"/>
  <c r="F519" i="29"/>
  <c r="L520" i="29" a="1"/>
  <c r="L520" i="29" s="1"/>
  <c r="G520" i="29"/>
  <c r="B520" i="29"/>
  <c r="I522" i="29"/>
  <c r="K523" i="29"/>
  <c r="O489" i="29" l="1" a="1"/>
  <c r="O489" i="29" s="1"/>
  <c r="R489" i="29" s="1"/>
  <c r="S489" i="29" s="1"/>
  <c r="M520" i="29"/>
  <c r="C520" i="29" a="1"/>
  <c r="C520" i="29" s="1"/>
  <c r="F520" i="29"/>
  <c r="L521" i="29" a="1"/>
  <c r="L521" i="29" s="1"/>
  <c r="B521" i="29"/>
  <c r="Q522" i="29" a="1"/>
  <c r="Q522" i="29" s="1"/>
  <c r="N522" i="29" a="1"/>
  <c r="N522" i="29" s="1"/>
  <c r="G521" i="29"/>
  <c r="I523" i="29"/>
  <c r="K524" i="29"/>
  <c r="P519" i="29"/>
  <c r="O490" i="29" l="1" a="1"/>
  <c r="O490" i="29" s="1"/>
  <c r="R490" i="29" s="1"/>
  <c r="S490" i="29" s="1"/>
  <c r="I524" i="29"/>
  <c r="K525" i="29"/>
  <c r="M521" i="29"/>
  <c r="C521" i="29" a="1"/>
  <c r="C521" i="29" s="1"/>
  <c r="F521" i="29"/>
  <c r="L522" i="29" a="1"/>
  <c r="L522" i="29" s="1"/>
  <c r="G522" i="29"/>
  <c r="Q523" i="29" a="1"/>
  <c r="Q523" i="29" s="1"/>
  <c r="N523" i="29" a="1"/>
  <c r="N523" i="29" s="1"/>
  <c r="P520" i="29"/>
  <c r="B522" i="29"/>
  <c r="O491" i="29" l="1" a="1"/>
  <c r="O491" i="29" s="1"/>
  <c r="R491" i="29" s="1"/>
  <c r="S491" i="29" s="1"/>
  <c r="G523" i="29"/>
  <c r="F522" i="29"/>
  <c r="M522" i="29"/>
  <c r="C522" i="29" a="1"/>
  <c r="C522" i="29" s="1"/>
  <c r="L523" i="29" a="1"/>
  <c r="L523" i="29" s="1"/>
  <c r="P521" i="29"/>
  <c r="K526" i="29"/>
  <c r="I525" i="29"/>
  <c r="B523" i="29"/>
  <c r="N524" i="29" a="1"/>
  <c r="N524" i="29" s="1"/>
  <c r="Q524" i="29" a="1"/>
  <c r="Q524" i="29" s="1"/>
  <c r="O492" i="29" l="1" a="1"/>
  <c r="O492" i="29" s="1"/>
  <c r="R492" i="29" s="1"/>
  <c r="S492" i="29" s="1"/>
  <c r="G524" i="29"/>
  <c r="P522" i="29"/>
  <c r="F523" i="29"/>
  <c r="M523" i="29"/>
  <c r="C523" i="29" a="1"/>
  <c r="C523" i="29" s="1"/>
  <c r="L524" i="29" a="1"/>
  <c r="L524" i="29" s="1"/>
  <c r="B524" i="29"/>
  <c r="N525" i="29" a="1"/>
  <c r="N525" i="29" s="1"/>
  <c r="Q525" i="29" a="1"/>
  <c r="Q525" i="29" s="1"/>
  <c r="K527" i="29"/>
  <c r="I526" i="29"/>
  <c r="O493" i="29" l="1" a="1"/>
  <c r="O493" i="29" s="1"/>
  <c r="R493" i="29" s="1"/>
  <c r="S493" i="29" s="1"/>
  <c r="M524" i="29"/>
  <c r="C524" i="29" a="1"/>
  <c r="C524" i="29" s="1"/>
  <c r="F524" i="29"/>
  <c r="L525" i="29" a="1"/>
  <c r="L525" i="29" s="1"/>
  <c r="B526" i="29" s="1"/>
  <c r="I527" i="29"/>
  <c r="K528" i="29"/>
  <c r="P523" i="29"/>
  <c r="G525" i="29"/>
  <c r="B525" i="29"/>
  <c r="Q526" i="29" a="1"/>
  <c r="Q526" i="29" s="1"/>
  <c r="N526" i="29" a="1"/>
  <c r="N526" i="29" s="1"/>
  <c r="O494" i="29" l="1" a="1"/>
  <c r="O494" i="29" s="1"/>
  <c r="R494" i="29" s="1"/>
  <c r="S494" i="29" s="1"/>
  <c r="I528" i="29"/>
  <c r="K529" i="29"/>
  <c r="Q527" i="29" a="1"/>
  <c r="Q527" i="29" s="1"/>
  <c r="N527" i="29" a="1"/>
  <c r="N527" i="29" s="1"/>
  <c r="M525" i="29"/>
  <c r="C525" i="29" a="1"/>
  <c r="C525" i="29" s="1"/>
  <c r="F525" i="29"/>
  <c r="L526" i="29" a="1"/>
  <c r="L526" i="29" s="1"/>
  <c r="P524" i="29"/>
  <c r="G526" i="29"/>
  <c r="O495" i="29" l="1" a="1"/>
  <c r="O495" i="29" s="1"/>
  <c r="R495" i="29" s="1"/>
  <c r="S495" i="29" s="1"/>
  <c r="M526" i="29"/>
  <c r="C526" i="29" a="1"/>
  <c r="C526" i="29" s="1"/>
  <c r="F526" i="29"/>
  <c r="L527" i="29" a="1"/>
  <c r="L527" i="29" s="1"/>
  <c r="Q528" i="29" a="1"/>
  <c r="Q528" i="29" s="1"/>
  <c r="N528" i="29" a="1"/>
  <c r="N528" i="29" s="1"/>
  <c r="G527" i="29"/>
  <c r="B527" i="29"/>
  <c r="I529" i="29"/>
  <c r="K530" i="29"/>
  <c r="P525" i="29"/>
  <c r="O496" i="29" l="1" a="1"/>
  <c r="O496" i="29" s="1"/>
  <c r="R496" i="29" s="1"/>
  <c r="S496" i="29" s="1"/>
  <c r="I530" i="29"/>
  <c r="K531" i="29"/>
  <c r="N529" i="29" a="1"/>
  <c r="N529" i="29" s="1"/>
  <c r="Q529" i="29" a="1"/>
  <c r="Q529" i="29" s="1"/>
  <c r="C527" i="29" a="1"/>
  <c r="C527" i="29" s="1"/>
  <c r="F527" i="29"/>
  <c r="M527" i="29"/>
  <c r="L528" i="29" a="1"/>
  <c r="L528" i="29" s="1"/>
  <c r="P526" i="29"/>
  <c r="B528" i="29"/>
  <c r="G528" i="29"/>
  <c r="O497" i="29" l="1" a="1"/>
  <c r="O497" i="29" s="1"/>
  <c r="R497" i="29" s="1"/>
  <c r="S497" i="29" s="1"/>
  <c r="F528" i="29"/>
  <c r="C528" i="29" a="1"/>
  <c r="C528" i="29" s="1"/>
  <c r="M528" i="29"/>
  <c r="L529" i="29" a="1"/>
  <c r="L529" i="29" s="1"/>
  <c r="K532" i="29"/>
  <c r="I531" i="29"/>
  <c r="N530" i="29" a="1"/>
  <c r="N530" i="29" s="1"/>
  <c r="Q530" i="29" a="1"/>
  <c r="Q530" i="29" s="1"/>
  <c r="G529" i="29"/>
  <c r="B529" i="29"/>
  <c r="P527" i="29"/>
  <c r="O498" i="29" l="1" a="1"/>
  <c r="O498" i="29" s="1"/>
  <c r="R498" i="29" s="1"/>
  <c r="S498" i="29" s="1"/>
  <c r="N531" i="29" a="1"/>
  <c r="N531" i="29" s="1"/>
  <c r="Q531" i="29" a="1"/>
  <c r="Q531" i="29" s="1"/>
  <c r="K533" i="29"/>
  <c r="I532" i="29"/>
  <c r="P528" i="29"/>
  <c r="F529" i="29"/>
  <c r="M529" i="29"/>
  <c r="C529" i="29" a="1"/>
  <c r="C529" i="29" s="1"/>
  <c r="L530" i="29" a="1"/>
  <c r="L530" i="29" s="1"/>
  <c r="G530" i="29"/>
  <c r="B530" i="29"/>
  <c r="O499" i="29" l="1" a="1"/>
  <c r="O499" i="29" s="1"/>
  <c r="R499" i="29" s="1"/>
  <c r="S499" i="29" s="1"/>
  <c r="M530" i="29"/>
  <c r="C530" i="29" a="1"/>
  <c r="C530" i="29" s="1"/>
  <c r="F530" i="29"/>
  <c r="L531" i="29" a="1"/>
  <c r="L531" i="29" s="1"/>
  <c r="B532" i="29" s="1"/>
  <c r="G531" i="29"/>
  <c r="Q532" i="29" a="1"/>
  <c r="Q532" i="29" s="1"/>
  <c r="N532" i="29" a="1"/>
  <c r="N532" i="29" s="1"/>
  <c r="I533" i="29"/>
  <c r="K534" i="29"/>
  <c r="P529" i="29"/>
  <c r="B531" i="29"/>
  <c r="O500" i="29" l="1" a="1"/>
  <c r="O500" i="29" s="1"/>
  <c r="R500" i="29" s="1"/>
  <c r="S500" i="29" s="1"/>
  <c r="I534" i="29"/>
  <c r="K535" i="29"/>
  <c r="Q533" i="29" a="1"/>
  <c r="Q533" i="29" s="1"/>
  <c r="N533" i="29" a="1"/>
  <c r="N533" i="29" s="1"/>
  <c r="M531" i="29"/>
  <c r="C531" i="29" a="1"/>
  <c r="C531" i="29" s="1"/>
  <c r="F531" i="29"/>
  <c r="L532" i="29" a="1"/>
  <c r="L532" i="29" s="1"/>
  <c r="P530" i="29"/>
  <c r="G532" i="29"/>
  <c r="O501" i="29" l="1" a="1"/>
  <c r="O501" i="29" s="1"/>
  <c r="R501" i="29" s="1"/>
  <c r="S501" i="29" s="1"/>
  <c r="F532" i="29"/>
  <c r="M532" i="29"/>
  <c r="C532" i="29" a="1"/>
  <c r="C532" i="29" s="1"/>
  <c r="L533" i="29" a="1"/>
  <c r="L533" i="29" s="1"/>
  <c r="N534" i="29" a="1"/>
  <c r="N534" i="29" s="1"/>
  <c r="Q534" i="29" a="1"/>
  <c r="Q534" i="29" s="1"/>
  <c r="G533" i="29"/>
  <c r="B533" i="29"/>
  <c r="I535" i="29"/>
  <c r="K536" i="29"/>
  <c r="P531" i="29"/>
  <c r="O502" i="29" l="1" a="1"/>
  <c r="O502" i="29" s="1"/>
  <c r="R502" i="29" s="1"/>
  <c r="S502" i="29" s="1"/>
  <c r="K537" i="29"/>
  <c r="I536" i="29"/>
  <c r="C533" i="29" a="1"/>
  <c r="C533" i="29" s="1"/>
  <c r="F533" i="29"/>
  <c r="M533" i="29"/>
  <c r="L534" i="29" a="1"/>
  <c r="L534" i="29" s="1"/>
  <c r="G534" i="29"/>
  <c r="N535" i="29" a="1"/>
  <c r="N535" i="29" s="1"/>
  <c r="Q535" i="29" a="1"/>
  <c r="Q535" i="29" s="1"/>
  <c r="P532" i="29"/>
  <c r="B534" i="29"/>
  <c r="O503" i="29" l="1" a="1"/>
  <c r="O503" i="29" s="1"/>
  <c r="R503" i="29" s="1"/>
  <c r="S503" i="29" s="1"/>
  <c r="F534" i="29"/>
  <c r="M534" i="29"/>
  <c r="C534" i="29" a="1"/>
  <c r="C534" i="29" s="1"/>
  <c r="L535" i="29" a="1"/>
  <c r="L535" i="29" s="1"/>
  <c r="P533" i="29"/>
  <c r="G535" i="29"/>
  <c r="N536" i="29" a="1"/>
  <c r="N536" i="29" s="1"/>
  <c r="Q536" i="29" a="1"/>
  <c r="Q536" i="29" s="1"/>
  <c r="B535" i="29"/>
  <c r="K538" i="29"/>
  <c r="I537" i="29"/>
  <c r="O504" i="29" l="1" a="1"/>
  <c r="O504" i="29" s="1"/>
  <c r="R504" i="29" s="1"/>
  <c r="S504" i="29" s="1"/>
  <c r="I538" i="29"/>
  <c r="K539" i="29"/>
  <c r="C535" i="29" a="1"/>
  <c r="C535" i="29" s="1"/>
  <c r="F535" i="29"/>
  <c r="M535" i="29"/>
  <c r="L536" i="29" a="1"/>
  <c r="L536" i="29" s="1"/>
  <c r="B537" i="29" s="1"/>
  <c r="G536" i="29"/>
  <c r="P534" i="29"/>
  <c r="B536" i="29"/>
  <c r="Q537" i="29" a="1"/>
  <c r="Q537" i="29" s="1"/>
  <c r="N537" i="29" a="1"/>
  <c r="N537" i="29" s="1"/>
  <c r="O505" i="29" l="1" a="1"/>
  <c r="O505" i="29" s="1"/>
  <c r="R505" i="29" s="1"/>
  <c r="S505" i="29" s="1"/>
  <c r="G537" i="29"/>
  <c r="M536" i="29"/>
  <c r="C536" i="29" a="1"/>
  <c r="C536" i="29" s="1"/>
  <c r="F536" i="29"/>
  <c r="L537" i="29" a="1"/>
  <c r="L537" i="29" s="1"/>
  <c r="B538" i="29" s="1"/>
  <c r="P535" i="29"/>
  <c r="K540" i="29"/>
  <c r="I539" i="29"/>
  <c r="Q538" i="29" a="1"/>
  <c r="Q538" i="29" s="1"/>
  <c r="N538" i="29" a="1"/>
  <c r="N538" i="29" s="1"/>
  <c r="O506" i="29" l="1" a="1"/>
  <c r="O506" i="29" s="1"/>
  <c r="R506" i="29" s="1"/>
  <c r="S506" i="29" s="1"/>
  <c r="M537" i="29"/>
  <c r="C537" i="29" a="1"/>
  <c r="C537" i="29" s="1"/>
  <c r="F537" i="29"/>
  <c r="L538" i="29" a="1"/>
  <c r="L538" i="29" s="1"/>
  <c r="G538" i="29"/>
  <c r="P536" i="29"/>
  <c r="N539" i="29" a="1"/>
  <c r="N539" i="29" s="1"/>
  <c r="Q539" i="29" a="1"/>
  <c r="Q539" i="29" s="1"/>
  <c r="I540" i="29"/>
  <c r="K541" i="29"/>
  <c r="O507" i="29" l="1" a="1"/>
  <c r="O507" i="29" s="1"/>
  <c r="R507" i="29" s="1"/>
  <c r="S507" i="29" s="1"/>
  <c r="C538" i="29" a="1"/>
  <c r="C538" i="29" s="1"/>
  <c r="F538" i="29"/>
  <c r="M538" i="29"/>
  <c r="L539" i="29" a="1"/>
  <c r="L539" i="29" s="1"/>
  <c r="B540" i="29" s="1"/>
  <c r="K542" i="29"/>
  <c r="I541" i="29"/>
  <c r="Q540" i="29" a="1"/>
  <c r="Q540" i="29" s="1"/>
  <c r="N540" i="29" a="1"/>
  <c r="N540" i="29" s="1"/>
  <c r="B539" i="29"/>
  <c r="G539" i="29"/>
  <c r="P537" i="29"/>
  <c r="O508" i="29" l="1" a="1"/>
  <c r="O508" i="29" s="1"/>
  <c r="R508" i="29" s="1"/>
  <c r="S508" i="29" s="1"/>
  <c r="Q541" i="29" a="1"/>
  <c r="Q541" i="29" s="1"/>
  <c r="N541" i="29" a="1"/>
  <c r="N541" i="29" s="1"/>
  <c r="I542" i="29"/>
  <c r="K543" i="29"/>
  <c r="P538" i="29"/>
  <c r="F539" i="29"/>
  <c r="M539" i="29"/>
  <c r="C539" i="29" a="1"/>
  <c r="C539" i="29" s="1"/>
  <c r="L540" i="29" a="1"/>
  <c r="L540" i="29" s="1"/>
  <c r="G540" i="29"/>
  <c r="O509" i="29" l="1" a="1"/>
  <c r="O509" i="29" s="1"/>
  <c r="R509" i="29" s="1"/>
  <c r="S509" i="29" s="1"/>
  <c r="Q542" i="29" a="1"/>
  <c r="Q542" i="29" s="1"/>
  <c r="N542" i="29" a="1"/>
  <c r="N542" i="29" s="1"/>
  <c r="I543" i="29"/>
  <c r="K544" i="29"/>
  <c r="G541" i="29"/>
  <c r="P539" i="29"/>
  <c r="M540" i="29"/>
  <c r="C540" i="29" a="1"/>
  <c r="C540" i="29" s="1"/>
  <c r="F540" i="29"/>
  <c r="L541" i="29" a="1"/>
  <c r="L541" i="29" s="1"/>
  <c r="B542" i="29" s="1"/>
  <c r="B541" i="29"/>
  <c r="O510" i="29" l="1" a="1"/>
  <c r="O510" i="29" s="1"/>
  <c r="R510" i="29" s="1"/>
  <c r="S510" i="29" s="1"/>
  <c r="P540" i="29"/>
  <c r="F541" i="29"/>
  <c r="M541" i="29"/>
  <c r="C541" i="29" a="1"/>
  <c r="C541" i="29" s="1"/>
  <c r="L542" i="29" a="1"/>
  <c r="L542" i="29" s="1"/>
  <c r="I544" i="29"/>
  <c r="K545" i="29"/>
  <c r="Q543" i="29" a="1"/>
  <c r="Q543" i="29" s="1"/>
  <c r="N543" i="29" a="1"/>
  <c r="N543" i="29" s="1"/>
  <c r="G542" i="29"/>
  <c r="O511" i="29" l="1" a="1"/>
  <c r="O511" i="29" s="1"/>
  <c r="R511" i="29" s="1"/>
  <c r="S511" i="29" s="1"/>
  <c r="G543" i="29"/>
  <c r="K546" i="29"/>
  <c r="I545" i="29"/>
  <c r="M542" i="29"/>
  <c r="F542" i="29"/>
  <c r="C542" i="29" a="1"/>
  <c r="C542" i="29" s="1"/>
  <c r="L543" i="29" a="1"/>
  <c r="L543" i="29" s="1"/>
  <c r="B544" i="29" s="1"/>
  <c r="P541" i="29"/>
  <c r="B543" i="29"/>
  <c r="Q544" i="29" a="1"/>
  <c r="Q544" i="29" s="1"/>
  <c r="N544" i="29" a="1"/>
  <c r="N544" i="29" s="1"/>
  <c r="O512" i="29" l="1" a="1"/>
  <c r="O512" i="29" s="1"/>
  <c r="R512" i="29" s="1"/>
  <c r="S512" i="29" s="1"/>
  <c r="G544" i="29"/>
  <c r="N545" i="29" a="1"/>
  <c r="N545" i="29" s="1"/>
  <c r="Q545" i="29" a="1"/>
  <c r="Q545" i="29" s="1"/>
  <c r="P542" i="29"/>
  <c r="K547" i="29"/>
  <c r="I546" i="29"/>
  <c r="F543" i="29"/>
  <c r="M543" i="29"/>
  <c r="C543" i="29" a="1"/>
  <c r="C543" i="29" s="1"/>
  <c r="L544" i="29" a="1"/>
  <c r="L544" i="29" s="1"/>
  <c r="O513" i="29" l="1" a="1"/>
  <c r="O513" i="29" s="1"/>
  <c r="R513" i="29" s="1"/>
  <c r="S513" i="29" s="1"/>
  <c r="C544" i="29" a="1"/>
  <c r="C544" i="29" s="1"/>
  <c r="F544" i="29"/>
  <c r="M544" i="29"/>
  <c r="L545" i="29" a="1"/>
  <c r="L545" i="29" s="1"/>
  <c r="G545" i="29"/>
  <c r="B545" i="29"/>
  <c r="P543" i="29"/>
  <c r="Q546" i="29" a="1"/>
  <c r="Q546" i="29" s="1"/>
  <c r="N546" i="29" a="1"/>
  <c r="N546" i="29" s="1"/>
  <c r="I547" i="29"/>
  <c r="K548" i="29"/>
  <c r="O514" i="29" l="1" a="1"/>
  <c r="O514" i="29" s="1"/>
  <c r="R514" i="29" s="1"/>
  <c r="S514" i="29" s="1"/>
  <c r="G546" i="29"/>
  <c r="Q547" i="29" a="1"/>
  <c r="Q547" i="29" s="1"/>
  <c r="N547" i="29" a="1"/>
  <c r="N547" i="29" s="1"/>
  <c r="P544" i="29"/>
  <c r="F545" i="29"/>
  <c r="M545" i="29"/>
  <c r="C545" i="29" a="1"/>
  <c r="C545" i="29" s="1"/>
  <c r="L546" i="29" a="1"/>
  <c r="L546" i="29" s="1"/>
  <c r="B546" i="29"/>
  <c r="K549" i="29"/>
  <c r="I548" i="29"/>
  <c r="O515" i="29" l="1" a="1"/>
  <c r="O515" i="29" s="1"/>
  <c r="R515" i="29" s="1"/>
  <c r="S515" i="29" s="1"/>
  <c r="M546" i="29"/>
  <c r="C546" i="29" a="1"/>
  <c r="C546" i="29" s="1"/>
  <c r="F546" i="29"/>
  <c r="L547" i="29" a="1"/>
  <c r="L547" i="29" s="1"/>
  <c r="B547" i="29"/>
  <c r="K550" i="29"/>
  <c r="I549" i="29"/>
  <c r="G547" i="29"/>
  <c r="P545" i="29"/>
  <c r="N548" i="29" a="1"/>
  <c r="N548" i="29" s="1"/>
  <c r="Q548" i="29" a="1"/>
  <c r="Q548" i="29" s="1"/>
  <c r="O516" i="29" l="1" a="1"/>
  <c r="O516" i="29" s="1"/>
  <c r="R516" i="29" s="1"/>
  <c r="S516" i="29" s="1"/>
  <c r="K551" i="29"/>
  <c r="I550" i="29"/>
  <c r="F547" i="29"/>
  <c r="M547" i="29"/>
  <c r="C547" i="29" a="1"/>
  <c r="C547" i="29" s="1"/>
  <c r="L548" i="29" a="1"/>
  <c r="L548" i="29" s="1"/>
  <c r="B548" i="29"/>
  <c r="G548" i="29"/>
  <c r="P546" i="29"/>
  <c r="Q549" i="29" a="1"/>
  <c r="Q549" i="29" s="1"/>
  <c r="N549" i="29" a="1"/>
  <c r="N549" i="29" s="1"/>
  <c r="O517" i="29" l="1" a="1"/>
  <c r="O517" i="29" s="1"/>
  <c r="R517" i="29" s="1"/>
  <c r="S517" i="29" s="1"/>
  <c r="F548" i="29"/>
  <c r="C548" i="29" a="1"/>
  <c r="C548" i="29" s="1"/>
  <c r="M548" i="29"/>
  <c r="L549" i="29" a="1"/>
  <c r="L549" i="29" s="1"/>
  <c r="G549" i="29"/>
  <c r="B549" i="29"/>
  <c r="P547" i="29"/>
  <c r="N550" i="29" a="1"/>
  <c r="N550" i="29" s="1"/>
  <c r="Q550" i="29" a="1"/>
  <c r="Q550" i="29" s="1"/>
  <c r="K552" i="29"/>
  <c r="I551" i="29"/>
  <c r="O518" i="29" l="1" a="1"/>
  <c r="O518" i="29" s="1"/>
  <c r="R518" i="29" s="1"/>
  <c r="S518" i="29" s="1"/>
  <c r="C549" i="29" a="1"/>
  <c r="C549" i="29" s="1"/>
  <c r="M549" i="29"/>
  <c r="F549" i="29"/>
  <c r="L550" i="29" a="1"/>
  <c r="L550" i="29" s="1"/>
  <c r="G550" i="29"/>
  <c r="K553" i="29"/>
  <c r="I552" i="29"/>
  <c r="B550" i="29"/>
  <c r="P548" i="29"/>
  <c r="Q551" i="29" a="1"/>
  <c r="Q551" i="29" s="1"/>
  <c r="N551" i="29" a="1"/>
  <c r="N551" i="29" s="1"/>
  <c r="O519" i="29" l="1" a="1"/>
  <c r="O519" i="29" s="1"/>
  <c r="R519" i="29" s="1"/>
  <c r="S519" i="29" s="1"/>
  <c r="F550" i="29"/>
  <c r="C550" i="29" a="1"/>
  <c r="C550" i="29" s="1"/>
  <c r="M550" i="29"/>
  <c r="L551" i="29" a="1"/>
  <c r="L551" i="29" s="1"/>
  <c r="B552" i="29" s="1"/>
  <c r="P549" i="29"/>
  <c r="G551" i="29"/>
  <c r="B551" i="29"/>
  <c r="N552" i="29" a="1"/>
  <c r="N552" i="29" s="1"/>
  <c r="Q552" i="29" a="1"/>
  <c r="Q552" i="29" s="1"/>
  <c r="K554" i="29"/>
  <c r="I553" i="29"/>
  <c r="O520" i="29" l="1" a="1"/>
  <c r="O520" i="29" s="1"/>
  <c r="R520" i="29" s="1"/>
  <c r="S520" i="29" s="1"/>
  <c r="K555" i="29"/>
  <c r="I554" i="29"/>
  <c r="G552" i="29"/>
  <c r="C551" i="29" a="1"/>
  <c r="C551" i="29" s="1"/>
  <c r="M551" i="29"/>
  <c r="F551" i="29"/>
  <c r="L552" i="29" a="1"/>
  <c r="L552" i="29" s="1"/>
  <c r="B553" i="29" s="1"/>
  <c r="P550" i="29"/>
  <c r="Q553" i="29" a="1"/>
  <c r="Q553" i="29" s="1"/>
  <c r="N553" i="29" a="1"/>
  <c r="N553" i="29" s="1"/>
  <c r="O521" i="29" l="1" a="1"/>
  <c r="O521" i="29" s="1"/>
  <c r="R521" i="29" s="1"/>
  <c r="S521" i="29" s="1"/>
  <c r="P551" i="29"/>
  <c r="N554" i="29" a="1"/>
  <c r="N554" i="29" s="1"/>
  <c r="Q554" i="29" a="1"/>
  <c r="Q554" i="29" s="1"/>
  <c r="K556" i="29"/>
  <c r="I555" i="29"/>
  <c r="G553" i="29"/>
  <c r="F552" i="29"/>
  <c r="C552" i="29" a="1"/>
  <c r="C552" i="29" s="1"/>
  <c r="M552" i="29"/>
  <c r="L553" i="29" a="1"/>
  <c r="L553" i="29" s="1"/>
  <c r="O522" i="29" l="1" a="1"/>
  <c r="O522" i="29" s="1"/>
  <c r="R522" i="29" s="1"/>
  <c r="S522" i="29" s="1"/>
  <c r="C553" i="29" a="1"/>
  <c r="C553" i="29" s="1"/>
  <c r="M553" i="29"/>
  <c r="F553" i="29"/>
  <c r="L554" i="29" a="1"/>
  <c r="L554" i="29" s="1"/>
  <c r="P552" i="29"/>
  <c r="B554" i="29"/>
  <c r="G554" i="29"/>
  <c r="Q555" i="29" a="1"/>
  <c r="Q555" i="29" s="1"/>
  <c r="N555" i="29" a="1"/>
  <c r="N555" i="29" s="1"/>
  <c r="K557" i="29"/>
  <c r="I556" i="29"/>
  <c r="O523" i="29" l="1" a="1"/>
  <c r="O523" i="29" s="1"/>
  <c r="R523" i="29" s="1"/>
  <c r="S523" i="29" s="1"/>
  <c r="F554" i="29"/>
  <c r="C554" i="29" a="1"/>
  <c r="C554" i="29" s="1"/>
  <c r="M554" i="29"/>
  <c r="L555" i="29" a="1"/>
  <c r="L555" i="29" s="1"/>
  <c r="B556" i="29" s="1"/>
  <c r="P553" i="29"/>
  <c r="K558" i="29"/>
  <c r="I557" i="29"/>
  <c r="G555" i="29"/>
  <c r="B555" i="29"/>
  <c r="N556" i="29" a="1"/>
  <c r="N556" i="29" s="1"/>
  <c r="Q556" i="29" a="1"/>
  <c r="Q556" i="29" s="1"/>
  <c r="O524" i="29" l="1" a="1"/>
  <c r="O524" i="29" s="1"/>
  <c r="R524" i="29" s="1"/>
  <c r="S524" i="29" s="1"/>
  <c r="G556" i="29"/>
  <c r="P554" i="29"/>
  <c r="C555" i="29" a="1"/>
  <c r="C555" i="29" s="1"/>
  <c r="M555" i="29"/>
  <c r="F555" i="29"/>
  <c r="L556" i="29" a="1"/>
  <c r="L556" i="29" s="1"/>
  <c r="B557" i="29" s="1"/>
  <c r="Q557" i="29" a="1"/>
  <c r="Q557" i="29" s="1"/>
  <c r="N557" i="29" a="1"/>
  <c r="N557" i="29" s="1"/>
  <c r="K559" i="29"/>
  <c r="I558" i="29"/>
  <c r="O525" i="29" l="1" a="1"/>
  <c r="O525" i="29" s="1"/>
  <c r="R525" i="29" s="1"/>
  <c r="S525" i="29" s="1"/>
  <c r="P555" i="29"/>
  <c r="N558" i="29" a="1"/>
  <c r="N558" i="29" s="1"/>
  <c r="Q558" i="29" a="1"/>
  <c r="Q558" i="29" s="1"/>
  <c r="K560" i="29"/>
  <c r="I559" i="29"/>
  <c r="G557" i="29"/>
  <c r="F556" i="29"/>
  <c r="C556" i="29" a="1"/>
  <c r="C556" i="29" s="1"/>
  <c r="M556" i="29"/>
  <c r="L557" i="29" a="1"/>
  <c r="L557" i="29" s="1"/>
  <c r="B558" i="29" s="1"/>
  <c r="O526" i="29" l="1" a="1"/>
  <c r="O526" i="29" s="1"/>
  <c r="R526" i="29" s="1"/>
  <c r="S526" i="29" s="1"/>
  <c r="P556" i="29"/>
  <c r="C557" i="29" a="1"/>
  <c r="C557" i="29" s="1"/>
  <c r="M557" i="29"/>
  <c r="F557" i="29"/>
  <c r="L558" i="29" a="1"/>
  <c r="L558" i="29" s="1"/>
  <c r="G558" i="29"/>
  <c r="Q559" i="29" a="1"/>
  <c r="Q559" i="29" s="1"/>
  <c r="N559" i="29" a="1"/>
  <c r="N559" i="29" s="1"/>
  <c r="K561" i="29"/>
  <c r="I560" i="29"/>
  <c r="O527" i="29" l="1" a="1"/>
  <c r="O527" i="29" s="1"/>
  <c r="R527" i="29" s="1"/>
  <c r="S527" i="29" s="1"/>
  <c r="F558" i="29"/>
  <c r="C558" i="29" a="1"/>
  <c r="C558" i="29" s="1"/>
  <c r="M558" i="29"/>
  <c r="L559" i="29" a="1"/>
  <c r="L559" i="29" s="1"/>
  <c r="G559" i="29"/>
  <c r="N560" i="29" a="1"/>
  <c r="N560" i="29" s="1"/>
  <c r="Q560" i="29" a="1"/>
  <c r="Q560" i="29" s="1"/>
  <c r="K562" i="29"/>
  <c r="I561" i="29"/>
  <c r="P557" i="29"/>
  <c r="B559" i="29"/>
  <c r="O528" i="29" l="1" a="1"/>
  <c r="O528" i="29" s="1"/>
  <c r="R528" i="29" s="1"/>
  <c r="S528" i="29" s="1"/>
  <c r="Q561" i="29" a="1"/>
  <c r="Q561" i="29" s="1"/>
  <c r="N561" i="29" a="1"/>
  <c r="N561" i="29" s="1"/>
  <c r="C559" i="29" a="1"/>
  <c r="C559" i="29" s="1"/>
  <c r="M559" i="29"/>
  <c r="F559" i="29"/>
  <c r="L560" i="29" a="1"/>
  <c r="L560" i="29" s="1"/>
  <c r="B561" i="29" s="1"/>
  <c r="K563" i="29"/>
  <c r="I562" i="29"/>
  <c r="P558" i="29"/>
  <c r="B560" i="29"/>
  <c r="G560" i="29"/>
  <c r="O529" i="29" l="1" a="1"/>
  <c r="O529" i="29" s="1"/>
  <c r="R529" i="29" s="1"/>
  <c r="S529" i="29" s="1"/>
  <c r="G561" i="29"/>
  <c r="N562" i="29" a="1"/>
  <c r="N562" i="29" s="1"/>
  <c r="Q562" i="29" a="1"/>
  <c r="Q562" i="29" s="1"/>
  <c r="K564" i="29"/>
  <c r="I563" i="29"/>
  <c r="P559" i="29"/>
  <c r="F560" i="29"/>
  <c r="C560" i="29" a="1"/>
  <c r="C560" i="29" s="1"/>
  <c r="M560" i="29"/>
  <c r="L561" i="29" a="1"/>
  <c r="L561" i="29" s="1"/>
  <c r="O530" i="29" l="1" a="1"/>
  <c r="O530" i="29" s="1"/>
  <c r="R530" i="29" s="1"/>
  <c r="S530" i="29" s="1"/>
  <c r="C561" i="29" a="1"/>
  <c r="C561" i="29" s="1"/>
  <c r="M561" i="29"/>
  <c r="F561" i="29"/>
  <c r="L562" i="29" a="1"/>
  <c r="L562" i="29" s="1"/>
  <c r="P560" i="29"/>
  <c r="B562" i="29"/>
  <c r="G562" i="29"/>
  <c r="Q563" i="29" a="1"/>
  <c r="Q563" i="29" s="1"/>
  <c r="N563" i="29" a="1"/>
  <c r="N563" i="29" s="1"/>
  <c r="K565" i="29"/>
  <c r="I564" i="29"/>
  <c r="O531" i="29" l="1" a="1"/>
  <c r="O531" i="29" s="1"/>
  <c r="R531" i="29" s="1"/>
  <c r="S531" i="29" s="1"/>
  <c r="K566" i="29"/>
  <c r="I565" i="29"/>
  <c r="G563" i="29"/>
  <c r="F562" i="29"/>
  <c r="C562" i="29" a="1"/>
  <c r="C562" i="29" s="1"/>
  <c r="M562" i="29"/>
  <c r="L563" i="29" a="1"/>
  <c r="L563" i="29" s="1"/>
  <c r="B564" i="29" s="1"/>
  <c r="B563" i="29"/>
  <c r="P561" i="29"/>
  <c r="N564" i="29" a="1"/>
  <c r="N564" i="29" s="1"/>
  <c r="Q564" i="29" a="1"/>
  <c r="Q564" i="29" s="1"/>
  <c r="O532" i="29" l="1" a="1"/>
  <c r="O532" i="29" s="1"/>
  <c r="R532" i="29" s="1"/>
  <c r="S532" i="29" s="1"/>
  <c r="G564" i="29"/>
  <c r="Q565" i="29" a="1"/>
  <c r="Q565" i="29" s="1"/>
  <c r="N565" i="29" a="1"/>
  <c r="N565" i="29" s="1"/>
  <c r="K567" i="29"/>
  <c r="I566" i="29"/>
  <c r="C563" i="29" a="1"/>
  <c r="C563" i="29" s="1"/>
  <c r="M563" i="29"/>
  <c r="F563" i="29"/>
  <c r="L564" i="29" a="1"/>
  <c r="L564" i="29" s="1"/>
  <c r="B565" i="29" s="1"/>
  <c r="P562" i="29"/>
  <c r="O533" i="29" l="1" a="1"/>
  <c r="O533" i="29" s="1"/>
  <c r="R533" i="29" s="1"/>
  <c r="S533" i="29" s="1"/>
  <c r="G565" i="29"/>
  <c r="P563" i="29"/>
  <c r="F564" i="29"/>
  <c r="C564" i="29" a="1"/>
  <c r="C564" i="29" s="1"/>
  <c r="M564" i="29"/>
  <c r="L565" i="29" a="1"/>
  <c r="L565" i="29" s="1"/>
  <c r="B566" i="29" s="1"/>
  <c r="N566" i="29" a="1"/>
  <c r="N566" i="29" s="1"/>
  <c r="Q566" i="29" a="1"/>
  <c r="Q566" i="29" s="1"/>
  <c r="K568" i="29"/>
  <c r="I567" i="29"/>
  <c r="O534" i="29" l="1" a="1"/>
  <c r="O534" i="29" s="1"/>
  <c r="R534" i="29" s="1"/>
  <c r="S534" i="29" s="1"/>
  <c r="Q567" i="29" a="1"/>
  <c r="Q567" i="29" s="1"/>
  <c r="N567" i="29" a="1"/>
  <c r="N567" i="29" s="1"/>
  <c r="K569" i="29"/>
  <c r="I568" i="29"/>
  <c r="G566" i="29"/>
  <c r="C565" i="29" a="1"/>
  <c r="C565" i="29" s="1"/>
  <c r="M565" i="29"/>
  <c r="F565" i="29"/>
  <c r="L566" i="29" a="1"/>
  <c r="L566" i="29" s="1"/>
  <c r="P564" i="29"/>
  <c r="O535" i="29" l="1" a="1"/>
  <c r="O535" i="29" s="1"/>
  <c r="R535" i="29" s="1"/>
  <c r="S535" i="29" s="1"/>
  <c r="G567" i="29"/>
  <c r="N568" i="29" a="1"/>
  <c r="N568" i="29" s="1"/>
  <c r="Q568" i="29" a="1"/>
  <c r="Q568" i="29" s="1"/>
  <c r="K570" i="29"/>
  <c r="I569" i="29"/>
  <c r="P565" i="29"/>
  <c r="F566" i="29"/>
  <c r="C566" i="29" a="1"/>
  <c r="C566" i="29" s="1"/>
  <c r="M566" i="29"/>
  <c r="L567" i="29" a="1"/>
  <c r="L567" i="29" s="1"/>
  <c r="B567" i="29"/>
  <c r="O536" i="29" l="1" a="1"/>
  <c r="O536" i="29" s="1"/>
  <c r="R536" i="29" s="1"/>
  <c r="S536" i="29" s="1"/>
  <c r="C567" i="29" a="1"/>
  <c r="C567" i="29" s="1"/>
  <c r="M567" i="29"/>
  <c r="F567" i="29"/>
  <c r="L568" i="29" a="1"/>
  <c r="L568" i="29" s="1"/>
  <c r="P566" i="29"/>
  <c r="B568" i="29"/>
  <c r="G568" i="29"/>
  <c r="Q569" i="29" a="1"/>
  <c r="Q569" i="29" s="1"/>
  <c r="N569" i="29" a="1"/>
  <c r="N569" i="29" s="1"/>
  <c r="K571" i="29"/>
  <c r="I570" i="29"/>
  <c r="O537" i="29" l="1" a="1"/>
  <c r="O537" i="29" s="1"/>
  <c r="R537" i="29" s="1"/>
  <c r="S537" i="29" s="1"/>
  <c r="K572" i="29"/>
  <c r="I571" i="29"/>
  <c r="G569" i="29"/>
  <c r="P567" i="29"/>
  <c r="F568" i="29"/>
  <c r="C568" i="29" a="1"/>
  <c r="C568" i="29" s="1"/>
  <c r="M568" i="29"/>
  <c r="L569" i="29" a="1"/>
  <c r="L569" i="29" s="1"/>
  <c r="B569" i="29"/>
  <c r="N570" i="29" a="1"/>
  <c r="N570" i="29" s="1"/>
  <c r="Q570" i="29" a="1"/>
  <c r="Q570" i="29" s="1"/>
  <c r="O538" i="29" l="1" a="1"/>
  <c r="O538" i="29" s="1"/>
  <c r="R538" i="29" s="1"/>
  <c r="S538" i="29" s="1"/>
  <c r="G570" i="29"/>
  <c r="Q571" i="29" a="1"/>
  <c r="Q571" i="29" s="1"/>
  <c r="N571" i="29" a="1"/>
  <c r="N571" i="29" s="1"/>
  <c r="C569" i="29" a="1"/>
  <c r="C569" i="29" s="1"/>
  <c r="M569" i="29"/>
  <c r="F569" i="29"/>
  <c r="L570" i="29" a="1"/>
  <c r="L570" i="29" s="1"/>
  <c r="B571" i="29" s="1"/>
  <c r="P568" i="29"/>
  <c r="K573" i="29"/>
  <c r="I572" i="29"/>
  <c r="B570" i="29"/>
  <c r="O539" i="29" l="1" a="1"/>
  <c r="O539" i="29" s="1"/>
  <c r="R539" i="29" s="1"/>
  <c r="S539" i="29" s="1"/>
  <c r="G571" i="29"/>
  <c r="N572" i="29" a="1"/>
  <c r="N572" i="29" s="1"/>
  <c r="Q572" i="29" a="1"/>
  <c r="Q572" i="29" s="1"/>
  <c r="K574" i="29"/>
  <c r="I573" i="29"/>
  <c r="F570" i="29"/>
  <c r="C570" i="29" a="1"/>
  <c r="C570" i="29" s="1"/>
  <c r="M570" i="29"/>
  <c r="L571" i="29" a="1"/>
  <c r="L571" i="29" s="1"/>
  <c r="P569" i="29"/>
  <c r="O540" i="29" l="1" a="1"/>
  <c r="O540" i="29" s="1"/>
  <c r="R540" i="29" s="1"/>
  <c r="S540" i="29" s="1"/>
  <c r="C571" i="29" a="1"/>
  <c r="C571" i="29" s="1"/>
  <c r="M571" i="29"/>
  <c r="F571" i="29"/>
  <c r="L572" i="29" a="1"/>
  <c r="L572" i="29" s="1"/>
  <c r="G572" i="29"/>
  <c r="B572" i="29"/>
  <c r="P570" i="29"/>
  <c r="Q573" i="29" a="1"/>
  <c r="Q573" i="29" s="1"/>
  <c r="N573" i="29" a="1"/>
  <c r="N573" i="29" s="1"/>
  <c r="K575" i="29"/>
  <c r="I574" i="29"/>
  <c r="O541" i="29" l="1" a="1"/>
  <c r="O541" i="29" s="1"/>
  <c r="R541" i="29" s="1"/>
  <c r="S541" i="29" s="1"/>
  <c r="G573" i="29"/>
  <c r="K576" i="29"/>
  <c r="I575" i="29"/>
  <c r="F572" i="29"/>
  <c r="C572" i="29" a="1"/>
  <c r="C572" i="29" s="1"/>
  <c r="M572" i="29"/>
  <c r="L573" i="29" a="1"/>
  <c r="L573" i="29" s="1"/>
  <c r="B573" i="29"/>
  <c r="P571" i="29"/>
  <c r="N574" i="29" a="1"/>
  <c r="N574" i="29" s="1"/>
  <c r="Q574" i="29" a="1"/>
  <c r="Q574" i="29" s="1"/>
  <c r="O542" i="29" l="1" a="1"/>
  <c r="O542" i="29" s="1"/>
  <c r="R542" i="29" s="1"/>
  <c r="S542" i="29" s="1"/>
  <c r="C573" i="29" a="1"/>
  <c r="C573" i="29" s="1"/>
  <c r="M573" i="29"/>
  <c r="F573" i="29"/>
  <c r="L574" i="29" a="1"/>
  <c r="L574" i="29" s="1"/>
  <c r="B575" i="29" s="1"/>
  <c r="B574" i="29"/>
  <c r="G574" i="29"/>
  <c r="Q575" i="29" a="1"/>
  <c r="Q575" i="29" s="1"/>
  <c r="N575" i="29" a="1"/>
  <c r="N575" i="29" s="1"/>
  <c r="K577" i="29"/>
  <c r="I576" i="29"/>
  <c r="P572" i="29"/>
  <c r="O543" i="29" l="1" a="1"/>
  <c r="O543" i="29" s="1"/>
  <c r="R543" i="29" s="1"/>
  <c r="S543" i="29" s="1"/>
  <c r="N576" i="29" a="1"/>
  <c r="N576" i="29" s="1"/>
  <c r="Q576" i="29" a="1"/>
  <c r="Q576" i="29" s="1"/>
  <c r="K578" i="29"/>
  <c r="I577" i="29"/>
  <c r="G575" i="29"/>
  <c r="F574" i="29"/>
  <c r="C574" i="29" a="1"/>
  <c r="C574" i="29" s="1"/>
  <c r="M574" i="29"/>
  <c r="L575" i="29" a="1"/>
  <c r="L575" i="29" s="1"/>
  <c r="B576" i="29" s="1"/>
  <c r="P573" i="29"/>
  <c r="P574" i="29" l="1"/>
  <c r="C575" i="29" a="1"/>
  <c r="C575" i="29" s="1"/>
  <c r="M575" i="29"/>
  <c r="F575" i="29"/>
  <c r="L576" i="29" a="1"/>
  <c r="L576" i="29" s="1"/>
  <c r="G576" i="29"/>
  <c r="Q577" i="29" a="1"/>
  <c r="Q577" i="29" s="1"/>
  <c r="N577" i="29" a="1"/>
  <c r="N577" i="29" s="1"/>
  <c r="K579" i="29"/>
  <c r="I578" i="29"/>
  <c r="O544" i="29" a="1"/>
  <c r="O544" i="29" s="1"/>
  <c r="R544" i="29" s="1"/>
  <c r="S544" i="29" s="1"/>
  <c r="O545" i="29" l="1" a="1"/>
  <c r="O545" i="29" s="1"/>
  <c r="R545" i="29" s="1"/>
  <c r="S545" i="29" s="1"/>
  <c r="N578" i="29" a="1"/>
  <c r="N578" i="29" s="1"/>
  <c r="Q578" i="29" a="1"/>
  <c r="Q578" i="29" s="1"/>
  <c r="K580" i="29"/>
  <c r="I579" i="29"/>
  <c r="G577" i="29"/>
  <c r="P575" i="29"/>
  <c r="F576" i="29"/>
  <c r="C576" i="29" a="1"/>
  <c r="C576" i="29" s="1"/>
  <c r="M576" i="29"/>
  <c r="L577" i="29" a="1"/>
  <c r="L577" i="29" s="1"/>
  <c r="B577" i="29"/>
  <c r="O546" i="29" l="1" a="1"/>
  <c r="O546" i="29" s="1"/>
  <c r="R546" i="29" s="1"/>
  <c r="S546" i="29" s="1"/>
  <c r="C577" i="29" a="1"/>
  <c r="C577" i="29" s="1"/>
  <c r="M577" i="29"/>
  <c r="F577" i="29"/>
  <c r="L578" i="29" a="1"/>
  <c r="L578" i="29" s="1"/>
  <c r="B579" i="29" s="1"/>
  <c r="Q579" i="29" a="1"/>
  <c r="Q579" i="29" s="1"/>
  <c r="N579" i="29" a="1"/>
  <c r="N579" i="29" s="1"/>
  <c r="P576" i="29"/>
  <c r="K581" i="29"/>
  <c r="I580" i="29"/>
  <c r="B578" i="29"/>
  <c r="G578" i="29"/>
  <c r="O547" i="29" l="1" a="1"/>
  <c r="O547" i="29" s="1"/>
  <c r="R547" i="29" s="1"/>
  <c r="S547" i="29" s="1"/>
  <c r="N580" i="29" a="1"/>
  <c r="N580" i="29" s="1"/>
  <c r="Q580" i="29" a="1"/>
  <c r="Q580" i="29" s="1"/>
  <c r="P577" i="29"/>
  <c r="F578" i="29"/>
  <c r="C578" i="29" a="1"/>
  <c r="C578" i="29" s="1"/>
  <c r="M578" i="29"/>
  <c r="L579" i="29" a="1"/>
  <c r="L579" i="29" s="1"/>
  <c r="B580" i="29" s="1"/>
  <c r="K582" i="29"/>
  <c r="I581" i="29"/>
  <c r="G579" i="29"/>
  <c r="O548" i="29" l="1" a="1"/>
  <c r="O548" i="29" s="1"/>
  <c r="R548" i="29" s="1"/>
  <c r="S548" i="29" s="1"/>
  <c r="Q581" i="29" a="1"/>
  <c r="Q581" i="29" s="1"/>
  <c r="N581" i="29" a="1"/>
  <c r="N581" i="29" s="1"/>
  <c r="K583" i="29"/>
  <c r="I582" i="29"/>
  <c r="P578" i="29"/>
  <c r="G580" i="29"/>
  <c r="C579" i="29" a="1"/>
  <c r="C579" i="29" s="1"/>
  <c r="M579" i="29"/>
  <c r="F579" i="29"/>
  <c r="L580" i="29" a="1"/>
  <c r="L580" i="29" s="1"/>
  <c r="O549" i="29" l="1" a="1"/>
  <c r="O549" i="29" s="1"/>
  <c r="R549" i="29" s="1"/>
  <c r="S549" i="29" s="1"/>
  <c r="P579" i="29"/>
  <c r="F580" i="29"/>
  <c r="C580" i="29" a="1"/>
  <c r="C580" i="29" s="1"/>
  <c r="M580" i="29"/>
  <c r="L581" i="29" a="1"/>
  <c r="L581" i="29" s="1"/>
  <c r="N582" i="29" a="1"/>
  <c r="N582" i="29" s="1"/>
  <c r="Q582" i="29" a="1"/>
  <c r="Q582" i="29" s="1"/>
  <c r="K584" i="29"/>
  <c r="I583" i="29"/>
  <c r="G581" i="29"/>
  <c r="B581" i="29"/>
  <c r="O550" i="29" l="1" a="1"/>
  <c r="O550" i="29" s="1"/>
  <c r="R550" i="29" s="1"/>
  <c r="S550" i="29" s="1"/>
  <c r="P580" i="29"/>
  <c r="Q583" i="29" a="1"/>
  <c r="Q583" i="29" s="1"/>
  <c r="N583" i="29" a="1"/>
  <c r="N583" i="29" s="1"/>
  <c r="C581" i="29" a="1"/>
  <c r="C581" i="29" s="1"/>
  <c r="M581" i="29"/>
  <c r="F581" i="29"/>
  <c r="L582" i="29" a="1"/>
  <c r="L582" i="29" s="1"/>
  <c r="B583" i="29" s="1"/>
  <c r="K585" i="29"/>
  <c r="I584" i="29"/>
  <c r="B582" i="29"/>
  <c r="G582" i="29"/>
  <c r="O551" i="29" l="1" a="1"/>
  <c r="O551" i="29" s="1"/>
  <c r="R551" i="29" s="1"/>
  <c r="S551" i="29" s="1"/>
  <c r="G583" i="29"/>
  <c r="N584" i="29" a="1"/>
  <c r="N584" i="29" s="1"/>
  <c r="Q584" i="29" a="1"/>
  <c r="Q584" i="29" s="1"/>
  <c r="K586" i="29"/>
  <c r="I585" i="29"/>
  <c r="P581" i="29"/>
  <c r="F582" i="29"/>
  <c r="C582" i="29" a="1"/>
  <c r="C582" i="29" s="1"/>
  <c r="M582" i="29"/>
  <c r="L583" i="29" a="1"/>
  <c r="L583" i="29" s="1"/>
  <c r="B584" i="29" s="1"/>
  <c r="O552" i="29" l="1" a="1"/>
  <c r="O552" i="29" s="1"/>
  <c r="R552" i="29" s="1"/>
  <c r="S552" i="29" s="1"/>
  <c r="P582" i="29"/>
  <c r="C583" i="29" a="1"/>
  <c r="C583" i="29" s="1"/>
  <c r="M583" i="29"/>
  <c r="F583" i="29"/>
  <c r="L584" i="29" a="1"/>
  <c r="L584" i="29" s="1"/>
  <c r="G584" i="29"/>
  <c r="Q585" i="29" a="1"/>
  <c r="Q585" i="29" s="1"/>
  <c r="N585" i="29" a="1"/>
  <c r="N585" i="29" s="1"/>
  <c r="K587" i="29"/>
  <c r="I586" i="29"/>
  <c r="O553" i="29" l="1" a="1"/>
  <c r="O553" i="29" s="1"/>
  <c r="R553" i="29" s="1"/>
  <c r="S553" i="29" s="1"/>
  <c r="N586" i="29" a="1"/>
  <c r="N586" i="29" s="1"/>
  <c r="Q586" i="29" a="1"/>
  <c r="Q586" i="29" s="1"/>
  <c r="K588" i="29"/>
  <c r="I587" i="29"/>
  <c r="P583" i="29"/>
  <c r="G585" i="29"/>
  <c r="F584" i="29"/>
  <c r="C584" i="29" a="1"/>
  <c r="C584" i="29" s="1"/>
  <c r="M584" i="29"/>
  <c r="L585" i="29" a="1"/>
  <c r="L585" i="29" s="1"/>
  <c r="B585" i="29"/>
  <c r="O554" i="29" l="1" a="1"/>
  <c r="O554" i="29" s="1"/>
  <c r="R554" i="29" s="1"/>
  <c r="S554" i="29" s="1"/>
  <c r="C585" i="29" a="1"/>
  <c r="C585" i="29" s="1"/>
  <c r="M585" i="29"/>
  <c r="F585" i="29"/>
  <c r="L586" i="29" a="1"/>
  <c r="L586" i="29" s="1"/>
  <c r="B587" i="29" s="1"/>
  <c r="Q587" i="29" a="1"/>
  <c r="Q587" i="29" s="1"/>
  <c r="N587" i="29" a="1"/>
  <c r="N587" i="29" s="1"/>
  <c r="P584" i="29"/>
  <c r="K589" i="29"/>
  <c r="I588" i="29"/>
  <c r="B586" i="29"/>
  <c r="G586" i="29"/>
  <c r="O555" i="29" l="1" a="1"/>
  <c r="O555" i="29" s="1"/>
  <c r="R555" i="29" s="1"/>
  <c r="S555" i="29" s="1"/>
  <c r="N588" i="29" a="1"/>
  <c r="N588" i="29" s="1"/>
  <c r="Q588" i="29" a="1"/>
  <c r="Q588" i="29" s="1"/>
  <c r="K590" i="29"/>
  <c r="I589" i="29"/>
  <c r="P585" i="29"/>
  <c r="F586" i="29"/>
  <c r="C586" i="29" a="1"/>
  <c r="C586" i="29" s="1"/>
  <c r="M586" i="29"/>
  <c r="L587" i="29" a="1"/>
  <c r="L587" i="29" s="1"/>
  <c r="G587" i="29"/>
  <c r="O556" i="29" l="1" a="1"/>
  <c r="O556" i="29" s="1"/>
  <c r="R556" i="29" s="1"/>
  <c r="S556" i="29" s="1"/>
  <c r="Q589" i="29" a="1"/>
  <c r="Q589" i="29" s="1"/>
  <c r="N589" i="29" a="1"/>
  <c r="N589" i="29" s="1"/>
  <c r="K591" i="29"/>
  <c r="I590" i="29"/>
  <c r="C587" i="29" a="1"/>
  <c r="C587" i="29" s="1"/>
  <c r="M587" i="29"/>
  <c r="F587" i="29"/>
  <c r="L588" i="29" a="1"/>
  <c r="L588" i="29" s="1"/>
  <c r="P586" i="29"/>
  <c r="B588" i="29"/>
  <c r="G588" i="29"/>
  <c r="O557" i="29" l="1" a="1"/>
  <c r="O557" i="29" s="1"/>
  <c r="R557" i="29" s="1"/>
  <c r="S557" i="29" s="1"/>
  <c r="K592" i="29"/>
  <c r="I591" i="29"/>
  <c r="G589" i="29"/>
  <c r="N590" i="29" a="1"/>
  <c r="N590" i="29" s="1"/>
  <c r="Q590" i="29" a="1"/>
  <c r="Q590" i="29" s="1"/>
  <c r="F588" i="29"/>
  <c r="C588" i="29" a="1"/>
  <c r="C588" i="29" s="1"/>
  <c r="M588" i="29"/>
  <c r="L589" i="29" a="1"/>
  <c r="L589" i="29" s="1"/>
  <c r="B589" i="29"/>
  <c r="P587" i="29"/>
  <c r="O558" i="29" l="1" a="1"/>
  <c r="O558" i="29" s="1"/>
  <c r="R558" i="29" s="1"/>
  <c r="S558" i="29" s="1"/>
  <c r="G590" i="29"/>
  <c r="C589" i="29" a="1"/>
  <c r="C589" i="29" s="1"/>
  <c r="M589" i="29"/>
  <c r="F589" i="29"/>
  <c r="L590" i="29" a="1"/>
  <c r="L590" i="29" s="1"/>
  <c r="B591" i="29" s="1"/>
  <c r="P588" i="29"/>
  <c r="Q591" i="29" a="1"/>
  <c r="Q591" i="29" s="1"/>
  <c r="N591" i="29" a="1"/>
  <c r="N591" i="29" s="1"/>
  <c r="K593" i="29"/>
  <c r="I592" i="29"/>
  <c r="B590" i="29"/>
  <c r="O559" i="29" l="1" a="1"/>
  <c r="O559" i="29" s="1"/>
  <c r="R559" i="29" s="1"/>
  <c r="S559" i="29" s="1"/>
  <c r="N592" i="29" a="1"/>
  <c r="N592" i="29" s="1"/>
  <c r="Q592" i="29" a="1"/>
  <c r="Q592" i="29" s="1"/>
  <c r="K594" i="29"/>
  <c r="I593" i="29"/>
  <c r="F590" i="29"/>
  <c r="C590" i="29" a="1"/>
  <c r="C590" i="29" s="1"/>
  <c r="M590" i="29"/>
  <c r="L591" i="29" a="1"/>
  <c r="L591" i="29" s="1"/>
  <c r="P589" i="29"/>
  <c r="G591" i="29"/>
  <c r="O560" i="29" l="1" a="1"/>
  <c r="O560" i="29" s="1"/>
  <c r="R560" i="29" s="1"/>
  <c r="S560" i="29" s="1"/>
  <c r="C591" i="29" a="1"/>
  <c r="C591" i="29" s="1"/>
  <c r="M591" i="29"/>
  <c r="F591" i="29"/>
  <c r="L592" i="29" a="1"/>
  <c r="L592" i="29" s="1"/>
  <c r="G592" i="29"/>
  <c r="Q593" i="29" a="1"/>
  <c r="Q593" i="29" s="1"/>
  <c r="N593" i="29" a="1"/>
  <c r="N593" i="29" s="1"/>
  <c r="K595" i="29"/>
  <c r="I594" i="29"/>
  <c r="B592" i="29"/>
  <c r="P590" i="29"/>
  <c r="O561" i="29" l="1" a="1"/>
  <c r="O561" i="29" s="1"/>
  <c r="R561" i="29" s="1"/>
  <c r="S561" i="29" s="1"/>
  <c r="F592" i="29"/>
  <c r="C592" i="29" a="1"/>
  <c r="C592" i="29" s="1"/>
  <c r="M592" i="29"/>
  <c r="L593" i="29" a="1"/>
  <c r="L593" i="29" s="1"/>
  <c r="B594" i="29" s="1"/>
  <c r="G593" i="29"/>
  <c r="N594" i="29" a="1"/>
  <c r="N594" i="29" s="1"/>
  <c r="Q594" i="29" a="1"/>
  <c r="Q594" i="29" s="1"/>
  <c r="K596" i="29"/>
  <c r="I595" i="29"/>
  <c r="P591" i="29"/>
  <c r="B593" i="29"/>
  <c r="O562" i="29" l="1" a="1"/>
  <c r="O562" i="29" s="1"/>
  <c r="R562" i="29" s="1"/>
  <c r="S562" i="29" s="1"/>
  <c r="Q595" i="29" a="1"/>
  <c r="Q595" i="29" s="1"/>
  <c r="N595" i="29" a="1"/>
  <c r="N595" i="29" s="1"/>
  <c r="K597" i="29"/>
  <c r="I596" i="29"/>
  <c r="C593" i="29" a="1"/>
  <c r="C593" i="29" s="1"/>
  <c r="M593" i="29"/>
  <c r="F593" i="29"/>
  <c r="L594" i="29" a="1"/>
  <c r="L594" i="29" s="1"/>
  <c r="P592" i="29"/>
  <c r="G594" i="29"/>
  <c r="O563" i="29" l="1" a="1"/>
  <c r="O563" i="29" s="1"/>
  <c r="R563" i="29" s="1"/>
  <c r="S563" i="29" s="1"/>
  <c r="N596" i="29" a="1"/>
  <c r="N596" i="29" s="1"/>
  <c r="Q596" i="29" a="1"/>
  <c r="Q596" i="29" s="1"/>
  <c r="K598" i="29"/>
  <c r="I597" i="29"/>
  <c r="G595" i="29"/>
  <c r="P593" i="29"/>
  <c r="F594" i="29"/>
  <c r="C594" i="29" a="1"/>
  <c r="C594" i="29" s="1"/>
  <c r="M594" i="29"/>
  <c r="L595" i="29" a="1"/>
  <c r="L595" i="29" s="1"/>
  <c r="B595" i="29"/>
  <c r="O564" i="29" l="1" a="1"/>
  <c r="O564" i="29" s="1"/>
  <c r="R564" i="29" s="1"/>
  <c r="S564" i="29" s="1"/>
  <c r="C595" i="29" a="1"/>
  <c r="C595" i="29" s="1"/>
  <c r="M595" i="29"/>
  <c r="F595" i="29"/>
  <c r="L596" i="29" a="1"/>
  <c r="L596" i="29" s="1"/>
  <c r="B597" i="29" s="1"/>
  <c r="Q597" i="29" a="1"/>
  <c r="Q597" i="29" s="1"/>
  <c r="N597" i="29" a="1"/>
  <c r="N597" i="29" s="1"/>
  <c r="P594" i="29"/>
  <c r="K599" i="29"/>
  <c r="I598" i="29"/>
  <c r="B596" i="29"/>
  <c r="G596" i="29"/>
  <c r="O565" i="29" l="1" a="1"/>
  <c r="O565" i="29" s="1"/>
  <c r="R565" i="29" s="1"/>
  <c r="S565" i="29" s="1"/>
  <c r="N598" i="29" a="1"/>
  <c r="N598" i="29" s="1"/>
  <c r="Q598" i="29" a="1"/>
  <c r="Q598" i="29" s="1"/>
  <c r="F596" i="29"/>
  <c r="C596" i="29" a="1"/>
  <c r="C596" i="29" s="1"/>
  <c r="M596" i="29"/>
  <c r="L597" i="29" a="1"/>
  <c r="L597" i="29" s="1"/>
  <c r="B598" i="29" s="1"/>
  <c r="K600" i="29"/>
  <c r="I599" i="29"/>
  <c r="P595" i="29"/>
  <c r="G597" i="29"/>
  <c r="O566" i="29" l="1" a="1"/>
  <c r="O566" i="29" s="1"/>
  <c r="R566" i="29" s="1"/>
  <c r="S566" i="29" s="1"/>
  <c r="Q599" i="29" a="1"/>
  <c r="Q599" i="29" s="1"/>
  <c r="N599" i="29" a="1"/>
  <c r="N599" i="29" s="1"/>
  <c r="K601" i="29"/>
  <c r="I600" i="29"/>
  <c r="G598" i="29"/>
  <c r="C597" i="29" a="1"/>
  <c r="C597" i="29" s="1"/>
  <c r="M597" i="29"/>
  <c r="F597" i="29"/>
  <c r="L598" i="29" a="1"/>
  <c r="L598" i="29" s="1"/>
  <c r="B599" i="29" s="1"/>
  <c r="P596" i="29"/>
  <c r="O567" i="29" l="1" a="1"/>
  <c r="O567" i="29" s="1"/>
  <c r="R567" i="29" s="1"/>
  <c r="S567" i="29" s="1"/>
  <c r="N600" i="29" a="1"/>
  <c r="N600" i="29" s="1"/>
  <c r="Q600" i="29" a="1"/>
  <c r="Q600" i="29" s="1"/>
  <c r="I601" i="29"/>
  <c r="K602" i="29"/>
  <c r="G599" i="29"/>
  <c r="P597" i="29"/>
  <c r="F598" i="29"/>
  <c r="C598" i="29" a="1"/>
  <c r="C598" i="29" s="1"/>
  <c r="M598" i="29"/>
  <c r="L599" i="29" a="1"/>
  <c r="L599" i="29" s="1"/>
  <c r="O568" i="29" l="1" a="1"/>
  <c r="O568" i="29" s="1"/>
  <c r="R568" i="29" s="1"/>
  <c r="S568" i="29" s="1"/>
  <c r="K603" i="29"/>
  <c r="I602" i="29"/>
  <c r="P598" i="29"/>
  <c r="Q601" i="29" a="1"/>
  <c r="Q601" i="29" s="1"/>
  <c r="N601" i="29" a="1"/>
  <c r="N601" i="29" s="1"/>
  <c r="C599" i="29" a="1"/>
  <c r="C599" i="29" s="1"/>
  <c r="M599" i="29"/>
  <c r="F599" i="29"/>
  <c r="L600" i="29" a="1"/>
  <c r="L600" i="29" s="1"/>
  <c r="B600" i="29"/>
  <c r="G600" i="29"/>
  <c r="O569" i="29" l="1" a="1"/>
  <c r="O569" i="29" s="1"/>
  <c r="R569" i="29" s="1"/>
  <c r="S569" i="29" s="1"/>
  <c r="F600" i="29"/>
  <c r="M600" i="29"/>
  <c r="C600" i="29" a="1"/>
  <c r="C600" i="29" s="1"/>
  <c r="L601" i="29" a="1"/>
  <c r="L601" i="29" s="1"/>
  <c r="P599" i="29"/>
  <c r="N602" i="29" a="1"/>
  <c r="N602" i="29" s="1"/>
  <c r="Q602" i="29" a="1"/>
  <c r="Q602" i="29" s="1"/>
  <c r="B601" i="29"/>
  <c r="I603" i="29"/>
  <c r="K604" i="29"/>
  <c r="G601" i="29"/>
  <c r="O570" i="29" l="1" a="1"/>
  <c r="O570" i="29" s="1"/>
  <c r="R570" i="29" s="1"/>
  <c r="S570" i="29" s="1"/>
  <c r="Q603" i="29" a="1"/>
  <c r="Q603" i="29" s="1"/>
  <c r="N603" i="29" a="1"/>
  <c r="N603" i="29" s="1"/>
  <c r="C601" i="29" a="1"/>
  <c r="C601" i="29" s="1"/>
  <c r="M601" i="29"/>
  <c r="F601" i="29"/>
  <c r="L602" i="29" a="1"/>
  <c r="L602" i="29" s="1"/>
  <c r="B603" i="29" s="1"/>
  <c r="P600" i="29"/>
  <c r="K605" i="29"/>
  <c r="I604" i="29"/>
  <c r="B602" i="29"/>
  <c r="G602" i="29"/>
  <c r="O571" i="29" l="1" a="1"/>
  <c r="O571" i="29" s="1"/>
  <c r="R571" i="29" s="1"/>
  <c r="S571" i="29" s="1"/>
  <c r="N604" i="29" a="1"/>
  <c r="N604" i="29" s="1"/>
  <c r="Q604" i="29" a="1"/>
  <c r="Q604" i="29" s="1"/>
  <c r="I605" i="29"/>
  <c r="K606" i="29"/>
  <c r="P601" i="29"/>
  <c r="G603" i="29"/>
  <c r="F602" i="29"/>
  <c r="M602" i="29"/>
  <c r="C602" i="29" a="1"/>
  <c r="C602" i="29" s="1"/>
  <c r="L603" i="29" a="1"/>
  <c r="L603" i="29" s="1"/>
  <c r="O572" i="29" l="1" a="1"/>
  <c r="O572" i="29" s="1"/>
  <c r="R572" i="29" s="1"/>
  <c r="S572" i="29" s="1"/>
  <c r="C603" i="29" a="1"/>
  <c r="C603" i="29" s="1"/>
  <c r="M603" i="29"/>
  <c r="F603" i="29"/>
  <c r="L604" i="29" a="1"/>
  <c r="L604" i="29" s="1"/>
  <c r="K607" i="29"/>
  <c r="I606" i="29"/>
  <c r="Q605" i="29" a="1"/>
  <c r="Q605" i="29" s="1"/>
  <c r="N605" i="29" a="1"/>
  <c r="N605" i="29" s="1"/>
  <c r="P602" i="29"/>
  <c r="B604" i="29"/>
  <c r="G604" i="29"/>
  <c r="O573" i="29" l="1" a="1"/>
  <c r="O573" i="29" s="1"/>
  <c r="R573" i="29" s="1"/>
  <c r="S573" i="29" s="1"/>
  <c r="N606" i="29" a="1"/>
  <c r="N606" i="29" s="1"/>
  <c r="Q606" i="29" a="1"/>
  <c r="Q606" i="29" s="1"/>
  <c r="I607" i="29"/>
  <c r="K608" i="29"/>
  <c r="F604" i="29"/>
  <c r="C604" i="29" a="1"/>
  <c r="C604" i="29" s="1"/>
  <c r="M604" i="29"/>
  <c r="L605" i="29" a="1"/>
  <c r="L605" i="29" s="1"/>
  <c r="B606" i="29" s="1"/>
  <c r="G605" i="29"/>
  <c r="P603" i="29"/>
  <c r="B605" i="29"/>
  <c r="O574" i="29" l="1" a="1"/>
  <c r="O574" i="29" s="1"/>
  <c r="R574" i="29" s="1"/>
  <c r="S574" i="29" s="1"/>
  <c r="Q607" i="29" a="1"/>
  <c r="Q607" i="29" s="1"/>
  <c r="N607" i="29" a="1"/>
  <c r="N607" i="29" s="1"/>
  <c r="K609" i="29"/>
  <c r="I608" i="29"/>
  <c r="P604" i="29"/>
  <c r="C605" i="29" a="1"/>
  <c r="C605" i="29" s="1"/>
  <c r="M605" i="29"/>
  <c r="F605" i="29"/>
  <c r="L606" i="29" a="1"/>
  <c r="L606" i="29" s="1"/>
  <c r="B607" i="29" s="1"/>
  <c r="G606" i="29"/>
  <c r="O575" i="29" l="1" a="1"/>
  <c r="O575" i="29" s="1"/>
  <c r="R575" i="29" s="1"/>
  <c r="S575" i="29" s="1"/>
  <c r="N608" i="29" a="1"/>
  <c r="N608" i="29" s="1"/>
  <c r="Q608" i="29" a="1"/>
  <c r="Q608" i="29" s="1"/>
  <c r="K610" i="29"/>
  <c r="I609" i="29"/>
  <c r="G607" i="29"/>
  <c r="P605" i="29"/>
  <c r="F606" i="29"/>
  <c r="M606" i="29"/>
  <c r="C606" i="29" a="1"/>
  <c r="C606" i="29" s="1"/>
  <c r="L607" i="29" a="1"/>
  <c r="L607" i="29" s="1"/>
  <c r="O576" i="29" l="1" a="1"/>
  <c r="O576" i="29" s="1"/>
  <c r="R576" i="29" s="1"/>
  <c r="S576" i="29" s="1"/>
  <c r="F607" i="29"/>
  <c r="M607" i="29"/>
  <c r="C607" i="29" a="1"/>
  <c r="C607" i="29" s="1"/>
  <c r="L608" i="29" a="1"/>
  <c r="L608" i="29" s="1"/>
  <c r="Q609" i="29" a="1"/>
  <c r="Q609" i="29" s="1"/>
  <c r="N609" i="29" a="1"/>
  <c r="N609" i="29" s="1"/>
  <c r="P606" i="29"/>
  <c r="K611" i="29"/>
  <c r="I610" i="29"/>
  <c r="B608" i="29"/>
  <c r="G608" i="29"/>
  <c r="O577" i="29" l="1" a="1"/>
  <c r="O577" i="29" s="1"/>
  <c r="R577" i="29" s="1"/>
  <c r="S577" i="29" s="1"/>
  <c r="F608" i="29"/>
  <c r="M608" i="29"/>
  <c r="C608" i="29" a="1"/>
  <c r="C608" i="29" s="1"/>
  <c r="L609" i="29" a="1"/>
  <c r="L609" i="29" s="1"/>
  <c r="B610" i="29" s="1"/>
  <c r="I611" i="29"/>
  <c r="K612" i="29"/>
  <c r="P607" i="29"/>
  <c r="B609" i="29"/>
  <c r="N610" i="29" a="1"/>
  <c r="N610" i="29" s="1"/>
  <c r="Q610" i="29" a="1"/>
  <c r="Q610" i="29" s="1"/>
  <c r="G609" i="29"/>
  <c r="O578" i="29" l="1" a="1"/>
  <c r="O578" i="29" s="1"/>
  <c r="R578" i="29" s="1"/>
  <c r="S578" i="29" s="1"/>
  <c r="N611" i="29" a="1"/>
  <c r="N611" i="29" s="1"/>
  <c r="Q611" i="29" a="1"/>
  <c r="Q611" i="29" s="1"/>
  <c r="K613" i="29"/>
  <c r="I612" i="29"/>
  <c r="G610" i="29"/>
  <c r="C609" i="29" a="1"/>
  <c r="C609" i="29" s="1"/>
  <c r="F609" i="29"/>
  <c r="M609" i="29"/>
  <c r="L610" i="29" a="1"/>
  <c r="L610" i="29" s="1"/>
  <c r="P608" i="29"/>
  <c r="O579" i="29" l="1" a="1"/>
  <c r="O579" i="29" s="1"/>
  <c r="R579" i="29" s="1"/>
  <c r="S579" i="29" s="1"/>
  <c r="N612" i="29" a="1"/>
  <c r="N612" i="29" s="1"/>
  <c r="Q612" i="29" a="1"/>
  <c r="Q612" i="29" s="1"/>
  <c r="M610" i="29"/>
  <c r="C610" i="29" a="1"/>
  <c r="C610" i="29" s="1"/>
  <c r="F610" i="29"/>
  <c r="L611" i="29" a="1"/>
  <c r="L611" i="29" s="1"/>
  <c r="B612" i="29" s="1"/>
  <c r="G611" i="29"/>
  <c r="K614" i="29"/>
  <c r="I613" i="29"/>
  <c r="P609" i="29"/>
  <c r="B611" i="29"/>
  <c r="O580" i="29" l="1" a="1"/>
  <c r="O580" i="29" s="1"/>
  <c r="R580" i="29" s="1"/>
  <c r="S580" i="29" s="1"/>
  <c r="N613" i="29" a="1"/>
  <c r="N613" i="29" s="1"/>
  <c r="Q613" i="29" a="1"/>
  <c r="Q613" i="29" s="1"/>
  <c r="K615" i="29"/>
  <c r="I614" i="29"/>
  <c r="G612" i="29"/>
  <c r="P610" i="29"/>
  <c r="M611" i="29"/>
  <c r="C611" i="29" a="1"/>
  <c r="C611" i="29" s="1"/>
  <c r="F611" i="29"/>
  <c r="L612" i="29" a="1"/>
  <c r="L612" i="29" s="1"/>
  <c r="O581" i="29" l="1" a="1"/>
  <c r="O581" i="29" s="1"/>
  <c r="R581" i="29" s="1"/>
  <c r="S581" i="29" s="1"/>
  <c r="M612" i="29"/>
  <c r="C612" i="29" a="1"/>
  <c r="C612" i="29" s="1"/>
  <c r="F612" i="29"/>
  <c r="L613" i="29" a="1"/>
  <c r="L613" i="29" s="1"/>
  <c r="B614" i="29" s="1"/>
  <c r="N614" i="29" a="1"/>
  <c r="N614" i="29" s="1"/>
  <c r="Q614" i="29" a="1"/>
  <c r="Q614" i="29" s="1"/>
  <c r="K616" i="29"/>
  <c r="I615" i="29"/>
  <c r="P611" i="29"/>
  <c r="G613" i="29"/>
  <c r="B613" i="29"/>
  <c r="O582" i="29" l="1" a="1"/>
  <c r="O582" i="29" s="1"/>
  <c r="R582" i="29" s="1"/>
  <c r="S582" i="29" s="1"/>
  <c r="G614" i="29"/>
  <c r="M613" i="29"/>
  <c r="C613" i="29" a="1"/>
  <c r="C613" i="29" s="1"/>
  <c r="F613" i="29"/>
  <c r="L614" i="29" a="1"/>
  <c r="L614" i="29" s="1"/>
  <c r="Q615" i="29" a="1"/>
  <c r="Q615" i="29" s="1"/>
  <c r="N615" i="29" a="1"/>
  <c r="N615" i="29" s="1"/>
  <c r="K617" i="29"/>
  <c r="I616" i="29"/>
  <c r="P612" i="29"/>
  <c r="O583" i="29" l="1" a="1"/>
  <c r="O583" i="29" s="1"/>
  <c r="R583" i="29" s="1"/>
  <c r="S583" i="29" s="1"/>
  <c r="N616" i="29" a="1"/>
  <c r="N616" i="29" s="1"/>
  <c r="Q616" i="29" a="1"/>
  <c r="Q616" i="29" s="1"/>
  <c r="K618" i="29"/>
  <c r="I617" i="29"/>
  <c r="M614" i="29"/>
  <c r="C614" i="29" a="1"/>
  <c r="C614" i="29" s="1"/>
  <c r="F614" i="29"/>
  <c r="L615" i="29" a="1"/>
  <c r="L615" i="29" s="1"/>
  <c r="B616" i="29" s="1"/>
  <c r="P613" i="29"/>
  <c r="G615" i="29"/>
  <c r="B615" i="29"/>
  <c r="O584" i="29" l="1" a="1"/>
  <c r="O584" i="29" s="1"/>
  <c r="R584" i="29" s="1"/>
  <c r="S584" i="29" s="1"/>
  <c r="K619" i="29"/>
  <c r="I618" i="29"/>
  <c r="Q617" i="29" a="1"/>
  <c r="Q617" i="29" s="1"/>
  <c r="N617" i="29" a="1"/>
  <c r="N617" i="29" s="1"/>
  <c r="G616" i="29"/>
  <c r="C615" i="29" a="1"/>
  <c r="C615" i="29" s="1"/>
  <c r="F615" i="29"/>
  <c r="M615" i="29"/>
  <c r="L616" i="29" a="1"/>
  <c r="L616" i="29" s="1"/>
  <c r="P614" i="29"/>
  <c r="O585" i="29" l="1" a="1"/>
  <c r="O585" i="29" s="1"/>
  <c r="R585" i="29" s="1"/>
  <c r="S585" i="29" s="1"/>
  <c r="G617" i="29"/>
  <c r="N618" i="29" a="1"/>
  <c r="N618" i="29" s="1"/>
  <c r="Q618" i="29" a="1"/>
  <c r="Q618" i="29" s="1"/>
  <c r="C616" i="29" a="1"/>
  <c r="C616" i="29" s="1"/>
  <c r="F616" i="29"/>
  <c r="M616" i="29"/>
  <c r="L617" i="29" a="1"/>
  <c r="L617" i="29" s="1"/>
  <c r="B618" i="29" s="1"/>
  <c r="P615" i="29"/>
  <c r="B617" i="29"/>
  <c r="I619" i="29"/>
  <c r="K620" i="29"/>
  <c r="O586" i="29" l="1" a="1"/>
  <c r="O586" i="29" s="1"/>
  <c r="R586" i="29" s="1"/>
  <c r="S586" i="29" s="1"/>
  <c r="Q619" i="29" a="1"/>
  <c r="Q619" i="29" s="1"/>
  <c r="N619" i="29" a="1"/>
  <c r="N619" i="29" s="1"/>
  <c r="G618" i="29"/>
  <c r="F617" i="29"/>
  <c r="M617" i="29"/>
  <c r="C617" i="29" a="1"/>
  <c r="C617" i="29" s="1"/>
  <c r="L618" i="29" a="1"/>
  <c r="L618" i="29" s="1"/>
  <c r="P616" i="29"/>
  <c r="K621" i="29"/>
  <c r="I620" i="29"/>
  <c r="O587" i="29" l="1" a="1"/>
  <c r="O587" i="29" s="1"/>
  <c r="R587" i="29" s="1"/>
  <c r="S587" i="29" s="1"/>
  <c r="I621" i="29"/>
  <c r="K622" i="29"/>
  <c r="G619" i="29"/>
  <c r="N620" i="29" a="1"/>
  <c r="N620" i="29" s="1"/>
  <c r="Q620" i="29" a="1"/>
  <c r="Q620" i="29" s="1"/>
  <c r="M618" i="29"/>
  <c r="C618" i="29" a="1"/>
  <c r="C618" i="29" s="1"/>
  <c r="F618" i="29"/>
  <c r="L619" i="29" a="1"/>
  <c r="L619" i="29" s="1"/>
  <c r="B619" i="29"/>
  <c r="P617" i="29"/>
  <c r="O588" i="29" l="1" a="1"/>
  <c r="O588" i="29" s="1"/>
  <c r="R588" i="29" s="1"/>
  <c r="S588" i="29" s="1"/>
  <c r="M619" i="29"/>
  <c r="C619" i="29" a="1"/>
  <c r="C619" i="29" s="1"/>
  <c r="F619" i="29"/>
  <c r="L620" i="29" a="1"/>
  <c r="L620" i="29" s="1"/>
  <c r="B621" i="29" s="1"/>
  <c r="K623" i="29"/>
  <c r="I622" i="29"/>
  <c r="G620" i="29"/>
  <c r="P618" i="29"/>
  <c r="Q621" i="29" a="1"/>
  <c r="Q621" i="29" s="1"/>
  <c r="N621" i="29" a="1"/>
  <c r="N621" i="29" s="1"/>
  <c r="B620" i="29"/>
  <c r="O589" i="29" l="1" a="1"/>
  <c r="O589" i="29" s="1"/>
  <c r="R589" i="29" s="1"/>
  <c r="S589" i="29" s="1"/>
  <c r="G621" i="29"/>
  <c r="N622" i="29" a="1"/>
  <c r="N622" i="29" s="1"/>
  <c r="Q622" i="29" a="1"/>
  <c r="Q622" i="29" s="1"/>
  <c r="K624" i="29"/>
  <c r="I623" i="29"/>
  <c r="M620" i="29"/>
  <c r="C620" i="29" a="1"/>
  <c r="C620" i="29" s="1"/>
  <c r="F620" i="29"/>
  <c r="L621" i="29" a="1"/>
  <c r="L621" i="29" s="1"/>
  <c r="P619" i="29"/>
  <c r="O590" i="29" l="1" a="1"/>
  <c r="O590" i="29" s="1"/>
  <c r="R590" i="29" s="1"/>
  <c r="S590" i="29" s="1"/>
  <c r="G622" i="29"/>
  <c r="F621" i="29"/>
  <c r="M621" i="29"/>
  <c r="C621" i="29" a="1"/>
  <c r="C621" i="29" s="1"/>
  <c r="L622" i="29" a="1"/>
  <c r="L622" i="29" s="1"/>
  <c r="B622" i="29"/>
  <c r="P620" i="29"/>
  <c r="N623" i="29" a="1"/>
  <c r="N623" i="29" s="1"/>
  <c r="Q623" i="29" a="1"/>
  <c r="Q623" i="29" s="1"/>
  <c r="K625" i="29"/>
  <c r="I624" i="29"/>
  <c r="O591" i="29" l="1" a="1"/>
  <c r="O591" i="29" s="1"/>
  <c r="R591" i="29" s="1"/>
  <c r="S591" i="29" s="1"/>
  <c r="M622" i="29"/>
  <c r="C622" i="29" a="1"/>
  <c r="C622" i="29" s="1"/>
  <c r="F622" i="29"/>
  <c r="L623" i="29" a="1"/>
  <c r="L623" i="29" s="1"/>
  <c r="I625" i="29"/>
  <c r="K626" i="29"/>
  <c r="P621" i="29"/>
  <c r="G623" i="29"/>
  <c r="B623" i="29"/>
  <c r="N624" i="29" a="1"/>
  <c r="N624" i="29" s="1"/>
  <c r="Q624" i="29" a="1"/>
  <c r="Q624" i="29" s="1"/>
  <c r="O592" i="29" l="1" a="1"/>
  <c r="O592" i="29" s="1"/>
  <c r="R592" i="29" s="1"/>
  <c r="S592" i="29" s="1"/>
  <c r="K627" i="29"/>
  <c r="I626" i="29"/>
  <c r="Q625" i="29" a="1"/>
  <c r="Q625" i="29" s="1"/>
  <c r="N625" i="29" a="1"/>
  <c r="N625" i="29" s="1"/>
  <c r="G624" i="29"/>
  <c r="M623" i="29"/>
  <c r="C623" i="29" a="1"/>
  <c r="C623" i="29" s="1"/>
  <c r="F623" i="29"/>
  <c r="L624" i="29" a="1"/>
  <c r="L624" i="29" s="1"/>
  <c r="B625" i="29" s="1"/>
  <c r="P622" i="29"/>
  <c r="B624" i="29"/>
  <c r="O593" i="29" l="1" a="1"/>
  <c r="O593" i="29" s="1"/>
  <c r="R593" i="29" s="1"/>
  <c r="S593" i="29" s="1"/>
  <c r="G625" i="29"/>
  <c r="N626" i="29" a="1"/>
  <c r="N626" i="29" s="1"/>
  <c r="Q626" i="29" a="1"/>
  <c r="Q626" i="29" s="1"/>
  <c r="M624" i="29"/>
  <c r="C624" i="29" a="1"/>
  <c r="C624" i="29" s="1"/>
  <c r="F624" i="29"/>
  <c r="L625" i="29" a="1"/>
  <c r="L625" i="29" s="1"/>
  <c r="P623" i="29"/>
  <c r="I627" i="29"/>
  <c r="K628" i="29"/>
  <c r="O594" i="29" l="1" a="1"/>
  <c r="O594" i="29" s="1"/>
  <c r="R594" i="29" s="1"/>
  <c r="S594" i="29" s="1"/>
  <c r="M625" i="29"/>
  <c r="C625" i="29" a="1"/>
  <c r="C625" i="29" s="1"/>
  <c r="F625" i="29"/>
  <c r="L626" i="29" a="1"/>
  <c r="L626" i="29" s="1"/>
  <c r="B627" i="29" s="1"/>
  <c r="K629" i="29"/>
  <c r="I628" i="29"/>
  <c r="B626" i="29"/>
  <c r="Q627" i="29" a="1"/>
  <c r="Q627" i="29" s="1"/>
  <c r="N627" i="29" a="1"/>
  <c r="N627" i="29" s="1"/>
  <c r="G626" i="29"/>
  <c r="P624" i="29"/>
  <c r="O595" i="29" l="1" a="1"/>
  <c r="O595" i="29" s="1"/>
  <c r="R595" i="29" s="1"/>
  <c r="S595" i="29" s="1"/>
  <c r="N628" i="29" a="1"/>
  <c r="N628" i="29" s="1"/>
  <c r="Q628" i="29" a="1"/>
  <c r="Q628" i="29" s="1"/>
  <c r="I629" i="29"/>
  <c r="K630" i="29"/>
  <c r="C626" i="29" a="1"/>
  <c r="C626" i="29" s="1"/>
  <c r="M626" i="29"/>
  <c r="F626" i="29"/>
  <c r="L627" i="29" a="1"/>
  <c r="L627" i="29" s="1"/>
  <c r="B628" i="29" s="1"/>
  <c r="G627" i="29"/>
  <c r="P625" i="29"/>
  <c r="O596" i="29" l="1" a="1"/>
  <c r="O596" i="29" s="1"/>
  <c r="R596" i="29" s="1"/>
  <c r="S596" i="29" s="1"/>
  <c r="K631" i="29"/>
  <c r="I630" i="29"/>
  <c r="Q629" i="29" a="1"/>
  <c r="Q629" i="29" s="1"/>
  <c r="N629" i="29" a="1"/>
  <c r="N629" i="29" s="1"/>
  <c r="C627" i="29" a="1"/>
  <c r="C627" i="29" s="1"/>
  <c r="M627" i="29"/>
  <c r="F627" i="29"/>
  <c r="L628" i="29" a="1"/>
  <c r="L628" i="29" s="1"/>
  <c r="B629" i="29" s="1"/>
  <c r="G628" i="29"/>
  <c r="P626" i="29"/>
  <c r="O597" i="29" l="1" a="1"/>
  <c r="O597" i="29" s="1"/>
  <c r="R597" i="29" s="1"/>
  <c r="S597" i="29" s="1"/>
  <c r="G629" i="29"/>
  <c r="C628" i="29" a="1"/>
  <c r="C628" i="29" s="1"/>
  <c r="M628" i="29"/>
  <c r="F628" i="29"/>
  <c r="L629" i="29" a="1"/>
  <c r="L629" i="29" s="1"/>
  <c r="B630" i="29" s="1"/>
  <c r="N630" i="29" a="1"/>
  <c r="N630" i="29" s="1"/>
  <c r="Q630" i="29" a="1"/>
  <c r="Q630" i="29" s="1"/>
  <c r="I631" i="29"/>
  <c r="K632" i="29"/>
  <c r="P627" i="29"/>
  <c r="O598" i="29" l="1" a="1"/>
  <c r="O598" i="29" s="1"/>
  <c r="R598" i="29" s="1"/>
  <c r="S598" i="29" s="1"/>
  <c r="P628" i="29"/>
  <c r="Q631" i="29" a="1"/>
  <c r="Q631" i="29" s="1"/>
  <c r="N631" i="29" a="1"/>
  <c r="N631" i="29" s="1"/>
  <c r="C629" i="29" a="1"/>
  <c r="C629" i="29" s="1"/>
  <c r="M629" i="29"/>
  <c r="F629" i="29"/>
  <c r="L630" i="29" a="1"/>
  <c r="L630" i="29" s="1"/>
  <c r="B631" i="29" s="1"/>
  <c r="K633" i="29"/>
  <c r="I632" i="29"/>
  <c r="G630" i="29"/>
  <c r="O599" i="29" l="1" a="1"/>
  <c r="O599" i="29" s="1"/>
  <c r="R599" i="29" s="1"/>
  <c r="S599" i="29" s="1"/>
  <c r="I633" i="29"/>
  <c r="K634" i="29"/>
  <c r="G631" i="29"/>
  <c r="N632" i="29" a="1"/>
  <c r="N632" i="29" s="1"/>
  <c r="Q632" i="29" a="1"/>
  <c r="Q632" i="29" s="1"/>
  <c r="P629" i="29"/>
  <c r="C630" i="29" a="1"/>
  <c r="C630" i="29" s="1"/>
  <c r="M630" i="29"/>
  <c r="F630" i="29"/>
  <c r="L631" i="29" a="1"/>
  <c r="L631" i="29" s="1"/>
  <c r="O600" i="29" l="1" a="1"/>
  <c r="O600" i="29" s="1"/>
  <c r="R600" i="29" s="1"/>
  <c r="S600" i="29" s="1"/>
  <c r="P630" i="29"/>
  <c r="C631" i="29" a="1"/>
  <c r="C631" i="29" s="1"/>
  <c r="M631" i="29"/>
  <c r="F631" i="29"/>
  <c r="L632" i="29" a="1"/>
  <c r="L632" i="29" s="1"/>
  <c r="G632" i="29"/>
  <c r="K635" i="29"/>
  <c r="I634" i="29"/>
  <c r="Q633" i="29" a="1"/>
  <c r="Q633" i="29" s="1"/>
  <c r="N633" i="29" a="1"/>
  <c r="N633" i="29" s="1"/>
  <c r="B632" i="29"/>
  <c r="O601" i="29" l="1" a="1"/>
  <c r="O601" i="29" s="1"/>
  <c r="R601" i="29" s="1"/>
  <c r="S601" i="29" s="1"/>
  <c r="C632" i="29" a="1"/>
  <c r="C632" i="29" s="1"/>
  <c r="M632" i="29"/>
  <c r="F632" i="29"/>
  <c r="L633" i="29" a="1"/>
  <c r="L633" i="29" s="1"/>
  <c r="B634" i="29" s="1"/>
  <c r="G633" i="29"/>
  <c r="B633" i="29"/>
  <c r="P631" i="29"/>
  <c r="N634" i="29" a="1"/>
  <c r="N634" i="29" s="1"/>
  <c r="Q634" i="29" a="1"/>
  <c r="Q634" i="29" s="1"/>
  <c r="I635" i="29"/>
  <c r="K636" i="29"/>
  <c r="O602" i="29" l="1" a="1"/>
  <c r="O602" i="29" s="1"/>
  <c r="R602" i="29" s="1"/>
  <c r="S602" i="29" s="1"/>
  <c r="C633" i="29" a="1"/>
  <c r="C633" i="29" s="1"/>
  <c r="M633" i="29"/>
  <c r="F633" i="29"/>
  <c r="L634" i="29" a="1"/>
  <c r="L634" i="29" s="1"/>
  <c r="P632" i="29"/>
  <c r="Q635" i="29" a="1"/>
  <c r="Q635" i="29" s="1"/>
  <c r="N635" i="29" a="1"/>
  <c r="N635" i="29" s="1"/>
  <c r="G634" i="29"/>
  <c r="K637" i="29"/>
  <c r="I636" i="29"/>
  <c r="O603" i="29" l="1" a="1"/>
  <c r="O603" i="29" s="1"/>
  <c r="R603" i="29" s="1"/>
  <c r="S603" i="29" s="1"/>
  <c r="C634" i="29" a="1"/>
  <c r="C634" i="29" s="1"/>
  <c r="M634" i="29"/>
  <c r="F634" i="29"/>
  <c r="L635" i="29" a="1"/>
  <c r="L635" i="29" s="1"/>
  <c r="G635" i="29"/>
  <c r="N636" i="29" a="1"/>
  <c r="N636" i="29" s="1"/>
  <c r="Q636" i="29" a="1"/>
  <c r="Q636" i="29" s="1"/>
  <c r="I637" i="29"/>
  <c r="K638" i="29"/>
  <c r="P633" i="29"/>
  <c r="B635" i="29"/>
  <c r="O604" i="29" l="1" a="1"/>
  <c r="O604" i="29" s="1"/>
  <c r="R604" i="29" s="1"/>
  <c r="S604" i="29" s="1"/>
  <c r="K639" i="29"/>
  <c r="I638" i="29"/>
  <c r="P634" i="29"/>
  <c r="C635" i="29" a="1"/>
  <c r="C635" i="29" s="1"/>
  <c r="M635" i="29"/>
  <c r="F635" i="29"/>
  <c r="L636" i="29" a="1"/>
  <c r="L636" i="29" s="1"/>
  <c r="B637" i="29" s="1"/>
  <c r="Q637" i="29" a="1"/>
  <c r="Q637" i="29" s="1"/>
  <c r="N637" i="29" a="1"/>
  <c r="N637" i="29" s="1"/>
  <c r="B636" i="29"/>
  <c r="G636" i="29"/>
  <c r="O605" i="29" l="1" a="1"/>
  <c r="O605" i="29" s="1"/>
  <c r="R605" i="29" s="1"/>
  <c r="S605" i="29" s="1"/>
  <c r="P635" i="29"/>
  <c r="G637" i="29"/>
  <c r="N638" i="29" a="1"/>
  <c r="N638" i="29" s="1"/>
  <c r="Q638" i="29" a="1"/>
  <c r="Q638" i="29" s="1"/>
  <c r="I639" i="29"/>
  <c r="K640" i="29"/>
  <c r="C636" i="29" a="1"/>
  <c r="C636" i="29" s="1"/>
  <c r="M636" i="29"/>
  <c r="F636" i="29"/>
  <c r="L637" i="29" a="1"/>
  <c r="L637" i="29" s="1"/>
  <c r="O606" i="29" l="1" a="1"/>
  <c r="O606" i="29" s="1"/>
  <c r="R606" i="29" s="1"/>
  <c r="S606" i="29" s="1"/>
  <c r="C637" i="29" a="1"/>
  <c r="C637" i="29" s="1"/>
  <c r="M637" i="29"/>
  <c r="F637" i="29"/>
  <c r="L638" i="29" a="1"/>
  <c r="L638" i="29" s="1"/>
  <c r="G638" i="29"/>
  <c r="P636" i="29"/>
  <c r="K641" i="29"/>
  <c r="I640" i="29"/>
  <c r="Q639" i="29" a="1"/>
  <c r="Q639" i="29" s="1"/>
  <c r="N639" i="29" a="1"/>
  <c r="N639" i="29" s="1"/>
  <c r="B638" i="29"/>
  <c r="O607" i="29" l="1" a="1"/>
  <c r="O607" i="29" s="1"/>
  <c r="R607" i="29" s="1"/>
  <c r="S607" i="29" s="1"/>
  <c r="C638" i="29" a="1"/>
  <c r="C638" i="29" s="1"/>
  <c r="M638" i="29"/>
  <c r="F638" i="29"/>
  <c r="L639" i="29" a="1"/>
  <c r="L639" i="29" s="1"/>
  <c r="N640" i="29" a="1"/>
  <c r="N640" i="29" s="1"/>
  <c r="Q640" i="29" a="1"/>
  <c r="Q640" i="29" s="1"/>
  <c r="I641" i="29"/>
  <c r="K642" i="29"/>
  <c r="G639" i="29"/>
  <c r="B639" i="29"/>
  <c r="P637" i="29"/>
  <c r="O608" i="29" l="1" a="1"/>
  <c r="O608" i="29" s="1"/>
  <c r="R608" i="29" s="1"/>
  <c r="S608" i="29" s="1"/>
  <c r="G640" i="29"/>
  <c r="P638" i="29"/>
  <c r="Q641" i="29" a="1"/>
  <c r="Q641" i="29" s="1"/>
  <c r="N641" i="29" a="1"/>
  <c r="N641" i="29" s="1"/>
  <c r="C639" i="29" a="1"/>
  <c r="C639" i="29" s="1"/>
  <c r="M639" i="29"/>
  <c r="F639" i="29"/>
  <c r="L640" i="29" a="1"/>
  <c r="L640" i="29" s="1"/>
  <c r="B641" i="29" s="1"/>
  <c r="K643" i="29"/>
  <c r="I642" i="29"/>
  <c r="B640" i="29"/>
  <c r="O609" i="29" l="1" a="1"/>
  <c r="O609" i="29" s="1"/>
  <c r="R609" i="29" s="1"/>
  <c r="S609" i="29" s="1"/>
  <c r="I643" i="29"/>
  <c r="K644" i="29"/>
  <c r="N642" i="29" a="1"/>
  <c r="N642" i="29" s="1"/>
  <c r="Q642" i="29" a="1"/>
  <c r="Q642" i="29" s="1"/>
  <c r="P639" i="29"/>
  <c r="C640" i="29" a="1"/>
  <c r="C640" i="29" s="1"/>
  <c r="M640" i="29"/>
  <c r="F640" i="29"/>
  <c r="L641" i="29" a="1"/>
  <c r="L641" i="29" s="1"/>
  <c r="B642" i="29" s="1"/>
  <c r="G641" i="29"/>
  <c r="O610" i="29" l="1" a="1"/>
  <c r="O610" i="29" s="1"/>
  <c r="R610" i="29" s="1"/>
  <c r="S610" i="29" s="1"/>
  <c r="G642" i="29"/>
  <c r="P640" i="29"/>
  <c r="K645" i="29"/>
  <c r="I644" i="29"/>
  <c r="C641" i="29" a="1"/>
  <c r="C641" i="29" s="1"/>
  <c r="M641" i="29"/>
  <c r="F641" i="29"/>
  <c r="L642" i="29" a="1"/>
  <c r="L642" i="29" s="1"/>
  <c r="B643" i="29" s="1"/>
  <c r="Q643" i="29" a="1"/>
  <c r="Q643" i="29" s="1"/>
  <c r="N643" i="29" a="1"/>
  <c r="N643" i="29" s="1"/>
  <c r="O611" i="29" l="1" a="1"/>
  <c r="O611" i="29" s="1"/>
  <c r="R611" i="29" s="1"/>
  <c r="S611" i="29" s="1"/>
  <c r="N644" i="29" a="1"/>
  <c r="N644" i="29" s="1"/>
  <c r="Q644" i="29" a="1"/>
  <c r="Q644" i="29" s="1"/>
  <c r="I645" i="29"/>
  <c r="K646" i="29"/>
  <c r="G643" i="29"/>
  <c r="P641" i="29"/>
  <c r="C642" i="29" a="1"/>
  <c r="C642" i="29" s="1"/>
  <c r="M642" i="29"/>
  <c r="F642" i="29"/>
  <c r="L643" i="29" a="1"/>
  <c r="L643" i="29" s="1"/>
  <c r="O612" i="29" l="1" a="1"/>
  <c r="O612" i="29" s="1"/>
  <c r="R612" i="29" s="1"/>
  <c r="S612" i="29" s="1"/>
  <c r="C643" i="29" a="1"/>
  <c r="C643" i="29" s="1"/>
  <c r="M643" i="29"/>
  <c r="F643" i="29"/>
  <c r="L644" i="29" a="1"/>
  <c r="L644" i="29" s="1"/>
  <c r="K647" i="29"/>
  <c r="I646" i="29"/>
  <c r="Q645" i="29" a="1"/>
  <c r="Q645" i="29" s="1"/>
  <c r="N645" i="29" a="1"/>
  <c r="N645" i="29" s="1"/>
  <c r="P642" i="29"/>
  <c r="B644" i="29"/>
  <c r="G644" i="29"/>
  <c r="O613" i="29" l="1" a="1"/>
  <c r="O613" i="29" s="1"/>
  <c r="R613" i="29" s="1"/>
  <c r="S613" i="29" s="1"/>
  <c r="N646" i="29" a="1"/>
  <c r="N646" i="29" s="1"/>
  <c r="Q646" i="29" a="1"/>
  <c r="Q646" i="29" s="1"/>
  <c r="I647" i="29"/>
  <c r="K648" i="29"/>
  <c r="G645" i="29"/>
  <c r="C644" i="29" a="1"/>
  <c r="C644" i="29" s="1"/>
  <c r="M644" i="29"/>
  <c r="F644" i="29"/>
  <c r="L645" i="29" a="1"/>
  <c r="L645" i="29" s="1"/>
  <c r="P643" i="29"/>
  <c r="B645" i="29"/>
  <c r="O614" i="29" l="1" a="1"/>
  <c r="O614" i="29" s="1"/>
  <c r="R614" i="29" s="1"/>
  <c r="S614" i="29" s="1"/>
  <c r="K649" i="29"/>
  <c r="I648" i="29"/>
  <c r="Q647" i="29" a="1"/>
  <c r="Q647" i="29" s="1"/>
  <c r="N647" i="29" a="1"/>
  <c r="N647" i="29" s="1"/>
  <c r="P644" i="29"/>
  <c r="C645" i="29" a="1"/>
  <c r="C645" i="29" s="1"/>
  <c r="M645" i="29"/>
  <c r="F645" i="29"/>
  <c r="L646" i="29" a="1"/>
  <c r="L646" i="29" s="1"/>
  <c r="B646" i="29"/>
  <c r="G646" i="29"/>
  <c r="O615" i="29" l="1" a="1"/>
  <c r="O615" i="29" s="1"/>
  <c r="R615" i="29" s="1"/>
  <c r="S615" i="29" s="1"/>
  <c r="G647" i="29"/>
  <c r="N648" i="29" a="1"/>
  <c r="N648" i="29" s="1"/>
  <c r="Q648" i="29" a="1"/>
  <c r="Q648" i="29" s="1"/>
  <c r="C646" i="29" a="1"/>
  <c r="C646" i="29" s="1"/>
  <c r="M646" i="29"/>
  <c r="F646" i="29"/>
  <c r="L647" i="29" a="1"/>
  <c r="L647" i="29" s="1"/>
  <c r="B648" i="29" s="1"/>
  <c r="B647" i="29"/>
  <c r="P645" i="29"/>
  <c r="I649" i="29"/>
  <c r="K650" i="29"/>
  <c r="O616" i="29" l="1" a="1"/>
  <c r="O616" i="29" s="1"/>
  <c r="R616" i="29" s="1"/>
  <c r="S616" i="29" s="1"/>
  <c r="G648" i="29"/>
  <c r="Q649" i="29" a="1"/>
  <c r="Q649" i="29" s="1"/>
  <c r="N649" i="29" a="1"/>
  <c r="N649" i="29" s="1"/>
  <c r="C647" i="29" a="1"/>
  <c r="C647" i="29" s="1"/>
  <c r="M647" i="29"/>
  <c r="F647" i="29"/>
  <c r="L648" i="29" a="1"/>
  <c r="L648" i="29" s="1"/>
  <c r="B649" i="29" s="1"/>
  <c r="P646" i="29"/>
  <c r="K651" i="29"/>
  <c r="I650" i="29"/>
  <c r="O617" i="29" l="1" a="1"/>
  <c r="O617" i="29" s="1"/>
  <c r="R617" i="29" s="1"/>
  <c r="S617" i="29" s="1"/>
  <c r="I651" i="29"/>
  <c r="K652" i="29"/>
  <c r="N650" i="29" a="1"/>
  <c r="N650" i="29" s="1"/>
  <c r="Q650" i="29" a="1"/>
  <c r="Q650" i="29" s="1"/>
  <c r="G649" i="29"/>
  <c r="C648" i="29" a="1"/>
  <c r="C648" i="29" s="1"/>
  <c r="M648" i="29"/>
  <c r="F648" i="29"/>
  <c r="L649" i="29" a="1"/>
  <c r="L649" i="29" s="1"/>
  <c r="B650" i="29" s="1"/>
  <c r="P647" i="29"/>
  <c r="O618" i="29" l="1" a="1"/>
  <c r="O618" i="29" s="1"/>
  <c r="R618" i="29" s="1"/>
  <c r="S618" i="29" s="1"/>
  <c r="G650" i="29"/>
  <c r="K653" i="29"/>
  <c r="I652" i="29"/>
  <c r="C649" i="29" a="1"/>
  <c r="C649" i="29" s="1"/>
  <c r="M649" i="29"/>
  <c r="F649" i="29"/>
  <c r="L650" i="29" a="1"/>
  <c r="L650" i="29" s="1"/>
  <c r="B651" i="29" s="1"/>
  <c r="P648" i="29"/>
  <c r="Q651" i="29" a="1"/>
  <c r="Q651" i="29" s="1"/>
  <c r="N651" i="29" a="1"/>
  <c r="N651" i="29" s="1"/>
  <c r="O619" i="29" l="1" a="1"/>
  <c r="O619" i="29" s="1"/>
  <c r="R619" i="29" s="1"/>
  <c r="S619" i="29" s="1"/>
  <c r="P649" i="29"/>
  <c r="I653" i="29"/>
  <c r="K654" i="29"/>
  <c r="G651" i="29"/>
  <c r="N652" i="29" a="1"/>
  <c r="N652" i="29" s="1"/>
  <c r="Q652" i="29" a="1"/>
  <c r="Q652" i="29" s="1"/>
  <c r="C650" i="29" a="1"/>
  <c r="C650" i="29" s="1"/>
  <c r="M650" i="29"/>
  <c r="F650" i="29"/>
  <c r="L651" i="29" a="1"/>
  <c r="L651" i="29" s="1"/>
  <c r="O620" i="29" l="1" a="1"/>
  <c r="O620" i="29" s="1"/>
  <c r="R620" i="29" s="1"/>
  <c r="S620" i="29" s="1"/>
  <c r="P650" i="29"/>
  <c r="K655" i="29"/>
  <c r="I654" i="29"/>
  <c r="Q653" i="29" a="1"/>
  <c r="Q653" i="29" s="1"/>
  <c r="N653" i="29" a="1"/>
  <c r="N653" i="29" s="1"/>
  <c r="C651" i="29" a="1"/>
  <c r="C651" i="29" s="1"/>
  <c r="M651" i="29"/>
  <c r="F651" i="29"/>
  <c r="L652" i="29" a="1"/>
  <c r="L652" i="29" s="1"/>
  <c r="B653" i="29" s="1"/>
  <c r="B652" i="29"/>
  <c r="G652" i="29"/>
  <c r="O621" i="29" l="1" a="1"/>
  <c r="O621" i="29" s="1"/>
  <c r="R621" i="29" s="1"/>
  <c r="S621" i="29" s="1"/>
  <c r="N654" i="29" a="1"/>
  <c r="N654" i="29" s="1"/>
  <c r="Q654" i="29" a="1"/>
  <c r="Q654" i="29" s="1"/>
  <c r="P651" i="29"/>
  <c r="C652" i="29" a="1"/>
  <c r="C652" i="29" s="1"/>
  <c r="M652" i="29"/>
  <c r="F652" i="29"/>
  <c r="L653" i="29" a="1"/>
  <c r="L653" i="29" s="1"/>
  <c r="B654" i="29" s="1"/>
  <c r="I655" i="29"/>
  <c r="K656" i="29"/>
  <c r="G653" i="29"/>
  <c r="O622" i="29" l="1" a="1"/>
  <c r="O622" i="29" s="1"/>
  <c r="R622" i="29" s="1"/>
  <c r="S622" i="29" s="1"/>
  <c r="K657" i="29"/>
  <c r="I656" i="29"/>
  <c r="Q655" i="29" a="1"/>
  <c r="Q655" i="29" s="1"/>
  <c r="N655" i="29" a="1"/>
  <c r="N655" i="29" s="1"/>
  <c r="P652" i="29"/>
  <c r="C653" i="29" a="1"/>
  <c r="C653" i="29" s="1"/>
  <c r="M653" i="29"/>
  <c r="F653" i="29"/>
  <c r="L654" i="29" a="1"/>
  <c r="L654" i="29" s="1"/>
  <c r="G654" i="29"/>
  <c r="O623" i="29" l="1" a="1"/>
  <c r="O623" i="29" s="1"/>
  <c r="R623" i="29" s="1"/>
  <c r="S623" i="29" s="1"/>
  <c r="G655" i="29"/>
  <c r="N656" i="29" a="1"/>
  <c r="N656" i="29" s="1"/>
  <c r="Q656" i="29" a="1"/>
  <c r="Q656" i="29" s="1"/>
  <c r="C654" i="29" a="1"/>
  <c r="C654" i="29" s="1"/>
  <c r="M654" i="29"/>
  <c r="F654" i="29"/>
  <c r="L655" i="29" a="1"/>
  <c r="L655" i="29" s="1"/>
  <c r="B656" i="29" s="1"/>
  <c r="B655" i="29"/>
  <c r="P653" i="29"/>
  <c r="I657" i="29"/>
  <c r="K658" i="29"/>
  <c r="O624" i="29" l="1" a="1"/>
  <c r="O624" i="29" s="1"/>
  <c r="R624" i="29" s="1"/>
  <c r="S624" i="29" s="1"/>
  <c r="Q657" i="29" a="1"/>
  <c r="Q657" i="29" s="1"/>
  <c r="N657" i="29" a="1"/>
  <c r="N657" i="29" s="1"/>
  <c r="G656" i="29"/>
  <c r="P654" i="29"/>
  <c r="C655" i="29" a="1"/>
  <c r="C655" i="29" s="1"/>
  <c r="M655" i="29"/>
  <c r="F655" i="29"/>
  <c r="L656" i="29" a="1"/>
  <c r="L656" i="29" s="1"/>
  <c r="K659" i="29"/>
  <c r="I658" i="29"/>
  <c r="O625" i="29" l="1" a="1"/>
  <c r="O625" i="29" s="1"/>
  <c r="R625" i="29" s="1"/>
  <c r="S625" i="29" s="1"/>
  <c r="C656" i="29" a="1"/>
  <c r="C656" i="29" s="1"/>
  <c r="M656" i="29"/>
  <c r="F656" i="29"/>
  <c r="L657" i="29" a="1"/>
  <c r="L657" i="29" s="1"/>
  <c r="P655" i="29"/>
  <c r="B657" i="29"/>
  <c r="N658" i="29" a="1"/>
  <c r="N658" i="29" s="1"/>
  <c r="Q658" i="29" a="1"/>
  <c r="Q658" i="29" s="1"/>
  <c r="I659" i="29"/>
  <c r="K660" i="29"/>
  <c r="G657" i="29"/>
  <c r="O626" i="29" l="1" a="1"/>
  <c r="O626" i="29" s="1"/>
  <c r="R626" i="29" s="1"/>
  <c r="S626" i="29" s="1"/>
  <c r="K661" i="29"/>
  <c r="I660" i="29"/>
  <c r="Q659" i="29" a="1"/>
  <c r="Q659" i="29" s="1"/>
  <c r="N659" i="29" a="1"/>
  <c r="N659" i="29" s="1"/>
  <c r="C657" i="29" a="1"/>
  <c r="C657" i="29" s="1"/>
  <c r="M657" i="29"/>
  <c r="F657" i="29"/>
  <c r="L658" i="29" a="1"/>
  <c r="L658" i="29" s="1"/>
  <c r="B659" i="29" s="1"/>
  <c r="B658" i="29"/>
  <c r="P656" i="29"/>
  <c r="G658" i="29"/>
  <c r="O627" i="29" l="1" a="1"/>
  <c r="O627" i="29" s="1"/>
  <c r="R627" i="29" s="1"/>
  <c r="S627" i="29" s="1"/>
  <c r="G659" i="29"/>
  <c r="P657" i="29"/>
  <c r="C658" i="29" a="1"/>
  <c r="C658" i="29" s="1"/>
  <c r="M658" i="29"/>
  <c r="F658" i="29"/>
  <c r="L659" i="29" a="1"/>
  <c r="L659" i="29" s="1"/>
  <c r="B660" i="29" s="1"/>
  <c r="N660" i="29" a="1"/>
  <c r="N660" i="29" s="1"/>
  <c r="Q660" i="29" a="1"/>
  <c r="Q660" i="29" s="1"/>
  <c r="I661" i="29"/>
  <c r="K662" i="29"/>
  <c r="O628" i="29" l="1" a="1"/>
  <c r="O628" i="29" s="1"/>
  <c r="R628" i="29" s="1"/>
  <c r="S628" i="29" s="1"/>
  <c r="K663" i="29"/>
  <c r="I662" i="29"/>
  <c r="Q661" i="29" a="1"/>
  <c r="Q661" i="29" s="1"/>
  <c r="N661" i="29" a="1"/>
  <c r="N661" i="29" s="1"/>
  <c r="P658" i="29"/>
  <c r="G660" i="29"/>
  <c r="C659" i="29" a="1"/>
  <c r="C659" i="29" s="1"/>
  <c r="M659" i="29"/>
  <c r="F659" i="29"/>
  <c r="L660" i="29" a="1"/>
  <c r="L660" i="29" s="1"/>
  <c r="B661" i="29" s="1"/>
  <c r="O629" i="29" l="1" a="1"/>
  <c r="O629" i="29" s="1"/>
  <c r="R629" i="29" s="1"/>
  <c r="S629" i="29" s="1"/>
  <c r="P659" i="29"/>
  <c r="C660" i="29" a="1"/>
  <c r="C660" i="29" s="1"/>
  <c r="M660" i="29"/>
  <c r="F660" i="29"/>
  <c r="L661" i="29" a="1"/>
  <c r="L661" i="29" s="1"/>
  <c r="G661" i="29"/>
  <c r="N662" i="29" a="1"/>
  <c r="N662" i="29" s="1"/>
  <c r="Q662" i="29" a="1"/>
  <c r="Q662" i="29" s="1"/>
  <c r="I663" i="29"/>
  <c r="K664" i="29"/>
  <c r="O630" i="29" l="1" a="1"/>
  <c r="O630" i="29" s="1"/>
  <c r="R630" i="29" s="1"/>
  <c r="S630" i="29" s="1"/>
  <c r="K665" i="29"/>
  <c r="I664" i="29"/>
  <c r="C661" i="29" a="1"/>
  <c r="C661" i="29" s="1"/>
  <c r="M661" i="29"/>
  <c r="F661" i="29"/>
  <c r="L662" i="29" a="1"/>
  <c r="L662" i="29" s="1"/>
  <c r="Q663" i="29" a="1"/>
  <c r="Q663" i="29" s="1"/>
  <c r="N663" i="29" a="1"/>
  <c r="N663" i="29" s="1"/>
  <c r="P660" i="29"/>
  <c r="B662" i="29"/>
  <c r="G662" i="29"/>
  <c r="O631" i="29" l="1" a="1"/>
  <c r="O631" i="29" s="1"/>
  <c r="R631" i="29" s="1"/>
  <c r="S631" i="29" s="1"/>
  <c r="C662" i="29" a="1"/>
  <c r="C662" i="29" s="1"/>
  <c r="M662" i="29"/>
  <c r="F662" i="29"/>
  <c r="L663" i="29" a="1"/>
  <c r="L663" i="29" s="1"/>
  <c r="P661" i="29"/>
  <c r="N664" i="29" a="1"/>
  <c r="N664" i="29" s="1"/>
  <c r="Q664" i="29" a="1"/>
  <c r="Q664" i="29" s="1"/>
  <c r="G663" i="29"/>
  <c r="I665" i="29"/>
  <c r="K666" i="29"/>
  <c r="B663" i="29"/>
  <c r="O632" i="29" l="1" a="1"/>
  <c r="O632" i="29" s="1"/>
  <c r="R632" i="29" s="1"/>
  <c r="S632" i="29" s="1"/>
  <c r="C663" i="29" a="1"/>
  <c r="C663" i="29" s="1"/>
  <c r="M663" i="29"/>
  <c r="F663" i="29"/>
  <c r="L664" i="29" a="1"/>
  <c r="L664" i="29" s="1"/>
  <c r="P662" i="29"/>
  <c r="B664" i="29"/>
  <c r="K667" i="29"/>
  <c r="I666" i="29"/>
  <c r="Q665" i="29" a="1"/>
  <c r="Q665" i="29" s="1"/>
  <c r="N665" i="29" a="1"/>
  <c r="N665" i="29" s="1"/>
  <c r="G664" i="29"/>
  <c r="O633" i="29" l="1" a="1"/>
  <c r="O633" i="29" s="1"/>
  <c r="R633" i="29" s="1"/>
  <c r="S633" i="29" s="1"/>
  <c r="G665" i="29"/>
  <c r="N666" i="29" a="1"/>
  <c r="N666" i="29" s="1"/>
  <c r="Q666" i="29" a="1"/>
  <c r="Q666" i="29" s="1"/>
  <c r="C664" i="29" a="1"/>
  <c r="C664" i="29" s="1"/>
  <c r="M664" i="29"/>
  <c r="F664" i="29"/>
  <c r="L665" i="29" a="1"/>
  <c r="L665" i="29" s="1"/>
  <c r="B666" i="29" s="1"/>
  <c r="B665" i="29"/>
  <c r="P663" i="29"/>
  <c r="I667" i="29"/>
  <c r="K668" i="29"/>
  <c r="O634" i="29" l="1" a="1"/>
  <c r="O634" i="29" s="1"/>
  <c r="R634" i="29" s="1"/>
  <c r="S634" i="29" s="1"/>
  <c r="Q667" i="29" a="1"/>
  <c r="Q667" i="29" s="1"/>
  <c r="N667" i="29" a="1"/>
  <c r="N667" i="29" s="1"/>
  <c r="G666" i="29"/>
  <c r="P664" i="29"/>
  <c r="C665" i="29" a="1"/>
  <c r="C665" i="29" s="1"/>
  <c r="M665" i="29"/>
  <c r="F665" i="29"/>
  <c r="L666" i="29" a="1"/>
  <c r="L666" i="29" s="1"/>
  <c r="K669" i="29"/>
  <c r="I668" i="29"/>
  <c r="O635" i="29" l="1" a="1"/>
  <c r="O635" i="29" s="1"/>
  <c r="R635" i="29" s="1"/>
  <c r="S635" i="29" s="1"/>
  <c r="C666" i="29" a="1"/>
  <c r="C666" i="29" s="1"/>
  <c r="M666" i="29"/>
  <c r="F666" i="29"/>
  <c r="L667" i="29" a="1"/>
  <c r="L667" i="29" s="1"/>
  <c r="B668" i="29" s="1"/>
  <c r="P665" i="29"/>
  <c r="B667" i="29"/>
  <c r="N668" i="29" a="1"/>
  <c r="N668" i="29" s="1"/>
  <c r="Q668" i="29" a="1"/>
  <c r="Q668" i="29" s="1"/>
  <c r="I669" i="29"/>
  <c r="K670" i="29"/>
  <c r="G667" i="29"/>
  <c r="O636" i="29" l="1" a="1"/>
  <c r="O636" i="29" s="1"/>
  <c r="R636" i="29" s="1"/>
  <c r="S636" i="29" s="1"/>
  <c r="K671" i="29"/>
  <c r="I670" i="29"/>
  <c r="Q669" i="29" a="1"/>
  <c r="Q669" i="29" s="1"/>
  <c r="N669" i="29" a="1"/>
  <c r="N669" i="29" s="1"/>
  <c r="P666" i="29"/>
  <c r="C667" i="29" a="1"/>
  <c r="C667" i="29" s="1"/>
  <c r="F667" i="29"/>
  <c r="M667" i="29"/>
  <c r="L668" i="29" a="1"/>
  <c r="L668" i="29" s="1"/>
  <c r="G668" i="29"/>
  <c r="O637" i="29" l="1" a="1"/>
  <c r="O637" i="29" s="1"/>
  <c r="R637" i="29" s="1"/>
  <c r="S637" i="29" s="1"/>
  <c r="G669" i="29"/>
  <c r="P667" i="29"/>
  <c r="N670" i="29" a="1"/>
  <c r="N670" i="29" s="1"/>
  <c r="Q670" i="29" a="1"/>
  <c r="Q670" i="29" s="1"/>
  <c r="C668" i="29" a="1"/>
  <c r="C668" i="29" s="1"/>
  <c r="M668" i="29"/>
  <c r="F668" i="29"/>
  <c r="L669" i="29" a="1"/>
  <c r="L669" i="29" s="1"/>
  <c r="B669" i="29"/>
  <c r="I671" i="29"/>
  <c r="K672" i="29"/>
  <c r="O638" i="29" l="1" a="1"/>
  <c r="O638" i="29" s="1"/>
  <c r="R638" i="29" s="1"/>
  <c r="S638" i="29" s="1"/>
  <c r="Q671" i="29" a="1"/>
  <c r="Q671" i="29" s="1"/>
  <c r="N671" i="29" a="1"/>
  <c r="N671" i="29" s="1"/>
  <c r="G670" i="29"/>
  <c r="M669" i="29"/>
  <c r="C669" i="29" a="1"/>
  <c r="C669" i="29" s="1"/>
  <c r="F669" i="29"/>
  <c r="L670" i="29" a="1"/>
  <c r="L670" i="29" s="1"/>
  <c r="P668" i="29"/>
  <c r="K673" i="29"/>
  <c r="I672" i="29"/>
  <c r="B670" i="29"/>
  <c r="O639" i="29" l="1" a="1"/>
  <c r="O639" i="29" s="1"/>
  <c r="R639" i="29" s="1"/>
  <c r="S639" i="29" s="1"/>
  <c r="N672" i="29" a="1"/>
  <c r="N672" i="29" s="1"/>
  <c r="Q672" i="29" a="1"/>
  <c r="Q672" i="29" s="1"/>
  <c r="I673" i="29"/>
  <c r="K674" i="29"/>
  <c r="G671" i="29"/>
  <c r="C670" i="29" a="1"/>
  <c r="C670" i="29" s="1"/>
  <c r="M670" i="29"/>
  <c r="F670" i="29"/>
  <c r="L671" i="29" a="1"/>
  <c r="L671" i="29" s="1"/>
  <c r="B671" i="29"/>
  <c r="P669" i="29"/>
  <c r="O640" i="29" l="1" a="1"/>
  <c r="O640" i="29" s="1"/>
  <c r="R640" i="29" s="1"/>
  <c r="S640" i="29" s="1"/>
  <c r="K675" i="29"/>
  <c r="I674" i="29"/>
  <c r="Q673" i="29" a="1"/>
  <c r="Q673" i="29" s="1"/>
  <c r="N673" i="29" a="1"/>
  <c r="N673" i="29" s="1"/>
  <c r="C671" i="29" a="1"/>
  <c r="C671" i="29" s="1"/>
  <c r="F671" i="29"/>
  <c r="M671" i="29"/>
  <c r="L672" i="29" a="1"/>
  <c r="L672" i="29" s="1"/>
  <c r="B673" i="29" s="1"/>
  <c r="B672" i="29"/>
  <c r="P670" i="29"/>
  <c r="G672" i="29"/>
  <c r="O641" i="29" l="1" a="1"/>
  <c r="O641" i="29" s="1"/>
  <c r="R641" i="29" s="1"/>
  <c r="S641" i="29" s="1"/>
  <c r="G673" i="29"/>
  <c r="P671" i="29"/>
  <c r="C672" i="29" a="1"/>
  <c r="C672" i="29" s="1"/>
  <c r="M672" i="29"/>
  <c r="F672" i="29"/>
  <c r="L673" i="29" a="1"/>
  <c r="L673" i="29" s="1"/>
  <c r="B674" i="29" s="1"/>
  <c r="N674" i="29" a="1"/>
  <c r="N674" i="29" s="1"/>
  <c r="Q674" i="29" a="1"/>
  <c r="Q674" i="29" s="1"/>
  <c r="I675" i="29"/>
  <c r="K676" i="29"/>
  <c r="O642" i="29" l="1" a="1"/>
  <c r="O642" i="29" s="1"/>
  <c r="R642" i="29" s="1"/>
  <c r="S642" i="29" s="1"/>
  <c r="P672" i="29"/>
  <c r="G674" i="29"/>
  <c r="K677" i="29"/>
  <c r="I676" i="29"/>
  <c r="Q675" i="29" a="1"/>
  <c r="Q675" i="29" s="1"/>
  <c r="N675" i="29" a="1"/>
  <c r="N675" i="29" s="1"/>
  <c r="M673" i="29"/>
  <c r="C673" i="29" a="1"/>
  <c r="C673" i="29" s="1"/>
  <c r="F673" i="29"/>
  <c r="L674" i="29" a="1"/>
  <c r="L674" i="29" s="1"/>
  <c r="O643" i="29" l="1" a="1"/>
  <c r="O643" i="29" s="1"/>
  <c r="R643" i="29" s="1"/>
  <c r="S643" i="29" s="1"/>
  <c r="C674" i="29" a="1"/>
  <c r="C674" i="29" s="1"/>
  <c r="M674" i="29"/>
  <c r="F674" i="29"/>
  <c r="L675" i="29" a="1"/>
  <c r="L675" i="29" s="1"/>
  <c r="N676" i="29" a="1"/>
  <c r="N676" i="29" s="1"/>
  <c r="Q676" i="29" a="1"/>
  <c r="Q676" i="29" s="1"/>
  <c r="I677" i="29"/>
  <c r="K678" i="29"/>
  <c r="P673" i="29"/>
  <c r="G675" i="29"/>
  <c r="B675" i="29"/>
  <c r="O644" i="29" l="1" a="1"/>
  <c r="O644" i="29" s="1"/>
  <c r="R644" i="29" s="1"/>
  <c r="S644" i="29" s="1"/>
  <c r="C675" i="29" a="1"/>
  <c r="C675" i="29" s="1"/>
  <c r="F675" i="29"/>
  <c r="M675" i="29"/>
  <c r="L676" i="29" a="1"/>
  <c r="L676" i="29" s="1"/>
  <c r="P674" i="29"/>
  <c r="Q677" i="29" a="1"/>
  <c r="Q677" i="29" s="1"/>
  <c r="N677" i="29" a="1"/>
  <c r="N677" i="29" s="1"/>
  <c r="G676" i="29"/>
  <c r="K679" i="29"/>
  <c r="I678" i="29"/>
  <c r="B676" i="29"/>
  <c r="O645" i="29" l="1" a="1"/>
  <c r="O645" i="29" s="1"/>
  <c r="R645" i="29" s="1"/>
  <c r="S645" i="29" s="1"/>
  <c r="C676" i="29" a="1"/>
  <c r="C676" i="29" s="1"/>
  <c r="M676" i="29"/>
  <c r="F676" i="29"/>
  <c r="L677" i="29" a="1"/>
  <c r="L677" i="29" s="1"/>
  <c r="N678" i="29" a="1"/>
  <c r="N678" i="29" s="1"/>
  <c r="Q678" i="29" a="1"/>
  <c r="Q678" i="29" s="1"/>
  <c r="I679" i="29"/>
  <c r="K680" i="29"/>
  <c r="P675" i="29"/>
  <c r="G677" i="29"/>
  <c r="B677" i="29"/>
  <c r="O646" i="29" l="1" a="1"/>
  <c r="O646" i="29" s="1"/>
  <c r="R646" i="29" s="1"/>
  <c r="S646" i="29" s="1"/>
  <c r="M677" i="29"/>
  <c r="C677" i="29" a="1"/>
  <c r="C677" i="29" s="1"/>
  <c r="F677" i="29"/>
  <c r="L678" i="29" a="1"/>
  <c r="L678" i="29" s="1"/>
  <c r="P676" i="29"/>
  <c r="N679" i="29" a="1"/>
  <c r="N679" i="29" s="1"/>
  <c r="Q679" i="29" a="1"/>
  <c r="Q679" i="29" s="1"/>
  <c r="G678" i="29"/>
  <c r="K681" i="29"/>
  <c r="I680" i="29"/>
  <c r="B678" i="29"/>
  <c r="O647" i="29" l="1" a="1"/>
  <c r="O647" i="29" s="1"/>
  <c r="R647" i="29" s="1"/>
  <c r="S647" i="29" s="1"/>
  <c r="N680" i="29" a="1"/>
  <c r="N680" i="29" s="1"/>
  <c r="Q680" i="29" a="1"/>
  <c r="Q680" i="29" s="1"/>
  <c r="I681" i="29"/>
  <c r="K682" i="29"/>
  <c r="C678" i="29" a="1"/>
  <c r="C678" i="29" s="1"/>
  <c r="M678" i="29"/>
  <c r="F678" i="29"/>
  <c r="L679" i="29" a="1"/>
  <c r="L679" i="29" s="1"/>
  <c r="P677" i="29"/>
  <c r="B679" i="29"/>
  <c r="G679" i="29"/>
  <c r="O648" i="29" l="1" a="1"/>
  <c r="O648" i="29" s="1"/>
  <c r="R648" i="29" s="1"/>
  <c r="S648" i="29" s="1"/>
  <c r="K683" i="29"/>
  <c r="I682" i="29"/>
  <c r="C679" i="29" a="1"/>
  <c r="C679" i="29" s="1"/>
  <c r="F679" i="29"/>
  <c r="M679" i="29"/>
  <c r="L680" i="29" a="1"/>
  <c r="L680" i="29" s="1"/>
  <c r="B681" i="29" s="1"/>
  <c r="P678" i="29"/>
  <c r="Q681" i="29" a="1"/>
  <c r="Q681" i="29" s="1"/>
  <c r="N681" i="29" a="1"/>
  <c r="N681" i="29" s="1"/>
  <c r="B680" i="29"/>
  <c r="G680" i="29"/>
  <c r="O649" i="29" l="1" a="1"/>
  <c r="O649" i="29" s="1"/>
  <c r="R649" i="29" s="1"/>
  <c r="S649" i="29" s="1"/>
  <c r="P679" i="29"/>
  <c r="G681" i="29"/>
  <c r="N682" i="29" a="1"/>
  <c r="N682" i="29" s="1"/>
  <c r="Q682" i="29" a="1"/>
  <c r="Q682" i="29" s="1"/>
  <c r="C680" i="29" a="1"/>
  <c r="C680" i="29" s="1"/>
  <c r="M680" i="29"/>
  <c r="F680" i="29"/>
  <c r="L681" i="29" a="1"/>
  <c r="L681" i="29" s="1"/>
  <c r="I683" i="29"/>
  <c r="K684" i="29"/>
  <c r="O650" i="29" l="1" a="1"/>
  <c r="O650" i="29" s="1"/>
  <c r="R650" i="29" s="1"/>
  <c r="S650" i="29" s="1"/>
  <c r="K685" i="29"/>
  <c r="I684" i="29"/>
  <c r="F681" i="29"/>
  <c r="M681" i="29"/>
  <c r="C681" i="29" a="1"/>
  <c r="C681" i="29" s="1"/>
  <c r="L682" i="29" a="1"/>
  <c r="L682" i="29" s="1"/>
  <c r="P680" i="29"/>
  <c r="N683" i="29" a="1"/>
  <c r="N683" i="29" s="1"/>
  <c r="Q683" i="29" a="1"/>
  <c r="Q683" i="29" s="1"/>
  <c r="G682" i="29"/>
  <c r="B682" i="29"/>
  <c r="O651" i="29" l="1" a="1"/>
  <c r="O651" i="29" s="1"/>
  <c r="R651" i="29" s="1"/>
  <c r="S651" i="29" s="1"/>
  <c r="C682" i="29" a="1"/>
  <c r="C682" i="29" s="1"/>
  <c r="M682" i="29"/>
  <c r="F682" i="29"/>
  <c r="L683" i="29" a="1"/>
  <c r="L683" i="29" s="1"/>
  <c r="B684" i="29" s="1"/>
  <c r="P681" i="29"/>
  <c r="B683" i="29"/>
  <c r="G683" i="29"/>
  <c r="N684" i="29" a="1"/>
  <c r="N684" i="29" s="1"/>
  <c r="Q684" i="29" a="1"/>
  <c r="Q684" i="29" s="1"/>
  <c r="I685" i="29"/>
  <c r="K686" i="29"/>
  <c r="O652" i="29" l="1" a="1"/>
  <c r="O652" i="29" s="1"/>
  <c r="R652" i="29" s="1"/>
  <c r="S652" i="29" s="1"/>
  <c r="N685" i="29" a="1"/>
  <c r="N685" i="29" s="1"/>
  <c r="Q685" i="29" a="1"/>
  <c r="Q685" i="29" s="1"/>
  <c r="P682" i="29"/>
  <c r="M683" i="29"/>
  <c r="C683" i="29" a="1"/>
  <c r="C683" i="29" s="1"/>
  <c r="F683" i="29"/>
  <c r="L684" i="29" a="1"/>
  <c r="L684" i="29" s="1"/>
  <c r="G684" i="29"/>
  <c r="K687" i="29"/>
  <c r="I686" i="29"/>
  <c r="O653" i="29" l="1" a="1"/>
  <c r="O653" i="29" s="1"/>
  <c r="R653" i="29" s="1"/>
  <c r="S653" i="29" s="1"/>
  <c r="C684" i="29" a="1"/>
  <c r="C684" i="29" s="1"/>
  <c r="M684" i="29"/>
  <c r="F684" i="29"/>
  <c r="L685" i="29" a="1"/>
  <c r="L685" i="29" s="1"/>
  <c r="B685" i="29"/>
  <c r="N686" i="29" a="1"/>
  <c r="N686" i="29" s="1"/>
  <c r="Q686" i="29" a="1"/>
  <c r="Q686" i="29" s="1"/>
  <c r="I687" i="29"/>
  <c r="K688" i="29"/>
  <c r="G685" i="29"/>
  <c r="P683" i="29"/>
  <c r="O654" i="29" l="1" a="1"/>
  <c r="O654" i="29" s="1"/>
  <c r="R654" i="29" s="1"/>
  <c r="S654" i="29" s="1"/>
  <c r="G686" i="29"/>
  <c r="N687" i="29" a="1"/>
  <c r="N687" i="29" s="1"/>
  <c r="Q687" i="29" a="1"/>
  <c r="Q687" i="29" s="1"/>
  <c r="M685" i="29"/>
  <c r="C685" i="29" a="1"/>
  <c r="C685" i="29" s="1"/>
  <c r="F685" i="29"/>
  <c r="L686" i="29" a="1"/>
  <c r="L686" i="29" s="1"/>
  <c r="K689" i="29"/>
  <c r="I688" i="29"/>
  <c r="P684" i="29"/>
  <c r="B686" i="29"/>
  <c r="O655" i="29" l="1" a="1"/>
  <c r="O655" i="29" s="1"/>
  <c r="R655" i="29" s="1"/>
  <c r="S655" i="29" s="1"/>
  <c r="C686" i="29" a="1"/>
  <c r="C686" i="29" s="1"/>
  <c r="M686" i="29"/>
  <c r="F686" i="29"/>
  <c r="L687" i="29" a="1"/>
  <c r="L687" i="29" s="1"/>
  <c r="N688" i="29" a="1"/>
  <c r="N688" i="29" s="1"/>
  <c r="Q688" i="29" a="1"/>
  <c r="Q688" i="29" s="1"/>
  <c r="G687" i="29"/>
  <c r="I689" i="29"/>
  <c r="K690" i="29"/>
  <c r="B687" i="29"/>
  <c r="P685" i="29"/>
  <c r="O656" i="29" l="1" a="1"/>
  <c r="O656" i="29" s="1"/>
  <c r="R656" i="29" s="1"/>
  <c r="S656" i="29" s="1"/>
  <c r="C687" i="29" a="1"/>
  <c r="C687" i="29" s="1"/>
  <c r="F687" i="29"/>
  <c r="M687" i="29"/>
  <c r="L688" i="29" a="1"/>
  <c r="L688" i="29" s="1"/>
  <c r="B689" i="29" s="1"/>
  <c r="P686" i="29"/>
  <c r="B688" i="29"/>
  <c r="G688" i="29"/>
  <c r="K691" i="29"/>
  <c r="I690" i="29"/>
  <c r="Q689" i="29" a="1"/>
  <c r="Q689" i="29" s="1"/>
  <c r="N689" i="29" a="1"/>
  <c r="N689" i="29" s="1"/>
  <c r="O657" i="29" l="1" a="1"/>
  <c r="O657" i="29" s="1"/>
  <c r="R657" i="29" s="1"/>
  <c r="S657" i="29" s="1"/>
  <c r="P687" i="29"/>
  <c r="I691" i="29"/>
  <c r="K692" i="29"/>
  <c r="C688" i="29" a="1"/>
  <c r="C688" i="29" s="1"/>
  <c r="M688" i="29"/>
  <c r="F688" i="29"/>
  <c r="L689" i="29" a="1"/>
  <c r="L689" i="29" s="1"/>
  <c r="B690" i="29" s="1"/>
  <c r="N690" i="29" a="1"/>
  <c r="N690" i="29" s="1"/>
  <c r="Q690" i="29" a="1"/>
  <c r="Q690" i="29" s="1"/>
  <c r="G689" i="29"/>
  <c r="O658" i="29" l="1" a="1"/>
  <c r="O658" i="29" s="1"/>
  <c r="R658" i="29" s="1"/>
  <c r="S658" i="29" s="1"/>
  <c r="P688" i="29"/>
  <c r="N691" i="29" a="1"/>
  <c r="N691" i="29" s="1"/>
  <c r="Q691" i="29" a="1"/>
  <c r="Q691" i="29" s="1"/>
  <c r="G690" i="29"/>
  <c r="K693" i="29"/>
  <c r="I692" i="29"/>
  <c r="F689" i="29"/>
  <c r="M689" i="29"/>
  <c r="C689" i="29" a="1"/>
  <c r="C689" i="29" s="1"/>
  <c r="L690" i="29" a="1"/>
  <c r="L690" i="29" s="1"/>
  <c r="O659" i="29" l="1" a="1"/>
  <c r="O659" i="29" s="1"/>
  <c r="R659" i="29" s="1"/>
  <c r="S659" i="29" s="1"/>
  <c r="C690" i="29" a="1"/>
  <c r="C690" i="29" s="1"/>
  <c r="M690" i="29"/>
  <c r="F690" i="29"/>
  <c r="L691" i="29" a="1"/>
  <c r="L691" i="29" s="1"/>
  <c r="G691" i="29"/>
  <c r="P689" i="29"/>
  <c r="B691" i="29"/>
  <c r="N692" i="29" a="1"/>
  <c r="N692" i="29" s="1"/>
  <c r="Q692" i="29" a="1"/>
  <c r="Q692" i="29" s="1"/>
  <c r="I693" i="29"/>
  <c r="K694" i="29"/>
  <c r="O660" i="29" l="1" a="1"/>
  <c r="O660" i="29" s="1"/>
  <c r="R660" i="29" s="1"/>
  <c r="S660" i="29" s="1"/>
  <c r="N693" i="29" a="1"/>
  <c r="N693" i="29" s="1"/>
  <c r="Q693" i="29" a="1"/>
  <c r="Q693" i="29" s="1"/>
  <c r="M691" i="29"/>
  <c r="C691" i="29" a="1"/>
  <c r="C691" i="29" s="1"/>
  <c r="F691" i="29"/>
  <c r="L692" i="29" a="1"/>
  <c r="L692" i="29" s="1"/>
  <c r="B693" i="29" s="1"/>
  <c r="B692" i="29"/>
  <c r="G692" i="29"/>
  <c r="P690" i="29"/>
  <c r="K695" i="29"/>
  <c r="I694" i="29"/>
  <c r="O661" i="29" l="1" a="1"/>
  <c r="O661" i="29" s="1"/>
  <c r="R661" i="29" s="1"/>
  <c r="S661" i="29" s="1"/>
  <c r="P691" i="29"/>
  <c r="G693" i="29"/>
  <c r="I695" i="29"/>
  <c r="K696" i="29"/>
  <c r="C692" i="29" a="1"/>
  <c r="C692" i="29" s="1"/>
  <c r="M692" i="29"/>
  <c r="F692" i="29"/>
  <c r="L693" i="29" a="1"/>
  <c r="L693" i="29" s="1"/>
  <c r="B694" i="29" s="1"/>
  <c r="N694" i="29" a="1"/>
  <c r="N694" i="29" s="1"/>
  <c r="Q694" i="29" a="1"/>
  <c r="Q694" i="29" s="1"/>
  <c r="O662" i="29" l="1" a="1"/>
  <c r="O662" i="29" s="1"/>
  <c r="R662" i="29" s="1"/>
  <c r="S662" i="29" s="1"/>
  <c r="K697" i="29"/>
  <c r="I696" i="29"/>
  <c r="Q695" i="29" a="1"/>
  <c r="Q695" i="29" s="1"/>
  <c r="N695" i="29" a="1"/>
  <c r="N695" i="29" s="1"/>
  <c r="G694" i="29"/>
  <c r="P692" i="29"/>
  <c r="M693" i="29"/>
  <c r="C693" i="29" a="1"/>
  <c r="C693" i="29" s="1"/>
  <c r="F693" i="29"/>
  <c r="L694" i="29" a="1"/>
  <c r="L694" i="29" s="1"/>
  <c r="O663" i="29" l="1" a="1"/>
  <c r="O663" i="29" s="1"/>
  <c r="R663" i="29" s="1"/>
  <c r="S663" i="29" s="1"/>
  <c r="G695" i="29"/>
  <c r="P693" i="29"/>
  <c r="M694" i="29"/>
  <c r="C694" i="29" a="1"/>
  <c r="C694" i="29" s="1"/>
  <c r="F694" i="29"/>
  <c r="L695" i="29" a="1"/>
  <c r="L695" i="29" s="1"/>
  <c r="B696" i="29" s="1"/>
  <c r="B695" i="29"/>
  <c r="N696" i="29" a="1"/>
  <c r="N696" i="29" s="1"/>
  <c r="Q696" i="29" a="1"/>
  <c r="Q696" i="29" s="1"/>
  <c r="I697" i="29"/>
  <c r="K698" i="29"/>
  <c r="O664" i="29" l="1" a="1"/>
  <c r="O664" i="29" s="1"/>
  <c r="R664" i="29" s="1"/>
  <c r="S664" i="29" s="1"/>
  <c r="Q697" i="29" a="1"/>
  <c r="Q697" i="29" s="1"/>
  <c r="N697" i="29" a="1"/>
  <c r="N697" i="29" s="1"/>
  <c r="G696" i="29"/>
  <c r="P694" i="29"/>
  <c r="C695" i="29" a="1"/>
  <c r="C695" i="29" s="1"/>
  <c r="M695" i="29"/>
  <c r="F695" i="29"/>
  <c r="L696" i="29" a="1"/>
  <c r="L696" i="29" s="1"/>
  <c r="B697" i="29" s="1"/>
  <c r="K699" i="29"/>
  <c r="I698" i="29"/>
  <c r="O665" i="29" l="1" a="1"/>
  <c r="O665" i="29" s="1"/>
  <c r="R665" i="29" s="1"/>
  <c r="S665" i="29" s="1"/>
  <c r="N698" i="29" a="1"/>
  <c r="N698" i="29" s="1"/>
  <c r="Q698" i="29" a="1"/>
  <c r="Q698" i="29" s="1"/>
  <c r="I699" i="29"/>
  <c r="K700" i="29"/>
  <c r="P695" i="29"/>
  <c r="C696" i="29" a="1"/>
  <c r="C696" i="29" s="1"/>
  <c r="M696" i="29"/>
  <c r="F696" i="29"/>
  <c r="L697" i="29" a="1"/>
  <c r="L697" i="29" s="1"/>
  <c r="G697" i="29"/>
  <c r="O666" i="29" l="1" a="1"/>
  <c r="O666" i="29" s="1"/>
  <c r="R666" i="29" s="1"/>
  <c r="S666" i="29" s="1"/>
  <c r="K701" i="29"/>
  <c r="I700" i="29"/>
  <c r="C697" i="29" a="1"/>
  <c r="C697" i="29" s="1"/>
  <c r="M697" i="29"/>
  <c r="F697" i="29"/>
  <c r="L698" i="29" a="1"/>
  <c r="L698" i="29" s="1"/>
  <c r="G698" i="29"/>
  <c r="Q699" i="29" a="1"/>
  <c r="Q699" i="29" s="1"/>
  <c r="N699" i="29" a="1"/>
  <c r="N699" i="29" s="1"/>
  <c r="P696" i="29"/>
  <c r="B698" i="29"/>
  <c r="O667" i="29" l="1" a="1"/>
  <c r="O667" i="29" s="1"/>
  <c r="R667" i="29" s="1"/>
  <c r="S667" i="29" s="1"/>
  <c r="C698" i="29" a="1"/>
  <c r="C698" i="29" s="1"/>
  <c r="M698" i="29"/>
  <c r="F698" i="29"/>
  <c r="L699" i="29" a="1"/>
  <c r="L699" i="29" s="1"/>
  <c r="P697" i="29"/>
  <c r="G699" i="29"/>
  <c r="B699" i="29"/>
  <c r="N700" i="29" a="1"/>
  <c r="N700" i="29" s="1"/>
  <c r="Q700" i="29" a="1"/>
  <c r="Q700" i="29" s="1"/>
  <c r="I701" i="29"/>
  <c r="K702" i="29"/>
  <c r="O668" i="29" l="1" a="1"/>
  <c r="O668" i="29" s="1"/>
  <c r="R668" i="29" s="1"/>
  <c r="S668" i="29" s="1"/>
  <c r="C699" i="29" a="1"/>
  <c r="C699" i="29" s="1"/>
  <c r="M699" i="29"/>
  <c r="F699" i="29"/>
  <c r="L700" i="29" a="1"/>
  <c r="L700" i="29" s="1"/>
  <c r="B700" i="29"/>
  <c r="Q701" i="29" a="1"/>
  <c r="Q701" i="29" s="1"/>
  <c r="N701" i="29" a="1"/>
  <c r="N701" i="29" s="1"/>
  <c r="G700" i="29"/>
  <c r="P698" i="29"/>
  <c r="K703" i="29"/>
  <c r="I702" i="29"/>
  <c r="O669" i="29" l="1" a="1"/>
  <c r="O669" i="29" s="1"/>
  <c r="R669" i="29" s="1"/>
  <c r="S669" i="29" s="1"/>
  <c r="I703" i="29"/>
  <c r="K704" i="29"/>
  <c r="P699" i="29"/>
  <c r="C700" i="29" a="1"/>
  <c r="C700" i="29" s="1"/>
  <c r="M700" i="29"/>
  <c r="F700" i="29"/>
  <c r="L701" i="29" a="1"/>
  <c r="L701" i="29" s="1"/>
  <c r="B702" i="29" s="1"/>
  <c r="G701" i="29"/>
  <c r="N702" i="29" a="1"/>
  <c r="N702" i="29" s="1"/>
  <c r="Q702" i="29" a="1"/>
  <c r="Q702" i="29" s="1"/>
  <c r="B701" i="29"/>
  <c r="O670" i="29" l="1" a="1"/>
  <c r="O670" i="29" s="1"/>
  <c r="R670" i="29" s="1"/>
  <c r="S670" i="29" s="1"/>
  <c r="G702" i="29"/>
  <c r="K705" i="29"/>
  <c r="I704" i="29"/>
  <c r="Q703" i="29" a="1"/>
  <c r="Q703" i="29" s="1"/>
  <c r="N703" i="29" a="1"/>
  <c r="N703" i="29" s="1"/>
  <c r="P700" i="29"/>
  <c r="C701" i="29" a="1"/>
  <c r="C701" i="29" s="1"/>
  <c r="M701" i="29"/>
  <c r="F701" i="29"/>
  <c r="L702" i="29" a="1"/>
  <c r="L702" i="29" s="1"/>
  <c r="O671" i="29" l="1" a="1"/>
  <c r="O671" i="29" s="1"/>
  <c r="R671" i="29" s="1"/>
  <c r="S671" i="29" s="1"/>
  <c r="P701" i="29"/>
  <c r="N704" i="29" a="1"/>
  <c r="N704" i="29" s="1"/>
  <c r="Q704" i="29" a="1"/>
  <c r="Q704" i="29" s="1"/>
  <c r="C702" i="29" a="1"/>
  <c r="C702" i="29" s="1"/>
  <c r="M702" i="29"/>
  <c r="F702" i="29"/>
  <c r="L703" i="29" a="1"/>
  <c r="L703" i="29" s="1"/>
  <c r="B704" i="29" s="1"/>
  <c r="B703" i="29"/>
  <c r="I705" i="29"/>
  <c r="K706" i="29"/>
  <c r="G703" i="29"/>
  <c r="O672" i="29" l="1" a="1"/>
  <c r="O672" i="29" s="1"/>
  <c r="R672" i="29" s="1"/>
  <c r="S672" i="29" s="1"/>
  <c r="K707" i="29"/>
  <c r="I706" i="29"/>
  <c r="Q705" i="29" a="1"/>
  <c r="Q705" i="29" s="1"/>
  <c r="N705" i="29" a="1"/>
  <c r="N705" i="29" s="1"/>
  <c r="G704" i="29"/>
  <c r="P702" i="29"/>
  <c r="C703" i="29" a="1"/>
  <c r="C703" i="29" s="1"/>
  <c r="M703" i="29"/>
  <c r="F703" i="29"/>
  <c r="L704" i="29" a="1"/>
  <c r="L704" i="29" s="1"/>
  <c r="O673" i="29" l="1" a="1"/>
  <c r="O673" i="29" s="1"/>
  <c r="R673" i="29" s="1"/>
  <c r="S673" i="29" s="1"/>
  <c r="C704" i="29" a="1"/>
  <c r="C704" i="29" s="1"/>
  <c r="M704" i="29"/>
  <c r="F704" i="29"/>
  <c r="L705" i="29" a="1"/>
  <c r="L705" i="29" s="1"/>
  <c r="P703" i="29"/>
  <c r="B705" i="29"/>
  <c r="G705" i="29"/>
  <c r="N706" i="29" a="1"/>
  <c r="N706" i="29" s="1"/>
  <c r="Q706" i="29" a="1"/>
  <c r="Q706" i="29" s="1"/>
  <c r="I707" i="29"/>
  <c r="K708" i="29"/>
  <c r="O674" i="29" l="1" a="1"/>
  <c r="O674" i="29" s="1"/>
  <c r="R674" i="29" s="1"/>
  <c r="S674" i="29" s="1"/>
  <c r="C705" i="29" a="1"/>
  <c r="C705" i="29" s="1"/>
  <c r="M705" i="29"/>
  <c r="F705" i="29"/>
  <c r="L706" i="29" a="1"/>
  <c r="L706" i="29" s="1"/>
  <c r="P704" i="29"/>
  <c r="Q707" i="29" a="1"/>
  <c r="Q707" i="29" s="1"/>
  <c r="N707" i="29" a="1"/>
  <c r="N707" i="29" s="1"/>
  <c r="G706" i="29"/>
  <c r="B706" i="29"/>
  <c r="K709" i="29"/>
  <c r="I708" i="29"/>
  <c r="O675" i="29" l="1" a="1"/>
  <c r="O675" i="29" s="1"/>
  <c r="R675" i="29" s="1"/>
  <c r="S675" i="29" s="1"/>
  <c r="I709" i="29"/>
  <c r="K710" i="29"/>
  <c r="G707" i="29"/>
  <c r="C706" i="29" a="1"/>
  <c r="C706" i="29" s="1"/>
  <c r="M706" i="29"/>
  <c r="F706" i="29"/>
  <c r="L707" i="29" a="1"/>
  <c r="L707" i="29" s="1"/>
  <c r="B708" i="29" s="1"/>
  <c r="P705" i="29"/>
  <c r="B707" i="29"/>
  <c r="N708" i="29" a="1"/>
  <c r="N708" i="29" s="1"/>
  <c r="Q708" i="29" a="1"/>
  <c r="Q708" i="29" s="1"/>
  <c r="O676" i="29" l="1" a="1"/>
  <c r="O676" i="29" s="1"/>
  <c r="R676" i="29" s="1"/>
  <c r="S676" i="29" s="1"/>
  <c r="G708" i="29"/>
  <c r="P706" i="29"/>
  <c r="K711" i="29"/>
  <c r="I710" i="29"/>
  <c r="Q709" i="29" a="1"/>
  <c r="Q709" i="29" s="1"/>
  <c r="N709" i="29" a="1"/>
  <c r="N709" i="29" s="1"/>
  <c r="C707" i="29" a="1"/>
  <c r="C707" i="29" s="1"/>
  <c r="M707" i="29"/>
  <c r="F707" i="29"/>
  <c r="L708" i="29" a="1"/>
  <c r="L708" i="29" s="1"/>
  <c r="O677" i="29" l="1" a="1"/>
  <c r="O677" i="29" s="1"/>
  <c r="R677" i="29" s="1"/>
  <c r="S677" i="29" s="1"/>
  <c r="C708" i="29" a="1"/>
  <c r="C708" i="29" s="1"/>
  <c r="M708" i="29"/>
  <c r="F708" i="29"/>
  <c r="L709" i="29" a="1"/>
  <c r="L709" i="29" s="1"/>
  <c r="B710" i="29" s="1"/>
  <c r="N710" i="29" a="1"/>
  <c r="N710" i="29" s="1"/>
  <c r="Q710" i="29" a="1"/>
  <c r="Q710" i="29" s="1"/>
  <c r="I711" i="29"/>
  <c r="K712" i="29"/>
  <c r="P707" i="29"/>
  <c r="G709" i="29"/>
  <c r="B709" i="29"/>
  <c r="O678" i="29" l="1" a="1"/>
  <c r="O678" i="29" s="1"/>
  <c r="R678" i="29" s="1"/>
  <c r="S678" i="29" s="1"/>
  <c r="G710" i="29"/>
  <c r="K713" i="29"/>
  <c r="I712" i="29"/>
  <c r="P708" i="29"/>
  <c r="Q711" i="29" a="1"/>
  <c r="Q711" i="29" s="1"/>
  <c r="N711" i="29" a="1"/>
  <c r="N711" i="29" s="1"/>
  <c r="C709" i="29" a="1"/>
  <c r="C709" i="29" s="1"/>
  <c r="M709" i="29"/>
  <c r="F709" i="29"/>
  <c r="L710" i="29" a="1"/>
  <c r="L710" i="29" s="1"/>
  <c r="O679" i="29" l="1" a="1"/>
  <c r="O679" i="29" s="1"/>
  <c r="R679" i="29" s="1"/>
  <c r="S679" i="29" s="1"/>
  <c r="C710" i="29" a="1"/>
  <c r="C710" i="29" s="1"/>
  <c r="M710" i="29"/>
  <c r="F710" i="29"/>
  <c r="L711" i="29" a="1"/>
  <c r="L711" i="29" s="1"/>
  <c r="P709" i="29"/>
  <c r="N712" i="29" a="1"/>
  <c r="N712" i="29" s="1"/>
  <c r="Q712" i="29" a="1"/>
  <c r="Q712" i="29" s="1"/>
  <c r="I713" i="29"/>
  <c r="K714" i="29"/>
  <c r="G711" i="29"/>
  <c r="B711" i="29"/>
  <c r="O680" i="29" l="1" a="1"/>
  <c r="O680" i="29" s="1"/>
  <c r="R680" i="29" s="1"/>
  <c r="S680" i="29" s="1"/>
  <c r="K715" i="29"/>
  <c r="I714" i="29"/>
  <c r="C711" i="29" a="1"/>
  <c r="C711" i="29" s="1"/>
  <c r="M711" i="29"/>
  <c r="F711" i="29"/>
  <c r="L712" i="29" a="1"/>
  <c r="L712" i="29" s="1"/>
  <c r="Q713" i="29" a="1"/>
  <c r="Q713" i="29" s="1"/>
  <c r="N713" i="29" a="1"/>
  <c r="N713" i="29" s="1"/>
  <c r="P710" i="29"/>
  <c r="G712" i="29"/>
  <c r="B712" i="29"/>
  <c r="O681" i="29" l="1" a="1"/>
  <c r="O681" i="29" s="1"/>
  <c r="R681" i="29" s="1"/>
  <c r="S681" i="29" s="1"/>
  <c r="P711" i="29"/>
  <c r="G713" i="29"/>
  <c r="C712" i="29" a="1"/>
  <c r="C712" i="29" s="1"/>
  <c r="M712" i="29"/>
  <c r="F712" i="29"/>
  <c r="L713" i="29" a="1"/>
  <c r="L713" i="29" s="1"/>
  <c r="B714" i="29" s="1"/>
  <c r="N714" i="29" a="1"/>
  <c r="N714" i="29" s="1"/>
  <c r="Q714" i="29" a="1"/>
  <c r="Q714" i="29" s="1"/>
  <c r="I715" i="29"/>
  <c r="K716" i="29"/>
  <c r="B713" i="29"/>
  <c r="O682" i="29" l="1" a="1"/>
  <c r="O682" i="29" s="1"/>
  <c r="R682" i="29" s="1"/>
  <c r="S682" i="29" s="1"/>
  <c r="Q715" i="29" a="1"/>
  <c r="Q715" i="29" s="1"/>
  <c r="N715" i="29" a="1"/>
  <c r="N715" i="29" s="1"/>
  <c r="G714" i="29"/>
  <c r="K717" i="29"/>
  <c r="I716" i="29"/>
  <c r="P712" i="29"/>
  <c r="C713" i="29" a="1"/>
  <c r="C713" i="29" s="1"/>
  <c r="M713" i="29"/>
  <c r="F713" i="29"/>
  <c r="L714" i="29" a="1"/>
  <c r="L714" i="29" s="1"/>
  <c r="O683" i="29" l="1" a="1"/>
  <c r="O683" i="29" s="1"/>
  <c r="R683" i="29" s="1"/>
  <c r="S683" i="29" s="1"/>
  <c r="C714" i="29" a="1"/>
  <c r="C714" i="29" s="1"/>
  <c r="M714" i="29"/>
  <c r="F714" i="29"/>
  <c r="L715" i="29" a="1"/>
  <c r="L715" i="29" s="1"/>
  <c r="P713" i="29"/>
  <c r="G715" i="29"/>
  <c r="B715" i="29"/>
  <c r="N716" i="29" a="1"/>
  <c r="N716" i="29" s="1"/>
  <c r="Q716" i="29" a="1"/>
  <c r="Q716" i="29" s="1"/>
  <c r="I717" i="29"/>
  <c r="K718" i="29"/>
  <c r="O684" i="29" l="1" a="1"/>
  <c r="O684" i="29" s="1"/>
  <c r="R684" i="29" s="1"/>
  <c r="S684" i="29" s="1"/>
  <c r="C715" i="29" a="1"/>
  <c r="C715" i="29" s="1"/>
  <c r="M715" i="29"/>
  <c r="F715" i="29"/>
  <c r="L716" i="29" a="1"/>
  <c r="L716" i="29" s="1"/>
  <c r="P714" i="29"/>
  <c r="Q717" i="29" a="1"/>
  <c r="Q717" i="29" s="1"/>
  <c r="N717" i="29" a="1"/>
  <c r="N717" i="29" s="1"/>
  <c r="G716" i="29"/>
  <c r="B716" i="29"/>
  <c r="K719" i="29"/>
  <c r="I718" i="29"/>
  <c r="O685" i="29" l="1" a="1"/>
  <c r="O685" i="29" s="1"/>
  <c r="R685" i="29" s="1"/>
  <c r="S685" i="29" s="1"/>
  <c r="I719" i="29"/>
  <c r="K720" i="29"/>
  <c r="G717" i="29"/>
  <c r="C716" i="29" a="1"/>
  <c r="C716" i="29" s="1"/>
  <c r="M716" i="29"/>
  <c r="F716" i="29"/>
  <c r="L717" i="29" a="1"/>
  <c r="L717" i="29" s="1"/>
  <c r="B718" i="29" s="1"/>
  <c r="P715" i="29"/>
  <c r="B717" i="29"/>
  <c r="N718" i="29" a="1"/>
  <c r="N718" i="29" s="1"/>
  <c r="Q718" i="29" a="1"/>
  <c r="Q718" i="29" s="1"/>
  <c r="O686" i="29" l="1" a="1"/>
  <c r="O686" i="29" s="1"/>
  <c r="R686" i="29" s="1"/>
  <c r="S686" i="29" s="1"/>
  <c r="P716" i="29"/>
  <c r="K721" i="29"/>
  <c r="I720" i="29"/>
  <c r="Q719" i="29" a="1"/>
  <c r="Q719" i="29" s="1"/>
  <c r="N719" i="29" a="1"/>
  <c r="N719" i="29" s="1"/>
  <c r="G718" i="29"/>
  <c r="C717" i="29" a="1"/>
  <c r="C717" i="29" s="1"/>
  <c r="M717" i="29"/>
  <c r="F717" i="29"/>
  <c r="L718" i="29" a="1"/>
  <c r="L718" i="29" s="1"/>
  <c r="O687" i="29" l="1" a="1"/>
  <c r="O687" i="29" s="1"/>
  <c r="R687" i="29" s="1"/>
  <c r="S687" i="29" s="1"/>
  <c r="P717" i="29"/>
  <c r="N720" i="29" a="1"/>
  <c r="N720" i="29" s="1"/>
  <c r="Q720" i="29" a="1"/>
  <c r="Q720" i="29" s="1"/>
  <c r="C718" i="29" a="1"/>
  <c r="C718" i="29" s="1"/>
  <c r="M718" i="29"/>
  <c r="F718" i="29"/>
  <c r="L719" i="29" a="1"/>
  <c r="L719" i="29" s="1"/>
  <c r="B720" i="29" s="1"/>
  <c r="B719" i="29"/>
  <c r="I721" i="29"/>
  <c r="K722" i="29"/>
  <c r="G719" i="29"/>
  <c r="O688" i="29" l="1" a="1"/>
  <c r="O688" i="29" s="1"/>
  <c r="R688" i="29" s="1"/>
  <c r="S688" i="29" s="1"/>
  <c r="Q721" i="29" a="1"/>
  <c r="Q721" i="29" s="1"/>
  <c r="N721" i="29" a="1"/>
  <c r="N721" i="29" s="1"/>
  <c r="G720" i="29"/>
  <c r="P718" i="29"/>
  <c r="K723" i="29"/>
  <c r="I722" i="29"/>
  <c r="C719" i="29" a="1"/>
  <c r="C719" i="29" s="1"/>
  <c r="M719" i="29"/>
  <c r="F719" i="29"/>
  <c r="L720" i="29" a="1"/>
  <c r="L720" i="29" s="1"/>
  <c r="O689" i="29" l="1" a="1"/>
  <c r="O689" i="29" s="1"/>
  <c r="R689" i="29" s="1"/>
  <c r="S689" i="29" s="1"/>
  <c r="C720" i="29" a="1"/>
  <c r="C720" i="29" s="1"/>
  <c r="M720" i="29"/>
  <c r="F720" i="29"/>
  <c r="L721" i="29" a="1"/>
  <c r="L721" i="29" s="1"/>
  <c r="P719" i="29"/>
  <c r="G721" i="29"/>
  <c r="N722" i="29" a="1"/>
  <c r="N722" i="29" s="1"/>
  <c r="Q722" i="29" a="1"/>
  <c r="Q722" i="29" s="1"/>
  <c r="B721" i="29"/>
  <c r="I723" i="29"/>
  <c r="K724" i="29"/>
  <c r="O690" i="29" l="1" a="1"/>
  <c r="O690" i="29" s="1"/>
  <c r="R690" i="29" s="1"/>
  <c r="S690" i="29" s="1"/>
  <c r="Q723" i="29" a="1"/>
  <c r="Q723" i="29" s="1"/>
  <c r="N723" i="29" a="1"/>
  <c r="N723" i="29" s="1"/>
  <c r="C721" i="29" a="1"/>
  <c r="C721" i="29" s="1"/>
  <c r="M721" i="29"/>
  <c r="F721" i="29"/>
  <c r="L722" i="29" a="1"/>
  <c r="L722" i="29" s="1"/>
  <c r="B723" i="29" s="1"/>
  <c r="P720" i="29"/>
  <c r="G722" i="29"/>
  <c r="B722" i="29"/>
  <c r="K725" i="29"/>
  <c r="I724" i="29"/>
  <c r="O691" i="29" l="1" a="1"/>
  <c r="O691" i="29" s="1"/>
  <c r="R691" i="29" s="1"/>
  <c r="S691" i="29" s="1"/>
  <c r="P721" i="29"/>
  <c r="G723" i="29"/>
  <c r="I725" i="29"/>
  <c r="K726" i="29"/>
  <c r="C722" i="29" a="1"/>
  <c r="C722" i="29" s="1"/>
  <c r="M722" i="29"/>
  <c r="F722" i="29"/>
  <c r="L723" i="29" a="1"/>
  <c r="L723" i="29" s="1"/>
  <c r="B724" i="29" s="1"/>
  <c r="N724" i="29" a="1"/>
  <c r="N724" i="29" s="1"/>
  <c r="Q724" i="29" a="1"/>
  <c r="Q724" i="29" s="1"/>
  <c r="O692" i="29" l="1" a="1"/>
  <c r="O692" i="29" s="1"/>
  <c r="R692" i="29" s="1"/>
  <c r="S692" i="29" s="1"/>
  <c r="Q725" i="29" a="1"/>
  <c r="Q725" i="29" s="1"/>
  <c r="N725" i="29" a="1"/>
  <c r="N725" i="29" s="1"/>
  <c r="G724" i="29"/>
  <c r="P722" i="29"/>
  <c r="K727" i="29"/>
  <c r="I726" i="29"/>
  <c r="C723" i="29" a="1"/>
  <c r="C723" i="29" s="1"/>
  <c r="M723" i="29"/>
  <c r="F723" i="29"/>
  <c r="L724" i="29" a="1"/>
  <c r="L724" i="29" s="1"/>
  <c r="B725" i="29" s="1"/>
  <c r="O693" i="29" l="1" a="1"/>
  <c r="O693" i="29" s="1"/>
  <c r="R693" i="29" s="1"/>
  <c r="S693" i="29" s="1"/>
  <c r="P723" i="29"/>
  <c r="N726" i="29" a="1"/>
  <c r="N726" i="29" s="1"/>
  <c r="Q726" i="29" a="1"/>
  <c r="Q726" i="29" s="1"/>
  <c r="I727" i="29"/>
  <c r="K728" i="29"/>
  <c r="C724" i="29" a="1"/>
  <c r="C724" i="29" s="1"/>
  <c r="M724" i="29"/>
  <c r="F724" i="29"/>
  <c r="L725" i="29" a="1"/>
  <c r="L725" i="29" s="1"/>
  <c r="G725" i="29"/>
  <c r="O694" i="29" l="1" a="1"/>
  <c r="O694" i="29" s="1"/>
  <c r="R694" i="29" s="1"/>
  <c r="S694" i="29" s="1"/>
  <c r="C725" i="29" a="1"/>
  <c r="C725" i="29" s="1"/>
  <c r="M725" i="29"/>
  <c r="F725" i="29"/>
  <c r="L726" i="29" a="1"/>
  <c r="L726" i="29" s="1"/>
  <c r="B727" i="29" s="1"/>
  <c r="B726" i="29"/>
  <c r="P724" i="29"/>
  <c r="G726" i="29"/>
  <c r="K729" i="29"/>
  <c r="I728" i="29"/>
  <c r="Q727" i="29" a="1"/>
  <c r="Q727" i="29" s="1"/>
  <c r="N727" i="29" a="1"/>
  <c r="N727" i="29" s="1"/>
  <c r="O695" i="29" l="1" a="1"/>
  <c r="O695" i="29" s="1"/>
  <c r="R695" i="29" s="1"/>
  <c r="S695" i="29" s="1"/>
  <c r="G727" i="29"/>
  <c r="N728" i="29" a="1"/>
  <c r="N728" i="29" s="1"/>
  <c r="Q728" i="29" a="1"/>
  <c r="Q728" i="29" s="1"/>
  <c r="I729" i="29"/>
  <c r="K730" i="29"/>
  <c r="P725" i="29"/>
  <c r="C726" i="29" a="1"/>
  <c r="C726" i="29" s="1"/>
  <c r="M726" i="29"/>
  <c r="F726" i="29"/>
  <c r="L727" i="29" a="1"/>
  <c r="L727" i="29" s="1"/>
  <c r="O696" i="29" l="1" a="1"/>
  <c r="O696" i="29" s="1"/>
  <c r="R696" i="29" s="1"/>
  <c r="S696" i="29" s="1"/>
  <c r="C727" i="29" a="1"/>
  <c r="C727" i="29" s="1"/>
  <c r="M727" i="29"/>
  <c r="F727" i="29"/>
  <c r="L728" i="29" a="1"/>
  <c r="L728" i="29" s="1"/>
  <c r="B729" i="29" s="1"/>
  <c r="G728" i="29"/>
  <c r="B728" i="29"/>
  <c r="P726" i="29"/>
  <c r="K731" i="29"/>
  <c r="I730" i="29"/>
  <c r="Q729" i="29" a="1"/>
  <c r="Q729" i="29" s="1"/>
  <c r="N729" i="29" a="1"/>
  <c r="N729" i="29" s="1"/>
  <c r="O697" i="29" l="1" a="1"/>
  <c r="O697" i="29" s="1"/>
  <c r="R697" i="29" s="1"/>
  <c r="S697" i="29" s="1"/>
  <c r="G729" i="29"/>
  <c r="N730" i="29" a="1"/>
  <c r="N730" i="29" s="1"/>
  <c r="Q730" i="29" a="1"/>
  <c r="Q730" i="29" s="1"/>
  <c r="I731" i="29"/>
  <c r="K732" i="29"/>
  <c r="P727" i="29"/>
  <c r="C728" i="29" a="1"/>
  <c r="C728" i="29" s="1"/>
  <c r="M728" i="29"/>
  <c r="F728" i="29"/>
  <c r="L729" i="29" a="1"/>
  <c r="L729" i="29" s="1"/>
  <c r="O698" i="29" l="1" a="1"/>
  <c r="O698" i="29" s="1"/>
  <c r="R698" i="29" s="1"/>
  <c r="S698" i="29" s="1"/>
  <c r="G730" i="29"/>
  <c r="C729" i="29" a="1"/>
  <c r="C729" i="29" s="1"/>
  <c r="M729" i="29"/>
  <c r="F729" i="29"/>
  <c r="L730" i="29" a="1"/>
  <c r="L730" i="29" s="1"/>
  <c r="P728" i="29"/>
  <c r="B730" i="29"/>
  <c r="K733" i="29"/>
  <c r="I732" i="29"/>
  <c r="Q731" i="29" a="1"/>
  <c r="Q731" i="29" s="1"/>
  <c r="N731" i="29" a="1"/>
  <c r="N731" i="29" s="1"/>
  <c r="O699" i="29" l="1" a="1"/>
  <c r="O699" i="29" s="1"/>
  <c r="R699" i="29" s="1"/>
  <c r="S699" i="29" s="1"/>
  <c r="G731" i="29"/>
  <c r="C730" i="29" a="1"/>
  <c r="C730" i="29" s="1"/>
  <c r="M730" i="29"/>
  <c r="F730" i="29"/>
  <c r="L731" i="29" a="1"/>
  <c r="L731" i="29" s="1"/>
  <c r="B731" i="29"/>
  <c r="P729" i="29"/>
  <c r="N732" i="29" a="1"/>
  <c r="N732" i="29" s="1"/>
  <c r="Q732" i="29" a="1"/>
  <c r="Q732" i="29" s="1"/>
  <c r="I733" i="29"/>
  <c r="K734" i="29"/>
  <c r="O700" i="29" l="1" a="1"/>
  <c r="O700" i="29" s="1"/>
  <c r="R700" i="29" s="1"/>
  <c r="S700" i="29" s="1"/>
  <c r="C731" i="29" a="1"/>
  <c r="C731" i="29" s="1"/>
  <c r="M731" i="29"/>
  <c r="F731" i="29"/>
  <c r="L732" i="29" a="1"/>
  <c r="L732" i="29" s="1"/>
  <c r="G732" i="29"/>
  <c r="Q733" i="29" a="1"/>
  <c r="Q733" i="29" s="1"/>
  <c r="N733" i="29" a="1"/>
  <c r="N733" i="29" s="1"/>
  <c r="P730" i="29"/>
  <c r="B732" i="29"/>
  <c r="K735" i="29"/>
  <c r="I734" i="29"/>
  <c r="O701" i="29" l="1" a="1"/>
  <c r="O701" i="29" s="1"/>
  <c r="R701" i="29" s="1"/>
  <c r="S701" i="29" s="1"/>
  <c r="I735" i="29"/>
  <c r="K736" i="29"/>
  <c r="G733" i="29"/>
  <c r="C732" i="29" a="1"/>
  <c r="C732" i="29" s="1"/>
  <c r="M732" i="29"/>
  <c r="F732" i="29"/>
  <c r="L733" i="29" a="1"/>
  <c r="L733" i="29" s="1"/>
  <c r="B734" i="29" s="1"/>
  <c r="P731" i="29"/>
  <c r="B733" i="29"/>
  <c r="N734" i="29" a="1"/>
  <c r="N734" i="29" s="1"/>
  <c r="Q734" i="29" a="1"/>
  <c r="Q734" i="29" s="1"/>
  <c r="O702" i="29" l="1" a="1"/>
  <c r="O702" i="29" s="1"/>
  <c r="R702" i="29" s="1"/>
  <c r="S702" i="29" s="1"/>
  <c r="P732" i="29"/>
  <c r="K737" i="29"/>
  <c r="I736" i="29"/>
  <c r="Q735" i="29" a="1"/>
  <c r="Q735" i="29" s="1"/>
  <c r="N735" i="29" a="1"/>
  <c r="N735" i="29" s="1"/>
  <c r="G734" i="29"/>
  <c r="C733" i="29" a="1"/>
  <c r="C733" i="29" s="1"/>
  <c r="M733" i="29"/>
  <c r="F733" i="29"/>
  <c r="L734" i="29" a="1"/>
  <c r="L734" i="29" s="1"/>
  <c r="B735" i="29" s="1"/>
  <c r="O703" i="29" l="1" a="1"/>
  <c r="O703" i="29" s="1"/>
  <c r="R703" i="29" s="1"/>
  <c r="S703" i="29" s="1"/>
  <c r="P733" i="29"/>
  <c r="N736" i="29" a="1"/>
  <c r="N736" i="29" s="1"/>
  <c r="Q736" i="29" a="1"/>
  <c r="Q736" i="29" s="1"/>
  <c r="C734" i="29" a="1"/>
  <c r="C734" i="29" s="1"/>
  <c r="M734" i="29"/>
  <c r="F734" i="29"/>
  <c r="L735" i="29" a="1"/>
  <c r="L735" i="29" s="1"/>
  <c r="B736" i="29" s="1"/>
  <c r="I737" i="29"/>
  <c r="K738" i="29"/>
  <c r="G735" i="29"/>
  <c r="O704" i="29" l="1" a="1"/>
  <c r="O704" i="29" s="1"/>
  <c r="R704" i="29" s="1"/>
  <c r="S704" i="29" s="1"/>
  <c r="K739" i="29"/>
  <c r="I738" i="29"/>
  <c r="G736" i="29"/>
  <c r="Q737" i="29" a="1"/>
  <c r="Q737" i="29" s="1"/>
  <c r="N737" i="29" a="1"/>
  <c r="N737" i="29" s="1"/>
  <c r="P734" i="29"/>
  <c r="C735" i="29" a="1"/>
  <c r="C735" i="29" s="1"/>
  <c r="M735" i="29"/>
  <c r="F735" i="29"/>
  <c r="L736" i="29" a="1"/>
  <c r="L736" i="29" s="1"/>
  <c r="O705" i="29" l="1" a="1"/>
  <c r="O705" i="29" s="1"/>
  <c r="R705" i="29" s="1"/>
  <c r="S705" i="29" s="1"/>
  <c r="P735" i="29"/>
  <c r="C736" i="29" a="1"/>
  <c r="C736" i="29" s="1"/>
  <c r="M736" i="29"/>
  <c r="F736" i="29"/>
  <c r="L737" i="29" a="1"/>
  <c r="L737" i="29" s="1"/>
  <c r="B737" i="29"/>
  <c r="N738" i="29" a="1"/>
  <c r="N738" i="29" s="1"/>
  <c r="Q738" i="29" a="1"/>
  <c r="Q738" i="29" s="1"/>
  <c r="I739" i="29"/>
  <c r="K740" i="29"/>
  <c r="G737" i="29"/>
  <c r="O706" i="29" l="1" a="1"/>
  <c r="O706" i="29" s="1"/>
  <c r="R706" i="29" s="1"/>
  <c r="S706" i="29" s="1"/>
  <c r="C737" i="29" a="1"/>
  <c r="C737" i="29" s="1"/>
  <c r="M737" i="29"/>
  <c r="F737" i="29"/>
  <c r="L738" i="29" a="1"/>
  <c r="L738" i="29" s="1"/>
  <c r="K741" i="29"/>
  <c r="I740" i="29"/>
  <c r="Q739" i="29" a="1"/>
  <c r="Q739" i="29" s="1"/>
  <c r="N739" i="29" a="1"/>
  <c r="N739" i="29" s="1"/>
  <c r="P736" i="29"/>
  <c r="G738" i="29"/>
  <c r="B738" i="29"/>
  <c r="O707" i="29" l="1" a="1"/>
  <c r="O707" i="29" s="1"/>
  <c r="R707" i="29" s="1"/>
  <c r="S707" i="29" s="1"/>
  <c r="N740" i="29" a="1"/>
  <c r="N740" i="29" s="1"/>
  <c r="Q740" i="29" a="1"/>
  <c r="Q740" i="29" s="1"/>
  <c r="I741" i="29"/>
  <c r="K742" i="29"/>
  <c r="G739" i="29"/>
  <c r="C738" i="29" a="1"/>
  <c r="C738" i="29" s="1"/>
  <c r="M738" i="29"/>
  <c r="F738" i="29"/>
  <c r="L739" i="29" a="1"/>
  <c r="L739" i="29" s="1"/>
  <c r="P737" i="29"/>
  <c r="B739" i="29"/>
  <c r="O708" i="29" l="1" a="1"/>
  <c r="O708" i="29" s="1"/>
  <c r="R708" i="29" s="1"/>
  <c r="S708" i="29" s="1"/>
  <c r="K743" i="29"/>
  <c r="I742" i="29"/>
  <c r="C739" i="29" a="1"/>
  <c r="C739" i="29" s="1"/>
  <c r="M739" i="29"/>
  <c r="F739" i="29"/>
  <c r="L740" i="29" a="1"/>
  <c r="L740" i="29" s="1"/>
  <c r="G740" i="29"/>
  <c r="Q741" i="29" a="1"/>
  <c r="Q741" i="29" s="1"/>
  <c r="N741" i="29" a="1"/>
  <c r="N741" i="29" s="1"/>
  <c r="P738" i="29"/>
  <c r="B740" i="29"/>
  <c r="O709" i="29" l="1" a="1"/>
  <c r="O709" i="29" s="1"/>
  <c r="R709" i="29" s="1"/>
  <c r="S709" i="29" s="1"/>
  <c r="C740" i="29" a="1"/>
  <c r="C740" i="29" s="1"/>
  <c r="M740" i="29"/>
  <c r="F740" i="29"/>
  <c r="L741" i="29" a="1"/>
  <c r="L741" i="29" s="1"/>
  <c r="P739" i="29"/>
  <c r="B741" i="29"/>
  <c r="G741" i="29"/>
  <c r="N742" i="29" a="1"/>
  <c r="N742" i="29" s="1"/>
  <c r="Q742" i="29" a="1"/>
  <c r="Q742" i="29" s="1"/>
  <c r="I743" i="29"/>
  <c r="K744" i="29"/>
  <c r="O710" i="29" l="1" a="1"/>
  <c r="O710" i="29" s="1"/>
  <c r="R710" i="29" s="1"/>
  <c r="S710" i="29" s="1"/>
  <c r="Q743" i="29" a="1"/>
  <c r="Q743" i="29" s="1"/>
  <c r="N743" i="29" a="1"/>
  <c r="N743" i="29" s="1"/>
  <c r="C741" i="29" a="1"/>
  <c r="C741" i="29" s="1"/>
  <c r="F741" i="29"/>
  <c r="M741" i="29"/>
  <c r="L742" i="29" a="1"/>
  <c r="L742" i="29" s="1"/>
  <c r="B743" i="29" s="1"/>
  <c r="P740" i="29"/>
  <c r="G742" i="29"/>
  <c r="B742" i="29"/>
  <c r="K745" i="29"/>
  <c r="I744" i="29"/>
  <c r="O711" i="29" l="1" a="1"/>
  <c r="O711" i="29" s="1"/>
  <c r="R711" i="29" s="1"/>
  <c r="S711" i="29" s="1"/>
  <c r="I745" i="29"/>
  <c r="K746" i="29"/>
  <c r="G743" i="29"/>
  <c r="C742" i="29" a="1"/>
  <c r="C742" i="29" s="1"/>
  <c r="M742" i="29"/>
  <c r="F742" i="29"/>
  <c r="L743" i="29" a="1"/>
  <c r="L743" i="29" s="1"/>
  <c r="N744" i="29" a="1"/>
  <c r="N744" i="29" s="1"/>
  <c r="Q744" i="29" a="1"/>
  <c r="Q744" i="29" s="1"/>
  <c r="P741" i="29"/>
  <c r="O712" i="29" l="1" a="1"/>
  <c r="O712" i="29" s="1"/>
  <c r="R712" i="29" s="1"/>
  <c r="S712" i="29" s="1"/>
  <c r="Q745" i="29" a="1"/>
  <c r="Q745" i="29" s="1"/>
  <c r="N745" i="29" a="1"/>
  <c r="N745" i="29" s="1"/>
  <c r="M743" i="29"/>
  <c r="C743" i="29" a="1"/>
  <c r="C743" i="29" s="1"/>
  <c r="F743" i="29"/>
  <c r="L744" i="29" a="1"/>
  <c r="L744" i="29" s="1"/>
  <c r="B745" i="29" s="1"/>
  <c r="P742" i="29"/>
  <c r="G744" i="29"/>
  <c r="K747" i="29"/>
  <c r="I746" i="29"/>
  <c r="B744" i="29"/>
  <c r="O713" i="29" l="1" a="1"/>
  <c r="O713" i="29" s="1"/>
  <c r="R713" i="29" s="1"/>
  <c r="S713" i="29" s="1"/>
  <c r="G745" i="29"/>
  <c r="P743" i="29"/>
  <c r="N746" i="29" a="1"/>
  <c r="N746" i="29" s="1"/>
  <c r="Q746" i="29" a="1"/>
  <c r="Q746" i="29" s="1"/>
  <c r="I747" i="29"/>
  <c r="K748" i="29"/>
  <c r="C744" i="29" a="1"/>
  <c r="C744" i="29" s="1"/>
  <c r="M744" i="29"/>
  <c r="F744" i="29"/>
  <c r="L745" i="29" a="1"/>
  <c r="L745" i="29" s="1"/>
  <c r="O714" i="29" l="1" a="1"/>
  <c r="O714" i="29" s="1"/>
  <c r="R714" i="29" s="1"/>
  <c r="S714" i="29" s="1"/>
  <c r="G746" i="29"/>
  <c r="C745" i="29" a="1"/>
  <c r="C745" i="29" s="1"/>
  <c r="F745" i="29"/>
  <c r="M745" i="29"/>
  <c r="L746" i="29" a="1"/>
  <c r="L746" i="29" s="1"/>
  <c r="B747" i="29" s="1"/>
  <c r="B746" i="29"/>
  <c r="P744" i="29"/>
  <c r="Q747" i="29" a="1"/>
  <c r="Q747" i="29" s="1"/>
  <c r="N747" i="29" a="1"/>
  <c r="N747" i="29" s="1"/>
  <c r="K749" i="29"/>
  <c r="I748" i="29"/>
  <c r="O715" i="29" l="1" a="1"/>
  <c r="O715" i="29" s="1"/>
  <c r="R715" i="29" s="1"/>
  <c r="S715" i="29" s="1"/>
  <c r="I749" i="29"/>
  <c r="K750" i="29"/>
  <c r="G747" i="29"/>
  <c r="C746" i="29" a="1"/>
  <c r="C746" i="29" s="1"/>
  <c r="M746" i="29"/>
  <c r="F746" i="29"/>
  <c r="L747" i="29" a="1"/>
  <c r="L747" i="29" s="1"/>
  <c r="B748" i="29" s="1"/>
  <c r="P745" i="29"/>
  <c r="N748" i="29" a="1"/>
  <c r="N748" i="29" s="1"/>
  <c r="Q748" i="29" a="1"/>
  <c r="Q748" i="29" s="1"/>
  <c r="O716" i="29" l="1" a="1"/>
  <c r="O716" i="29" s="1"/>
  <c r="R716" i="29" s="1"/>
  <c r="S716" i="29" s="1"/>
  <c r="G748" i="29"/>
  <c r="K751" i="29"/>
  <c r="I750" i="29"/>
  <c r="Q749" i="29" a="1"/>
  <c r="Q749" i="29" s="1"/>
  <c r="N749" i="29" a="1"/>
  <c r="N749" i="29" s="1"/>
  <c r="P746" i="29"/>
  <c r="C747" i="29" a="1"/>
  <c r="C747" i="29" s="1"/>
  <c r="F747" i="29"/>
  <c r="M747" i="29"/>
  <c r="L748" i="29" a="1"/>
  <c r="L748" i="29" s="1"/>
  <c r="O717" i="29" l="1" a="1"/>
  <c r="O717" i="29" s="1"/>
  <c r="R717" i="29" s="1"/>
  <c r="S717" i="29" s="1"/>
  <c r="N750" i="29" a="1"/>
  <c r="N750" i="29" s="1"/>
  <c r="Q750" i="29" a="1"/>
  <c r="Q750" i="29" s="1"/>
  <c r="C748" i="29" a="1"/>
  <c r="C748" i="29" s="1"/>
  <c r="M748" i="29"/>
  <c r="F748" i="29"/>
  <c r="L749" i="29" a="1"/>
  <c r="L749" i="29" s="1"/>
  <c r="B750" i="29" s="1"/>
  <c r="B749" i="29"/>
  <c r="P747" i="29"/>
  <c r="I751" i="29"/>
  <c r="K752" i="29"/>
  <c r="G749" i="29"/>
  <c r="O718" i="29" l="1" a="1"/>
  <c r="O718" i="29" s="1"/>
  <c r="R718" i="29" s="1"/>
  <c r="S718" i="29" s="1"/>
  <c r="Q751" i="29" a="1"/>
  <c r="Q751" i="29" s="1"/>
  <c r="N751" i="29" a="1"/>
  <c r="N751" i="29" s="1"/>
  <c r="G750" i="29"/>
  <c r="P748" i="29"/>
  <c r="K753" i="29"/>
  <c r="I752" i="29"/>
  <c r="C749" i="29" a="1"/>
  <c r="C749" i="29" s="1"/>
  <c r="F749" i="29"/>
  <c r="M749" i="29"/>
  <c r="L750" i="29" a="1"/>
  <c r="L750" i="29" s="1"/>
  <c r="O719" i="29" l="1" a="1"/>
  <c r="O719" i="29" s="1"/>
  <c r="R719" i="29" s="1"/>
  <c r="S719" i="29" s="1"/>
  <c r="C750" i="29" a="1"/>
  <c r="C750" i="29" s="1"/>
  <c r="M750" i="29"/>
  <c r="F750" i="29"/>
  <c r="L751" i="29" a="1"/>
  <c r="L751" i="29" s="1"/>
  <c r="B751" i="29"/>
  <c r="P749" i="29"/>
  <c r="G751" i="29"/>
  <c r="N752" i="29" a="1"/>
  <c r="N752" i="29" s="1"/>
  <c r="Q752" i="29" a="1"/>
  <c r="Q752" i="29" s="1"/>
  <c r="I753" i="29"/>
  <c r="K754" i="29"/>
  <c r="O720" i="29" l="1" a="1"/>
  <c r="O720" i="29" s="1"/>
  <c r="R720" i="29" s="1"/>
  <c r="S720" i="29" s="1"/>
  <c r="Q753" i="29" a="1"/>
  <c r="Q753" i="29" s="1"/>
  <c r="N753" i="29" a="1"/>
  <c r="N753" i="29" s="1"/>
  <c r="C751" i="29" a="1"/>
  <c r="C751" i="29" s="1"/>
  <c r="F751" i="29"/>
  <c r="M751" i="29"/>
  <c r="L752" i="29" a="1"/>
  <c r="L752" i="29" s="1"/>
  <c r="B753" i="29" s="1"/>
  <c r="G752" i="29"/>
  <c r="B752" i="29"/>
  <c r="P750" i="29"/>
  <c r="K755" i="29"/>
  <c r="I754" i="29"/>
  <c r="O721" i="29" l="1" a="1"/>
  <c r="O721" i="29" s="1"/>
  <c r="R721" i="29" s="1"/>
  <c r="S721" i="29" s="1"/>
  <c r="G753" i="29"/>
  <c r="I755" i="29"/>
  <c r="K756" i="29"/>
  <c r="C752" i="29" a="1"/>
  <c r="C752" i="29" s="1"/>
  <c r="M752" i="29"/>
  <c r="F752" i="29"/>
  <c r="L753" i="29" a="1"/>
  <c r="L753" i="29" s="1"/>
  <c r="B754" i="29" s="1"/>
  <c r="N754" i="29" a="1"/>
  <c r="N754" i="29" s="1"/>
  <c r="Q754" i="29" a="1"/>
  <c r="Q754" i="29" s="1"/>
  <c r="P751" i="29"/>
  <c r="O722" i="29" l="1" a="1"/>
  <c r="O722" i="29" s="1"/>
  <c r="R722" i="29" s="1"/>
  <c r="S722" i="29" s="1"/>
  <c r="K757" i="29"/>
  <c r="I756" i="29"/>
  <c r="Q755" i="29" a="1"/>
  <c r="Q755" i="29" s="1"/>
  <c r="N755" i="29" a="1"/>
  <c r="N755" i="29" s="1"/>
  <c r="G754" i="29"/>
  <c r="P752" i="29"/>
  <c r="C753" i="29" a="1"/>
  <c r="C753" i="29" s="1"/>
  <c r="F753" i="29"/>
  <c r="M753" i="29"/>
  <c r="L754" i="29" a="1"/>
  <c r="L754" i="29" s="1"/>
  <c r="O723" i="29" l="1" a="1"/>
  <c r="O723" i="29" s="1"/>
  <c r="R723" i="29" s="1"/>
  <c r="S723" i="29" s="1"/>
  <c r="C754" i="29" a="1"/>
  <c r="C754" i="29" s="1"/>
  <c r="M754" i="29"/>
  <c r="F754" i="29"/>
  <c r="L755" i="29" a="1"/>
  <c r="L755" i="29" s="1"/>
  <c r="B755" i="29"/>
  <c r="P753" i="29"/>
  <c r="G755" i="29"/>
  <c r="N756" i="29" a="1"/>
  <c r="N756" i="29" s="1"/>
  <c r="Q756" i="29" a="1"/>
  <c r="Q756" i="29" s="1"/>
  <c r="I757" i="29"/>
  <c r="K758" i="29"/>
  <c r="O724" i="29" l="1" a="1"/>
  <c r="O724" i="29" s="1"/>
  <c r="R724" i="29" s="1"/>
  <c r="S724" i="29" s="1"/>
  <c r="C755" i="29" a="1"/>
  <c r="C755" i="29" s="1"/>
  <c r="F755" i="29"/>
  <c r="M755" i="29"/>
  <c r="L756" i="29" a="1"/>
  <c r="L756" i="29" s="1"/>
  <c r="B757" i="29" s="1"/>
  <c r="B756" i="29"/>
  <c r="P754" i="29"/>
  <c r="Q757" i="29" a="1"/>
  <c r="Q757" i="29" s="1"/>
  <c r="N757" i="29" a="1"/>
  <c r="N757" i="29" s="1"/>
  <c r="G756" i="29"/>
  <c r="K759" i="29"/>
  <c r="I758" i="29"/>
  <c r="O725" i="29" l="1" a="1"/>
  <c r="O725" i="29" s="1"/>
  <c r="R725" i="29" s="1"/>
  <c r="S725" i="29" s="1"/>
  <c r="I759" i="29"/>
  <c r="K760" i="29"/>
  <c r="P755" i="29"/>
  <c r="C756" i="29" a="1"/>
  <c r="C756" i="29" s="1"/>
  <c r="M756" i="29"/>
  <c r="F756" i="29"/>
  <c r="L757" i="29" a="1"/>
  <c r="L757" i="29" s="1"/>
  <c r="B758" i="29" s="1"/>
  <c r="G757" i="29"/>
  <c r="N758" i="29" a="1"/>
  <c r="N758" i="29" s="1"/>
  <c r="Q758" i="29" a="1"/>
  <c r="Q758" i="29" s="1"/>
  <c r="O726" i="29" l="1" a="1"/>
  <c r="O726" i="29" s="1"/>
  <c r="R726" i="29" s="1"/>
  <c r="S726" i="29" s="1"/>
  <c r="G758" i="29"/>
  <c r="K761" i="29"/>
  <c r="I760" i="29"/>
  <c r="Q759" i="29" a="1"/>
  <c r="Q759" i="29" s="1"/>
  <c r="N759" i="29" a="1"/>
  <c r="N759" i="29" s="1"/>
  <c r="P756" i="29"/>
  <c r="M757" i="29"/>
  <c r="C757" i="29" a="1"/>
  <c r="C757" i="29" s="1"/>
  <c r="F757" i="29"/>
  <c r="L758" i="29" a="1"/>
  <c r="L758" i="29" s="1"/>
  <c r="O727" i="29" l="1" a="1"/>
  <c r="O727" i="29" s="1"/>
  <c r="R727" i="29" s="1"/>
  <c r="S727" i="29" s="1"/>
  <c r="G759" i="29"/>
  <c r="P757" i="29"/>
  <c r="C758" i="29" a="1"/>
  <c r="C758" i="29" s="1"/>
  <c r="M758" i="29"/>
  <c r="F758" i="29"/>
  <c r="L759" i="29" a="1"/>
  <c r="L759" i="29" s="1"/>
  <c r="N760" i="29" a="1"/>
  <c r="N760" i="29" s="1"/>
  <c r="Q760" i="29" a="1"/>
  <c r="Q760" i="29" s="1"/>
  <c r="I761" i="29"/>
  <c r="K762" i="29"/>
  <c r="B759" i="29"/>
  <c r="O728" i="29" l="1" a="1"/>
  <c r="O728" i="29" s="1"/>
  <c r="R728" i="29" s="1"/>
  <c r="S728" i="29" s="1"/>
  <c r="K763" i="29"/>
  <c r="I762" i="29"/>
  <c r="P758" i="29"/>
  <c r="N761" i="29" a="1"/>
  <c r="N761" i="29" s="1"/>
  <c r="Q761" i="29" a="1"/>
  <c r="Q761" i="29" s="1"/>
  <c r="C759" i="29" a="1"/>
  <c r="C759" i="29" s="1"/>
  <c r="F759" i="29"/>
  <c r="M759" i="29"/>
  <c r="L760" i="29" a="1"/>
  <c r="L760" i="29" s="1"/>
  <c r="G760" i="29"/>
  <c r="B760" i="29"/>
  <c r="O729" i="29" l="1" a="1"/>
  <c r="O729" i="29" s="1"/>
  <c r="R729" i="29" s="1"/>
  <c r="S729" i="29" s="1"/>
  <c r="C760" i="29" a="1"/>
  <c r="C760" i="29" s="1"/>
  <c r="M760" i="29"/>
  <c r="F760" i="29"/>
  <c r="L761" i="29" a="1"/>
  <c r="L761" i="29" s="1"/>
  <c r="P759" i="29"/>
  <c r="N762" i="29" a="1"/>
  <c r="N762" i="29" s="1"/>
  <c r="Q762" i="29" a="1"/>
  <c r="Q762" i="29" s="1"/>
  <c r="G761" i="29"/>
  <c r="I763" i="29"/>
  <c r="K764" i="29"/>
  <c r="B761" i="29"/>
  <c r="O730" i="29" l="1" a="1"/>
  <c r="O730" i="29" s="1"/>
  <c r="R730" i="29" s="1"/>
  <c r="S730" i="29" s="1"/>
  <c r="Q763" i="29" a="1"/>
  <c r="Q763" i="29" s="1"/>
  <c r="N763" i="29" a="1"/>
  <c r="N763" i="29" s="1"/>
  <c r="F761" i="29"/>
  <c r="M761" i="29"/>
  <c r="C761" i="29" a="1"/>
  <c r="C761" i="29" s="1"/>
  <c r="L762" i="29" a="1"/>
  <c r="L762" i="29" s="1"/>
  <c r="B763" i="29" s="1"/>
  <c r="K765" i="29"/>
  <c r="I764" i="29"/>
  <c r="P760" i="29"/>
  <c r="G762" i="29"/>
  <c r="B762" i="29"/>
  <c r="O731" i="29" l="1" a="1"/>
  <c r="O731" i="29" s="1"/>
  <c r="R731" i="29" s="1"/>
  <c r="S731" i="29" s="1"/>
  <c r="C762" i="29" a="1"/>
  <c r="C762" i="29" s="1"/>
  <c r="M762" i="29"/>
  <c r="F762" i="29"/>
  <c r="L763" i="29" a="1"/>
  <c r="L763" i="29" s="1"/>
  <c r="B764" i="29" s="1"/>
  <c r="P761" i="29"/>
  <c r="G763" i="29"/>
  <c r="N764" i="29" a="1"/>
  <c r="N764" i="29" s="1"/>
  <c r="Q764" i="29" a="1"/>
  <c r="Q764" i="29" s="1"/>
  <c r="I765" i="29"/>
  <c r="K766" i="29"/>
  <c r="O732" i="29" l="1" a="1"/>
  <c r="O732" i="29" s="1"/>
  <c r="R732" i="29" s="1"/>
  <c r="S732" i="29" s="1"/>
  <c r="Q765" i="29" a="1"/>
  <c r="Q765" i="29" s="1"/>
  <c r="N765" i="29" a="1"/>
  <c r="N765" i="29" s="1"/>
  <c r="K767" i="29"/>
  <c r="I766" i="29"/>
  <c r="C763" i="29" a="1"/>
  <c r="C763" i="29" s="1"/>
  <c r="F763" i="29"/>
  <c r="M763" i="29"/>
  <c r="L764" i="29" a="1"/>
  <c r="L764" i="29" s="1"/>
  <c r="G764" i="29"/>
  <c r="P762" i="29"/>
  <c r="O733" i="29" l="1" a="1"/>
  <c r="O733" i="29" s="1"/>
  <c r="R733" i="29" s="1"/>
  <c r="S733" i="29" s="1"/>
  <c r="G765" i="29"/>
  <c r="N766" i="29" a="1"/>
  <c r="N766" i="29" s="1"/>
  <c r="Q766" i="29" a="1"/>
  <c r="Q766" i="29" s="1"/>
  <c r="I767" i="29"/>
  <c r="K768" i="29"/>
  <c r="C764" i="29" a="1"/>
  <c r="C764" i="29" s="1"/>
  <c r="M764" i="29"/>
  <c r="F764" i="29"/>
  <c r="L765" i="29" a="1"/>
  <c r="L765" i="29" s="1"/>
  <c r="P763" i="29"/>
  <c r="B765" i="29"/>
  <c r="O734" i="29" l="1" a="1"/>
  <c r="O734" i="29" s="1"/>
  <c r="R734" i="29" s="1"/>
  <c r="S734" i="29" s="1"/>
  <c r="C765" i="29" a="1"/>
  <c r="C765" i="29" s="1"/>
  <c r="F765" i="29"/>
  <c r="M765" i="29"/>
  <c r="L766" i="29" a="1"/>
  <c r="L766" i="29" s="1"/>
  <c r="B767" i="29" s="1"/>
  <c r="P764" i="29"/>
  <c r="G766" i="29"/>
  <c r="B766" i="29"/>
  <c r="K769" i="29"/>
  <c r="I768" i="29"/>
  <c r="N767" i="29" a="1"/>
  <c r="N767" i="29" s="1"/>
  <c r="Q767" i="29" a="1"/>
  <c r="Q767" i="29" s="1"/>
  <c r="O735" i="29" l="1" a="1"/>
  <c r="O735" i="29" s="1"/>
  <c r="R735" i="29" s="1"/>
  <c r="S735" i="29" s="1"/>
  <c r="G767" i="29"/>
  <c r="N768" i="29" a="1"/>
  <c r="N768" i="29" s="1"/>
  <c r="Q768" i="29" a="1"/>
  <c r="Q768" i="29" s="1"/>
  <c r="I769" i="29"/>
  <c r="K770" i="29"/>
  <c r="C766" i="29" a="1"/>
  <c r="C766" i="29" s="1"/>
  <c r="M766" i="29"/>
  <c r="F766" i="29"/>
  <c r="L767" i="29" a="1"/>
  <c r="L767" i="29" s="1"/>
  <c r="P765" i="29"/>
  <c r="O736" i="29" l="1" a="1"/>
  <c r="O736" i="29" s="1"/>
  <c r="R736" i="29" s="1"/>
  <c r="S736" i="29" s="1"/>
  <c r="C767" i="29" a="1"/>
  <c r="C767" i="29" s="1"/>
  <c r="F767" i="29"/>
  <c r="M767" i="29"/>
  <c r="L768" i="29" a="1"/>
  <c r="L768" i="29" s="1"/>
  <c r="B769" i="29" s="1"/>
  <c r="P766" i="29"/>
  <c r="G768" i="29"/>
  <c r="B768" i="29"/>
  <c r="K771" i="29"/>
  <c r="I770" i="29"/>
  <c r="N769" i="29" a="1"/>
  <c r="N769" i="29" s="1"/>
  <c r="Q769" i="29" a="1"/>
  <c r="Q769" i="29" s="1"/>
  <c r="O737" i="29" l="1" a="1"/>
  <c r="O737" i="29" s="1"/>
  <c r="R737" i="29" s="1"/>
  <c r="S737" i="29" s="1"/>
  <c r="G769" i="29"/>
  <c r="P767" i="29"/>
  <c r="I771" i="29"/>
  <c r="K772" i="29"/>
  <c r="C768" i="29" a="1"/>
  <c r="C768" i="29" s="1"/>
  <c r="M768" i="29"/>
  <c r="F768" i="29"/>
  <c r="L769" i="29" a="1"/>
  <c r="L769" i="29" s="1"/>
  <c r="B770" i="29" s="1"/>
  <c r="N770" i="29" a="1"/>
  <c r="N770" i="29" s="1"/>
  <c r="Q770" i="29" a="1"/>
  <c r="Q770" i="29" s="1"/>
  <c r="O738" i="29" l="1" a="1"/>
  <c r="O738" i="29" s="1"/>
  <c r="R738" i="29" s="1"/>
  <c r="S738" i="29" s="1"/>
  <c r="K773" i="29"/>
  <c r="I772" i="29"/>
  <c r="N771" i="29" a="1"/>
  <c r="N771" i="29" s="1"/>
  <c r="Q771" i="29" a="1"/>
  <c r="Q771" i="29" s="1"/>
  <c r="G770" i="29"/>
  <c r="P768" i="29"/>
  <c r="M769" i="29"/>
  <c r="C769" i="29" a="1"/>
  <c r="C769" i="29" s="1"/>
  <c r="F769" i="29"/>
  <c r="L770" i="29" a="1"/>
  <c r="L770" i="29" s="1"/>
  <c r="O739" i="29" l="1" a="1"/>
  <c r="O739" i="29" s="1"/>
  <c r="R739" i="29" s="1"/>
  <c r="S739" i="29" s="1"/>
  <c r="M770" i="29"/>
  <c r="C770" i="29" a="1"/>
  <c r="C770" i="29" s="1"/>
  <c r="F770" i="29"/>
  <c r="L771" i="29" a="1"/>
  <c r="L771" i="29" s="1"/>
  <c r="B772" i="29" s="1"/>
  <c r="G771" i="29"/>
  <c r="P769" i="29"/>
  <c r="B771" i="29"/>
  <c r="N772" i="29" a="1"/>
  <c r="N772" i="29" s="1"/>
  <c r="Q772" i="29" a="1"/>
  <c r="Q772" i="29" s="1"/>
  <c r="I773" i="29"/>
  <c r="K774" i="29"/>
  <c r="O740" i="29" l="1" a="1"/>
  <c r="O740" i="29" s="1"/>
  <c r="R740" i="29" s="1"/>
  <c r="S740" i="29" s="1"/>
  <c r="N773" i="29" a="1"/>
  <c r="N773" i="29" s="1"/>
  <c r="Q773" i="29" a="1"/>
  <c r="Q773" i="29" s="1"/>
  <c r="G772" i="29"/>
  <c r="M771" i="29"/>
  <c r="C771" i="29" a="1"/>
  <c r="C771" i="29" s="1"/>
  <c r="F771" i="29"/>
  <c r="L772" i="29" a="1"/>
  <c r="L772" i="29" s="1"/>
  <c r="B773" i="29" s="1"/>
  <c r="P770" i="29"/>
  <c r="K775" i="29"/>
  <c r="I774" i="29"/>
  <c r="O741" i="29" l="1" a="1"/>
  <c r="O741" i="29" s="1"/>
  <c r="R741" i="29" s="1"/>
  <c r="S741" i="29" s="1"/>
  <c r="N774" i="29" a="1"/>
  <c r="N774" i="29" s="1"/>
  <c r="Q774" i="29" a="1"/>
  <c r="Q774" i="29" s="1"/>
  <c r="I775" i="29"/>
  <c r="K776" i="29"/>
  <c r="G773" i="29"/>
  <c r="M772" i="29"/>
  <c r="C772" i="29" a="1"/>
  <c r="C772" i="29" s="1"/>
  <c r="F772" i="29"/>
  <c r="L773" i="29" a="1"/>
  <c r="L773" i="29" s="1"/>
  <c r="P771" i="29"/>
  <c r="O742" i="29" l="1" a="1"/>
  <c r="O742" i="29" s="1"/>
  <c r="R742" i="29" s="1"/>
  <c r="S742" i="29" s="1"/>
  <c r="I776" i="29"/>
  <c r="K777" i="29"/>
  <c r="Q775" i="29" a="1"/>
  <c r="Q775" i="29" s="1"/>
  <c r="N775" i="29" a="1"/>
  <c r="N775" i="29" s="1"/>
  <c r="C773" i="29" a="1"/>
  <c r="C773" i="29" s="1"/>
  <c r="F773" i="29"/>
  <c r="M773" i="29"/>
  <c r="L774" i="29" a="1"/>
  <c r="L774" i="29" s="1"/>
  <c r="B775" i="29" s="1"/>
  <c r="G774" i="29"/>
  <c r="P772" i="29"/>
  <c r="B774" i="29"/>
  <c r="O743" i="29" l="1" a="1"/>
  <c r="O743" i="29" s="1"/>
  <c r="R743" i="29" s="1"/>
  <c r="S743" i="29" s="1"/>
  <c r="G775" i="29"/>
  <c r="C774" i="29" a="1"/>
  <c r="C774" i="29" s="1"/>
  <c r="F774" i="29"/>
  <c r="M774" i="29"/>
  <c r="L775" i="29" a="1"/>
  <c r="L775" i="29" s="1"/>
  <c r="B776" i="29" s="1"/>
  <c r="I777" i="29"/>
  <c r="K778" i="29"/>
  <c r="P773" i="29"/>
  <c r="Q776" i="29" a="1"/>
  <c r="Q776" i="29" s="1"/>
  <c r="N776" i="29" a="1"/>
  <c r="N776" i="29" s="1"/>
  <c r="O744" i="29" l="1" a="1"/>
  <c r="O744" i="29" s="1"/>
  <c r="R744" i="29" s="1"/>
  <c r="S744" i="29" s="1"/>
  <c r="G776" i="29"/>
  <c r="F775" i="29"/>
  <c r="M775" i="29"/>
  <c r="C775" i="29" a="1"/>
  <c r="C775" i="29" s="1"/>
  <c r="L776" i="29" a="1"/>
  <c r="L776" i="29" s="1"/>
  <c r="P774" i="29"/>
  <c r="K779" i="29"/>
  <c r="I778" i="29"/>
  <c r="N777" i="29" a="1"/>
  <c r="N777" i="29" s="1"/>
  <c r="Q777" i="29" a="1"/>
  <c r="Q777" i="29" s="1"/>
  <c r="O745" i="29" l="1" a="1"/>
  <c r="O745" i="29" s="1"/>
  <c r="R745" i="29" s="1"/>
  <c r="S745" i="29" s="1"/>
  <c r="G777" i="29"/>
  <c r="F776" i="29"/>
  <c r="M776" i="29"/>
  <c r="C776" i="29" a="1"/>
  <c r="C776" i="29" s="1"/>
  <c r="L777" i="29" a="1"/>
  <c r="L777" i="29" s="1"/>
  <c r="P775" i="29"/>
  <c r="B777" i="29"/>
  <c r="N778" i="29" a="1"/>
  <c r="N778" i="29" s="1"/>
  <c r="Q778" i="29" a="1"/>
  <c r="Q778" i="29" s="1"/>
  <c r="K780" i="29"/>
  <c r="I779" i="29"/>
  <c r="O746" i="29" l="1" a="1"/>
  <c r="O746" i="29" s="1"/>
  <c r="R746" i="29" s="1"/>
  <c r="S746" i="29" s="1"/>
  <c r="M777" i="29"/>
  <c r="C777" i="29" a="1"/>
  <c r="C777" i="29" s="1"/>
  <c r="F777" i="29"/>
  <c r="L778" i="29" a="1"/>
  <c r="L778" i="29" s="1"/>
  <c r="B779" i="29" s="1"/>
  <c r="I780" i="29"/>
  <c r="K781" i="29"/>
  <c r="P776" i="29"/>
  <c r="G778" i="29"/>
  <c r="B778" i="29"/>
  <c r="Q779" i="29" a="1"/>
  <c r="Q779" i="29" s="1"/>
  <c r="N779" i="29" a="1"/>
  <c r="N779" i="29" s="1"/>
  <c r="O747" i="29" l="1" a="1"/>
  <c r="O747" i="29" s="1"/>
  <c r="R747" i="29" s="1"/>
  <c r="S747" i="29" s="1"/>
  <c r="Q780" i="29" a="1"/>
  <c r="Q780" i="29" s="1"/>
  <c r="N780" i="29" a="1"/>
  <c r="N780" i="29" s="1"/>
  <c r="I781" i="29"/>
  <c r="K782" i="29"/>
  <c r="M778" i="29"/>
  <c r="C778" i="29" a="1"/>
  <c r="C778" i="29" s="1"/>
  <c r="F778" i="29"/>
  <c r="L779" i="29" a="1"/>
  <c r="L779" i="29" s="1"/>
  <c r="P777" i="29"/>
  <c r="G779" i="29"/>
  <c r="O748" i="29" l="1" a="1"/>
  <c r="O748" i="29" s="1"/>
  <c r="R748" i="29" s="1"/>
  <c r="S748" i="29" s="1"/>
  <c r="Q781" i="29" a="1"/>
  <c r="Q781" i="29" s="1"/>
  <c r="N781" i="29" a="1"/>
  <c r="N781" i="29" s="1"/>
  <c r="M779" i="29"/>
  <c r="C779" i="29" a="1"/>
  <c r="C779" i="29" s="1"/>
  <c r="F779" i="29"/>
  <c r="L780" i="29" a="1"/>
  <c r="L780" i="29" s="1"/>
  <c r="B781" i="29" s="1"/>
  <c r="B780" i="29"/>
  <c r="I782" i="29"/>
  <c r="K783" i="29"/>
  <c r="G780" i="29"/>
  <c r="P778" i="29"/>
  <c r="O749" i="29" l="1" a="1"/>
  <c r="O749" i="29" s="1"/>
  <c r="R749" i="29" s="1"/>
  <c r="S749" i="29" s="1"/>
  <c r="K784" i="29"/>
  <c r="I783" i="29"/>
  <c r="G781" i="29"/>
  <c r="N782" i="29" a="1"/>
  <c r="N782" i="29" s="1"/>
  <c r="Q782" i="29" a="1"/>
  <c r="Q782" i="29" s="1"/>
  <c r="P779" i="29"/>
  <c r="M780" i="29"/>
  <c r="C780" i="29" a="1"/>
  <c r="C780" i="29" s="1"/>
  <c r="F780" i="29"/>
  <c r="L781" i="29" a="1"/>
  <c r="L781" i="29" s="1"/>
  <c r="B782" i="29" s="1"/>
  <c r="O750" i="29" l="1" a="1"/>
  <c r="O750" i="29" s="1"/>
  <c r="R750" i="29" s="1"/>
  <c r="S750" i="29" s="1"/>
  <c r="G782" i="29"/>
  <c r="P780" i="29"/>
  <c r="F781" i="29"/>
  <c r="M781" i="29"/>
  <c r="C781" i="29" a="1"/>
  <c r="C781" i="29" s="1"/>
  <c r="L782" i="29" a="1"/>
  <c r="L782" i="29" s="1"/>
  <c r="N783" i="29" a="1"/>
  <c r="N783" i="29" s="1"/>
  <c r="Q783" i="29" a="1"/>
  <c r="Q783" i="29" s="1"/>
  <c r="K785" i="29"/>
  <c r="I784" i="29"/>
  <c r="O751" i="29" l="1" a="1"/>
  <c r="O751" i="29" s="1"/>
  <c r="R751" i="29" s="1"/>
  <c r="S751" i="29" s="1"/>
  <c r="P781" i="29"/>
  <c r="C782" i="29" a="1"/>
  <c r="C782" i="29" s="1"/>
  <c r="F782" i="29"/>
  <c r="M782" i="29"/>
  <c r="L783" i="29" a="1"/>
  <c r="L783" i="29" s="1"/>
  <c r="Q784" i="29" a="1"/>
  <c r="Q784" i="29" s="1"/>
  <c r="N784" i="29" a="1"/>
  <c r="N784" i="29" s="1"/>
  <c r="I785" i="29"/>
  <c r="K786" i="29"/>
  <c r="G783" i="29"/>
  <c r="B783" i="29"/>
  <c r="O752" i="29" l="1" a="1"/>
  <c r="O752" i="29" s="1"/>
  <c r="R752" i="29" s="1"/>
  <c r="S752" i="29" s="1"/>
  <c r="M783" i="29"/>
  <c r="C783" i="29" a="1"/>
  <c r="C783" i="29" s="1"/>
  <c r="F783" i="29"/>
  <c r="L784" i="29" a="1"/>
  <c r="L784" i="29" s="1"/>
  <c r="P782" i="29"/>
  <c r="I786" i="29"/>
  <c r="K787" i="29"/>
  <c r="Q785" i="29" a="1"/>
  <c r="Q785" i="29" s="1"/>
  <c r="N785" i="29" a="1"/>
  <c r="N785" i="29" s="1"/>
  <c r="G784" i="29"/>
  <c r="B784" i="29"/>
  <c r="O753" i="29" l="1" a="1"/>
  <c r="O753" i="29" s="1"/>
  <c r="R753" i="29" s="1"/>
  <c r="S753" i="29" s="1"/>
  <c r="G785" i="29"/>
  <c r="M784" i="29"/>
  <c r="C784" i="29" a="1"/>
  <c r="C784" i="29" s="1"/>
  <c r="F784" i="29"/>
  <c r="L785" i="29" a="1"/>
  <c r="L785" i="29" s="1"/>
  <c r="B786" i="29" s="1"/>
  <c r="B785" i="29"/>
  <c r="P783" i="29"/>
  <c r="I787" i="29"/>
  <c r="K788" i="29"/>
  <c r="Q786" i="29" a="1"/>
  <c r="Q786" i="29" s="1"/>
  <c r="N786" i="29" a="1"/>
  <c r="N786" i="29" s="1"/>
  <c r="O754" i="29" l="1" a="1"/>
  <c r="O754" i="29" s="1"/>
  <c r="R754" i="29" s="1"/>
  <c r="S754" i="29" s="1"/>
  <c r="I788" i="29"/>
  <c r="K789" i="29"/>
  <c r="N787" i="29" a="1"/>
  <c r="N787" i="29" s="1"/>
  <c r="Q787" i="29" a="1"/>
  <c r="Q787" i="29" s="1"/>
  <c r="M785" i="29"/>
  <c r="C785" i="29" a="1"/>
  <c r="C785" i="29" s="1"/>
  <c r="F785" i="29"/>
  <c r="L786" i="29" a="1"/>
  <c r="L786" i="29" s="1"/>
  <c r="P784" i="29"/>
  <c r="G786" i="29"/>
  <c r="O755" i="29" l="1" a="1"/>
  <c r="O755" i="29" s="1"/>
  <c r="R755" i="29" s="1"/>
  <c r="S755" i="29" s="1"/>
  <c r="F786" i="29"/>
  <c r="M786" i="29"/>
  <c r="C786" i="29" a="1"/>
  <c r="C786" i="29" s="1"/>
  <c r="L787" i="29" a="1"/>
  <c r="L787" i="29" s="1"/>
  <c r="B788" i="29" s="1"/>
  <c r="N788" i="29" a="1"/>
  <c r="N788" i="29" s="1"/>
  <c r="Q788" i="29" a="1"/>
  <c r="Q788" i="29" s="1"/>
  <c r="B787" i="29"/>
  <c r="G787" i="29"/>
  <c r="K790" i="29"/>
  <c r="I789" i="29"/>
  <c r="P785" i="29"/>
  <c r="O756" i="29" l="1" a="1"/>
  <c r="O756" i="29" s="1"/>
  <c r="R756" i="29" s="1"/>
  <c r="S756" i="29" s="1"/>
  <c r="C787" i="29" a="1"/>
  <c r="C787" i="29" s="1"/>
  <c r="F787" i="29"/>
  <c r="M787" i="29"/>
  <c r="L788" i="29" a="1"/>
  <c r="L788" i="29" s="1"/>
  <c r="P786" i="29"/>
  <c r="N789" i="29" a="1"/>
  <c r="N789" i="29" s="1"/>
  <c r="Q789" i="29" a="1"/>
  <c r="Q789" i="29" s="1"/>
  <c r="I790" i="29"/>
  <c r="K791" i="29"/>
  <c r="G788" i="29"/>
  <c r="O757" i="29" l="1" a="1"/>
  <c r="O757" i="29" s="1"/>
  <c r="R757" i="29" s="1"/>
  <c r="S757" i="29" s="1"/>
  <c r="I791" i="29"/>
  <c r="K792" i="29"/>
  <c r="Q790" i="29" a="1"/>
  <c r="Q790" i="29" s="1"/>
  <c r="N790" i="29" a="1"/>
  <c r="N790" i="29" s="1"/>
  <c r="G789" i="29"/>
  <c r="M788" i="29"/>
  <c r="C788" i="29" a="1"/>
  <c r="C788" i="29" s="1"/>
  <c r="F788" i="29"/>
  <c r="L789" i="29" a="1"/>
  <c r="L789" i="29" s="1"/>
  <c r="B790" i="29" s="1"/>
  <c r="P787" i="29"/>
  <c r="B789" i="29"/>
  <c r="O758" i="29" l="1" a="1"/>
  <c r="O758" i="29" s="1"/>
  <c r="R758" i="29" s="1"/>
  <c r="S758" i="29" s="1"/>
  <c r="G790" i="29"/>
  <c r="P788" i="29"/>
  <c r="M789" i="29"/>
  <c r="C789" i="29" a="1"/>
  <c r="C789" i="29" s="1"/>
  <c r="F789" i="29"/>
  <c r="L790" i="29" a="1"/>
  <c r="L790" i="29" s="1"/>
  <c r="I792" i="29"/>
  <c r="K793" i="29"/>
  <c r="Q791" i="29" a="1"/>
  <c r="Q791" i="29" s="1"/>
  <c r="N791" i="29" a="1"/>
  <c r="N791" i="29" s="1"/>
  <c r="O759" i="29" l="1" a="1"/>
  <c r="O759" i="29" s="1"/>
  <c r="R759" i="29" s="1"/>
  <c r="S759" i="29" s="1"/>
  <c r="M790" i="29"/>
  <c r="C790" i="29" a="1"/>
  <c r="C790" i="29" s="1"/>
  <c r="F790" i="29"/>
  <c r="L791" i="29" a="1"/>
  <c r="L791" i="29" s="1"/>
  <c r="G791" i="29"/>
  <c r="P789" i="29"/>
  <c r="B791" i="29"/>
  <c r="I793" i="29"/>
  <c r="K794" i="29"/>
  <c r="Q792" i="29" a="1"/>
  <c r="Q792" i="29" s="1"/>
  <c r="N792" i="29" a="1"/>
  <c r="N792" i="29" s="1"/>
  <c r="O760" i="29" l="1" a="1"/>
  <c r="O760" i="29" s="1"/>
  <c r="R760" i="29" s="1"/>
  <c r="S760" i="29" s="1"/>
  <c r="F791" i="29"/>
  <c r="M791" i="29"/>
  <c r="C791" i="29" a="1"/>
  <c r="C791" i="29" s="1"/>
  <c r="L792" i="29" a="1"/>
  <c r="L792" i="29" s="1"/>
  <c r="K795" i="29"/>
  <c r="I794" i="29"/>
  <c r="N793" i="29" a="1"/>
  <c r="N793" i="29" s="1"/>
  <c r="Q793" i="29" a="1"/>
  <c r="Q793" i="29" s="1"/>
  <c r="B792" i="29"/>
  <c r="P790" i="29"/>
  <c r="G792" i="29"/>
  <c r="O761" i="29" l="1" a="1"/>
  <c r="O761" i="29" s="1"/>
  <c r="R761" i="29" s="1"/>
  <c r="S761" i="29" s="1"/>
  <c r="F792" i="29"/>
  <c r="M792" i="29"/>
  <c r="C792" i="29" a="1"/>
  <c r="C792" i="29" s="1"/>
  <c r="L793" i="29" a="1"/>
  <c r="L793" i="29" s="1"/>
  <c r="N794" i="29" a="1"/>
  <c r="N794" i="29" s="1"/>
  <c r="Q794" i="29" a="1"/>
  <c r="Q794" i="29" s="1"/>
  <c r="I795" i="29"/>
  <c r="K796" i="29"/>
  <c r="P791" i="29"/>
  <c r="G793" i="29"/>
  <c r="B793" i="29"/>
  <c r="O762" i="29" l="1" a="1"/>
  <c r="O762" i="29" s="1"/>
  <c r="R762" i="29" s="1"/>
  <c r="S762" i="29" s="1"/>
  <c r="M793" i="29"/>
  <c r="C793" i="29" a="1"/>
  <c r="C793" i="29" s="1"/>
  <c r="F793" i="29"/>
  <c r="L794" i="29" a="1"/>
  <c r="L794" i="29" s="1"/>
  <c r="B795" i="29" s="1"/>
  <c r="P792" i="29"/>
  <c r="G794" i="29"/>
  <c r="B794" i="29"/>
  <c r="K797" i="29"/>
  <c r="I796" i="29"/>
  <c r="Q795" i="29" a="1"/>
  <c r="Q795" i="29" s="1"/>
  <c r="N795" i="29" a="1"/>
  <c r="N795" i="29" s="1"/>
  <c r="O763" i="29" l="1" a="1"/>
  <c r="O763" i="29" s="1"/>
  <c r="R763" i="29" s="1"/>
  <c r="S763" i="29" s="1"/>
  <c r="G795" i="29"/>
  <c r="M794" i="29"/>
  <c r="C794" i="29" a="1"/>
  <c r="C794" i="29" s="1"/>
  <c r="F794" i="29"/>
  <c r="L795" i="29" a="1"/>
  <c r="L795" i="29" s="1"/>
  <c r="N796" i="29" a="1"/>
  <c r="N796" i="29" s="1"/>
  <c r="Q796" i="29" a="1"/>
  <c r="Q796" i="29" s="1"/>
  <c r="I797" i="29"/>
  <c r="K798" i="29"/>
  <c r="P793" i="29"/>
  <c r="O764" i="29" l="1" a="1"/>
  <c r="O764" i="29" s="1"/>
  <c r="R764" i="29" s="1"/>
  <c r="S764" i="29" s="1"/>
  <c r="C795" i="29" a="1"/>
  <c r="C795" i="29" s="1"/>
  <c r="M795" i="29"/>
  <c r="F795" i="29"/>
  <c r="L796" i="29" a="1"/>
  <c r="L796" i="29" s="1"/>
  <c r="K799" i="29"/>
  <c r="I798" i="29"/>
  <c r="Q797" i="29" a="1"/>
  <c r="Q797" i="29" s="1"/>
  <c r="N797" i="29" a="1"/>
  <c r="N797" i="29" s="1"/>
  <c r="P794" i="29"/>
  <c r="G796" i="29"/>
  <c r="B796" i="29"/>
  <c r="O765" i="29" l="1" a="1"/>
  <c r="O765" i="29" s="1"/>
  <c r="R765" i="29" s="1"/>
  <c r="S765" i="29" s="1"/>
  <c r="C796" i="29" a="1"/>
  <c r="C796" i="29" s="1"/>
  <c r="M796" i="29"/>
  <c r="F796" i="29"/>
  <c r="L797" i="29" a="1"/>
  <c r="L797" i="29" s="1"/>
  <c r="G797" i="29"/>
  <c r="N798" i="29" a="1"/>
  <c r="N798" i="29" s="1"/>
  <c r="Q798" i="29" a="1"/>
  <c r="Q798" i="29" s="1"/>
  <c r="I799" i="29"/>
  <c r="K800" i="29"/>
  <c r="P795" i="29"/>
  <c r="B797" i="29"/>
  <c r="O766" i="29" l="1" a="1"/>
  <c r="O766" i="29" s="1"/>
  <c r="R766" i="29" s="1"/>
  <c r="S766" i="29" s="1"/>
  <c r="Q799" i="29" a="1"/>
  <c r="Q799" i="29" s="1"/>
  <c r="N799" i="29" a="1"/>
  <c r="N799" i="29" s="1"/>
  <c r="K801" i="29"/>
  <c r="I800" i="29"/>
  <c r="P796" i="29"/>
  <c r="C797" i="29" a="1"/>
  <c r="C797" i="29" s="1"/>
  <c r="M797" i="29"/>
  <c r="F797" i="29"/>
  <c r="L798" i="29" a="1"/>
  <c r="L798" i="29" s="1"/>
  <c r="G798" i="29"/>
  <c r="B798" i="29"/>
  <c r="O767" i="29" l="1" a="1"/>
  <c r="O767" i="29" s="1"/>
  <c r="R767" i="29" s="1"/>
  <c r="S767" i="29" s="1"/>
  <c r="N800" i="29" a="1"/>
  <c r="N800" i="29" s="1"/>
  <c r="Q800" i="29" a="1"/>
  <c r="Q800" i="29" s="1"/>
  <c r="I801" i="29"/>
  <c r="K802" i="29"/>
  <c r="C798" i="29" a="1"/>
  <c r="C798" i="29" s="1"/>
  <c r="M798" i="29"/>
  <c r="F798" i="29"/>
  <c r="L799" i="29" a="1"/>
  <c r="L799" i="29" s="1"/>
  <c r="G799" i="29"/>
  <c r="P797" i="29"/>
  <c r="B799" i="29"/>
  <c r="O768" i="29" l="1" a="1"/>
  <c r="O768" i="29" s="1"/>
  <c r="R768" i="29" s="1"/>
  <c r="S768" i="29" s="1"/>
  <c r="K803" i="29"/>
  <c r="I802" i="29"/>
  <c r="Q801" i="29" a="1"/>
  <c r="Q801" i="29" s="1"/>
  <c r="N801" i="29" a="1"/>
  <c r="N801" i="29" s="1"/>
  <c r="C799" i="29" a="1"/>
  <c r="C799" i="29" s="1"/>
  <c r="M799" i="29"/>
  <c r="F799" i="29"/>
  <c r="L800" i="29" a="1"/>
  <c r="L800" i="29" s="1"/>
  <c r="B801" i="29" s="1"/>
  <c r="G800" i="29"/>
  <c r="B800" i="29"/>
  <c r="P798" i="29"/>
  <c r="O769" i="29" l="1" a="1"/>
  <c r="O769" i="29" s="1"/>
  <c r="R769" i="29" s="1"/>
  <c r="S769" i="29" s="1"/>
  <c r="G801" i="29"/>
  <c r="P799" i="29"/>
  <c r="C800" i="29" a="1"/>
  <c r="C800" i="29" s="1"/>
  <c r="M800" i="29"/>
  <c r="F800" i="29"/>
  <c r="L801" i="29" a="1"/>
  <c r="L801" i="29" s="1"/>
  <c r="B802" i="29" s="1"/>
  <c r="N802" i="29" a="1"/>
  <c r="N802" i="29" s="1"/>
  <c r="Q802" i="29" a="1"/>
  <c r="Q802" i="29" s="1"/>
  <c r="I803" i="29"/>
  <c r="K804" i="29"/>
  <c r="O770" i="29" l="1" a="1"/>
  <c r="O770" i="29" s="1"/>
  <c r="R770" i="29" s="1"/>
  <c r="S770" i="29" s="1"/>
  <c r="G802" i="29"/>
  <c r="K805" i="29"/>
  <c r="I804" i="29"/>
  <c r="P800" i="29"/>
  <c r="Q803" i="29" a="1"/>
  <c r="Q803" i="29" s="1"/>
  <c r="N803" i="29" a="1"/>
  <c r="N803" i="29" s="1"/>
  <c r="C801" i="29" a="1"/>
  <c r="C801" i="29" s="1"/>
  <c r="M801" i="29"/>
  <c r="F801" i="29"/>
  <c r="L802" i="29" a="1"/>
  <c r="L802" i="29" s="1"/>
  <c r="O771" i="29" l="1" a="1"/>
  <c r="O771" i="29" s="1"/>
  <c r="R771" i="29" s="1"/>
  <c r="S771" i="29" s="1"/>
  <c r="C802" i="29" a="1"/>
  <c r="C802" i="29" s="1"/>
  <c r="M802" i="29"/>
  <c r="F802" i="29"/>
  <c r="L803" i="29" a="1"/>
  <c r="L803" i="29" s="1"/>
  <c r="P801" i="29"/>
  <c r="N804" i="29" a="1"/>
  <c r="N804" i="29" s="1"/>
  <c r="Q804" i="29" a="1"/>
  <c r="Q804" i="29" s="1"/>
  <c r="I805" i="29"/>
  <c r="K806" i="29"/>
  <c r="G803" i="29"/>
  <c r="B803" i="29"/>
  <c r="O772" i="29" l="1" a="1"/>
  <c r="O772" i="29" s="1"/>
  <c r="R772" i="29" s="1"/>
  <c r="S772" i="29" s="1"/>
  <c r="K807" i="29"/>
  <c r="I806" i="29"/>
  <c r="Q805" i="29" a="1"/>
  <c r="Q805" i="29" s="1"/>
  <c r="N805" i="29" a="1"/>
  <c r="N805" i="29" s="1"/>
  <c r="C803" i="29" a="1"/>
  <c r="C803" i="29" s="1"/>
  <c r="M803" i="29"/>
  <c r="F803" i="29"/>
  <c r="L804" i="29" a="1"/>
  <c r="L804" i="29" s="1"/>
  <c r="B805" i="29" s="1"/>
  <c r="P802" i="29"/>
  <c r="G804" i="29"/>
  <c r="B804" i="29"/>
  <c r="O773" i="29" l="1" a="1"/>
  <c r="O773" i="29" s="1"/>
  <c r="R773" i="29" s="1"/>
  <c r="S773" i="29" s="1"/>
  <c r="G805" i="29"/>
  <c r="P803" i="29"/>
  <c r="C804" i="29" a="1"/>
  <c r="C804" i="29" s="1"/>
  <c r="M804" i="29"/>
  <c r="F804" i="29"/>
  <c r="L805" i="29" a="1"/>
  <c r="L805" i="29" s="1"/>
  <c r="B806" i="29" s="1"/>
  <c r="N806" i="29" a="1"/>
  <c r="N806" i="29" s="1"/>
  <c r="Q806" i="29" a="1"/>
  <c r="Q806" i="29" s="1"/>
  <c r="I807" i="29"/>
  <c r="K808" i="29"/>
  <c r="O774" i="29" l="1" a="1"/>
  <c r="O774" i="29" s="1"/>
  <c r="R774" i="29" s="1"/>
  <c r="S774" i="29" s="1"/>
  <c r="G806" i="29"/>
  <c r="K809" i="29"/>
  <c r="I808" i="29"/>
  <c r="P804" i="29"/>
  <c r="Q807" i="29" a="1"/>
  <c r="Q807" i="29" s="1"/>
  <c r="N807" i="29" a="1"/>
  <c r="N807" i="29" s="1"/>
  <c r="C805" i="29" a="1"/>
  <c r="C805" i="29" s="1"/>
  <c r="M805" i="29"/>
  <c r="F805" i="29"/>
  <c r="L806" i="29" a="1"/>
  <c r="L806" i="29" s="1"/>
  <c r="B807" i="29" s="1"/>
  <c r="O775" i="29" l="1" a="1"/>
  <c r="O775" i="29" s="1"/>
  <c r="R775" i="29" s="1"/>
  <c r="S775" i="29" s="1"/>
  <c r="I809" i="29"/>
  <c r="K810" i="29"/>
  <c r="C806" i="29" a="1"/>
  <c r="C806" i="29" s="1"/>
  <c r="M806" i="29"/>
  <c r="F806" i="29"/>
  <c r="L807" i="29" a="1"/>
  <c r="L807" i="29" s="1"/>
  <c r="P805" i="29"/>
  <c r="N808" i="29" a="1"/>
  <c r="N808" i="29" s="1"/>
  <c r="Q808" i="29" a="1"/>
  <c r="Q808" i="29" s="1"/>
  <c r="G807" i="29"/>
  <c r="O776" i="29" l="1" a="1"/>
  <c r="O776" i="29" s="1"/>
  <c r="R776" i="29" s="1"/>
  <c r="S776" i="29" s="1"/>
  <c r="C807" i="29" a="1"/>
  <c r="C807" i="29" s="1"/>
  <c r="M807" i="29"/>
  <c r="F807" i="29"/>
  <c r="L808" i="29" a="1"/>
  <c r="L808" i="29" s="1"/>
  <c r="P806" i="29"/>
  <c r="G808" i="29"/>
  <c r="K811" i="29"/>
  <c r="I810" i="29"/>
  <c r="B808" i="29"/>
  <c r="Q809" i="29" a="1"/>
  <c r="Q809" i="29" s="1"/>
  <c r="N809" i="29" a="1"/>
  <c r="N809" i="29" s="1"/>
  <c r="O777" i="29" l="1" a="1"/>
  <c r="O777" i="29" s="1"/>
  <c r="R777" i="29" s="1"/>
  <c r="S777" i="29" s="1"/>
  <c r="C808" i="29" a="1"/>
  <c r="C808" i="29" s="1"/>
  <c r="M808" i="29"/>
  <c r="F808" i="29"/>
  <c r="L809" i="29" a="1"/>
  <c r="L809" i="29" s="1"/>
  <c r="B810" i="29" s="1"/>
  <c r="P807" i="29"/>
  <c r="I811" i="29"/>
  <c r="K812" i="29"/>
  <c r="G809" i="29"/>
  <c r="B809" i="29"/>
  <c r="N810" i="29" a="1"/>
  <c r="N810" i="29" s="1"/>
  <c r="Q810" i="29" a="1"/>
  <c r="Q810" i="29" s="1"/>
  <c r="O778" i="29" l="1" a="1"/>
  <c r="O778" i="29" s="1"/>
  <c r="R778" i="29" s="1"/>
  <c r="S778" i="29" s="1"/>
  <c r="G810" i="29"/>
  <c r="P808" i="29"/>
  <c r="C809" i="29" a="1"/>
  <c r="C809" i="29" s="1"/>
  <c r="M809" i="29"/>
  <c r="F809" i="29"/>
  <c r="L810" i="29" a="1"/>
  <c r="L810" i="29" s="1"/>
  <c r="B811" i="29" s="1"/>
  <c r="K813" i="29"/>
  <c r="I812" i="29"/>
  <c r="Q811" i="29" a="1"/>
  <c r="Q811" i="29" s="1"/>
  <c r="N811" i="29" a="1"/>
  <c r="N811" i="29" s="1"/>
  <c r="O779" i="29" l="1" a="1"/>
  <c r="O779" i="29" s="1"/>
  <c r="R779" i="29" s="1"/>
  <c r="S779" i="29" s="1"/>
  <c r="P809" i="29"/>
  <c r="N812" i="29" a="1"/>
  <c r="N812" i="29" s="1"/>
  <c r="Q812" i="29" a="1"/>
  <c r="Q812" i="29" s="1"/>
  <c r="I813" i="29"/>
  <c r="K814" i="29"/>
  <c r="G811" i="29"/>
  <c r="C810" i="29" a="1"/>
  <c r="C810" i="29" s="1"/>
  <c r="M810" i="29"/>
  <c r="F810" i="29"/>
  <c r="L811" i="29" a="1"/>
  <c r="L811" i="29" s="1"/>
  <c r="O780" i="29" l="1" a="1"/>
  <c r="O780" i="29" s="1"/>
  <c r="R780" i="29" s="1"/>
  <c r="S780" i="29" s="1"/>
  <c r="C811" i="29" a="1"/>
  <c r="C811" i="29" s="1"/>
  <c r="M811" i="29"/>
  <c r="F811" i="29"/>
  <c r="L812" i="29" a="1"/>
  <c r="L812" i="29" s="1"/>
  <c r="B813" i="29" s="1"/>
  <c r="P810" i="29"/>
  <c r="G812" i="29"/>
  <c r="B812" i="29"/>
  <c r="K815" i="29"/>
  <c r="I814" i="29"/>
  <c r="Q813" i="29" a="1"/>
  <c r="Q813" i="29" s="1"/>
  <c r="N813" i="29" a="1"/>
  <c r="N813" i="29" s="1"/>
  <c r="O781" i="29" l="1" a="1"/>
  <c r="O781" i="29" s="1"/>
  <c r="R781" i="29" s="1"/>
  <c r="S781" i="29" s="1"/>
  <c r="G813" i="29"/>
  <c r="N814" i="29" a="1"/>
  <c r="N814" i="29" s="1"/>
  <c r="Q814" i="29" a="1"/>
  <c r="Q814" i="29" s="1"/>
  <c r="I815" i="29"/>
  <c r="K816" i="29"/>
  <c r="C812" i="29" a="1"/>
  <c r="C812" i="29" s="1"/>
  <c r="M812" i="29"/>
  <c r="F812" i="29"/>
  <c r="L813" i="29" a="1"/>
  <c r="L813" i="29" s="1"/>
  <c r="P811" i="29"/>
  <c r="O782" i="29" l="1" a="1"/>
  <c r="O782" i="29" s="1"/>
  <c r="R782" i="29" s="1"/>
  <c r="S782" i="29" s="1"/>
  <c r="G814" i="29"/>
  <c r="P812" i="29"/>
  <c r="C813" i="29" a="1"/>
  <c r="C813" i="29" s="1"/>
  <c r="M813" i="29"/>
  <c r="F813" i="29"/>
  <c r="L814" i="29" a="1"/>
  <c r="L814" i="29" s="1"/>
  <c r="B815" i="29" s="1"/>
  <c r="B814" i="29"/>
  <c r="K817" i="29"/>
  <c r="I816" i="29"/>
  <c r="Q815" i="29" a="1"/>
  <c r="Q815" i="29" s="1"/>
  <c r="N815" i="29" a="1"/>
  <c r="N815" i="29" s="1"/>
  <c r="O783" i="29" l="1" a="1"/>
  <c r="O783" i="29" s="1"/>
  <c r="R783" i="29" s="1"/>
  <c r="S783" i="29" s="1"/>
  <c r="N816" i="29" a="1"/>
  <c r="N816" i="29" s="1"/>
  <c r="Q816" i="29" a="1"/>
  <c r="Q816" i="29" s="1"/>
  <c r="I817" i="29"/>
  <c r="K818" i="29"/>
  <c r="G815" i="29"/>
  <c r="P813" i="29"/>
  <c r="C814" i="29" a="1"/>
  <c r="C814" i="29" s="1"/>
  <c r="M814" i="29"/>
  <c r="F814" i="29"/>
  <c r="L815" i="29" a="1"/>
  <c r="L815" i="29" s="1"/>
  <c r="O784" i="29" l="1" a="1"/>
  <c r="O784" i="29" s="1"/>
  <c r="R784" i="29" s="1"/>
  <c r="S784" i="29" s="1"/>
  <c r="Q817" i="29" a="1"/>
  <c r="Q817" i="29" s="1"/>
  <c r="N817" i="29" a="1"/>
  <c r="N817" i="29" s="1"/>
  <c r="C815" i="29" a="1"/>
  <c r="C815" i="29" s="1"/>
  <c r="M815" i="29"/>
  <c r="F815" i="29"/>
  <c r="L816" i="29" a="1"/>
  <c r="L816" i="29" s="1"/>
  <c r="B817" i="29" s="1"/>
  <c r="K819" i="29"/>
  <c r="I818" i="29"/>
  <c r="P814" i="29"/>
  <c r="G816" i="29"/>
  <c r="B816" i="29"/>
  <c r="O785" i="29" l="1" a="1"/>
  <c r="O785" i="29" s="1"/>
  <c r="R785" i="29" s="1"/>
  <c r="S785" i="29" s="1"/>
  <c r="P815" i="29"/>
  <c r="N818" i="29" a="1"/>
  <c r="N818" i="29" s="1"/>
  <c r="Q818" i="29" a="1"/>
  <c r="Q818" i="29" s="1"/>
  <c r="I819" i="29"/>
  <c r="K820" i="29"/>
  <c r="G817" i="29"/>
  <c r="C816" i="29" a="1"/>
  <c r="C816" i="29" s="1"/>
  <c r="M816" i="29"/>
  <c r="F816" i="29"/>
  <c r="L817" i="29" a="1"/>
  <c r="L817" i="29" s="1"/>
  <c r="O786" i="29" l="1" a="1"/>
  <c r="O786" i="29" s="1"/>
  <c r="R786" i="29" s="1"/>
  <c r="S786" i="29" s="1"/>
  <c r="G818" i="29"/>
  <c r="C817" i="29" a="1"/>
  <c r="C817" i="29" s="1"/>
  <c r="M817" i="29"/>
  <c r="F817" i="29"/>
  <c r="L818" i="29" a="1"/>
  <c r="L818" i="29" s="1"/>
  <c r="P816" i="29"/>
  <c r="B818" i="29"/>
  <c r="K821" i="29"/>
  <c r="I820" i="29"/>
  <c r="Q819" i="29" a="1"/>
  <c r="Q819" i="29" s="1"/>
  <c r="N819" i="29" a="1"/>
  <c r="N819" i="29" s="1"/>
  <c r="O787" i="29" l="1" a="1"/>
  <c r="O787" i="29" s="1"/>
  <c r="R787" i="29" s="1"/>
  <c r="S787" i="29" s="1"/>
  <c r="G819" i="29"/>
  <c r="C818" i="29" a="1"/>
  <c r="C818" i="29" s="1"/>
  <c r="M818" i="29"/>
  <c r="F818" i="29"/>
  <c r="L819" i="29" a="1"/>
  <c r="L819" i="29" s="1"/>
  <c r="P817" i="29"/>
  <c r="N820" i="29" a="1"/>
  <c r="N820" i="29" s="1"/>
  <c r="Q820" i="29" a="1"/>
  <c r="Q820" i="29" s="1"/>
  <c r="B819" i="29"/>
  <c r="I821" i="29"/>
  <c r="K822" i="29"/>
  <c r="O788" i="29" l="1" a="1"/>
  <c r="O788" i="29" s="1"/>
  <c r="R788" i="29" s="1"/>
  <c r="S788" i="29" s="1"/>
  <c r="Q821" i="29" a="1"/>
  <c r="Q821" i="29" s="1"/>
  <c r="N821" i="29" a="1"/>
  <c r="N821" i="29" s="1"/>
  <c r="C819" i="29" a="1"/>
  <c r="C819" i="29" s="1"/>
  <c r="M819" i="29"/>
  <c r="F819" i="29"/>
  <c r="L820" i="29" a="1"/>
  <c r="L820" i="29" s="1"/>
  <c r="B821" i="29" s="1"/>
  <c r="P818" i="29"/>
  <c r="G820" i="29"/>
  <c r="B820" i="29"/>
  <c r="K823" i="29"/>
  <c r="I822" i="29"/>
  <c r="O789" i="29" l="1" a="1"/>
  <c r="O789" i="29" s="1"/>
  <c r="R789" i="29" s="1"/>
  <c r="S789" i="29" s="1"/>
  <c r="I823" i="29"/>
  <c r="K824" i="29"/>
  <c r="P819" i="29"/>
  <c r="G821" i="29"/>
  <c r="C820" i="29" a="1"/>
  <c r="C820" i="29" s="1"/>
  <c r="M820" i="29"/>
  <c r="F820" i="29"/>
  <c r="L821" i="29" a="1"/>
  <c r="L821" i="29" s="1"/>
  <c r="B822" i="29" s="1"/>
  <c r="N822" i="29" a="1"/>
  <c r="N822" i="29" s="1"/>
  <c r="Q822" i="29" a="1"/>
  <c r="Q822" i="29" s="1"/>
  <c r="O790" i="29" l="1" a="1"/>
  <c r="O790" i="29" s="1"/>
  <c r="R790" i="29" s="1"/>
  <c r="S790" i="29" s="1"/>
  <c r="G822" i="29"/>
  <c r="P820" i="29"/>
  <c r="C821" i="29" a="1"/>
  <c r="C821" i="29" s="1"/>
  <c r="M821" i="29"/>
  <c r="F821" i="29"/>
  <c r="L822" i="29" a="1"/>
  <c r="L822" i="29" s="1"/>
  <c r="B823" i="29" s="1"/>
  <c r="K825" i="29"/>
  <c r="I824" i="29"/>
  <c r="Q823" i="29" a="1"/>
  <c r="Q823" i="29" s="1"/>
  <c r="N823" i="29" a="1"/>
  <c r="N823" i="29" s="1"/>
  <c r="O791" i="29" l="1" a="1"/>
  <c r="O791" i="29" s="1"/>
  <c r="R791" i="29" s="1"/>
  <c r="S791" i="29" s="1"/>
  <c r="G823" i="29"/>
  <c r="P821" i="29"/>
  <c r="N824" i="29" a="1"/>
  <c r="N824" i="29" s="1"/>
  <c r="Q824" i="29" a="1"/>
  <c r="Q824" i="29" s="1"/>
  <c r="I825" i="29"/>
  <c r="K826" i="29"/>
  <c r="C822" i="29" a="1"/>
  <c r="C822" i="29" s="1"/>
  <c r="M822" i="29"/>
  <c r="F822" i="29"/>
  <c r="L823" i="29" a="1"/>
  <c r="L823" i="29" s="1"/>
  <c r="O792" i="29" l="1" a="1"/>
  <c r="O792" i="29" s="1"/>
  <c r="R792" i="29" s="1"/>
  <c r="S792" i="29" s="1"/>
  <c r="C823" i="29" a="1"/>
  <c r="C823" i="29" s="1"/>
  <c r="M823" i="29"/>
  <c r="F823" i="29"/>
  <c r="L824" i="29" a="1"/>
  <c r="L824" i="29" s="1"/>
  <c r="B825" i="29" s="1"/>
  <c r="P822" i="29"/>
  <c r="G824" i="29"/>
  <c r="B824" i="29"/>
  <c r="K827" i="29"/>
  <c r="I826" i="29"/>
  <c r="Q825" i="29" a="1"/>
  <c r="Q825" i="29" s="1"/>
  <c r="N825" i="29" a="1"/>
  <c r="N825" i="29" s="1"/>
  <c r="O793" i="29" l="1" a="1"/>
  <c r="O793" i="29" s="1"/>
  <c r="R793" i="29" s="1"/>
  <c r="S793" i="29" s="1"/>
  <c r="G825" i="29"/>
  <c r="N826" i="29" a="1"/>
  <c r="N826" i="29" s="1"/>
  <c r="Q826" i="29" a="1"/>
  <c r="Q826" i="29" s="1"/>
  <c r="I827" i="29"/>
  <c r="K828" i="29"/>
  <c r="C824" i="29" a="1"/>
  <c r="C824" i="29" s="1"/>
  <c r="M824" i="29"/>
  <c r="F824" i="29"/>
  <c r="L825" i="29" a="1"/>
  <c r="L825" i="29" s="1"/>
  <c r="P823" i="29"/>
  <c r="O794" i="29" l="1" a="1"/>
  <c r="O794" i="29" s="1"/>
  <c r="R794" i="29" s="1"/>
  <c r="S794" i="29" s="1"/>
  <c r="C825" i="29" a="1"/>
  <c r="C825" i="29" s="1"/>
  <c r="M825" i="29"/>
  <c r="F825" i="29"/>
  <c r="L826" i="29" a="1"/>
  <c r="L826" i="29" s="1"/>
  <c r="B826" i="29"/>
  <c r="G826" i="29"/>
  <c r="P824" i="29"/>
  <c r="K829" i="29"/>
  <c r="I828" i="29"/>
  <c r="Q827" i="29" a="1"/>
  <c r="Q827" i="29" s="1"/>
  <c r="N827" i="29" a="1"/>
  <c r="N827" i="29" s="1"/>
  <c r="O795" i="29" l="1" a="1"/>
  <c r="O795" i="29" s="1"/>
  <c r="R795" i="29" s="1"/>
  <c r="S795" i="29" s="1"/>
  <c r="C826" i="29" a="1"/>
  <c r="C826" i="29" s="1"/>
  <c r="M826" i="29"/>
  <c r="F826" i="29"/>
  <c r="L827" i="29" a="1"/>
  <c r="L827" i="29" s="1"/>
  <c r="P825" i="29"/>
  <c r="G827" i="29"/>
  <c r="B827" i="29"/>
  <c r="N828" i="29" a="1"/>
  <c r="N828" i="29" s="1"/>
  <c r="Q828" i="29" a="1"/>
  <c r="Q828" i="29" s="1"/>
  <c r="I829" i="29"/>
  <c r="K830" i="29"/>
  <c r="O796" i="29" l="1" a="1"/>
  <c r="O796" i="29" s="1"/>
  <c r="R796" i="29" s="1"/>
  <c r="S796" i="29" s="1"/>
  <c r="Q829" i="29" a="1"/>
  <c r="Q829" i="29" s="1"/>
  <c r="N829" i="29" a="1"/>
  <c r="N829" i="29" s="1"/>
  <c r="C827" i="29" a="1"/>
  <c r="C827" i="29" s="1"/>
  <c r="M827" i="29"/>
  <c r="F827" i="29"/>
  <c r="L828" i="29" a="1"/>
  <c r="L828" i="29" s="1"/>
  <c r="B829" i="29" s="1"/>
  <c r="G828" i="29"/>
  <c r="B828" i="29"/>
  <c r="P826" i="29"/>
  <c r="K831" i="29"/>
  <c r="I830" i="29"/>
  <c r="O797" i="29" l="1" a="1"/>
  <c r="O797" i="29" s="1"/>
  <c r="R797" i="29" s="1"/>
  <c r="S797" i="29" s="1"/>
  <c r="I831" i="29"/>
  <c r="K832" i="29"/>
  <c r="P827" i="29"/>
  <c r="G829" i="29"/>
  <c r="C828" i="29" a="1"/>
  <c r="C828" i="29" s="1"/>
  <c r="M828" i="29"/>
  <c r="F828" i="29"/>
  <c r="L829" i="29" a="1"/>
  <c r="L829" i="29" s="1"/>
  <c r="B830" i="29" s="1"/>
  <c r="N830" i="29" a="1"/>
  <c r="N830" i="29" s="1"/>
  <c r="Q830" i="29" a="1"/>
  <c r="Q830" i="29" s="1"/>
  <c r="O798" i="29" l="1" a="1"/>
  <c r="O798" i="29" s="1"/>
  <c r="R798" i="29" s="1"/>
  <c r="S798" i="29" s="1"/>
  <c r="G830" i="29"/>
  <c r="P828" i="29"/>
  <c r="C829" i="29" a="1"/>
  <c r="C829" i="29" s="1"/>
  <c r="M829" i="29"/>
  <c r="F829" i="29"/>
  <c r="L830" i="29" a="1"/>
  <c r="L830" i="29" s="1"/>
  <c r="B831" i="29" s="1"/>
  <c r="K833" i="29"/>
  <c r="I832" i="29"/>
  <c r="Q831" i="29" a="1"/>
  <c r="Q831" i="29" s="1"/>
  <c r="N831" i="29" a="1"/>
  <c r="N831" i="29" s="1"/>
  <c r="O799" i="29" l="1" a="1"/>
  <c r="O799" i="29" s="1"/>
  <c r="R799" i="29" s="1"/>
  <c r="S799" i="29" s="1"/>
  <c r="P829" i="29"/>
  <c r="N832" i="29" a="1"/>
  <c r="N832" i="29" s="1"/>
  <c r="Q832" i="29" a="1"/>
  <c r="Q832" i="29" s="1"/>
  <c r="I833" i="29"/>
  <c r="K834" i="29"/>
  <c r="G831" i="29"/>
  <c r="C830" i="29" a="1"/>
  <c r="C830" i="29" s="1"/>
  <c r="M830" i="29"/>
  <c r="F830" i="29"/>
  <c r="L831" i="29" a="1"/>
  <c r="L831" i="29" s="1"/>
  <c r="O800" i="29" l="1" a="1"/>
  <c r="O800" i="29" s="1"/>
  <c r="R800" i="29" s="1"/>
  <c r="S800" i="29" s="1"/>
  <c r="C831" i="29" a="1"/>
  <c r="C831" i="29" s="1"/>
  <c r="M831" i="29"/>
  <c r="F831" i="29"/>
  <c r="L832" i="29" a="1"/>
  <c r="L832" i="29" s="1"/>
  <c r="B833" i="29" s="1"/>
  <c r="G832" i="29"/>
  <c r="P830" i="29"/>
  <c r="B832" i="29"/>
  <c r="K835" i="29"/>
  <c r="I834" i="29"/>
  <c r="Q833" i="29" a="1"/>
  <c r="Q833" i="29" s="1"/>
  <c r="N833" i="29" a="1"/>
  <c r="N833" i="29" s="1"/>
  <c r="O801" i="29" l="1" a="1"/>
  <c r="O801" i="29" s="1"/>
  <c r="R801" i="29" s="1"/>
  <c r="S801" i="29" s="1"/>
  <c r="G833" i="29"/>
  <c r="N834" i="29" a="1"/>
  <c r="N834" i="29" s="1"/>
  <c r="Q834" i="29" a="1"/>
  <c r="Q834" i="29" s="1"/>
  <c r="I835" i="29"/>
  <c r="K836" i="29"/>
  <c r="C832" i="29" a="1"/>
  <c r="C832" i="29" s="1"/>
  <c r="M832" i="29"/>
  <c r="F832" i="29"/>
  <c r="L833" i="29" a="1"/>
  <c r="L833" i="29" s="1"/>
  <c r="P831" i="29"/>
  <c r="O802" i="29" l="1" a="1"/>
  <c r="O802" i="29" s="1"/>
  <c r="R802" i="29" s="1"/>
  <c r="S802" i="29" s="1"/>
  <c r="P832" i="29"/>
  <c r="C833" i="29" a="1"/>
  <c r="C833" i="29" s="1"/>
  <c r="M833" i="29"/>
  <c r="F833" i="29"/>
  <c r="L834" i="29" a="1"/>
  <c r="L834" i="29" s="1"/>
  <c r="G834" i="29"/>
  <c r="B834" i="29"/>
  <c r="K837" i="29"/>
  <c r="I836" i="29"/>
  <c r="Q835" i="29" a="1"/>
  <c r="Q835" i="29" s="1"/>
  <c r="N835" i="29" a="1"/>
  <c r="N835" i="29" s="1"/>
  <c r="O803" i="29" l="1" a="1"/>
  <c r="O803" i="29" s="1"/>
  <c r="R803" i="29" s="1"/>
  <c r="S803" i="29" s="1"/>
  <c r="C834" i="29" a="1"/>
  <c r="C834" i="29" s="1"/>
  <c r="M834" i="29"/>
  <c r="F834" i="29"/>
  <c r="L835" i="29" a="1"/>
  <c r="L835" i="29" s="1"/>
  <c r="B835" i="29"/>
  <c r="P833" i="29"/>
  <c r="N836" i="29" a="1"/>
  <c r="N836" i="29" s="1"/>
  <c r="Q836" i="29" a="1"/>
  <c r="Q836" i="29" s="1"/>
  <c r="I837" i="29"/>
  <c r="K838" i="29"/>
  <c r="G835" i="29"/>
  <c r="O804" i="29" l="1" a="1"/>
  <c r="O804" i="29" s="1"/>
  <c r="R804" i="29" s="1"/>
  <c r="S804" i="29" s="1"/>
  <c r="C835" i="29" a="1"/>
  <c r="C835" i="29" s="1"/>
  <c r="F835" i="29"/>
  <c r="M835" i="29"/>
  <c r="L836" i="29" a="1"/>
  <c r="L836" i="29" s="1"/>
  <c r="P834" i="29"/>
  <c r="K839" i="29"/>
  <c r="I838" i="29"/>
  <c r="Q837" i="29" a="1"/>
  <c r="Q837" i="29" s="1"/>
  <c r="N837" i="29" a="1"/>
  <c r="N837" i="29" s="1"/>
  <c r="G836" i="29"/>
  <c r="B836" i="29"/>
  <c r="O805" i="29" l="1" a="1"/>
  <c r="O805" i="29" s="1"/>
  <c r="R805" i="29" s="1"/>
  <c r="S805" i="29" s="1"/>
  <c r="C836" i="29" a="1"/>
  <c r="C836" i="29" s="1"/>
  <c r="M836" i="29"/>
  <c r="F836" i="29"/>
  <c r="L837" i="29" a="1"/>
  <c r="L837" i="29" s="1"/>
  <c r="G837" i="29"/>
  <c r="P835" i="29"/>
  <c r="B837" i="29"/>
  <c r="N838" i="29" a="1"/>
  <c r="N838" i="29" s="1"/>
  <c r="Q838" i="29" a="1"/>
  <c r="Q838" i="29" s="1"/>
  <c r="I839" i="29"/>
  <c r="K840" i="29"/>
  <c r="O806" i="29" l="1" a="1"/>
  <c r="O806" i="29" s="1"/>
  <c r="R806" i="29" s="1"/>
  <c r="S806" i="29" s="1"/>
  <c r="C837" i="29" a="1"/>
  <c r="C837" i="29" s="1"/>
  <c r="F837" i="29"/>
  <c r="M837" i="29"/>
  <c r="L838" i="29" a="1"/>
  <c r="L838" i="29" s="1"/>
  <c r="B839" i="29" s="1"/>
  <c r="Q839" i="29" a="1"/>
  <c r="Q839" i="29" s="1"/>
  <c r="N839" i="29" a="1"/>
  <c r="N839" i="29" s="1"/>
  <c r="G838" i="29"/>
  <c r="B838" i="29"/>
  <c r="P836" i="29"/>
  <c r="K841" i="29"/>
  <c r="I840" i="29"/>
  <c r="O807" i="29" l="1" a="1"/>
  <c r="O807" i="29" s="1"/>
  <c r="R807" i="29" s="1"/>
  <c r="S807" i="29" s="1"/>
  <c r="I841" i="29"/>
  <c r="K842" i="29"/>
  <c r="P837" i="29"/>
  <c r="C838" i="29" a="1"/>
  <c r="C838" i="29" s="1"/>
  <c r="M838" i="29"/>
  <c r="F838" i="29"/>
  <c r="L839" i="29" a="1"/>
  <c r="L839" i="29" s="1"/>
  <c r="B840" i="29" s="1"/>
  <c r="G839" i="29"/>
  <c r="N840" i="29" a="1"/>
  <c r="N840" i="29" s="1"/>
  <c r="Q840" i="29" a="1"/>
  <c r="Q840" i="29" s="1"/>
  <c r="O808" i="29" l="1" a="1"/>
  <c r="O808" i="29" s="1"/>
  <c r="R808" i="29" s="1"/>
  <c r="S808" i="29" s="1"/>
  <c r="P838" i="29"/>
  <c r="G840" i="29"/>
  <c r="K843" i="29"/>
  <c r="I842" i="29"/>
  <c r="Q841" i="29" a="1"/>
  <c r="Q841" i="29" s="1"/>
  <c r="N841" i="29" a="1"/>
  <c r="N841" i="29" s="1"/>
  <c r="C839" i="29" a="1"/>
  <c r="C839" i="29" s="1"/>
  <c r="F839" i="29"/>
  <c r="M839" i="29"/>
  <c r="L840" i="29" a="1"/>
  <c r="L840" i="29" s="1"/>
  <c r="O809" i="29" l="1" a="1"/>
  <c r="O809" i="29" s="1"/>
  <c r="R809" i="29" s="1"/>
  <c r="S809" i="29" s="1"/>
  <c r="P839" i="29"/>
  <c r="I843" i="29"/>
  <c r="K844" i="29"/>
  <c r="C840" i="29" a="1"/>
  <c r="C840" i="29" s="1"/>
  <c r="M840" i="29"/>
  <c r="F840" i="29"/>
  <c r="L841" i="29" a="1"/>
  <c r="L841" i="29" s="1"/>
  <c r="B842" i="29" s="1"/>
  <c r="N842" i="29" a="1"/>
  <c r="N842" i="29" s="1"/>
  <c r="Q842" i="29" a="1"/>
  <c r="Q842" i="29" s="1"/>
  <c r="G841" i="29"/>
  <c r="B841" i="29"/>
  <c r="O810" i="29" l="1" a="1"/>
  <c r="O810" i="29" s="1"/>
  <c r="R810" i="29" s="1"/>
  <c r="S810" i="29" s="1"/>
  <c r="P840" i="29"/>
  <c r="G842" i="29"/>
  <c r="K845" i="29"/>
  <c r="I844" i="29"/>
  <c r="Q843" i="29" a="1"/>
  <c r="Q843" i="29" s="1"/>
  <c r="N843" i="29" a="1"/>
  <c r="N843" i="29" s="1"/>
  <c r="F841" i="29"/>
  <c r="M841" i="29"/>
  <c r="C841" i="29" a="1"/>
  <c r="C841" i="29" s="1"/>
  <c r="L842" i="29" a="1"/>
  <c r="L842" i="29" s="1"/>
  <c r="O811" i="29" l="1" a="1"/>
  <c r="O811" i="29" s="1"/>
  <c r="R811" i="29" s="1"/>
  <c r="S811" i="29" s="1"/>
  <c r="C842" i="29" a="1"/>
  <c r="C842" i="29" s="1"/>
  <c r="M842" i="29"/>
  <c r="F842" i="29"/>
  <c r="L843" i="29" a="1"/>
  <c r="L843" i="29" s="1"/>
  <c r="N844" i="29" a="1"/>
  <c r="N844" i="29" s="1"/>
  <c r="Q844" i="29" a="1"/>
  <c r="Q844" i="29" s="1"/>
  <c r="G843" i="29"/>
  <c r="I845" i="29"/>
  <c r="K846" i="29"/>
  <c r="P841" i="29"/>
  <c r="B843" i="29"/>
  <c r="O812" i="29" l="1" a="1"/>
  <c r="O812" i="29" s="1"/>
  <c r="R812" i="29" s="1"/>
  <c r="S812" i="29" s="1"/>
  <c r="G844" i="29"/>
  <c r="F843" i="29"/>
  <c r="M843" i="29"/>
  <c r="C843" i="29" a="1"/>
  <c r="C843" i="29" s="1"/>
  <c r="L844" i="29" a="1"/>
  <c r="L844" i="29" s="1"/>
  <c r="P842" i="29"/>
  <c r="B844" i="29"/>
  <c r="K847" i="29"/>
  <c r="I846" i="29"/>
  <c r="Q845" i="29" a="1"/>
  <c r="Q845" i="29" s="1"/>
  <c r="N845" i="29" a="1"/>
  <c r="N845" i="29" s="1"/>
  <c r="O813" i="29" l="1" a="1"/>
  <c r="O813" i="29" s="1"/>
  <c r="R813" i="29" s="1"/>
  <c r="S813" i="29" s="1"/>
  <c r="C844" i="29" a="1"/>
  <c r="C844" i="29" s="1"/>
  <c r="M844" i="29"/>
  <c r="F844" i="29"/>
  <c r="L845" i="29" a="1"/>
  <c r="L845" i="29" s="1"/>
  <c r="B845" i="29"/>
  <c r="P843" i="29"/>
  <c r="N846" i="29" a="1"/>
  <c r="N846" i="29" s="1"/>
  <c r="Q846" i="29" a="1"/>
  <c r="Q846" i="29" s="1"/>
  <c r="I847" i="29"/>
  <c r="K848" i="29"/>
  <c r="G845" i="29"/>
  <c r="O814" i="29" l="1" a="1"/>
  <c r="O814" i="29" s="1"/>
  <c r="R814" i="29" s="1"/>
  <c r="S814" i="29" s="1"/>
  <c r="M845" i="29"/>
  <c r="C845" i="29" a="1"/>
  <c r="C845" i="29" s="1"/>
  <c r="F845" i="29"/>
  <c r="L846" i="29" a="1"/>
  <c r="L846" i="29" s="1"/>
  <c r="B847" i="29" s="1"/>
  <c r="G846" i="29"/>
  <c r="K849" i="29"/>
  <c r="I848" i="29"/>
  <c r="Q847" i="29" a="1"/>
  <c r="Q847" i="29" s="1"/>
  <c r="N847" i="29" a="1"/>
  <c r="N847" i="29" s="1"/>
  <c r="P844" i="29"/>
  <c r="B846" i="29"/>
  <c r="O815" i="29" l="1" a="1"/>
  <c r="O815" i="29" s="1"/>
  <c r="R815" i="29" s="1"/>
  <c r="S815" i="29" s="1"/>
  <c r="G847" i="29"/>
  <c r="C846" i="29" a="1"/>
  <c r="C846" i="29" s="1"/>
  <c r="M846" i="29"/>
  <c r="F846" i="29"/>
  <c r="L847" i="29" a="1"/>
  <c r="L847" i="29" s="1"/>
  <c r="P845" i="29"/>
  <c r="N848" i="29" a="1"/>
  <c r="N848" i="29" s="1"/>
  <c r="Q848" i="29" a="1"/>
  <c r="Q848" i="29" s="1"/>
  <c r="I849" i="29"/>
  <c r="K850" i="29"/>
  <c r="O816" i="29" l="1" a="1"/>
  <c r="O816" i="29" s="1"/>
  <c r="R816" i="29" s="1"/>
  <c r="S816" i="29" s="1"/>
  <c r="K851" i="29"/>
  <c r="I850" i="29"/>
  <c r="Q849" i="29" a="1"/>
  <c r="Q849" i="29" s="1"/>
  <c r="N849" i="29" a="1"/>
  <c r="N849" i="29" s="1"/>
  <c r="P846" i="29"/>
  <c r="C847" i="29" a="1"/>
  <c r="C847" i="29" s="1"/>
  <c r="F847" i="29"/>
  <c r="M847" i="29"/>
  <c r="L848" i="29" a="1"/>
  <c r="L848" i="29" s="1"/>
  <c r="G848" i="29"/>
  <c r="B848" i="29"/>
  <c r="O817" i="29" l="1" a="1"/>
  <c r="O817" i="29" s="1"/>
  <c r="R817" i="29" s="1"/>
  <c r="S817" i="29" s="1"/>
  <c r="C848" i="29" a="1"/>
  <c r="C848" i="29" s="1"/>
  <c r="M848" i="29"/>
  <c r="F848" i="29"/>
  <c r="L849" i="29" a="1"/>
  <c r="L849" i="29" s="1"/>
  <c r="B850" i="29" s="1"/>
  <c r="I851" i="29"/>
  <c r="K852" i="29"/>
  <c r="G849" i="29"/>
  <c r="B849" i="29"/>
  <c r="P847" i="29"/>
  <c r="N850" i="29" a="1"/>
  <c r="N850" i="29" s="1"/>
  <c r="Q850" i="29" a="1"/>
  <c r="Q850" i="29" s="1"/>
  <c r="O818" i="29" l="1" a="1"/>
  <c r="O818" i="29" s="1"/>
  <c r="R818" i="29" s="1"/>
  <c r="S818" i="29" s="1"/>
  <c r="K853" i="29"/>
  <c r="I852" i="29"/>
  <c r="Q851" i="29" a="1"/>
  <c r="Q851" i="29" s="1"/>
  <c r="N851" i="29" a="1"/>
  <c r="N851" i="29" s="1"/>
  <c r="G850" i="29"/>
  <c r="C849" i="29" a="1"/>
  <c r="C849" i="29" s="1"/>
  <c r="F849" i="29"/>
  <c r="M849" i="29"/>
  <c r="L850" i="29" a="1"/>
  <c r="L850" i="29" s="1"/>
  <c r="P848" i="29"/>
  <c r="O819" i="29" l="1" a="1"/>
  <c r="O819" i="29" s="1"/>
  <c r="R819" i="29" s="1"/>
  <c r="S819" i="29" s="1"/>
  <c r="C850" i="29" a="1"/>
  <c r="C850" i="29" s="1"/>
  <c r="M850" i="29"/>
  <c r="F850" i="29"/>
  <c r="L851" i="29" a="1"/>
  <c r="L851" i="29" s="1"/>
  <c r="P849" i="29"/>
  <c r="N852" i="29" a="1"/>
  <c r="N852" i="29" s="1"/>
  <c r="Q852" i="29" a="1"/>
  <c r="Q852" i="29" s="1"/>
  <c r="B851" i="29"/>
  <c r="G851" i="29"/>
  <c r="I853" i="29"/>
  <c r="K854" i="29"/>
  <c r="O820" i="29" l="1" a="1"/>
  <c r="O820" i="29" s="1"/>
  <c r="R820" i="29" s="1"/>
  <c r="S820" i="29" s="1"/>
  <c r="M851" i="29"/>
  <c r="C851" i="29" a="1"/>
  <c r="C851" i="29" s="1"/>
  <c r="F851" i="29"/>
  <c r="L852" i="29" a="1"/>
  <c r="L852" i="29" s="1"/>
  <c r="N853" i="29" a="1"/>
  <c r="N853" i="29" s="1"/>
  <c r="Q853" i="29" a="1"/>
  <c r="Q853" i="29" s="1"/>
  <c r="P850" i="29"/>
  <c r="G852" i="29"/>
  <c r="K855" i="29"/>
  <c r="I854" i="29"/>
  <c r="B852" i="29"/>
  <c r="O821" i="29" l="1" a="1"/>
  <c r="O821" i="29" s="1"/>
  <c r="R821" i="29" s="1"/>
  <c r="S821" i="29" s="1"/>
  <c r="C852" i="29" a="1"/>
  <c r="C852" i="29" s="1"/>
  <c r="M852" i="29"/>
  <c r="F852" i="29"/>
  <c r="L853" i="29" a="1"/>
  <c r="L853" i="29" s="1"/>
  <c r="B853" i="29"/>
  <c r="I855" i="29"/>
  <c r="K856" i="29"/>
  <c r="N854" i="29" a="1"/>
  <c r="N854" i="29" s="1"/>
  <c r="Q854" i="29" a="1"/>
  <c r="Q854" i="29" s="1"/>
  <c r="G853" i="29"/>
  <c r="P851" i="29"/>
  <c r="O822" i="29" l="1" a="1"/>
  <c r="O822" i="29" s="1"/>
  <c r="R822" i="29" s="1"/>
  <c r="S822" i="29" s="1"/>
  <c r="M853" i="29"/>
  <c r="C853" i="29" a="1"/>
  <c r="C853" i="29" s="1"/>
  <c r="F853" i="29"/>
  <c r="L854" i="29" a="1"/>
  <c r="L854" i="29" s="1"/>
  <c r="G854" i="29"/>
  <c r="N855" i="29" a="1"/>
  <c r="N855" i="29" s="1"/>
  <c r="Q855" i="29" a="1"/>
  <c r="Q855" i="29" s="1"/>
  <c r="P852" i="29"/>
  <c r="B854" i="29"/>
  <c r="K857" i="29"/>
  <c r="I856" i="29"/>
  <c r="O823" i="29" l="1" a="1"/>
  <c r="O823" i="29" s="1"/>
  <c r="R823" i="29" s="1"/>
  <c r="S823" i="29" s="1"/>
  <c r="I857" i="29"/>
  <c r="K858" i="29"/>
  <c r="C854" i="29" a="1"/>
  <c r="C854" i="29" s="1"/>
  <c r="M854" i="29"/>
  <c r="F854" i="29"/>
  <c r="L855" i="29" a="1"/>
  <c r="L855" i="29" s="1"/>
  <c r="P853" i="29"/>
  <c r="B855" i="29"/>
  <c r="Q856" i="29" a="1"/>
  <c r="Q856" i="29" s="1"/>
  <c r="N856" i="29" a="1"/>
  <c r="N856" i="29" s="1"/>
  <c r="G855" i="29"/>
  <c r="O824" i="29" l="1" a="1"/>
  <c r="O824" i="29" s="1"/>
  <c r="R824" i="29" s="1"/>
  <c r="S824" i="29" s="1"/>
  <c r="M855" i="29"/>
  <c r="C855" i="29" a="1"/>
  <c r="C855" i="29" s="1"/>
  <c r="F855" i="29"/>
  <c r="L856" i="29" a="1"/>
  <c r="L856" i="29" s="1"/>
  <c r="P854" i="29"/>
  <c r="B856" i="29"/>
  <c r="G856" i="29"/>
  <c r="K859" i="29"/>
  <c r="I858" i="29"/>
  <c r="Q857" i="29" a="1"/>
  <c r="Q857" i="29" s="1"/>
  <c r="N857" i="29" a="1"/>
  <c r="N857" i="29" s="1"/>
  <c r="O825" i="29" l="1" a="1"/>
  <c r="O825" i="29" s="1"/>
  <c r="R825" i="29" s="1"/>
  <c r="S825" i="29" s="1"/>
  <c r="C856" i="29" a="1"/>
  <c r="C856" i="29" s="1"/>
  <c r="M856" i="29"/>
  <c r="F856" i="29"/>
  <c r="L857" i="29" a="1"/>
  <c r="L857" i="29" s="1"/>
  <c r="Q858" i="29" a="1"/>
  <c r="Q858" i="29" s="1"/>
  <c r="N858" i="29" a="1"/>
  <c r="N858" i="29" s="1"/>
  <c r="I859" i="29"/>
  <c r="K860" i="29"/>
  <c r="B857" i="29"/>
  <c r="P855" i="29"/>
  <c r="G857" i="29"/>
  <c r="O826" i="29" l="1" a="1"/>
  <c r="O826" i="29" s="1"/>
  <c r="R826" i="29" s="1"/>
  <c r="S826" i="29" s="1"/>
  <c r="C857" i="29" a="1"/>
  <c r="C857" i="29" s="1"/>
  <c r="F857" i="29"/>
  <c r="M857" i="29"/>
  <c r="L858" i="29" a="1"/>
  <c r="L858" i="29" s="1"/>
  <c r="B859" i="29" s="1"/>
  <c r="P856" i="29"/>
  <c r="Q859" i="29" a="1"/>
  <c r="Q859" i="29" s="1"/>
  <c r="N859" i="29" a="1"/>
  <c r="N859" i="29" s="1"/>
  <c r="B858" i="29"/>
  <c r="I860" i="29"/>
  <c r="K861" i="29"/>
  <c r="G858" i="29"/>
  <c r="O827" i="29" l="1" a="1"/>
  <c r="O827" i="29" s="1"/>
  <c r="R827" i="29" s="1"/>
  <c r="S827" i="29" s="1"/>
  <c r="Q860" i="29" a="1"/>
  <c r="Q860" i="29" s="1"/>
  <c r="N860" i="29" a="1"/>
  <c r="N860" i="29" s="1"/>
  <c r="I861" i="29"/>
  <c r="K862" i="29"/>
  <c r="G859" i="29"/>
  <c r="C858" i="29" a="1"/>
  <c r="C858" i="29" s="1"/>
  <c r="M858" i="29"/>
  <c r="F858" i="29"/>
  <c r="L859" i="29" a="1"/>
  <c r="L859" i="29" s="1"/>
  <c r="P857" i="29"/>
  <c r="O828" i="29" l="1" a="1"/>
  <c r="O828" i="29" s="1"/>
  <c r="R828" i="29" s="1"/>
  <c r="S828" i="29" s="1"/>
  <c r="K863" i="29"/>
  <c r="I862" i="29"/>
  <c r="N861" i="29" a="1"/>
  <c r="N861" i="29" s="1"/>
  <c r="Q861" i="29" a="1"/>
  <c r="Q861" i="29" s="1"/>
  <c r="G860" i="29"/>
  <c r="F859" i="29"/>
  <c r="M859" i="29"/>
  <c r="C859" i="29" a="1"/>
  <c r="C859" i="29" s="1"/>
  <c r="L860" i="29" a="1"/>
  <c r="L860" i="29" s="1"/>
  <c r="B861" i="29" s="1"/>
  <c r="P858" i="29"/>
  <c r="B860" i="29"/>
  <c r="O829" i="29" l="1" a="1"/>
  <c r="O829" i="29" s="1"/>
  <c r="R829" i="29" s="1"/>
  <c r="S829" i="29" s="1"/>
  <c r="G861" i="29"/>
  <c r="C860" i="29" a="1"/>
  <c r="C860" i="29" s="1"/>
  <c r="M860" i="29"/>
  <c r="F860" i="29"/>
  <c r="L861" i="29" a="1"/>
  <c r="L861" i="29" s="1"/>
  <c r="P859" i="29"/>
  <c r="N862" i="29" a="1"/>
  <c r="N862" i="29" s="1"/>
  <c r="Q862" i="29" a="1"/>
  <c r="Q862" i="29" s="1"/>
  <c r="K864" i="29"/>
  <c r="I863" i="29"/>
  <c r="O830" i="29" l="1" a="1"/>
  <c r="O830" i="29" s="1"/>
  <c r="R830" i="29" s="1"/>
  <c r="S830" i="29" s="1"/>
  <c r="Q863" i="29" a="1"/>
  <c r="Q863" i="29" s="1"/>
  <c r="N863" i="29" a="1"/>
  <c r="N863" i="29" s="1"/>
  <c r="I864" i="29"/>
  <c r="K865" i="29"/>
  <c r="G862" i="29"/>
  <c r="M861" i="29"/>
  <c r="C861" i="29" a="1"/>
  <c r="C861" i="29" s="1"/>
  <c r="F861" i="29"/>
  <c r="L862" i="29" a="1"/>
  <c r="L862" i="29" s="1"/>
  <c r="P860" i="29"/>
  <c r="B862" i="29"/>
  <c r="O831" i="29" l="1" a="1"/>
  <c r="O831" i="29" s="1"/>
  <c r="R831" i="29" s="1"/>
  <c r="S831" i="29" s="1"/>
  <c r="I865" i="29"/>
  <c r="K866" i="29"/>
  <c r="Q864" i="29" a="1"/>
  <c r="Q864" i="29" s="1"/>
  <c r="N864" i="29" a="1"/>
  <c r="N864" i="29" s="1"/>
  <c r="C862" i="29" a="1"/>
  <c r="C862" i="29" s="1"/>
  <c r="M862" i="29"/>
  <c r="F862" i="29"/>
  <c r="L863" i="29" a="1"/>
  <c r="L863" i="29" s="1"/>
  <c r="B864" i="29" s="1"/>
  <c r="G863" i="29"/>
  <c r="B863" i="29"/>
  <c r="P861" i="29"/>
  <c r="O832" i="29" l="1" a="1"/>
  <c r="O832" i="29" s="1"/>
  <c r="R832" i="29" s="1"/>
  <c r="S832" i="29" s="1"/>
  <c r="P862" i="29"/>
  <c r="G864" i="29"/>
  <c r="M863" i="29"/>
  <c r="C863" i="29" a="1"/>
  <c r="C863" i="29" s="1"/>
  <c r="F863" i="29"/>
  <c r="L864" i="29" a="1"/>
  <c r="L864" i="29" s="1"/>
  <c r="B865" i="29" s="1"/>
  <c r="I866" i="29"/>
  <c r="K867" i="29"/>
  <c r="Q865" i="29" a="1"/>
  <c r="Q865" i="29" s="1"/>
  <c r="N865" i="29" a="1"/>
  <c r="N865" i="29" s="1"/>
  <c r="O833" i="29" l="1" a="1"/>
  <c r="O833" i="29" s="1"/>
  <c r="R833" i="29" s="1"/>
  <c r="S833" i="29" s="1"/>
  <c r="G865" i="29"/>
  <c r="P863" i="29"/>
  <c r="K868" i="29"/>
  <c r="I867" i="29"/>
  <c r="N866" i="29" a="1"/>
  <c r="N866" i="29" s="1"/>
  <c r="Q866" i="29" a="1"/>
  <c r="Q866" i="29" s="1"/>
  <c r="M864" i="29"/>
  <c r="C864" i="29" a="1"/>
  <c r="C864" i="29" s="1"/>
  <c r="F864" i="29"/>
  <c r="L865" i="29" a="1"/>
  <c r="L865" i="29" s="1"/>
  <c r="O834" i="29" l="1" a="1"/>
  <c r="O834" i="29" s="1"/>
  <c r="R834" i="29" s="1"/>
  <c r="S834" i="29" s="1"/>
  <c r="F865" i="29"/>
  <c r="M865" i="29"/>
  <c r="C865" i="29" a="1"/>
  <c r="C865" i="29" s="1"/>
  <c r="L866" i="29" a="1"/>
  <c r="L866" i="29" s="1"/>
  <c r="B867" i="29" s="1"/>
  <c r="N867" i="29" a="1"/>
  <c r="N867" i="29" s="1"/>
  <c r="Q867" i="29" a="1"/>
  <c r="Q867" i="29" s="1"/>
  <c r="K869" i="29"/>
  <c r="I868" i="29"/>
  <c r="P864" i="29"/>
  <c r="G866" i="29"/>
  <c r="B866" i="29"/>
  <c r="O835" i="29" l="1" a="1"/>
  <c r="O835" i="29" s="1"/>
  <c r="R835" i="29" s="1"/>
  <c r="S835" i="29" s="1"/>
  <c r="Q868" i="29" a="1"/>
  <c r="Q868" i="29" s="1"/>
  <c r="N868" i="29" a="1"/>
  <c r="N868" i="29" s="1"/>
  <c r="C866" i="29" a="1"/>
  <c r="C866" i="29" s="1"/>
  <c r="F866" i="29"/>
  <c r="M866" i="29"/>
  <c r="L867" i="29" a="1"/>
  <c r="L867" i="29" s="1"/>
  <c r="B868" i="29" s="1"/>
  <c r="P865" i="29"/>
  <c r="I869" i="29"/>
  <c r="K870" i="29"/>
  <c r="G867" i="29"/>
  <c r="O836" i="29" l="1" a="1"/>
  <c r="O836" i="29" s="1"/>
  <c r="R836" i="29" s="1"/>
  <c r="S836" i="29" s="1"/>
  <c r="G868" i="29"/>
  <c r="I870" i="29"/>
  <c r="K871" i="29"/>
  <c r="Q869" i="29" a="1"/>
  <c r="Q869" i="29" s="1"/>
  <c r="N869" i="29" a="1"/>
  <c r="N869" i="29" s="1"/>
  <c r="M867" i="29"/>
  <c r="C867" i="29" a="1"/>
  <c r="C867" i="29" s="1"/>
  <c r="F867" i="29"/>
  <c r="L868" i="29" a="1"/>
  <c r="L868" i="29" s="1"/>
  <c r="B869" i="29" s="1"/>
  <c r="P866" i="29"/>
  <c r="O837" i="29" l="1" a="1"/>
  <c r="O837" i="29" s="1"/>
  <c r="R837" i="29" s="1"/>
  <c r="S837" i="29" s="1"/>
  <c r="M868" i="29"/>
  <c r="C868" i="29" a="1"/>
  <c r="C868" i="29" s="1"/>
  <c r="F868" i="29"/>
  <c r="L869" i="29" a="1"/>
  <c r="L869" i="29" s="1"/>
  <c r="I871" i="29"/>
  <c r="K872" i="29"/>
  <c r="Q870" i="29" a="1"/>
  <c r="Q870" i="29" s="1"/>
  <c r="N870" i="29" a="1"/>
  <c r="N870" i="29" s="1"/>
  <c r="P867" i="29"/>
  <c r="G869" i="29"/>
  <c r="O838" i="29" l="1" a="1"/>
  <c r="O838" i="29" s="1"/>
  <c r="R838" i="29" s="1"/>
  <c r="S838" i="29" s="1"/>
  <c r="M869" i="29"/>
  <c r="C869" i="29" a="1"/>
  <c r="C869" i="29" s="1"/>
  <c r="F869" i="29"/>
  <c r="L870" i="29" a="1"/>
  <c r="L870" i="29" s="1"/>
  <c r="G870" i="29"/>
  <c r="I872" i="29"/>
  <c r="K873" i="29"/>
  <c r="N871" i="29" a="1"/>
  <c r="N871" i="29" s="1"/>
  <c r="Q871" i="29" a="1"/>
  <c r="Q871" i="29" s="1"/>
  <c r="P868" i="29"/>
  <c r="B870" i="29"/>
  <c r="O839" i="29" l="1" a="1"/>
  <c r="O839" i="29" s="1"/>
  <c r="R839" i="29" s="1"/>
  <c r="S839" i="29" s="1"/>
  <c r="F870" i="29"/>
  <c r="M870" i="29"/>
  <c r="C870" i="29" a="1"/>
  <c r="C870" i="29" s="1"/>
  <c r="L871" i="29" a="1"/>
  <c r="L871" i="29" s="1"/>
  <c r="B872" i="29" s="1"/>
  <c r="B871" i="29"/>
  <c r="G871" i="29"/>
  <c r="P869" i="29"/>
  <c r="K874" i="29"/>
  <c r="I873" i="29"/>
  <c r="N872" i="29" a="1"/>
  <c r="N872" i="29" s="1"/>
  <c r="Q872" i="29" a="1"/>
  <c r="Q872" i="29" s="1"/>
  <c r="O840" i="29" l="1" a="1"/>
  <c r="O840" i="29" s="1"/>
  <c r="R840" i="29" s="1"/>
  <c r="S840" i="29" s="1"/>
  <c r="G872" i="29"/>
  <c r="C871" i="29" a="1"/>
  <c r="C871" i="29" s="1"/>
  <c r="F871" i="29"/>
  <c r="M871" i="29"/>
  <c r="L872" i="29" a="1"/>
  <c r="L872" i="29" s="1"/>
  <c r="N873" i="29" a="1"/>
  <c r="N873" i="29" s="1"/>
  <c r="Q873" i="29" a="1"/>
  <c r="Q873" i="29" s="1"/>
  <c r="I874" i="29"/>
  <c r="K875" i="29"/>
  <c r="P870" i="29"/>
  <c r="O841" i="29" l="1" a="1"/>
  <c r="O841" i="29" s="1"/>
  <c r="R841" i="29" s="1"/>
  <c r="S841" i="29" s="1"/>
  <c r="M872" i="29"/>
  <c r="C872" i="29" a="1"/>
  <c r="C872" i="29" s="1"/>
  <c r="F872" i="29"/>
  <c r="L873" i="29" a="1"/>
  <c r="L873" i="29" s="1"/>
  <c r="P871" i="29"/>
  <c r="I875" i="29"/>
  <c r="K876" i="29"/>
  <c r="Q874" i="29" a="1"/>
  <c r="Q874" i="29" s="1"/>
  <c r="N874" i="29" a="1"/>
  <c r="N874" i="29" s="1"/>
  <c r="G873" i="29"/>
  <c r="B873" i="29"/>
  <c r="O842" i="29" l="1" a="1"/>
  <c r="O842" i="29" s="1"/>
  <c r="R842" i="29" s="1"/>
  <c r="S842" i="29" s="1"/>
  <c r="G874" i="29"/>
  <c r="M873" i="29"/>
  <c r="C873" i="29" a="1"/>
  <c r="C873" i="29" s="1"/>
  <c r="F873" i="29"/>
  <c r="L874" i="29" a="1"/>
  <c r="L874" i="29" s="1"/>
  <c r="B875" i="29" s="1"/>
  <c r="B874" i="29"/>
  <c r="P872" i="29"/>
  <c r="K877" i="29"/>
  <c r="I876" i="29"/>
  <c r="Q875" i="29" a="1"/>
  <c r="Q875" i="29" s="1"/>
  <c r="N875" i="29" a="1"/>
  <c r="N875" i="29" s="1"/>
  <c r="O843" i="29" l="1" a="1"/>
  <c r="O843" i="29" s="1"/>
  <c r="R843" i="29" s="1"/>
  <c r="S843" i="29" s="1"/>
  <c r="G875" i="29"/>
  <c r="N876" i="29" a="1"/>
  <c r="N876" i="29" s="1"/>
  <c r="Q876" i="29" a="1"/>
  <c r="Q876" i="29" s="1"/>
  <c r="I877" i="29"/>
  <c r="K878" i="29"/>
  <c r="M874" i="29"/>
  <c r="C874" i="29" a="1"/>
  <c r="C874" i="29" s="1"/>
  <c r="F874" i="29"/>
  <c r="L875" i="29" a="1"/>
  <c r="L875" i="29" s="1"/>
  <c r="B876" i="29" s="1"/>
  <c r="P873" i="29"/>
  <c r="O844" i="29" l="1" a="1"/>
  <c r="O844" i="29" s="1"/>
  <c r="R844" i="29" s="1"/>
  <c r="S844" i="29" s="1"/>
  <c r="F875" i="29"/>
  <c r="M875" i="29"/>
  <c r="C875" i="29" a="1"/>
  <c r="C875" i="29" s="1"/>
  <c r="L876" i="29" a="1"/>
  <c r="L876" i="29" s="1"/>
  <c r="B877" i="29" s="1"/>
  <c r="G876" i="29"/>
  <c r="P874" i="29"/>
  <c r="K879" i="29"/>
  <c r="I878" i="29"/>
  <c r="Q877" i="29" a="1"/>
  <c r="Q877" i="29" s="1"/>
  <c r="N877" i="29" a="1"/>
  <c r="N877" i="29" s="1"/>
  <c r="O845" i="29" l="1" a="1"/>
  <c r="O845" i="29" s="1"/>
  <c r="R845" i="29" s="1"/>
  <c r="S845" i="29" s="1"/>
  <c r="G877" i="29"/>
  <c r="C876" i="29" a="1"/>
  <c r="C876" i="29" s="1"/>
  <c r="M876" i="29"/>
  <c r="F876" i="29"/>
  <c r="L877" i="29" a="1"/>
  <c r="L877" i="29" s="1"/>
  <c r="N878" i="29" a="1"/>
  <c r="N878" i="29" s="1"/>
  <c r="Q878" i="29" a="1"/>
  <c r="Q878" i="29" s="1"/>
  <c r="P875" i="29"/>
  <c r="I879" i="29"/>
  <c r="K880" i="29"/>
  <c r="O846" i="29" l="1" a="1"/>
  <c r="O846" i="29" s="1"/>
  <c r="R846" i="29" s="1"/>
  <c r="S846" i="29" s="1"/>
  <c r="K881" i="29"/>
  <c r="I880" i="29"/>
  <c r="C877" i="29" a="1"/>
  <c r="C877" i="29" s="1"/>
  <c r="M877" i="29"/>
  <c r="F877" i="29"/>
  <c r="L878" i="29" a="1"/>
  <c r="L878" i="29" s="1"/>
  <c r="Q879" i="29" a="1"/>
  <c r="Q879" i="29" s="1"/>
  <c r="N879" i="29" a="1"/>
  <c r="N879" i="29" s="1"/>
  <c r="P876" i="29"/>
  <c r="B878" i="29"/>
  <c r="G878" i="29"/>
  <c r="O847" i="29" l="1" a="1"/>
  <c r="O847" i="29" s="1"/>
  <c r="R847" i="29" s="1"/>
  <c r="S847" i="29" s="1"/>
  <c r="C878" i="29" a="1"/>
  <c r="C878" i="29" s="1"/>
  <c r="M878" i="29"/>
  <c r="F878" i="29"/>
  <c r="L879" i="29" a="1"/>
  <c r="L879" i="29" s="1"/>
  <c r="P877" i="29"/>
  <c r="N880" i="29" a="1"/>
  <c r="N880" i="29" s="1"/>
  <c r="Q880" i="29" a="1"/>
  <c r="Q880" i="29" s="1"/>
  <c r="G879" i="29"/>
  <c r="I881" i="29"/>
  <c r="K882" i="29"/>
  <c r="B879" i="29"/>
  <c r="O848" i="29" l="1" a="1"/>
  <c r="O848" i="29" s="1"/>
  <c r="R848" i="29" s="1"/>
  <c r="S848" i="29" s="1"/>
  <c r="Q881" i="29" a="1"/>
  <c r="Q881" i="29" s="1"/>
  <c r="N881" i="29" a="1"/>
  <c r="N881" i="29" s="1"/>
  <c r="K883" i="29"/>
  <c r="I882" i="29"/>
  <c r="C879" i="29" a="1"/>
  <c r="C879" i="29" s="1"/>
  <c r="M879" i="29"/>
  <c r="F879" i="29"/>
  <c r="L880" i="29" a="1"/>
  <c r="L880" i="29" s="1"/>
  <c r="B880" i="29"/>
  <c r="P878" i="29"/>
  <c r="G880" i="29"/>
  <c r="O849" i="29" l="1" a="1"/>
  <c r="O849" i="29" s="1"/>
  <c r="R849" i="29" s="1"/>
  <c r="S849" i="29" s="1"/>
  <c r="N882" i="29" a="1"/>
  <c r="N882" i="29" s="1"/>
  <c r="Q882" i="29" a="1"/>
  <c r="Q882" i="29" s="1"/>
  <c r="I883" i="29"/>
  <c r="K884" i="29"/>
  <c r="G881" i="29"/>
  <c r="C880" i="29" a="1"/>
  <c r="C880" i="29" s="1"/>
  <c r="M880" i="29"/>
  <c r="F880" i="29"/>
  <c r="L881" i="29" a="1"/>
  <c r="L881" i="29" s="1"/>
  <c r="B881" i="29"/>
  <c r="P879" i="29"/>
  <c r="O850" i="29" l="1" a="1"/>
  <c r="O850" i="29" s="1"/>
  <c r="R850" i="29" s="1"/>
  <c r="S850" i="29" s="1"/>
  <c r="K885" i="29"/>
  <c r="I884" i="29"/>
  <c r="C881" i="29" a="1"/>
  <c r="C881" i="29" s="1"/>
  <c r="M881" i="29"/>
  <c r="F881" i="29"/>
  <c r="L882" i="29" a="1"/>
  <c r="L882" i="29" s="1"/>
  <c r="P880" i="29"/>
  <c r="Q883" i="29" a="1"/>
  <c r="Q883" i="29" s="1"/>
  <c r="N883" i="29" a="1"/>
  <c r="N883" i="29" s="1"/>
  <c r="B882" i="29"/>
  <c r="G882" i="29"/>
  <c r="O851" i="29" l="1" a="1"/>
  <c r="O851" i="29" s="1"/>
  <c r="R851" i="29" s="1"/>
  <c r="S851" i="29" s="1"/>
  <c r="C882" i="29" a="1"/>
  <c r="C882" i="29" s="1"/>
  <c r="M882" i="29"/>
  <c r="F882" i="29"/>
  <c r="L883" i="29" a="1"/>
  <c r="L883" i="29" s="1"/>
  <c r="B884" i="29" s="1"/>
  <c r="G883" i="29"/>
  <c r="P881" i="29"/>
  <c r="B883" i="29"/>
  <c r="N884" i="29" a="1"/>
  <c r="N884" i="29" s="1"/>
  <c r="Q884" i="29" a="1"/>
  <c r="Q884" i="29" s="1"/>
  <c r="I885" i="29"/>
  <c r="K886" i="29"/>
  <c r="O852" i="29" l="1" a="1"/>
  <c r="O852" i="29" s="1"/>
  <c r="R852" i="29" s="1"/>
  <c r="S852" i="29" s="1"/>
  <c r="Q885" i="29" a="1"/>
  <c r="Q885" i="29" s="1"/>
  <c r="N885" i="29" a="1"/>
  <c r="N885" i="29" s="1"/>
  <c r="C883" i="29" a="1"/>
  <c r="C883" i="29" s="1"/>
  <c r="M883" i="29"/>
  <c r="F883" i="29"/>
  <c r="L884" i="29" a="1"/>
  <c r="L884" i="29" s="1"/>
  <c r="B885" i="29" s="1"/>
  <c r="G884" i="29"/>
  <c r="P882" i="29"/>
  <c r="K887" i="29"/>
  <c r="I886" i="29"/>
  <c r="O853" i="29" l="1" a="1"/>
  <c r="O853" i="29" s="1"/>
  <c r="R853" i="29" s="1"/>
  <c r="S853" i="29" s="1"/>
  <c r="N886" i="29" a="1"/>
  <c r="N886" i="29" s="1"/>
  <c r="Q886" i="29" a="1"/>
  <c r="Q886" i="29" s="1"/>
  <c r="I887" i="29"/>
  <c r="K888" i="29"/>
  <c r="G885" i="29"/>
  <c r="P883" i="29"/>
  <c r="C884" i="29" a="1"/>
  <c r="C884" i="29" s="1"/>
  <c r="M884" i="29"/>
  <c r="F884" i="29"/>
  <c r="L885" i="29" a="1"/>
  <c r="L885" i="29" s="1"/>
  <c r="B886" i="29" s="1"/>
  <c r="O854" i="29" l="1" a="1"/>
  <c r="O854" i="29" s="1"/>
  <c r="R854" i="29" s="1"/>
  <c r="S854" i="29" s="1"/>
  <c r="K889" i="29"/>
  <c r="I888" i="29"/>
  <c r="Q887" i="29" a="1"/>
  <c r="Q887" i="29" s="1"/>
  <c r="N887" i="29" a="1"/>
  <c r="N887" i="29" s="1"/>
  <c r="P884" i="29"/>
  <c r="C885" i="29" a="1"/>
  <c r="C885" i="29" s="1"/>
  <c r="M885" i="29"/>
  <c r="F885" i="29"/>
  <c r="L886" i="29" a="1"/>
  <c r="L886" i="29" s="1"/>
  <c r="G886" i="29"/>
  <c r="O855" i="29" l="1" a="1"/>
  <c r="O855" i="29" s="1"/>
  <c r="R855" i="29" s="1"/>
  <c r="S855" i="29" s="1"/>
  <c r="C886" i="29" a="1"/>
  <c r="C886" i="29" s="1"/>
  <c r="M886" i="29"/>
  <c r="F886" i="29"/>
  <c r="L887" i="29" a="1"/>
  <c r="L887" i="29" s="1"/>
  <c r="P885" i="29"/>
  <c r="N888" i="29" a="1"/>
  <c r="N888" i="29" s="1"/>
  <c r="Q888" i="29" a="1"/>
  <c r="Q888" i="29" s="1"/>
  <c r="G887" i="29"/>
  <c r="B887" i="29"/>
  <c r="I889" i="29"/>
  <c r="K890" i="29"/>
  <c r="O856" i="29" l="1" a="1"/>
  <c r="O856" i="29" s="1"/>
  <c r="R856" i="29" s="1"/>
  <c r="S856" i="29" s="1"/>
  <c r="Q889" i="29" a="1"/>
  <c r="Q889" i="29" s="1"/>
  <c r="N889" i="29" a="1"/>
  <c r="N889" i="29" s="1"/>
  <c r="C887" i="29" a="1"/>
  <c r="C887" i="29" s="1"/>
  <c r="M887" i="29"/>
  <c r="F887" i="29"/>
  <c r="L888" i="29" a="1"/>
  <c r="L888" i="29" s="1"/>
  <c r="B889" i="29" s="1"/>
  <c r="B888" i="29"/>
  <c r="P886" i="29"/>
  <c r="K891" i="29"/>
  <c r="I890" i="29"/>
  <c r="G888" i="29"/>
  <c r="O857" i="29" l="1" a="1"/>
  <c r="O857" i="29" s="1"/>
  <c r="R857" i="29" s="1"/>
  <c r="S857" i="29" s="1"/>
  <c r="I891" i="29"/>
  <c r="K892" i="29"/>
  <c r="P887" i="29"/>
  <c r="N890" i="29" a="1"/>
  <c r="N890" i="29" s="1"/>
  <c r="Q890" i="29" a="1"/>
  <c r="Q890" i="29" s="1"/>
  <c r="G889" i="29"/>
  <c r="C888" i="29" a="1"/>
  <c r="C888" i="29" s="1"/>
  <c r="M888" i="29"/>
  <c r="F888" i="29"/>
  <c r="L889" i="29" a="1"/>
  <c r="L889" i="29" s="1"/>
  <c r="O858" i="29" l="1" a="1"/>
  <c r="O858" i="29" s="1"/>
  <c r="R858" i="29" s="1"/>
  <c r="S858" i="29" s="1"/>
  <c r="P888" i="29"/>
  <c r="C889" i="29" a="1"/>
  <c r="C889" i="29" s="1"/>
  <c r="M889" i="29"/>
  <c r="F889" i="29"/>
  <c r="L890" i="29" a="1"/>
  <c r="L890" i="29" s="1"/>
  <c r="G890" i="29"/>
  <c r="K893" i="29"/>
  <c r="I892" i="29"/>
  <c r="Q891" i="29" a="1"/>
  <c r="Q891" i="29" s="1"/>
  <c r="N891" i="29" a="1"/>
  <c r="N891" i="29" s="1"/>
  <c r="B890" i="29"/>
  <c r="O859" i="29" l="1" a="1"/>
  <c r="O859" i="29" s="1"/>
  <c r="R859" i="29" s="1"/>
  <c r="S859" i="29" s="1"/>
  <c r="G891" i="29"/>
  <c r="C890" i="29" a="1"/>
  <c r="C890" i="29" s="1"/>
  <c r="M890" i="29"/>
  <c r="F890" i="29"/>
  <c r="L891" i="29" a="1"/>
  <c r="L891" i="29" s="1"/>
  <c r="B891" i="29"/>
  <c r="P889" i="29"/>
  <c r="N892" i="29" a="1"/>
  <c r="N892" i="29" s="1"/>
  <c r="Q892" i="29" a="1"/>
  <c r="Q892" i="29" s="1"/>
  <c r="I893" i="29"/>
  <c r="K894" i="29"/>
  <c r="O860" i="29" l="1" a="1"/>
  <c r="O860" i="29" s="1"/>
  <c r="R860" i="29" s="1"/>
  <c r="S860" i="29" s="1"/>
  <c r="Q893" i="29" a="1"/>
  <c r="Q893" i="29" s="1"/>
  <c r="N893" i="29" a="1"/>
  <c r="N893" i="29" s="1"/>
  <c r="P890" i="29"/>
  <c r="C891" i="29" a="1"/>
  <c r="C891" i="29" s="1"/>
  <c r="M891" i="29"/>
  <c r="F891" i="29"/>
  <c r="L892" i="29" a="1"/>
  <c r="L892" i="29" s="1"/>
  <c r="B892" i="29"/>
  <c r="G892" i="29"/>
  <c r="K895" i="29"/>
  <c r="I894" i="29"/>
  <c r="O861" i="29" l="1" a="1"/>
  <c r="O861" i="29" s="1"/>
  <c r="R861" i="29" s="1"/>
  <c r="S861" i="29" s="1"/>
  <c r="C892" i="29" a="1"/>
  <c r="C892" i="29" s="1"/>
  <c r="M892" i="29"/>
  <c r="F892" i="29"/>
  <c r="L893" i="29" a="1"/>
  <c r="L893" i="29" s="1"/>
  <c r="I895" i="29"/>
  <c r="K896" i="29"/>
  <c r="G893" i="29"/>
  <c r="B893" i="29"/>
  <c r="P891" i="29"/>
  <c r="N894" i="29" a="1"/>
  <c r="N894" i="29" s="1"/>
  <c r="Q894" i="29" a="1"/>
  <c r="Q894" i="29" s="1"/>
  <c r="O862" i="29" l="1" a="1"/>
  <c r="O862" i="29" s="1"/>
  <c r="R862" i="29" s="1"/>
  <c r="S862" i="29" s="1"/>
  <c r="C893" i="29" a="1"/>
  <c r="C893" i="29" s="1"/>
  <c r="M893" i="29"/>
  <c r="F893" i="29"/>
  <c r="L894" i="29" a="1"/>
  <c r="L894" i="29" s="1"/>
  <c r="K897" i="29"/>
  <c r="I896" i="29"/>
  <c r="Q895" i="29" a="1"/>
  <c r="Q895" i="29" s="1"/>
  <c r="N895" i="29" a="1"/>
  <c r="N895" i="29" s="1"/>
  <c r="G894" i="29"/>
  <c r="P892" i="29"/>
  <c r="B894" i="29"/>
  <c r="O863" i="29" l="1" a="1"/>
  <c r="O863" i="29" s="1"/>
  <c r="R863" i="29" s="1"/>
  <c r="S863" i="29" s="1"/>
  <c r="C894" i="29" a="1"/>
  <c r="C894" i="29" s="1"/>
  <c r="M894" i="29"/>
  <c r="F894" i="29"/>
  <c r="L895" i="29" a="1"/>
  <c r="L895" i="29" s="1"/>
  <c r="G895" i="29"/>
  <c r="N896" i="29" a="1"/>
  <c r="N896" i="29" s="1"/>
  <c r="Q896" i="29" a="1"/>
  <c r="Q896" i="29" s="1"/>
  <c r="I897" i="29"/>
  <c r="K898" i="29"/>
  <c r="P893" i="29"/>
  <c r="B895" i="29"/>
  <c r="O864" i="29" l="1" a="1"/>
  <c r="O864" i="29" s="1"/>
  <c r="R864" i="29" s="1"/>
  <c r="S864" i="29" s="1"/>
  <c r="K899" i="29"/>
  <c r="I898" i="29"/>
  <c r="Q897" i="29" a="1"/>
  <c r="Q897" i="29" s="1"/>
  <c r="N897" i="29" a="1"/>
  <c r="N897" i="29" s="1"/>
  <c r="C895" i="29" a="1"/>
  <c r="C895" i="29" s="1"/>
  <c r="M895" i="29"/>
  <c r="F895" i="29"/>
  <c r="L896" i="29" a="1"/>
  <c r="L896" i="29" s="1"/>
  <c r="B897" i="29" s="1"/>
  <c r="B896" i="29"/>
  <c r="P894" i="29"/>
  <c r="G896" i="29"/>
  <c r="O865" i="29" l="1" a="1"/>
  <c r="O865" i="29" s="1"/>
  <c r="R865" i="29" s="1"/>
  <c r="S865" i="29" s="1"/>
  <c r="P895" i="29"/>
  <c r="G897" i="29"/>
  <c r="C896" i="29" a="1"/>
  <c r="C896" i="29" s="1"/>
  <c r="M896" i="29"/>
  <c r="F896" i="29"/>
  <c r="L897" i="29" a="1"/>
  <c r="L897" i="29" s="1"/>
  <c r="B898" i="29" s="1"/>
  <c r="N898" i="29" a="1"/>
  <c r="N898" i="29" s="1"/>
  <c r="Q898" i="29" a="1"/>
  <c r="Q898" i="29" s="1"/>
  <c r="I899" i="29"/>
  <c r="K900" i="29"/>
  <c r="O866" i="29" l="1" a="1"/>
  <c r="O866" i="29" s="1"/>
  <c r="R866" i="29" s="1"/>
  <c r="S866" i="29" s="1"/>
  <c r="K901" i="29"/>
  <c r="I900" i="29"/>
  <c r="Q899" i="29" a="1"/>
  <c r="Q899" i="29" s="1"/>
  <c r="N899" i="29" a="1"/>
  <c r="N899" i="29" s="1"/>
  <c r="P896" i="29"/>
  <c r="G898" i="29"/>
  <c r="C897" i="29" a="1"/>
  <c r="C897" i="29" s="1"/>
  <c r="M897" i="29"/>
  <c r="F897" i="29"/>
  <c r="L898" i="29" a="1"/>
  <c r="L898" i="29" s="1"/>
  <c r="B899" i="29" s="1"/>
  <c r="O867" i="29" l="1" a="1"/>
  <c r="O867" i="29" s="1"/>
  <c r="R867" i="29" s="1"/>
  <c r="S867" i="29" s="1"/>
  <c r="P897" i="29"/>
  <c r="C898" i="29" a="1"/>
  <c r="C898" i="29" s="1"/>
  <c r="M898" i="29"/>
  <c r="F898" i="29"/>
  <c r="L899" i="29" a="1"/>
  <c r="L899" i="29" s="1"/>
  <c r="G899" i="29"/>
  <c r="N900" i="29" a="1"/>
  <c r="N900" i="29" s="1"/>
  <c r="Q900" i="29" a="1"/>
  <c r="Q900" i="29" s="1"/>
  <c r="I901" i="29"/>
  <c r="K902" i="29"/>
  <c r="O868" i="29" l="1" a="1"/>
  <c r="O868" i="29" s="1"/>
  <c r="R868" i="29" s="1"/>
  <c r="S868" i="29" s="1"/>
  <c r="C899" i="29" a="1"/>
  <c r="C899" i="29" s="1"/>
  <c r="M899" i="29"/>
  <c r="F899" i="29"/>
  <c r="L900" i="29" a="1"/>
  <c r="L900" i="29" s="1"/>
  <c r="B901" i="29" s="1"/>
  <c r="B900" i="29"/>
  <c r="K903" i="29"/>
  <c r="I902" i="29"/>
  <c r="Q901" i="29" a="1"/>
  <c r="Q901" i="29" s="1"/>
  <c r="N901" i="29" a="1"/>
  <c r="N901" i="29" s="1"/>
  <c r="P898" i="29"/>
  <c r="G900" i="29"/>
  <c r="O869" i="29" l="1" a="1"/>
  <c r="O869" i="29" s="1"/>
  <c r="R869" i="29" s="1"/>
  <c r="S869" i="29" s="1"/>
  <c r="I903" i="29"/>
  <c r="K904" i="29"/>
  <c r="P899" i="29"/>
  <c r="C900" i="29" a="1"/>
  <c r="C900" i="29" s="1"/>
  <c r="M900" i="29"/>
  <c r="F900" i="29"/>
  <c r="L901" i="29" a="1"/>
  <c r="L901" i="29" s="1"/>
  <c r="B902" i="29" s="1"/>
  <c r="G901" i="29"/>
  <c r="N902" i="29" a="1"/>
  <c r="N902" i="29" s="1"/>
  <c r="Q902" i="29" a="1"/>
  <c r="Q902" i="29" s="1"/>
  <c r="O870" i="29" l="1" a="1"/>
  <c r="O870" i="29" s="1"/>
  <c r="R870" i="29" s="1"/>
  <c r="S870" i="29" s="1"/>
  <c r="P900" i="29"/>
  <c r="Q903" i="29" a="1"/>
  <c r="Q903" i="29" s="1"/>
  <c r="N903" i="29" a="1"/>
  <c r="N903" i="29" s="1"/>
  <c r="G902" i="29"/>
  <c r="K905" i="29"/>
  <c r="I904" i="29"/>
  <c r="C901" i="29" a="1"/>
  <c r="C901" i="29" s="1"/>
  <c r="M901" i="29"/>
  <c r="F901" i="29"/>
  <c r="L902" i="29" a="1"/>
  <c r="L902" i="29" s="1"/>
  <c r="B903" i="29" s="1"/>
  <c r="O871" i="29" l="1" a="1"/>
  <c r="O871" i="29" s="1"/>
  <c r="R871" i="29" s="1"/>
  <c r="S871" i="29" s="1"/>
  <c r="P901" i="29"/>
  <c r="C902" i="29" a="1"/>
  <c r="C902" i="29" s="1"/>
  <c r="M902" i="29"/>
  <c r="F902" i="29"/>
  <c r="L903" i="29" a="1"/>
  <c r="L903" i="29" s="1"/>
  <c r="B904" i="29" s="1"/>
  <c r="G903" i="29"/>
  <c r="N904" i="29" a="1"/>
  <c r="N904" i="29" s="1"/>
  <c r="Q904" i="29" a="1"/>
  <c r="Q904" i="29" s="1"/>
  <c r="I905" i="29"/>
  <c r="K906" i="29"/>
  <c r="O872" i="29" l="1" a="1"/>
  <c r="O872" i="29" s="1"/>
  <c r="R872" i="29" s="1"/>
  <c r="S872" i="29" s="1"/>
  <c r="K907" i="29"/>
  <c r="I906" i="29"/>
  <c r="Q905" i="29" a="1"/>
  <c r="Q905" i="29" s="1"/>
  <c r="N905" i="29" a="1"/>
  <c r="N905" i="29" s="1"/>
  <c r="C903" i="29" a="1"/>
  <c r="C903" i="29" s="1"/>
  <c r="M903" i="29"/>
  <c r="F903" i="29"/>
  <c r="L904" i="29" a="1"/>
  <c r="L904" i="29" s="1"/>
  <c r="B905" i="29" s="1"/>
  <c r="P902" i="29"/>
  <c r="G904" i="29"/>
  <c r="O873" i="29" l="1" a="1"/>
  <c r="O873" i="29" s="1"/>
  <c r="R873" i="29" s="1"/>
  <c r="S873" i="29" s="1"/>
  <c r="P903" i="29"/>
  <c r="G905" i="29"/>
  <c r="C904" i="29" a="1"/>
  <c r="C904" i="29" s="1"/>
  <c r="M904" i="29"/>
  <c r="F904" i="29"/>
  <c r="L905" i="29" a="1"/>
  <c r="L905" i="29" s="1"/>
  <c r="B906" i="29" s="1"/>
  <c r="N906" i="29" a="1"/>
  <c r="N906" i="29" s="1"/>
  <c r="Q906" i="29" a="1"/>
  <c r="Q906" i="29" s="1"/>
  <c r="I907" i="29"/>
  <c r="K908" i="29"/>
  <c r="O874" i="29" l="1" a="1"/>
  <c r="O874" i="29" s="1"/>
  <c r="R874" i="29" s="1"/>
  <c r="S874" i="29" s="1"/>
  <c r="K909" i="29"/>
  <c r="I908" i="29"/>
  <c r="Q907" i="29" a="1"/>
  <c r="Q907" i="29" s="1"/>
  <c r="N907" i="29" a="1"/>
  <c r="N907" i="29" s="1"/>
  <c r="P904" i="29"/>
  <c r="G906" i="29"/>
  <c r="C905" i="29" a="1"/>
  <c r="C905" i="29" s="1"/>
  <c r="M905" i="29"/>
  <c r="F905" i="29"/>
  <c r="L906" i="29" a="1"/>
  <c r="L906" i="29" s="1"/>
  <c r="B907" i="29" s="1"/>
  <c r="O875" i="29" l="1" a="1"/>
  <c r="O875" i="29" s="1"/>
  <c r="R875" i="29" s="1"/>
  <c r="S875" i="29" s="1"/>
  <c r="P905" i="29"/>
  <c r="C906" i="29" a="1"/>
  <c r="C906" i="29" s="1"/>
  <c r="M906" i="29"/>
  <c r="F906" i="29"/>
  <c r="L907" i="29" a="1"/>
  <c r="L907" i="29" s="1"/>
  <c r="B908" i="29" s="1"/>
  <c r="G907" i="29"/>
  <c r="N908" i="29" a="1"/>
  <c r="N908" i="29" s="1"/>
  <c r="Q908" i="29" a="1"/>
  <c r="Q908" i="29" s="1"/>
  <c r="I909" i="29"/>
  <c r="K910" i="29"/>
  <c r="O876" i="29" l="1" a="1"/>
  <c r="O876" i="29" s="1"/>
  <c r="R876" i="29" s="1"/>
  <c r="S876" i="29" s="1"/>
  <c r="K911" i="29"/>
  <c r="I910" i="29"/>
  <c r="Q909" i="29" a="1"/>
  <c r="Q909" i="29" s="1"/>
  <c r="N909" i="29" a="1"/>
  <c r="N909" i="29" s="1"/>
  <c r="C907" i="29" a="1"/>
  <c r="C907" i="29" s="1"/>
  <c r="M907" i="29"/>
  <c r="F907" i="29"/>
  <c r="L908" i="29" a="1"/>
  <c r="L908" i="29" s="1"/>
  <c r="B909" i="29" s="1"/>
  <c r="P906" i="29"/>
  <c r="G908" i="29"/>
  <c r="O877" i="29" l="1" a="1"/>
  <c r="O877" i="29" s="1"/>
  <c r="R877" i="29" s="1"/>
  <c r="S877" i="29" s="1"/>
  <c r="G909" i="29"/>
  <c r="C908" i="29" a="1"/>
  <c r="C908" i="29" s="1"/>
  <c r="M908" i="29"/>
  <c r="F908" i="29"/>
  <c r="L909" i="29" a="1"/>
  <c r="L909" i="29" s="1"/>
  <c r="B910" i="29" s="1"/>
  <c r="N910" i="29" a="1"/>
  <c r="N910" i="29" s="1"/>
  <c r="Q910" i="29" a="1"/>
  <c r="Q910" i="29" s="1"/>
  <c r="I911" i="29"/>
  <c r="K912" i="29"/>
  <c r="P907" i="29"/>
  <c r="O878" i="29" l="1" a="1"/>
  <c r="O878" i="29" s="1"/>
  <c r="R878" i="29" s="1"/>
  <c r="S878" i="29" s="1"/>
  <c r="P908" i="29"/>
  <c r="Q911" i="29" a="1"/>
  <c r="Q911" i="29" s="1"/>
  <c r="N911" i="29" a="1"/>
  <c r="N911" i="29" s="1"/>
  <c r="C909" i="29" a="1"/>
  <c r="C909" i="29" s="1"/>
  <c r="M909" i="29"/>
  <c r="F909" i="29"/>
  <c r="L910" i="29" a="1"/>
  <c r="L910" i="29" s="1"/>
  <c r="B911" i="29" s="1"/>
  <c r="K913" i="29"/>
  <c r="I912" i="29"/>
  <c r="G910" i="29"/>
  <c r="O879" i="29" l="1" a="1"/>
  <c r="O879" i="29" s="1"/>
  <c r="R879" i="29" s="1"/>
  <c r="S879" i="29" s="1"/>
  <c r="G911" i="29"/>
  <c r="N912" i="29" a="1"/>
  <c r="N912" i="29" s="1"/>
  <c r="Q912" i="29" a="1"/>
  <c r="Q912" i="29" s="1"/>
  <c r="I913" i="29"/>
  <c r="K914" i="29"/>
  <c r="C910" i="29" a="1"/>
  <c r="C910" i="29" s="1"/>
  <c r="M910" i="29"/>
  <c r="F910" i="29"/>
  <c r="L911" i="29" a="1"/>
  <c r="L911" i="29" s="1"/>
  <c r="P909" i="29"/>
  <c r="O880" i="29" l="1" a="1"/>
  <c r="O880" i="29" s="1"/>
  <c r="R880" i="29" s="1"/>
  <c r="S880" i="29" s="1"/>
  <c r="C911" i="29" a="1"/>
  <c r="C911" i="29" s="1"/>
  <c r="M911" i="29"/>
  <c r="F911" i="29"/>
  <c r="L912" i="29" a="1"/>
  <c r="L912" i="29" s="1"/>
  <c r="B913" i="29" s="1"/>
  <c r="P910" i="29"/>
  <c r="B912" i="29"/>
  <c r="G912" i="29"/>
  <c r="K915" i="29"/>
  <c r="I914" i="29"/>
  <c r="Q913" i="29" a="1"/>
  <c r="Q913" i="29" s="1"/>
  <c r="N913" i="29" a="1"/>
  <c r="N913" i="29" s="1"/>
  <c r="O881" i="29" l="1" a="1"/>
  <c r="O881" i="29" s="1"/>
  <c r="R881" i="29" s="1"/>
  <c r="S881" i="29" s="1"/>
  <c r="G913" i="29"/>
  <c r="P911" i="29"/>
  <c r="C912" i="29" a="1"/>
  <c r="C912" i="29" s="1"/>
  <c r="M912" i="29"/>
  <c r="F912" i="29"/>
  <c r="L913" i="29" a="1"/>
  <c r="L913" i="29" s="1"/>
  <c r="B914" i="29" s="1"/>
  <c r="N914" i="29" a="1"/>
  <c r="N914" i="29" s="1"/>
  <c r="Q914" i="29" a="1"/>
  <c r="Q914" i="29" s="1"/>
  <c r="I915" i="29"/>
  <c r="K916" i="29"/>
  <c r="O882" i="29" l="1" a="1"/>
  <c r="O882" i="29" s="1"/>
  <c r="R882" i="29" s="1"/>
  <c r="S882" i="29" s="1"/>
  <c r="K917" i="29"/>
  <c r="I916" i="29"/>
  <c r="Q915" i="29" a="1"/>
  <c r="Q915" i="29" s="1"/>
  <c r="N915" i="29" a="1"/>
  <c r="N915" i="29" s="1"/>
  <c r="G914" i="29"/>
  <c r="P912" i="29"/>
  <c r="C913" i="29" a="1"/>
  <c r="C913" i="29" s="1"/>
  <c r="M913" i="29"/>
  <c r="F913" i="29"/>
  <c r="L914" i="29" a="1"/>
  <c r="L914" i="29" s="1"/>
  <c r="B915" i="29" s="1"/>
  <c r="O883" i="29" l="1" a="1"/>
  <c r="O883" i="29" s="1"/>
  <c r="R883" i="29" s="1"/>
  <c r="S883" i="29" s="1"/>
  <c r="P913" i="29"/>
  <c r="C914" i="29" a="1"/>
  <c r="C914" i="29" s="1"/>
  <c r="M914" i="29"/>
  <c r="F914" i="29"/>
  <c r="L915" i="29" a="1"/>
  <c r="L915" i="29" s="1"/>
  <c r="G915" i="29"/>
  <c r="N916" i="29" a="1"/>
  <c r="N916" i="29" s="1"/>
  <c r="Q916" i="29" a="1"/>
  <c r="Q916" i="29" s="1"/>
  <c r="I917" i="29"/>
  <c r="K918" i="29"/>
  <c r="O884" i="29" l="1" a="1"/>
  <c r="O884" i="29" s="1"/>
  <c r="R884" i="29" s="1"/>
  <c r="S884" i="29" s="1"/>
  <c r="C915" i="29" a="1"/>
  <c r="C915" i="29" s="1"/>
  <c r="M915" i="29"/>
  <c r="F915" i="29"/>
  <c r="L916" i="29" a="1"/>
  <c r="L916" i="29" s="1"/>
  <c r="B916" i="29"/>
  <c r="K919" i="29"/>
  <c r="I918" i="29"/>
  <c r="Q917" i="29" a="1"/>
  <c r="Q917" i="29" s="1"/>
  <c r="N917" i="29" a="1"/>
  <c r="N917" i="29" s="1"/>
  <c r="P914" i="29"/>
  <c r="G916" i="29"/>
  <c r="O885" i="29" l="1" a="1"/>
  <c r="O885" i="29" s="1"/>
  <c r="R885" i="29" s="1"/>
  <c r="S885" i="29" s="1"/>
  <c r="C916" i="29" a="1"/>
  <c r="C916" i="29" s="1"/>
  <c r="M916" i="29"/>
  <c r="F916" i="29"/>
  <c r="L917" i="29" a="1"/>
  <c r="L917" i="29" s="1"/>
  <c r="P915" i="29"/>
  <c r="B917" i="29"/>
  <c r="I919" i="29"/>
  <c r="K920" i="29"/>
  <c r="G917" i="29"/>
  <c r="N918" i="29" a="1"/>
  <c r="N918" i="29" s="1"/>
  <c r="Q918" i="29" a="1"/>
  <c r="Q918" i="29" s="1"/>
  <c r="O886" i="29" l="1" a="1"/>
  <c r="O886" i="29" s="1"/>
  <c r="R886" i="29" s="1"/>
  <c r="S886" i="29" s="1"/>
  <c r="G918" i="29"/>
  <c r="P916" i="29"/>
  <c r="K921" i="29"/>
  <c r="I920" i="29"/>
  <c r="C917" i="29" a="1"/>
  <c r="C917" i="29" s="1"/>
  <c r="M917" i="29"/>
  <c r="F917" i="29"/>
  <c r="L918" i="29" a="1"/>
  <c r="L918" i="29" s="1"/>
  <c r="B919" i="29" s="1"/>
  <c r="Q919" i="29" a="1"/>
  <c r="Q919" i="29" s="1"/>
  <c r="N919" i="29" a="1"/>
  <c r="N919" i="29" s="1"/>
  <c r="B918" i="29"/>
  <c r="O887" i="29" l="1" a="1"/>
  <c r="O887" i="29" s="1"/>
  <c r="R887" i="29" s="1"/>
  <c r="S887" i="29" s="1"/>
  <c r="G919" i="29"/>
  <c r="N920" i="29" a="1"/>
  <c r="N920" i="29" s="1"/>
  <c r="Q920" i="29" a="1"/>
  <c r="Q920" i="29" s="1"/>
  <c r="I921" i="29"/>
  <c r="K922" i="29"/>
  <c r="P917" i="29"/>
  <c r="C918" i="29" a="1"/>
  <c r="C918" i="29" s="1"/>
  <c r="M918" i="29"/>
  <c r="F918" i="29"/>
  <c r="L919" i="29" a="1"/>
  <c r="L919" i="29" s="1"/>
  <c r="O888" i="29" l="1" a="1"/>
  <c r="O888" i="29" s="1"/>
  <c r="R888" i="29" s="1"/>
  <c r="S888" i="29" s="1"/>
  <c r="C919" i="29" a="1"/>
  <c r="C919" i="29" s="1"/>
  <c r="M919" i="29"/>
  <c r="F919" i="29"/>
  <c r="L920" i="29" a="1"/>
  <c r="L920" i="29" s="1"/>
  <c r="B921" i="29" s="1"/>
  <c r="B920" i="29"/>
  <c r="P918" i="29"/>
  <c r="G920" i="29"/>
  <c r="K923" i="29"/>
  <c r="I922" i="29"/>
  <c r="Q921" i="29" a="1"/>
  <c r="Q921" i="29" s="1"/>
  <c r="N921" i="29" a="1"/>
  <c r="N921" i="29" s="1"/>
  <c r="O889" i="29" l="1" a="1"/>
  <c r="O889" i="29" s="1"/>
  <c r="R889" i="29" s="1"/>
  <c r="S889" i="29" s="1"/>
  <c r="G921" i="29"/>
  <c r="N922" i="29" a="1"/>
  <c r="N922" i="29" s="1"/>
  <c r="Q922" i="29" a="1"/>
  <c r="Q922" i="29" s="1"/>
  <c r="I923" i="29"/>
  <c r="K924" i="29"/>
  <c r="C920" i="29" a="1"/>
  <c r="C920" i="29" s="1"/>
  <c r="M920" i="29"/>
  <c r="F920" i="29"/>
  <c r="L921" i="29" a="1"/>
  <c r="L921" i="29" s="1"/>
  <c r="P919" i="29"/>
  <c r="O890" i="29" l="1" a="1"/>
  <c r="O890" i="29" s="1"/>
  <c r="R890" i="29" s="1"/>
  <c r="S890" i="29" s="1"/>
  <c r="C921" i="29" a="1"/>
  <c r="C921" i="29" s="1"/>
  <c r="M921" i="29"/>
  <c r="F921" i="29"/>
  <c r="L922" i="29" a="1"/>
  <c r="L922" i="29" s="1"/>
  <c r="P920" i="29"/>
  <c r="B922" i="29"/>
  <c r="G922" i="29"/>
  <c r="K925" i="29"/>
  <c r="I924" i="29"/>
  <c r="Q923" i="29" a="1"/>
  <c r="Q923" i="29" s="1"/>
  <c r="N923" i="29" a="1"/>
  <c r="N923" i="29" s="1"/>
  <c r="O891" i="29" l="1" a="1"/>
  <c r="O891" i="29" s="1"/>
  <c r="R891" i="29" s="1"/>
  <c r="S891" i="29" s="1"/>
  <c r="C922" i="29" a="1"/>
  <c r="C922" i="29" s="1"/>
  <c r="M922" i="29"/>
  <c r="F922" i="29"/>
  <c r="L923" i="29" a="1"/>
  <c r="L923" i="29" s="1"/>
  <c r="B924" i="29" s="1"/>
  <c r="P921" i="29"/>
  <c r="G923" i="29"/>
  <c r="B923" i="29"/>
  <c r="N924" i="29" a="1"/>
  <c r="N924" i="29" s="1"/>
  <c r="Q924" i="29" a="1"/>
  <c r="Q924" i="29" s="1"/>
  <c r="I925" i="29"/>
  <c r="K926" i="29"/>
  <c r="O892" i="29" l="1" a="1"/>
  <c r="O892" i="29" s="1"/>
  <c r="R892" i="29" s="1"/>
  <c r="S892" i="29" s="1"/>
  <c r="Q925" i="29" a="1"/>
  <c r="Q925" i="29" s="1"/>
  <c r="N925" i="29" a="1"/>
  <c r="N925" i="29" s="1"/>
  <c r="P922" i="29"/>
  <c r="C923" i="29" a="1"/>
  <c r="C923" i="29" s="1"/>
  <c r="M923" i="29"/>
  <c r="F923" i="29"/>
  <c r="L924" i="29" a="1"/>
  <c r="L924" i="29" s="1"/>
  <c r="G924" i="29"/>
  <c r="K927" i="29"/>
  <c r="I926" i="29"/>
  <c r="O893" i="29" l="1" a="1"/>
  <c r="O893" i="29" s="1"/>
  <c r="R893" i="29" s="1"/>
  <c r="S893" i="29" s="1"/>
  <c r="N926" i="29" a="1"/>
  <c r="N926" i="29" s="1"/>
  <c r="Q926" i="29" a="1"/>
  <c r="Q926" i="29" s="1"/>
  <c r="I927" i="29"/>
  <c r="K928" i="29"/>
  <c r="G925" i="29"/>
  <c r="C924" i="29" a="1"/>
  <c r="C924" i="29" s="1"/>
  <c r="M924" i="29"/>
  <c r="F924" i="29"/>
  <c r="L925" i="29" a="1"/>
  <c r="L925" i="29" s="1"/>
  <c r="B925" i="29"/>
  <c r="P923" i="29"/>
  <c r="O894" i="29" l="1" a="1"/>
  <c r="O894" i="29" s="1"/>
  <c r="R894" i="29" s="1"/>
  <c r="S894" i="29" s="1"/>
  <c r="K929" i="29"/>
  <c r="I928" i="29"/>
  <c r="Q927" i="29" a="1"/>
  <c r="Q927" i="29" s="1"/>
  <c r="N927" i="29" a="1"/>
  <c r="N927" i="29" s="1"/>
  <c r="C925" i="29" a="1"/>
  <c r="C925" i="29" s="1"/>
  <c r="M925" i="29"/>
  <c r="F925" i="29"/>
  <c r="L926" i="29" a="1"/>
  <c r="L926" i="29" s="1"/>
  <c r="B927" i="29" s="1"/>
  <c r="B926" i="29"/>
  <c r="P924" i="29"/>
  <c r="G926" i="29"/>
  <c r="O895" i="29" l="1" a="1"/>
  <c r="O895" i="29" s="1"/>
  <c r="R895" i="29" s="1"/>
  <c r="S895" i="29" s="1"/>
  <c r="G927" i="29"/>
  <c r="C926" i="29" a="1"/>
  <c r="C926" i="29" s="1"/>
  <c r="M926" i="29"/>
  <c r="F926" i="29"/>
  <c r="L927" i="29" a="1"/>
  <c r="L927" i="29" s="1"/>
  <c r="N928" i="29" a="1"/>
  <c r="N928" i="29" s="1"/>
  <c r="Q928" i="29" a="1"/>
  <c r="Q928" i="29" s="1"/>
  <c r="I929" i="29"/>
  <c r="K930" i="29"/>
  <c r="P925" i="29"/>
  <c r="O896" i="29" l="1" a="1"/>
  <c r="O896" i="29" s="1"/>
  <c r="R896" i="29" s="1"/>
  <c r="S896" i="29" s="1"/>
  <c r="C927" i="29" a="1"/>
  <c r="C927" i="29" s="1"/>
  <c r="M927" i="29"/>
  <c r="F927" i="29"/>
  <c r="L928" i="29" a="1"/>
  <c r="L928" i="29" s="1"/>
  <c r="K931" i="29"/>
  <c r="I930" i="29"/>
  <c r="P926" i="29"/>
  <c r="Q929" i="29" a="1"/>
  <c r="Q929" i="29" s="1"/>
  <c r="N929" i="29" a="1"/>
  <c r="N929" i="29" s="1"/>
  <c r="B928" i="29"/>
  <c r="G928" i="29"/>
  <c r="O897" i="29" l="1" a="1"/>
  <c r="O897" i="29" s="1"/>
  <c r="R897" i="29" s="1"/>
  <c r="S897" i="29" s="1"/>
  <c r="I931" i="29"/>
  <c r="K932" i="29"/>
  <c r="G929" i="29"/>
  <c r="N930" i="29" a="1"/>
  <c r="N930" i="29" s="1"/>
  <c r="Q930" i="29" a="1"/>
  <c r="Q930" i="29" s="1"/>
  <c r="C928" i="29" a="1"/>
  <c r="C928" i="29" s="1"/>
  <c r="M928" i="29"/>
  <c r="F928" i="29"/>
  <c r="L929" i="29" a="1"/>
  <c r="L929" i="29" s="1"/>
  <c r="B929" i="29"/>
  <c r="P927" i="29"/>
  <c r="O898" i="29" l="1" a="1"/>
  <c r="O898" i="29" s="1"/>
  <c r="R898" i="29" s="1"/>
  <c r="S898" i="29" s="1"/>
  <c r="C929" i="29" a="1"/>
  <c r="C929" i="29" s="1"/>
  <c r="M929" i="29"/>
  <c r="F929" i="29"/>
  <c r="L930" i="29" a="1"/>
  <c r="L930" i="29" s="1"/>
  <c r="B931" i="29" s="1"/>
  <c r="G930" i="29"/>
  <c r="P928" i="29"/>
  <c r="K933" i="29"/>
  <c r="I932" i="29"/>
  <c r="Q931" i="29" a="1"/>
  <c r="Q931" i="29" s="1"/>
  <c r="N931" i="29" a="1"/>
  <c r="N931" i="29" s="1"/>
  <c r="B930" i="29"/>
  <c r="O899" i="29" l="1" a="1"/>
  <c r="O899" i="29" s="1"/>
  <c r="R899" i="29" s="1"/>
  <c r="S899" i="29" s="1"/>
  <c r="G931" i="29"/>
  <c r="N932" i="29" a="1"/>
  <c r="N932" i="29" s="1"/>
  <c r="Q932" i="29" a="1"/>
  <c r="Q932" i="29" s="1"/>
  <c r="P929" i="29"/>
  <c r="I933" i="29"/>
  <c r="K934" i="29"/>
  <c r="C930" i="29" a="1"/>
  <c r="C930" i="29" s="1"/>
  <c r="M930" i="29"/>
  <c r="F930" i="29"/>
  <c r="L931" i="29" a="1"/>
  <c r="L931" i="29" s="1"/>
  <c r="O900" i="29" l="1" a="1"/>
  <c r="O900" i="29" s="1"/>
  <c r="R900" i="29" s="1"/>
  <c r="S900" i="29" s="1"/>
  <c r="P930" i="29"/>
  <c r="Q933" i="29" a="1"/>
  <c r="Q933" i="29" s="1"/>
  <c r="N933" i="29" a="1"/>
  <c r="N933" i="29" s="1"/>
  <c r="C931" i="29" a="1"/>
  <c r="C931" i="29" s="1"/>
  <c r="M931" i="29"/>
  <c r="F931" i="29"/>
  <c r="L932" i="29" a="1"/>
  <c r="L932" i="29" s="1"/>
  <c r="B933" i="29" s="1"/>
  <c r="B932" i="29"/>
  <c r="G932" i="29"/>
  <c r="K935" i="29"/>
  <c r="I934" i="29"/>
  <c r="O901" i="29" l="1" a="1"/>
  <c r="O901" i="29" s="1"/>
  <c r="R901" i="29" s="1"/>
  <c r="S901" i="29" s="1"/>
  <c r="I935" i="29"/>
  <c r="K936" i="29"/>
  <c r="G933" i="29"/>
  <c r="P931" i="29"/>
  <c r="C932" i="29" a="1"/>
  <c r="C932" i="29" s="1"/>
  <c r="M932" i="29"/>
  <c r="F932" i="29"/>
  <c r="L933" i="29" a="1"/>
  <c r="L933" i="29" s="1"/>
  <c r="B934" i="29" s="1"/>
  <c r="N934" i="29" a="1"/>
  <c r="N934" i="29" s="1"/>
  <c r="Q934" i="29" a="1"/>
  <c r="Q934" i="29" s="1"/>
  <c r="O902" i="29" l="1" a="1"/>
  <c r="O902" i="29" s="1"/>
  <c r="R902" i="29" s="1"/>
  <c r="S902" i="29" s="1"/>
  <c r="G934" i="29"/>
  <c r="C933" i="29" a="1"/>
  <c r="C933" i="29" s="1"/>
  <c r="M933" i="29"/>
  <c r="F933" i="29"/>
  <c r="L934" i="29" a="1"/>
  <c r="L934" i="29" s="1"/>
  <c r="K937" i="29"/>
  <c r="I936" i="29"/>
  <c r="Q935" i="29" a="1"/>
  <c r="Q935" i="29" s="1"/>
  <c r="N935" i="29" a="1"/>
  <c r="N935" i="29" s="1"/>
  <c r="P932" i="29"/>
  <c r="O903" i="29" l="1" a="1"/>
  <c r="O903" i="29" s="1"/>
  <c r="R903" i="29" s="1"/>
  <c r="S903" i="29" s="1"/>
  <c r="C934" i="29" a="1"/>
  <c r="C934" i="29" s="1"/>
  <c r="M934" i="29"/>
  <c r="F934" i="29"/>
  <c r="L935" i="29" a="1"/>
  <c r="L935" i="29" s="1"/>
  <c r="B936" i="29" s="1"/>
  <c r="P933" i="29"/>
  <c r="G935" i="29"/>
  <c r="B935" i="29"/>
  <c r="N936" i="29" a="1"/>
  <c r="N936" i="29" s="1"/>
  <c r="Q936" i="29" a="1"/>
  <c r="Q936" i="29" s="1"/>
  <c r="I937" i="29"/>
  <c r="K938" i="29"/>
  <c r="O904" i="29" l="1" a="1"/>
  <c r="O904" i="29" s="1"/>
  <c r="R904" i="29" s="1"/>
  <c r="S904" i="29" s="1"/>
  <c r="Q937" i="29" a="1"/>
  <c r="Q937" i="29" s="1"/>
  <c r="N937" i="29" a="1"/>
  <c r="N937" i="29" s="1"/>
  <c r="C935" i="29" a="1"/>
  <c r="C935" i="29" s="1"/>
  <c r="M935" i="29"/>
  <c r="F935" i="29"/>
  <c r="L936" i="29" a="1"/>
  <c r="L936" i="29" s="1"/>
  <c r="B937" i="29" s="1"/>
  <c r="G936" i="29"/>
  <c r="P934" i="29"/>
  <c r="K939" i="29"/>
  <c r="I938" i="29"/>
  <c r="O905" i="29" l="1" a="1"/>
  <c r="O905" i="29" s="1"/>
  <c r="R905" i="29" s="1"/>
  <c r="S905" i="29" s="1"/>
  <c r="N938" i="29" a="1"/>
  <c r="N938" i="29" s="1"/>
  <c r="Q938" i="29" a="1"/>
  <c r="Q938" i="29" s="1"/>
  <c r="G937" i="29"/>
  <c r="P935" i="29"/>
  <c r="I939" i="29"/>
  <c r="K940" i="29"/>
  <c r="C936" i="29" a="1"/>
  <c r="C936" i="29" s="1"/>
  <c r="M936" i="29"/>
  <c r="F936" i="29"/>
  <c r="L937" i="29" a="1"/>
  <c r="L937" i="29" s="1"/>
  <c r="O906" i="29" l="1" a="1"/>
  <c r="O906" i="29" s="1"/>
  <c r="R906" i="29" s="1"/>
  <c r="S906" i="29" s="1"/>
  <c r="C937" i="29" a="1"/>
  <c r="C937" i="29" s="1"/>
  <c r="M937" i="29"/>
  <c r="F937" i="29"/>
  <c r="L938" i="29" a="1"/>
  <c r="L938" i="29" s="1"/>
  <c r="P936" i="29"/>
  <c r="B938" i="29"/>
  <c r="K941" i="29"/>
  <c r="I940" i="29"/>
  <c r="Q939" i="29" a="1"/>
  <c r="Q939" i="29" s="1"/>
  <c r="N939" i="29" a="1"/>
  <c r="N939" i="29" s="1"/>
  <c r="G938" i="29"/>
  <c r="O907" i="29" l="1" a="1"/>
  <c r="O907" i="29" s="1"/>
  <c r="R907" i="29" s="1"/>
  <c r="S907" i="29" s="1"/>
  <c r="G939" i="29"/>
  <c r="P937" i="29"/>
  <c r="C938" i="29" a="1"/>
  <c r="C938" i="29" s="1"/>
  <c r="M938" i="29"/>
  <c r="F938" i="29"/>
  <c r="L939" i="29" a="1"/>
  <c r="L939" i="29" s="1"/>
  <c r="B940" i="29" s="1"/>
  <c r="B939" i="29"/>
  <c r="N940" i="29" a="1"/>
  <c r="N940" i="29" s="1"/>
  <c r="Q940" i="29" a="1"/>
  <c r="Q940" i="29" s="1"/>
  <c r="I941" i="29"/>
  <c r="K942" i="29"/>
  <c r="O908" i="29" l="1" a="1"/>
  <c r="O908" i="29" s="1"/>
  <c r="R908" i="29" s="1"/>
  <c r="S908" i="29" s="1"/>
  <c r="Q941" i="29" a="1"/>
  <c r="Q941" i="29" s="1"/>
  <c r="N941" i="29" a="1"/>
  <c r="N941" i="29" s="1"/>
  <c r="G940" i="29"/>
  <c r="P938" i="29"/>
  <c r="C939" i="29" a="1"/>
  <c r="C939" i="29" s="1"/>
  <c r="M939" i="29"/>
  <c r="F939" i="29"/>
  <c r="L940" i="29" a="1"/>
  <c r="L940" i="29" s="1"/>
  <c r="K943" i="29"/>
  <c r="I942" i="29"/>
  <c r="O909" i="29" l="1" a="1"/>
  <c r="O909" i="29" s="1"/>
  <c r="R909" i="29" s="1"/>
  <c r="S909" i="29" s="1"/>
  <c r="C940" i="29" a="1"/>
  <c r="C940" i="29" s="1"/>
  <c r="M940" i="29"/>
  <c r="F940" i="29"/>
  <c r="L941" i="29" a="1"/>
  <c r="L941" i="29" s="1"/>
  <c r="B942" i="29" s="1"/>
  <c r="P939" i="29"/>
  <c r="B941" i="29"/>
  <c r="N942" i="29" a="1"/>
  <c r="N942" i="29" s="1"/>
  <c r="Q942" i="29" a="1"/>
  <c r="Q942" i="29" s="1"/>
  <c r="I943" i="29"/>
  <c r="K944" i="29"/>
  <c r="G941" i="29"/>
  <c r="O910" i="29" l="1" a="1"/>
  <c r="O910" i="29" s="1"/>
  <c r="R910" i="29" s="1"/>
  <c r="S910" i="29" s="1"/>
  <c r="C941" i="29" a="1"/>
  <c r="C941" i="29" s="1"/>
  <c r="M941" i="29"/>
  <c r="F941" i="29"/>
  <c r="L942" i="29" a="1"/>
  <c r="L942" i="29" s="1"/>
  <c r="B943" i="29" s="1"/>
  <c r="P940" i="29"/>
  <c r="G942" i="29"/>
  <c r="K945" i="29"/>
  <c r="I944" i="29"/>
  <c r="Q943" i="29" a="1"/>
  <c r="Q943" i="29" s="1"/>
  <c r="N943" i="29" a="1"/>
  <c r="N943" i="29" s="1"/>
  <c r="O911" i="29" l="1" a="1"/>
  <c r="O911" i="29" s="1"/>
  <c r="R911" i="29" s="1"/>
  <c r="S911" i="29" s="1"/>
  <c r="G943" i="29"/>
  <c r="P941" i="29"/>
  <c r="I945" i="29"/>
  <c r="K946" i="29"/>
  <c r="C942" i="29" a="1"/>
  <c r="C942" i="29" s="1"/>
  <c r="M942" i="29"/>
  <c r="F942" i="29"/>
  <c r="L943" i="29" a="1"/>
  <c r="L943" i="29" s="1"/>
  <c r="N944" i="29" a="1"/>
  <c r="N944" i="29" s="1"/>
  <c r="Q944" i="29" a="1"/>
  <c r="Q944" i="29" s="1"/>
  <c r="O912" i="29" l="1" a="1"/>
  <c r="O912" i="29" s="1"/>
  <c r="R912" i="29" s="1"/>
  <c r="S912" i="29" s="1"/>
  <c r="Q945" i="29" a="1"/>
  <c r="Q945" i="29" s="1"/>
  <c r="N945" i="29" a="1"/>
  <c r="N945" i="29" s="1"/>
  <c r="C943" i="29" a="1"/>
  <c r="C943" i="29" s="1"/>
  <c r="M943" i="29"/>
  <c r="F943" i="29"/>
  <c r="L944" i="29" a="1"/>
  <c r="L944" i="29" s="1"/>
  <c r="B945" i="29" s="1"/>
  <c r="P942" i="29"/>
  <c r="B944" i="29"/>
  <c r="K947" i="29"/>
  <c r="I946" i="29"/>
  <c r="G944" i="29"/>
  <c r="O913" i="29" l="1" a="1"/>
  <c r="O913" i="29" s="1"/>
  <c r="R913" i="29" s="1"/>
  <c r="S913" i="29" s="1"/>
  <c r="P943" i="29"/>
  <c r="N946" i="29" a="1"/>
  <c r="N946" i="29" s="1"/>
  <c r="Q946" i="29" a="1"/>
  <c r="Q946" i="29" s="1"/>
  <c r="G945" i="29"/>
  <c r="I947" i="29"/>
  <c r="K948" i="29"/>
  <c r="C944" i="29" a="1"/>
  <c r="C944" i="29" s="1"/>
  <c r="M944" i="29"/>
  <c r="F944" i="29"/>
  <c r="L945" i="29" a="1"/>
  <c r="L945" i="29" s="1"/>
  <c r="O914" i="29" l="1" a="1"/>
  <c r="O914" i="29" s="1"/>
  <c r="R914" i="29" s="1"/>
  <c r="S914" i="29" s="1"/>
  <c r="C945" i="29" a="1"/>
  <c r="C945" i="29" s="1"/>
  <c r="M945" i="29"/>
  <c r="F945" i="29"/>
  <c r="L946" i="29" a="1"/>
  <c r="L946" i="29" s="1"/>
  <c r="B947" i="29" s="1"/>
  <c r="B946" i="29"/>
  <c r="P944" i="29"/>
  <c r="G946" i="29"/>
  <c r="K949" i="29"/>
  <c r="I948" i="29"/>
  <c r="Q947" i="29" a="1"/>
  <c r="Q947" i="29" s="1"/>
  <c r="N947" i="29" a="1"/>
  <c r="N947" i="29" s="1"/>
  <c r="O915" i="29" l="1" a="1"/>
  <c r="O915" i="29" s="1"/>
  <c r="R915" i="29" s="1"/>
  <c r="S915" i="29" s="1"/>
  <c r="G947" i="29"/>
  <c r="P945" i="29"/>
  <c r="C946" i="29" a="1"/>
  <c r="C946" i="29" s="1"/>
  <c r="M946" i="29"/>
  <c r="F946" i="29"/>
  <c r="L947" i="29" a="1"/>
  <c r="L947" i="29" s="1"/>
  <c r="B948" i="29" s="1"/>
  <c r="N948" i="29" a="1"/>
  <c r="N948" i="29" s="1"/>
  <c r="Q948" i="29" a="1"/>
  <c r="Q948" i="29" s="1"/>
  <c r="I949" i="29"/>
  <c r="K950" i="29"/>
  <c r="O916" i="29" l="1" a="1"/>
  <c r="O916" i="29" s="1"/>
  <c r="R916" i="29" s="1"/>
  <c r="S916" i="29" s="1"/>
  <c r="K951" i="29"/>
  <c r="I950" i="29"/>
  <c r="Q949" i="29" a="1"/>
  <c r="Q949" i="29" s="1"/>
  <c r="N949" i="29" a="1"/>
  <c r="N949" i="29" s="1"/>
  <c r="G948" i="29"/>
  <c r="P946" i="29"/>
  <c r="C947" i="29" a="1"/>
  <c r="C947" i="29" s="1"/>
  <c r="M947" i="29"/>
  <c r="F947" i="29"/>
  <c r="L948" i="29" a="1"/>
  <c r="L948" i="29" s="1"/>
  <c r="B949" i="29" s="1"/>
  <c r="O917" i="29" l="1" a="1"/>
  <c r="O917" i="29" s="1"/>
  <c r="R917" i="29" s="1"/>
  <c r="S917" i="29" s="1"/>
  <c r="P947" i="29"/>
  <c r="C948" i="29" a="1"/>
  <c r="C948" i="29" s="1"/>
  <c r="M948" i="29"/>
  <c r="F948" i="29"/>
  <c r="L949" i="29" a="1"/>
  <c r="L949" i="29" s="1"/>
  <c r="G949" i="29"/>
  <c r="N950" i="29" a="1"/>
  <c r="N950" i="29" s="1"/>
  <c r="Q950" i="29" a="1"/>
  <c r="Q950" i="29" s="1"/>
  <c r="I951" i="29"/>
  <c r="K952" i="29"/>
  <c r="O918" i="29" l="1" a="1"/>
  <c r="O918" i="29" s="1"/>
  <c r="R918" i="29" s="1"/>
  <c r="S918" i="29" s="1"/>
  <c r="C949" i="29" a="1"/>
  <c r="C949" i="29" s="1"/>
  <c r="M949" i="29"/>
  <c r="F949" i="29"/>
  <c r="L950" i="29" a="1"/>
  <c r="L950" i="29" s="1"/>
  <c r="P948" i="29"/>
  <c r="B950" i="29"/>
  <c r="K953" i="29"/>
  <c r="I952" i="29"/>
  <c r="Q951" i="29" a="1"/>
  <c r="Q951" i="29" s="1"/>
  <c r="N951" i="29" a="1"/>
  <c r="N951" i="29" s="1"/>
  <c r="G950" i="29"/>
  <c r="O919" i="29" l="1" a="1"/>
  <c r="O919" i="29" s="1"/>
  <c r="R919" i="29" s="1"/>
  <c r="S919" i="29" s="1"/>
  <c r="G951" i="29"/>
  <c r="P949" i="29"/>
  <c r="N952" i="29" a="1"/>
  <c r="N952" i="29" s="1"/>
  <c r="Q952" i="29" a="1"/>
  <c r="Q952" i="29" s="1"/>
  <c r="C950" i="29" a="1"/>
  <c r="C950" i="29" s="1"/>
  <c r="M950" i="29"/>
  <c r="F950" i="29"/>
  <c r="L951" i="29" a="1"/>
  <c r="L951" i="29" s="1"/>
  <c r="B951" i="29"/>
  <c r="I953" i="29"/>
  <c r="K954" i="29"/>
  <c r="O920" i="29" l="1" a="1"/>
  <c r="O920" i="29" s="1"/>
  <c r="R920" i="29" s="1"/>
  <c r="S920" i="29" s="1"/>
  <c r="Q953" i="29" a="1"/>
  <c r="Q953" i="29" s="1"/>
  <c r="N953" i="29" a="1"/>
  <c r="N953" i="29" s="1"/>
  <c r="G952" i="29"/>
  <c r="P950" i="29"/>
  <c r="C951" i="29" a="1"/>
  <c r="C951" i="29" s="1"/>
  <c r="M951" i="29"/>
  <c r="F951" i="29"/>
  <c r="L952" i="29" a="1"/>
  <c r="L952" i="29" s="1"/>
  <c r="B953" i="29" s="1"/>
  <c r="B952" i="29"/>
  <c r="K955" i="29"/>
  <c r="I954" i="29"/>
  <c r="O921" i="29" l="1" a="1"/>
  <c r="O921" i="29" s="1"/>
  <c r="R921" i="29" s="1"/>
  <c r="S921" i="29" s="1"/>
  <c r="I955" i="29"/>
  <c r="K956" i="29"/>
  <c r="G953" i="29"/>
  <c r="P951" i="29"/>
  <c r="C952" i="29" a="1"/>
  <c r="C952" i="29" s="1"/>
  <c r="M952" i="29"/>
  <c r="F952" i="29"/>
  <c r="L953" i="29" a="1"/>
  <c r="L953" i="29" s="1"/>
  <c r="B954" i="29" s="1"/>
  <c r="N954" i="29" a="1"/>
  <c r="N954" i="29" s="1"/>
  <c r="Q954" i="29" a="1"/>
  <c r="Q954" i="29" s="1"/>
  <c r="O922" i="29" l="1" a="1"/>
  <c r="O922" i="29" s="1"/>
  <c r="R922" i="29" s="1"/>
  <c r="S922" i="29" s="1"/>
  <c r="G954" i="29"/>
  <c r="P952" i="29"/>
  <c r="C953" i="29" a="1"/>
  <c r="C953" i="29" s="1"/>
  <c r="F953" i="29"/>
  <c r="M953" i="29"/>
  <c r="L954" i="29" a="1"/>
  <c r="L954" i="29" s="1"/>
  <c r="B955" i="29" s="1"/>
  <c r="K957" i="29"/>
  <c r="I956" i="29"/>
  <c r="Q955" i="29" a="1"/>
  <c r="Q955" i="29" s="1"/>
  <c r="N955" i="29" a="1"/>
  <c r="N955" i="29" s="1"/>
  <c r="O923" i="29" l="1" a="1"/>
  <c r="O923" i="29" s="1"/>
  <c r="R923" i="29" s="1"/>
  <c r="S923" i="29" s="1"/>
  <c r="G955" i="29"/>
  <c r="N956" i="29" a="1"/>
  <c r="N956" i="29" s="1"/>
  <c r="Q956" i="29" a="1"/>
  <c r="Q956" i="29" s="1"/>
  <c r="I957" i="29"/>
  <c r="K958" i="29"/>
  <c r="C954" i="29" a="1"/>
  <c r="C954" i="29" s="1"/>
  <c r="M954" i="29"/>
  <c r="F954" i="29"/>
  <c r="L955" i="29" a="1"/>
  <c r="L955" i="29" s="1"/>
  <c r="B956" i="29" s="1"/>
  <c r="P953" i="29"/>
  <c r="O924" i="29" l="1" a="1"/>
  <c r="O924" i="29" s="1"/>
  <c r="R924" i="29" s="1"/>
  <c r="S924" i="29" s="1"/>
  <c r="G956" i="29"/>
  <c r="C955" i="29" a="1"/>
  <c r="C955" i="29" s="1"/>
  <c r="F955" i="29"/>
  <c r="M955" i="29"/>
  <c r="L956" i="29" a="1"/>
  <c r="L956" i="29" s="1"/>
  <c r="B957" i="29" s="1"/>
  <c r="P954" i="29"/>
  <c r="K959" i="29"/>
  <c r="I958" i="29"/>
  <c r="Q957" i="29" a="1"/>
  <c r="Q957" i="29" s="1"/>
  <c r="N957" i="29" a="1"/>
  <c r="N957" i="29" s="1"/>
  <c r="O925" i="29" l="1" a="1"/>
  <c r="O925" i="29" s="1"/>
  <c r="R925" i="29" s="1"/>
  <c r="S925" i="29" s="1"/>
  <c r="G957" i="29"/>
  <c r="C956" i="29" a="1"/>
  <c r="C956" i="29" s="1"/>
  <c r="M956" i="29"/>
  <c r="F956" i="29"/>
  <c r="L957" i="29" a="1"/>
  <c r="L957" i="29" s="1"/>
  <c r="P955" i="29"/>
  <c r="N958" i="29" a="1"/>
  <c r="N958" i="29" s="1"/>
  <c r="Q958" i="29" a="1"/>
  <c r="Q958" i="29" s="1"/>
  <c r="I959" i="29"/>
  <c r="K960" i="29"/>
  <c r="O926" i="29" l="1" a="1"/>
  <c r="O926" i="29" s="1"/>
  <c r="R926" i="29" s="1"/>
  <c r="S926" i="29" s="1"/>
  <c r="K961" i="29"/>
  <c r="I960" i="29"/>
  <c r="P956" i="29"/>
  <c r="F957" i="29"/>
  <c r="M957" i="29"/>
  <c r="C957" i="29" a="1"/>
  <c r="C957" i="29" s="1"/>
  <c r="L958" i="29" a="1"/>
  <c r="L958" i="29" s="1"/>
  <c r="Q959" i="29" a="1"/>
  <c r="Q959" i="29" s="1"/>
  <c r="N959" i="29" a="1"/>
  <c r="N959" i="29" s="1"/>
  <c r="B958" i="29"/>
  <c r="G958" i="29"/>
  <c r="O927" i="29" l="1" a="1"/>
  <c r="O927" i="29" s="1"/>
  <c r="R927" i="29" s="1"/>
  <c r="S927" i="29" s="1"/>
  <c r="C958" i="29" a="1"/>
  <c r="C958" i="29" s="1"/>
  <c r="M958" i="29"/>
  <c r="F958" i="29"/>
  <c r="L959" i="29" a="1"/>
  <c r="L959" i="29" s="1"/>
  <c r="B960" i="29" s="1"/>
  <c r="P957" i="29"/>
  <c r="G959" i="29"/>
  <c r="B959" i="29"/>
  <c r="N960" i="29" a="1"/>
  <c r="N960" i="29" s="1"/>
  <c r="Q960" i="29" a="1"/>
  <c r="Q960" i="29" s="1"/>
  <c r="I961" i="29"/>
  <c r="K962" i="29"/>
  <c r="O928" i="29" l="1" a="1"/>
  <c r="O928" i="29" s="1"/>
  <c r="R928" i="29" s="1"/>
  <c r="S928" i="29" s="1"/>
  <c r="Q961" i="29" a="1"/>
  <c r="Q961" i="29" s="1"/>
  <c r="N961" i="29" a="1"/>
  <c r="N961" i="29" s="1"/>
  <c r="M959" i="29"/>
  <c r="C959" i="29" a="1"/>
  <c r="C959" i="29" s="1"/>
  <c r="F959" i="29"/>
  <c r="L960" i="29" a="1"/>
  <c r="L960" i="29" s="1"/>
  <c r="B961" i="29" s="1"/>
  <c r="G960" i="29"/>
  <c r="P958" i="29"/>
  <c r="K963" i="29"/>
  <c r="I962" i="29"/>
  <c r="O929" i="29" l="1" a="1"/>
  <c r="O929" i="29" s="1"/>
  <c r="R929" i="29" s="1"/>
  <c r="S929" i="29" s="1"/>
  <c r="P959" i="29"/>
  <c r="N962" i="29" a="1"/>
  <c r="N962" i="29" s="1"/>
  <c r="Q962" i="29" a="1"/>
  <c r="Q962" i="29" s="1"/>
  <c r="I963" i="29"/>
  <c r="K964" i="29"/>
  <c r="G961" i="29"/>
  <c r="C960" i="29" a="1"/>
  <c r="C960" i="29" s="1"/>
  <c r="M960" i="29"/>
  <c r="F960" i="29"/>
  <c r="L961" i="29" a="1"/>
  <c r="L961" i="29" s="1"/>
  <c r="O930" i="29" l="1" a="1"/>
  <c r="O930" i="29" s="1"/>
  <c r="R930" i="29" s="1"/>
  <c r="S930" i="29" s="1"/>
  <c r="M961" i="29"/>
  <c r="C961" i="29" a="1"/>
  <c r="C961" i="29" s="1"/>
  <c r="F961" i="29"/>
  <c r="L962" i="29" a="1"/>
  <c r="L962" i="29" s="1"/>
  <c r="B963" i="29" s="1"/>
  <c r="B962" i="29"/>
  <c r="P960" i="29"/>
  <c r="G962" i="29"/>
  <c r="K965" i="29"/>
  <c r="I964" i="29"/>
  <c r="Q963" i="29" a="1"/>
  <c r="Q963" i="29" s="1"/>
  <c r="N963" i="29" a="1"/>
  <c r="N963" i="29" s="1"/>
  <c r="O931" i="29" l="1" a="1"/>
  <c r="O931" i="29" s="1"/>
  <c r="R931" i="29" s="1"/>
  <c r="S931" i="29" s="1"/>
  <c r="G963" i="29"/>
  <c r="N964" i="29" a="1"/>
  <c r="N964" i="29" s="1"/>
  <c r="Q964" i="29" a="1"/>
  <c r="Q964" i="29" s="1"/>
  <c r="I965" i="29"/>
  <c r="K966" i="29"/>
  <c r="C962" i="29" a="1"/>
  <c r="C962" i="29" s="1"/>
  <c r="M962" i="29"/>
  <c r="F962" i="29"/>
  <c r="L963" i="29" a="1"/>
  <c r="L963" i="29" s="1"/>
  <c r="B964" i="29" s="1"/>
  <c r="P961" i="29"/>
  <c r="O932" i="29" l="1" a="1"/>
  <c r="O932" i="29" s="1"/>
  <c r="R932" i="29" s="1"/>
  <c r="S932" i="29" s="1"/>
  <c r="G964" i="29"/>
  <c r="C963" i="29" a="1"/>
  <c r="C963" i="29" s="1"/>
  <c r="F963" i="29"/>
  <c r="M963" i="29"/>
  <c r="L964" i="29" a="1"/>
  <c r="L964" i="29" s="1"/>
  <c r="P962" i="29"/>
  <c r="K967" i="29"/>
  <c r="I966" i="29"/>
  <c r="Q965" i="29" a="1"/>
  <c r="Q965" i="29" s="1"/>
  <c r="N965" i="29" a="1"/>
  <c r="N965" i="29" s="1"/>
  <c r="O933" i="29" l="1" a="1"/>
  <c r="O933" i="29" s="1"/>
  <c r="R933" i="29" s="1"/>
  <c r="S933" i="29" s="1"/>
  <c r="P963" i="29"/>
  <c r="C964" i="29" a="1"/>
  <c r="C964" i="29" s="1"/>
  <c r="M964" i="29"/>
  <c r="F964" i="29"/>
  <c r="L965" i="29" a="1"/>
  <c r="L965" i="29" s="1"/>
  <c r="G965" i="29"/>
  <c r="B965" i="29"/>
  <c r="N966" i="29" a="1"/>
  <c r="N966" i="29" s="1"/>
  <c r="Q966" i="29" a="1"/>
  <c r="Q966" i="29" s="1"/>
  <c r="I967" i="29"/>
  <c r="K968" i="29"/>
  <c r="O934" i="29" l="1" a="1"/>
  <c r="O934" i="29" s="1"/>
  <c r="R934" i="29" s="1"/>
  <c r="S934" i="29" s="1"/>
  <c r="Q967" i="29" a="1"/>
  <c r="Q967" i="29" s="1"/>
  <c r="N967" i="29" a="1"/>
  <c r="N967" i="29" s="1"/>
  <c r="C965" i="29" a="1"/>
  <c r="C965" i="29" s="1"/>
  <c r="F965" i="29"/>
  <c r="M965" i="29"/>
  <c r="L966" i="29" a="1"/>
  <c r="L966" i="29" s="1"/>
  <c r="B967" i="29" s="1"/>
  <c r="B966" i="29"/>
  <c r="P964" i="29"/>
  <c r="G966" i="29"/>
  <c r="K969" i="29"/>
  <c r="I968" i="29"/>
  <c r="O935" i="29" l="1" a="1"/>
  <c r="O935" i="29" s="1"/>
  <c r="R935" i="29" s="1"/>
  <c r="S935" i="29" s="1"/>
  <c r="G967" i="29"/>
  <c r="I969" i="29"/>
  <c r="K970" i="29"/>
  <c r="C966" i="29" a="1"/>
  <c r="C966" i="29" s="1"/>
  <c r="M966" i="29"/>
  <c r="F966" i="29"/>
  <c r="L967" i="29" a="1"/>
  <c r="L967" i="29" s="1"/>
  <c r="B968" i="29" s="1"/>
  <c r="N968" i="29" a="1"/>
  <c r="N968" i="29" s="1"/>
  <c r="Q968" i="29" a="1"/>
  <c r="Q968" i="29" s="1"/>
  <c r="P965" i="29"/>
  <c r="O936" i="29" l="1" a="1"/>
  <c r="O936" i="29" s="1"/>
  <c r="R936" i="29" s="1"/>
  <c r="S936" i="29" s="1"/>
  <c r="P966" i="29"/>
  <c r="K971" i="29"/>
  <c r="I970" i="29"/>
  <c r="Q969" i="29" a="1"/>
  <c r="Q969" i="29" s="1"/>
  <c r="N969" i="29" a="1"/>
  <c r="N969" i="29" s="1"/>
  <c r="G968" i="29"/>
  <c r="C967" i="29" a="1"/>
  <c r="C967" i="29" s="1"/>
  <c r="F967" i="29"/>
  <c r="M967" i="29"/>
  <c r="L968" i="29" a="1"/>
  <c r="L968" i="29" s="1"/>
  <c r="O937" i="29" l="1" a="1"/>
  <c r="O937" i="29" s="1"/>
  <c r="R937" i="29" s="1"/>
  <c r="S937" i="29" s="1"/>
  <c r="C968" i="29" a="1"/>
  <c r="C968" i="29" s="1"/>
  <c r="M968" i="29"/>
  <c r="F968" i="29"/>
  <c r="L969" i="29" a="1"/>
  <c r="L969" i="29" s="1"/>
  <c r="B969" i="29"/>
  <c r="P967" i="29"/>
  <c r="N970" i="29" a="1"/>
  <c r="N970" i="29" s="1"/>
  <c r="Q970" i="29" a="1"/>
  <c r="Q970" i="29" s="1"/>
  <c r="I971" i="29"/>
  <c r="K972" i="29"/>
  <c r="G969" i="29"/>
  <c r="O938" i="29" l="1" a="1"/>
  <c r="O938" i="29" s="1"/>
  <c r="R938" i="29" s="1"/>
  <c r="S938" i="29" s="1"/>
  <c r="K973" i="29"/>
  <c r="I972" i="29"/>
  <c r="Q971" i="29" a="1"/>
  <c r="Q971" i="29" s="1"/>
  <c r="N971" i="29" a="1"/>
  <c r="N971" i="29" s="1"/>
  <c r="C969" i="29" a="1"/>
  <c r="C969" i="29" s="1"/>
  <c r="F969" i="29"/>
  <c r="M969" i="29"/>
  <c r="L970" i="29" a="1"/>
  <c r="L970" i="29" s="1"/>
  <c r="B971" i="29" s="1"/>
  <c r="B970" i="29"/>
  <c r="P968" i="29"/>
  <c r="G970" i="29"/>
  <c r="O939" i="29" l="1" a="1"/>
  <c r="O939" i="29" s="1"/>
  <c r="R939" i="29" s="1"/>
  <c r="S939" i="29" s="1"/>
  <c r="G971" i="29"/>
  <c r="C970" i="29" a="1"/>
  <c r="C970" i="29" s="1"/>
  <c r="M970" i="29"/>
  <c r="F970" i="29"/>
  <c r="L971" i="29" a="1"/>
  <c r="L971" i="29" s="1"/>
  <c r="N972" i="29" a="1"/>
  <c r="N972" i="29" s="1"/>
  <c r="Q972" i="29" a="1"/>
  <c r="Q972" i="29" s="1"/>
  <c r="P969" i="29"/>
  <c r="I973" i="29"/>
  <c r="K974" i="29"/>
  <c r="O940" i="29" l="1" a="1"/>
  <c r="O940" i="29" s="1"/>
  <c r="R940" i="29" s="1"/>
  <c r="S940" i="29" s="1"/>
  <c r="K975" i="29"/>
  <c r="I974" i="29"/>
  <c r="C971" i="29" a="1"/>
  <c r="C971" i="29" s="1"/>
  <c r="F971" i="29"/>
  <c r="M971" i="29"/>
  <c r="L972" i="29" a="1"/>
  <c r="L972" i="29" s="1"/>
  <c r="N973" i="29" a="1"/>
  <c r="N973" i="29" s="1"/>
  <c r="Q973" i="29" a="1"/>
  <c r="Q973" i="29" s="1"/>
  <c r="P970" i="29"/>
  <c r="B972" i="29"/>
  <c r="G972" i="29"/>
  <c r="O941" i="29" l="1" a="1"/>
  <c r="O941" i="29" s="1"/>
  <c r="R941" i="29" s="1"/>
  <c r="S941" i="29" s="1"/>
  <c r="C972" i="29" a="1"/>
  <c r="C972" i="29" s="1"/>
  <c r="M972" i="29"/>
  <c r="F972" i="29"/>
  <c r="L973" i="29" a="1"/>
  <c r="L973" i="29" s="1"/>
  <c r="P971" i="29"/>
  <c r="N974" i="29" a="1"/>
  <c r="N974" i="29" s="1"/>
  <c r="Q974" i="29" a="1"/>
  <c r="Q974" i="29" s="1"/>
  <c r="I975" i="29"/>
  <c r="K976" i="29"/>
  <c r="G973" i="29"/>
  <c r="B973" i="29"/>
  <c r="O942" i="29" l="1" a="1"/>
  <c r="O942" i="29" s="1"/>
  <c r="R942" i="29" s="1"/>
  <c r="S942" i="29" s="1"/>
  <c r="F973" i="29"/>
  <c r="M973" i="29"/>
  <c r="C973" i="29" a="1"/>
  <c r="C973" i="29" s="1"/>
  <c r="L974" i="29" a="1"/>
  <c r="L974" i="29" s="1"/>
  <c r="K977" i="29"/>
  <c r="I976" i="29"/>
  <c r="N975" i="29" a="1"/>
  <c r="N975" i="29" s="1"/>
  <c r="Q975" i="29" a="1"/>
  <c r="Q975" i="29" s="1"/>
  <c r="P972" i="29"/>
  <c r="B974" i="29"/>
  <c r="G974" i="29"/>
  <c r="O943" i="29" l="1" a="1"/>
  <c r="O943" i="29" s="1"/>
  <c r="R943" i="29" s="1"/>
  <c r="S943" i="29" s="1"/>
  <c r="N976" i="29" a="1"/>
  <c r="N976" i="29" s="1"/>
  <c r="Q976" i="29" a="1"/>
  <c r="Q976" i="29" s="1"/>
  <c r="I977" i="29"/>
  <c r="K978" i="29"/>
  <c r="C974" i="29" a="1"/>
  <c r="C974" i="29" s="1"/>
  <c r="M974" i="29"/>
  <c r="F974" i="29"/>
  <c r="L975" i="29" a="1"/>
  <c r="L975" i="29" s="1"/>
  <c r="P973" i="29"/>
  <c r="G975" i="29"/>
  <c r="B975" i="29"/>
  <c r="O944" i="29" l="1" a="1"/>
  <c r="O944" i="29" s="1"/>
  <c r="R944" i="29" s="1"/>
  <c r="S944" i="29" s="1"/>
  <c r="K979" i="29"/>
  <c r="I978" i="29"/>
  <c r="N977" i="29" a="1"/>
  <c r="N977" i="29" s="1"/>
  <c r="Q977" i="29" a="1"/>
  <c r="Q977" i="29" s="1"/>
  <c r="P974" i="29"/>
  <c r="M975" i="29"/>
  <c r="C975" i="29" a="1"/>
  <c r="C975" i="29" s="1"/>
  <c r="F975" i="29"/>
  <c r="L976" i="29" a="1"/>
  <c r="L976" i="29" s="1"/>
  <c r="B976" i="29"/>
  <c r="G976" i="29"/>
  <c r="O945" i="29" l="1" a="1"/>
  <c r="O945" i="29" s="1"/>
  <c r="R945" i="29" s="1"/>
  <c r="S945" i="29" s="1"/>
  <c r="C976" i="29" a="1"/>
  <c r="C976" i="29" s="1"/>
  <c r="M976" i="29"/>
  <c r="F976" i="29"/>
  <c r="L977" i="29" a="1"/>
  <c r="L977" i="29" s="1"/>
  <c r="B978" i="29" s="1"/>
  <c r="G977" i="29"/>
  <c r="B977" i="29"/>
  <c r="N978" i="29" a="1"/>
  <c r="N978" i="29" s="1"/>
  <c r="Q978" i="29" a="1"/>
  <c r="Q978" i="29" s="1"/>
  <c r="P975" i="29"/>
  <c r="I979" i="29"/>
  <c r="K980" i="29"/>
  <c r="O946" i="29" l="1" a="1"/>
  <c r="O946" i="29" s="1"/>
  <c r="R946" i="29" s="1"/>
  <c r="S946" i="29" s="1"/>
  <c r="Q979" i="29" a="1"/>
  <c r="Q979" i="29" s="1"/>
  <c r="N979" i="29" a="1"/>
  <c r="N979" i="29" s="1"/>
  <c r="P976" i="29"/>
  <c r="F977" i="29"/>
  <c r="M977" i="29"/>
  <c r="C977" i="29" a="1"/>
  <c r="C977" i="29" s="1"/>
  <c r="L978" i="29" a="1"/>
  <c r="L978" i="29" s="1"/>
  <c r="G978" i="29"/>
  <c r="K981" i="29"/>
  <c r="I980" i="29"/>
  <c r="O947" i="29" l="1" a="1"/>
  <c r="O947" i="29" s="1"/>
  <c r="R947" i="29" s="1"/>
  <c r="S947" i="29" s="1"/>
  <c r="N980" i="29" a="1"/>
  <c r="N980" i="29" s="1"/>
  <c r="Q980" i="29" a="1"/>
  <c r="Q980" i="29" s="1"/>
  <c r="G979" i="29"/>
  <c r="I981" i="29"/>
  <c r="K982" i="29"/>
  <c r="C978" i="29" a="1"/>
  <c r="C978" i="29" s="1"/>
  <c r="M978" i="29"/>
  <c r="F978" i="29"/>
  <c r="L979" i="29" a="1"/>
  <c r="L979" i="29" s="1"/>
  <c r="B980" i="29" s="1"/>
  <c r="B979" i="29"/>
  <c r="P977" i="29"/>
  <c r="O948" i="29" l="1" a="1"/>
  <c r="O948" i="29" s="1"/>
  <c r="R948" i="29" s="1"/>
  <c r="S948" i="29" s="1"/>
  <c r="P978" i="29"/>
  <c r="F979" i="29"/>
  <c r="M979" i="29"/>
  <c r="C979" i="29" a="1"/>
  <c r="C979" i="29" s="1"/>
  <c r="L980" i="29" a="1"/>
  <c r="L980" i="29" s="1"/>
  <c r="G980" i="29"/>
  <c r="K983" i="29"/>
  <c r="I982" i="29"/>
  <c r="Q981" i="29" a="1"/>
  <c r="Q981" i="29" s="1"/>
  <c r="N981" i="29" a="1"/>
  <c r="N981" i="29" s="1"/>
  <c r="O949" i="29" l="1" a="1"/>
  <c r="O949" i="29" s="1"/>
  <c r="R949" i="29" s="1"/>
  <c r="S949" i="29" s="1"/>
  <c r="C980" i="29" a="1"/>
  <c r="C980" i="29" s="1"/>
  <c r="M980" i="29"/>
  <c r="F980" i="29"/>
  <c r="L981" i="29" a="1"/>
  <c r="L981" i="29" s="1"/>
  <c r="G981" i="29"/>
  <c r="P979" i="29"/>
  <c r="B981" i="29"/>
  <c r="N982" i="29" a="1"/>
  <c r="N982" i="29" s="1"/>
  <c r="Q982" i="29" a="1"/>
  <c r="Q982" i="29" s="1"/>
  <c r="I983" i="29"/>
  <c r="K984" i="29"/>
  <c r="O950" i="29" l="1" a="1"/>
  <c r="O950" i="29" s="1"/>
  <c r="R950" i="29" s="1"/>
  <c r="S950" i="29" s="1"/>
  <c r="Q983" i="29" a="1"/>
  <c r="Q983" i="29" s="1"/>
  <c r="N983" i="29" a="1"/>
  <c r="N983" i="29" s="1"/>
  <c r="G982" i="29"/>
  <c r="P980" i="29"/>
  <c r="C981" i="29" a="1"/>
  <c r="C981" i="29" s="1"/>
  <c r="F981" i="29"/>
  <c r="M981" i="29"/>
  <c r="L982" i="29" a="1"/>
  <c r="L982" i="29" s="1"/>
  <c r="B982" i="29"/>
  <c r="I984" i="29"/>
  <c r="K985" i="29"/>
  <c r="O951" i="29" l="1" a="1"/>
  <c r="O951" i="29" s="1"/>
  <c r="R951" i="29" s="1"/>
  <c r="S951" i="29" s="1"/>
  <c r="G983" i="29"/>
  <c r="N984" i="29" a="1"/>
  <c r="N984" i="29" s="1"/>
  <c r="Q984" i="29" a="1"/>
  <c r="Q984" i="29" s="1"/>
  <c r="C982" i="29" a="1"/>
  <c r="C982" i="29" s="1"/>
  <c r="M982" i="29"/>
  <c r="F982" i="29"/>
  <c r="L983" i="29" a="1"/>
  <c r="L983" i="29" s="1"/>
  <c r="B984" i="29" s="1"/>
  <c r="P981" i="29"/>
  <c r="B983" i="29"/>
  <c r="K986" i="29"/>
  <c r="I985" i="29"/>
  <c r="O952" i="29" l="1" a="1"/>
  <c r="O952" i="29" s="1"/>
  <c r="R952" i="29" s="1"/>
  <c r="S952" i="29" s="1"/>
  <c r="G984" i="29"/>
  <c r="I986" i="29"/>
  <c r="K987" i="29"/>
  <c r="C983" i="29" a="1"/>
  <c r="C983" i="29" s="1"/>
  <c r="F983" i="29"/>
  <c r="M983" i="29"/>
  <c r="L984" i="29" a="1"/>
  <c r="L984" i="29" s="1"/>
  <c r="B985" i="29" s="1"/>
  <c r="P982" i="29"/>
  <c r="Q985" i="29" a="1"/>
  <c r="Q985" i="29" s="1"/>
  <c r="N985" i="29" a="1"/>
  <c r="N985" i="29" s="1"/>
  <c r="O953" i="29" l="1" a="1"/>
  <c r="O953" i="29" s="1"/>
  <c r="R953" i="29" s="1"/>
  <c r="S953" i="29" s="1"/>
  <c r="K988" i="29"/>
  <c r="I987" i="29"/>
  <c r="Q986" i="29" a="1"/>
  <c r="Q986" i="29" s="1"/>
  <c r="N986" i="29" a="1"/>
  <c r="N986" i="29" s="1"/>
  <c r="G985" i="29"/>
  <c r="C984" i="29" a="1"/>
  <c r="C984" i="29" s="1"/>
  <c r="M984" i="29"/>
  <c r="F984" i="29"/>
  <c r="L985" i="29" a="1"/>
  <c r="L985" i="29" s="1"/>
  <c r="P983" i="29"/>
  <c r="O954" i="29" l="1" a="1"/>
  <c r="O954" i="29" s="1"/>
  <c r="R954" i="29" s="1"/>
  <c r="S954" i="29" s="1"/>
  <c r="C985" i="29" a="1"/>
  <c r="C985" i="29" s="1"/>
  <c r="M985" i="29"/>
  <c r="F985" i="29"/>
  <c r="L986" i="29" a="1"/>
  <c r="L986" i="29" s="1"/>
  <c r="P984" i="29"/>
  <c r="Q987" i="29" a="1"/>
  <c r="Q987" i="29" s="1"/>
  <c r="N987" i="29" a="1"/>
  <c r="N987" i="29" s="1"/>
  <c r="G986" i="29"/>
  <c r="B986" i="29"/>
  <c r="I988" i="29"/>
  <c r="K989" i="29"/>
  <c r="O955" i="29" l="1" a="1"/>
  <c r="O955" i="29" s="1"/>
  <c r="R955" i="29" s="1"/>
  <c r="S955" i="29" s="1"/>
  <c r="G987" i="29"/>
  <c r="Q988" i="29" a="1"/>
  <c r="Q988" i="29" s="1"/>
  <c r="N988" i="29" a="1"/>
  <c r="N988" i="29" s="1"/>
  <c r="F986" i="29"/>
  <c r="C986" i="29" a="1"/>
  <c r="C986" i="29" s="1"/>
  <c r="M986" i="29"/>
  <c r="L987" i="29" a="1"/>
  <c r="L987" i="29" s="1"/>
  <c r="B988" i="29" s="1"/>
  <c r="P985" i="29"/>
  <c r="B987" i="29"/>
  <c r="K990" i="29"/>
  <c r="I989" i="29"/>
  <c r="O956" i="29" l="1" a="1"/>
  <c r="O956" i="29" s="1"/>
  <c r="R956" i="29" s="1"/>
  <c r="S956" i="29" s="1"/>
  <c r="I990" i="29"/>
  <c r="K991" i="29"/>
  <c r="P986" i="29"/>
  <c r="G988" i="29"/>
  <c r="C987" i="29" a="1"/>
  <c r="C987" i="29" s="1"/>
  <c r="M987" i="29"/>
  <c r="F987" i="29"/>
  <c r="L988" i="29" a="1"/>
  <c r="L988" i="29" s="1"/>
  <c r="B989" i="29" s="1"/>
  <c r="Q989" i="29" a="1"/>
  <c r="Q989" i="29" s="1"/>
  <c r="N989" i="29" a="1"/>
  <c r="N989" i="29" s="1"/>
  <c r="O957" i="29" l="1" a="1"/>
  <c r="O957" i="29" s="1"/>
  <c r="R957" i="29" s="1"/>
  <c r="S957" i="29" s="1"/>
  <c r="P987" i="29"/>
  <c r="G989" i="29"/>
  <c r="F988" i="29"/>
  <c r="C988" i="29" a="1"/>
  <c r="C988" i="29" s="1"/>
  <c r="M988" i="29"/>
  <c r="L989" i="29" a="1"/>
  <c r="L989" i="29" s="1"/>
  <c r="B990" i="29" s="1"/>
  <c r="K992" i="29"/>
  <c r="I991" i="29"/>
  <c r="Q990" i="29" a="1"/>
  <c r="Q990" i="29" s="1"/>
  <c r="N990" i="29" a="1"/>
  <c r="N990" i="29" s="1"/>
  <c r="O958" i="29" l="1" a="1"/>
  <c r="O958" i="29" s="1"/>
  <c r="R958" i="29" s="1"/>
  <c r="S958" i="29" s="1"/>
  <c r="G990" i="29"/>
  <c r="Q991" i="29" a="1"/>
  <c r="Q991" i="29" s="1"/>
  <c r="N991" i="29" a="1"/>
  <c r="N991" i="29" s="1"/>
  <c r="I992" i="29"/>
  <c r="K993" i="29"/>
  <c r="C989" i="29" a="1"/>
  <c r="C989" i="29" s="1"/>
  <c r="M989" i="29"/>
  <c r="F989" i="29"/>
  <c r="L990" i="29" a="1"/>
  <c r="L990" i="29" s="1"/>
  <c r="P988" i="29"/>
  <c r="O959" i="29" l="1" a="1"/>
  <c r="O959" i="29" s="1"/>
  <c r="R959" i="29" s="1"/>
  <c r="S959" i="29" s="1"/>
  <c r="F990" i="29"/>
  <c r="C990" i="29" a="1"/>
  <c r="C990" i="29" s="1"/>
  <c r="M990" i="29"/>
  <c r="L991" i="29" a="1"/>
  <c r="L991" i="29" s="1"/>
  <c r="B992" i="29" s="1"/>
  <c r="P989" i="29"/>
  <c r="G991" i="29"/>
  <c r="B991" i="29"/>
  <c r="K994" i="29"/>
  <c r="I993" i="29"/>
  <c r="Q992" i="29" a="1"/>
  <c r="Q992" i="29" s="1"/>
  <c r="N992" i="29" a="1"/>
  <c r="N992" i="29" s="1"/>
  <c r="O960" i="29" l="1" a="1"/>
  <c r="O960" i="29" s="1"/>
  <c r="R960" i="29" s="1"/>
  <c r="S960" i="29" s="1"/>
  <c r="Q993" i="29" a="1"/>
  <c r="Q993" i="29" s="1"/>
  <c r="N993" i="29" a="1"/>
  <c r="N993" i="29" s="1"/>
  <c r="P990" i="29"/>
  <c r="I994" i="29"/>
  <c r="K995" i="29"/>
  <c r="C991" i="29" a="1"/>
  <c r="C991" i="29" s="1"/>
  <c r="M991" i="29"/>
  <c r="F991" i="29"/>
  <c r="L992" i="29" a="1"/>
  <c r="L992" i="29" s="1"/>
  <c r="G992" i="29"/>
  <c r="O961" i="29" l="1" a="1"/>
  <c r="O961" i="29" s="1"/>
  <c r="R961" i="29" s="1"/>
  <c r="S961" i="29" s="1"/>
  <c r="F992" i="29"/>
  <c r="C992" i="29" a="1"/>
  <c r="C992" i="29" s="1"/>
  <c r="M992" i="29"/>
  <c r="L993" i="29" a="1"/>
  <c r="L993" i="29" s="1"/>
  <c r="B994" i="29" s="1"/>
  <c r="P991" i="29"/>
  <c r="B993" i="29"/>
  <c r="G993" i="29"/>
  <c r="K996" i="29"/>
  <c r="I995" i="29"/>
  <c r="Q994" i="29" a="1"/>
  <c r="Q994" i="29" s="1"/>
  <c r="N994" i="29" a="1"/>
  <c r="N994" i="29" s="1"/>
  <c r="O962" i="29" l="1" a="1"/>
  <c r="O962" i="29" s="1"/>
  <c r="R962" i="29" s="1"/>
  <c r="S962" i="29" s="1"/>
  <c r="Q995" i="29" a="1"/>
  <c r="Q995" i="29" s="1"/>
  <c r="N995" i="29" a="1"/>
  <c r="N995" i="29" s="1"/>
  <c r="P992" i="29"/>
  <c r="I996" i="29"/>
  <c r="K997" i="29"/>
  <c r="C993" i="29" a="1"/>
  <c r="C993" i="29" s="1"/>
  <c r="M993" i="29"/>
  <c r="F993" i="29"/>
  <c r="L994" i="29" a="1"/>
  <c r="L994" i="29" s="1"/>
  <c r="G994" i="29"/>
  <c r="O963" i="29" l="1" a="1"/>
  <c r="O963" i="29" s="1"/>
  <c r="R963" i="29" s="1"/>
  <c r="S963" i="29" s="1"/>
  <c r="F994" i="29"/>
  <c r="C994" i="29" a="1"/>
  <c r="C994" i="29" s="1"/>
  <c r="M994" i="29"/>
  <c r="L995" i="29" a="1"/>
  <c r="L995" i="29" s="1"/>
  <c r="P993" i="29"/>
  <c r="B995" i="29"/>
  <c r="G995" i="29"/>
  <c r="K998" i="29"/>
  <c r="I997" i="29"/>
  <c r="Q996" i="29" a="1"/>
  <c r="Q996" i="29" s="1"/>
  <c r="N996" i="29" a="1"/>
  <c r="N996" i="29" s="1"/>
  <c r="O964" i="29" l="1" a="1"/>
  <c r="O964" i="29" s="1"/>
  <c r="R964" i="29" s="1"/>
  <c r="S964" i="29" s="1"/>
  <c r="C995" i="29" a="1"/>
  <c r="C995" i="29" s="1"/>
  <c r="M995" i="29"/>
  <c r="F995" i="29"/>
  <c r="L996" i="29" a="1"/>
  <c r="L996" i="29" s="1"/>
  <c r="P994" i="29"/>
  <c r="I998" i="29"/>
  <c r="K999" i="29"/>
  <c r="B996" i="29"/>
  <c r="Q997" i="29" a="1"/>
  <c r="Q997" i="29" s="1"/>
  <c r="N997" i="29" a="1"/>
  <c r="N997" i="29" s="1"/>
  <c r="G996" i="29"/>
  <c r="O965" i="29" l="1" a="1"/>
  <c r="O965" i="29" s="1"/>
  <c r="R965" i="29" s="1"/>
  <c r="S965" i="29" s="1"/>
  <c r="G997" i="29"/>
  <c r="P995" i="29"/>
  <c r="F996" i="29"/>
  <c r="C996" i="29" a="1"/>
  <c r="C996" i="29" s="1"/>
  <c r="M996" i="29"/>
  <c r="L997" i="29" a="1"/>
  <c r="L997" i="29" s="1"/>
  <c r="B998" i="29" s="1"/>
  <c r="B997" i="29"/>
  <c r="K1000" i="29"/>
  <c r="I999" i="29"/>
  <c r="Q998" i="29" a="1"/>
  <c r="Q998" i="29" s="1"/>
  <c r="N998" i="29" a="1"/>
  <c r="N998" i="29" s="1"/>
  <c r="O966" i="29" l="1" a="1"/>
  <c r="O966" i="29" s="1"/>
  <c r="R966" i="29" s="1"/>
  <c r="S966" i="29" s="1"/>
  <c r="C997" i="29" a="1"/>
  <c r="C997" i="29" s="1"/>
  <c r="M997" i="29"/>
  <c r="F997" i="29"/>
  <c r="L998" i="29" a="1"/>
  <c r="L998" i="29" s="1"/>
  <c r="Q999" i="29" a="1"/>
  <c r="Q999" i="29" s="1"/>
  <c r="N999" i="29" a="1"/>
  <c r="N999" i="29" s="1"/>
  <c r="I1000" i="29"/>
  <c r="K1001" i="29"/>
  <c r="G998" i="29"/>
  <c r="P996" i="29"/>
  <c r="O967" i="29" l="1" a="1"/>
  <c r="O967" i="29" s="1"/>
  <c r="R967" i="29" s="1"/>
  <c r="S967" i="29" s="1"/>
  <c r="F998" i="29"/>
  <c r="C998" i="29" a="1"/>
  <c r="C998" i="29" s="1"/>
  <c r="M998" i="29"/>
  <c r="L999" i="29" a="1"/>
  <c r="L999" i="29" s="1"/>
  <c r="P997" i="29"/>
  <c r="Q1000" i="29" a="1"/>
  <c r="Q1000" i="29" s="1"/>
  <c r="N1000" i="29" a="1"/>
  <c r="N1000" i="29" s="1"/>
  <c r="B999" i="29"/>
  <c r="K1002" i="29"/>
  <c r="I1001" i="29"/>
  <c r="G999" i="29"/>
  <c r="O968" i="29" l="1" a="1"/>
  <c r="O968" i="29" s="1"/>
  <c r="R968" i="29" s="1"/>
  <c r="S968" i="29" s="1"/>
  <c r="Q1001" i="29" a="1"/>
  <c r="Q1001" i="29" s="1"/>
  <c r="N1001" i="29" a="1"/>
  <c r="N1001" i="29" s="1"/>
  <c r="I1002" i="29"/>
  <c r="K1003" i="29"/>
  <c r="C999" i="29" a="1"/>
  <c r="C999" i="29" s="1"/>
  <c r="M999" i="29"/>
  <c r="F999" i="29"/>
  <c r="L1000" i="29" a="1"/>
  <c r="L1000" i="29" s="1"/>
  <c r="P998" i="29"/>
  <c r="G1000" i="29"/>
  <c r="B1000" i="29"/>
  <c r="O969" i="29" l="1" a="1"/>
  <c r="O969" i="29" s="1"/>
  <c r="R969" i="29" s="1"/>
  <c r="S969" i="29" s="1"/>
  <c r="F1000" i="29"/>
  <c r="C1000" i="29" a="1"/>
  <c r="C1000" i="29" s="1"/>
  <c r="M1000" i="29"/>
  <c r="L1001" i="29" a="1"/>
  <c r="L1001" i="29" s="1"/>
  <c r="B1002" i="29" s="1"/>
  <c r="P999" i="29"/>
  <c r="K1004" i="29"/>
  <c r="I1003" i="29"/>
  <c r="Q1002" i="29" a="1"/>
  <c r="Q1002" i="29" s="1"/>
  <c r="N1002" i="29" a="1"/>
  <c r="N1002" i="29" s="1"/>
  <c r="G1001" i="29"/>
  <c r="B1001" i="29"/>
  <c r="O970" i="29" l="1" a="1"/>
  <c r="O970" i="29" s="1"/>
  <c r="R970" i="29" s="1"/>
  <c r="S970" i="29" s="1"/>
  <c r="G1002" i="29"/>
  <c r="C1001" i="29" a="1"/>
  <c r="C1001" i="29" s="1"/>
  <c r="M1001" i="29"/>
  <c r="F1001" i="29"/>
  <c r="L1002" i="29" a="1"/>
  <c r="L1002" i="29" s="1"/>
  <c r="B1003" i="29" s="1"/>
  <c r="P1000" i="29"/>
  <c r="Q1003" i="29" a="1"/>
  <c r="Q1003" i="29" s="1"/>
  <c r="N1003" i="29" a="1"/>
  <c r="N1003" i="29" s="1"/>
  <c r="I1004" i="29"/>
  <c r="K1005" i="29"/>
  <c r="O971" i="29" l="1" a="1"/>
  <c r="O971" i="29" s="1"/>
  <c r="R971" i="29" s="1"/>
  <c r="S971" i="29" s="1"/>
  <c r="K1006" i="29"/>
  <c r="I1005" i="29"/>
  <c r="Q1004" i="29" a="1"/>
  <c r="Q1004" i="29" s="1"/>
  <c r="N1004" i="29" a="1"/>
  <c r="N1004" i="29" s="1"/>
  <c r="G1003" i="29"/>
  <c r="F1002" i="29"/>
  <c r="C1002" i="29" a="1"/>
  <c r="C1002" i="29" s="1"/>
  <c r="M1002" i="29"/>
  <c r="L1003" i="29" a="1"/>
  <c r="L1003" i="29" s="1"/>
  <c r="B1004" i="29" s="1"/>
  <c r="P1001" i="29"/>
  <c r="O972" i="29" l="1" a="1"/>
  <c r="O972" i="29" s="1"/>
  <c r="R972" i="29" s="1"/>
  <c r="S972" i="29" s="1"/>
  <c r="G1004" i="29"/>
  <c r="C1003" i="29" a="1"/>
  <c r="C1003" i="29" s="1"/>
  <c r="M1003" i="29"/>
  <c r="F1003" i="29"/>
  <c r="L1004" i="29" a="1"/>
  <c r="L1004" i="29" s="1"/>
  <c r="P1002" i="29"/>
  <c r="Q1005" i="29" a="1"/>
  <c r="Q1005" i="29" s="1"/>
  <c r="N1005" i="29" a="1"/>
  <c r="N1005" i="29" s="1"/>
  <c r="I1006" i="29"/>
  <c r="K1007" i="29"/>
  <c r="O973" i="29" l="1" a="1"/>
  <c r="O973" i="29" s="1"/>
  <c r="R973" i="29" s="1"/>
  <c r="S973" i="29" s="1"/>
  <c r="K1008" i="29"/>
  <c r="I1007" i="29"/>
  <c r="F1004" i="29"/>
  <c r="C1004" i="29" a="1"/>
  <c r="C1004" i="29" s="1"/>
  <c r="M1004" i="29"/>
  <c r="L1005" i="29" a="1"/>
  <c r="L1005" i="29" s="1"/>
  <c r="Q1006" i="29" a="1"/>
  <c r="Q1006" i="29" s="1"/>
  <c r="N1006" i="29" a="1"/>
  <c r="N1006" i="29" s="1"/>
  <c r="P1003" i="29"/>
  <c r="G1005" i="29"/>
  <c r="B1005" i="29"/>
  <c r="O974" i="29" l="1" a="1"/>
  <c r="O974" i="29" s="1"/>
  <c r="R974" i="29" s="1"/>
  <c r="S974" i="29" s="1"/>
  <c r="C1005" i="29" a="1"/>
  <c r="C1005" i="29" s="1"/>
  <c r="M1005" i="29"/>
  <c r="F1005" i="29"/>
  <c r="L1006" i="29" a="1"/>
  <c r="L1006" i="29" s="1"/>
  <c r="P1004" i="29"/>
  <c r="B1006" i="29"/>
  <c r="G1006" i="29"/>
  <c r="Q1007" i="29" a="1"/>
  <c r="Q1007" i="29" s="1"/>
  <c r="N1007" i="29" a="1"/>
  <c r="N1007" i="29" s="1"/>
  <c r="I1008" i="29"/>
  <c r="K1009" i="29"/>
  <c r="O975" i="29" l="1" a="1"/>
  <c r="O975" i="29" s="1"/>
  <c r="R975" i="29" s="1"/>
  <c r="S975" i="29" s="1"/>
  <c r="F1006" i="29"/>
  <c r="C1006" i="29" a="1"/>
  <c r="C1006" i="29" s="1"/>
  <c r="M1006" i="29"/>
  <c r="L1007" i="29" a="1"/>
  <c r="L1007" i="29" s="1"/>
  <c r="P1005" i="29"/>
  <c r="Q1008" i="29" a="1"/>
  <c r="Q1008" i="29" s="1"/>
  <c r="N1008" i="29" a="1"/>
  <c r="N1008" i="29" s="1"/>
  <c r="G1007" i="29"/>
  <c r="B1007" i="29"/>
  <c r="K1010" i="29"/>
  <c r="I1009" i="29"/>
  <c r="O976" i="29" l="1" a="1"/>
  <c r="O976" i="29" s="1"/>
  <c r="R976" i="29" s="1"/>
  <c r="S976" i="29" s="1"/>
  <c r="I1010" i="29"/>
  <c r="K1011" i="29"/>
  <c r="C1007" i="29" a="1"/>
  <c r="C1007" i="29" s="1"/>
  <c r="M1007" i="29"/>
  <c r="F1007" i="29"/>
  <c r="L1008" i="29" a="1"/>
  <c r="L1008" i="29" s="1"/>
  <c r="P1006" i="29"/>
  <c r="G1008" i="29"/>
  <c r="B1008" i="29"/>
  <c r="Q1009" i="29" a="1"/>
  <c r="Q1009" i="29" s="1"/>
  <c r="N1009" i="29" a="1"/>
  <c r="N1009" i="29" s="1"/>
  <c r="O977" i="29" l="1" a="1"/>
  <c r="O977" i="29" s="1"/>
  <c r="R977" i="29" s="1"/>
  <c r="S977" i="29" s="1"/>
  <c r="G1009" i="29"/>
  <c r="F1008" i="29"/>
  <c r="C1008" i="29" a="1"/>
  <c r="C1008" i="29" s="1"/>
  <c r="M1008" i="29"/>
  <c r="L1009" i="29" a="1"/>
  <c r="L1009" i="29" s="1"/>
  <c r="B1010" i="29" s="1"/>
  <c r="B1009" i="29"/>
  <c r="P1007" i="29"/>
  <c r="K1012" i="29"/>
  <c r="I1011" i="29"/>
  <c r="Q1010" i="29" a="1"/>
  <c r="Q1010" i="29" s="1"/>
  <c r="N1010" i="29" a="1"/>
  <c r="N1010" i="29" s="1"/>
  <c r="O978" i="29" l="1" a="1"/>
  <c r="O978" i="29" s="1"/>
  <c r="R978" i="29" s="1"/>
  <c r="S978" i="29" s="1"/>
  <c r="C1009" i="29" a="1"/>
  <c r="C1009" i="29" s="1"/>
  <c r="M1009" i="29"/>
  <c r="F1009" i="29"/>
  <c r="L1010" i="29" a="1"/>
  <c r="L1010" i="29" s="1"/>
  <c r="P1008" i="29"/>
  <c r="Q1011" i="29" a="1"/>
  <c r="Q1011" i="29" s="1"/>
  <c r="N1011" i="29" a="1"/>
  <c r="N1011" i="29" s="1"/>
  <c r="I1012" i="29"/>
  <c r="K1013" i="29"/>
  <c r="G1010" i="29"/>
  <c r="O979" i="29" l="1" a="1"/>
  <c r="O979" i="29" s="1"/>
  <c r="R979" i="29" s="1"/>
  <c r="S979" i="29" s="1"/>
  <c r="K1014" i="29"/>
  <c r="I1013" i="29"/>
  <c r="G1011" i="29"/>
  <c r="F1010" i="29"/>
  <c r="C1010" i="29" a="1"/>
  <c r="C1010" i="29" s="1"/>
  <c r="M1010" i="29"/>
  <c r="L1011" i="29" a="1"/>
  <c r="L1011" i="29" s="1"/>
  <c r="B1012" i="29" s="1"/>
  <c r="Q1012" i="29" a="1"/>
  <c r="Q1012" i="29" s="1"/>
  <c r="N1012" i="29" a="1"/>
  <c r="N1012" i="29" s="1"/>
  <c r="P1009" i="29"/>
  <c r="B1011" i="29"/>
  <c r="O980" i="29" l="1" a="1"/>
  <c r="O980" i="29" s="1"/>
  <c r="R980" i="29" s="1"/>
  <c r="S980" i="29" s="1"/>
  <c r="Q1013" i="29" a="1"/>
  <c r="Q1013" i="29" s="1"/>
  <c r="N1013" i="29" a="1"/>
  <c r="N1013" i="29" s="1"/>
  <c r="I1014" i="29"/>
  <c r="K1015" i="29"/>
  <c r="G1012" i="29"/>
  <c r="C1011" i="29" a="1"/>
  <c r="C1011" i="29" s="1"/>
  <c r="M1011" i="29"/>
  <c r="F1011" i="29"/>
  <c r="L1012" i="29" a="1"/>
  <c r="L1012" i="29" s="1"/>
  <c r="P1010" i="29"/>
  <c r="O981" i="29" l="1" a="1"/>
  <c r="O981" i="29" s="1"/>
  <c r="R981" i="29" s="1"/>
  <c r="S981" i="29" s="1"/>
  <c r="Q1014" i="29" a="1"/>
  <c r="Q1014" i="29" s="1"/>
  <c r="N1014" i="29" a="1"/>
  <c r="N1014" i="29" s="1"/>
  <c r="F1012" i="29"/>
  <c r="C1012" i="29" a="1"/>
  <c r="C1012" i="29" s="1"/>
  <c r="M1012" i="29"/>
  <c r="L1013" i="29" a="1"/>
  <c r="L1013" i="29" s="1"/>
  <c r="B1014" i="29" s="1"/>
  <c r="P1011" i="29"/>
  <c r="B1013" i="29"/>
  <c r="K1016" i="29"/>
  <c r="I1015" i="29"/>
  <c r="G1013" i="29"/>
  <c r="O982" i="29" l="1" a="1"/>
  <c r="O982" i="29" s="1"/>
  <c r="R982" i="29" s="1"/>
  <c r="S982" i="29" s="1"/>
  <c r="I1016" i="29"/>
  <c r="K1017" i="29"/>
  <c r="G1014" i="29"/>
  <c r="Q1015" i="29" a="1"/>
  <c r="Q1015" i="29" s="1"/>
  <c r="N1015" i="29" a="1"/>
  <c r="N1015" i="29" s="1"/>
  <c r="C1013" i="29" a="1"/>
  <c r="C1013" i="29" s="1"/>
  <c r="M1013" i="29"/>
  <c r="F1013" i="29"/>
  <c r="L1014" i="29" a="1"/>
  <c r="L1014" i="29" s="1"/>
  <c r="B1015" i="29" s="1"/>
  <c r="P1012" i="29"/>
  <c r="O983" i="29" l="1" a="1"/>
  <c r="O983" i="29" s="1"/>
  <c r="R983" i="29" s="1"/>
  <c r="S983" i="29" s="1"/>
  <c r="F1014" i="29"/>
  <c r="C1014" i="29" a="1"/>
  <c r="C1014" i="29" s="1"/>
  <c r="M1014" i="29"/>
  <c r="L1015" i="29" a="1"/>
  <c r="L1015" i="29" s="1"/>
  <c r="P1013" i="29"/>
  <c r="K1018" i="29"/>
  <c r="I1017" i="29"/>
  <c r="Q1016" i="29" a="1"/>
  <c r="Q1016" i="29" s="1"/>
  <c r="N1016" i="29" a="1"/>
  <c r="N1016" i="29" s="1"/>
  <c r="G1015" i="29"/>
  <c r="O984" i="29" l="1" a="1"/>
  <c r="O984" i="29" s="1"/>
  <c r="R984" i="29" s="1"/>
  <c r="S984" i="29" s="1"/>
  <c r="C1015" i="29" a="1"/>
  <c r="C1015" i="29" s="1"/>
  <c r="M1015" i="29"/>
  <c r="F1015" i="29"/>
  <c r="L1016" i="29" a="1"/>
  <c r="L1016" i="29" s="1"/>
  <c r="P1014" i="29"/>
  <c r="G1016" i="29"/>
  <c r="B1016" i="29"/>
  <c r="Q1017" i="29" a="1"/>
  <c r="Q1017" i="29" s="1"/>
  <c r="N1017" i="29" a="1"/>
  <c r="N1017" i="29" s="1"/>
  <c r="I1018" i="29"/>
  <c r="K1019" i="29"/>
  <c r="O985" i="29" l="1" a="1"/>
  <c r="O985" i="29" s="1"/>
  <c r="R985" i="29" s="1"/>
  <c r="S985" i="29" s="1"/>
  <c r="Q1018" i="29" a="1"/>
  <c r="Q1018" i="29" s="1"/>
  <c r="N1018" i="29" a="1"/>
  <c r="N1018" i="29" s="1"/>
  <c r="G1017" i="29"/>
  <c r="F1016" i="29"/>
  <c r="C1016" i="29" a="1"/>
  <c r="C1016" i="29" s="1"/>
  <c r="M1016" i="29"/>
  <c r="L1017" i="29" a="1"/>
  <c r="L1017" i="29" s="1"/>
  <c r="B1018" i="29" s="1"/>
  <c r="B1017" i="29"/>
  <c r="P1015" i="29"/>
  <c r="K1020" i="29"/>
  <c r="I1019" i="29"/>
  <c r="O986" i="29" l="1" a="1"/>
  <c r="O986" i="29" s="1"/>
  <c r="R986" i="29" s="1"/>
  <c r="S986" i="29" s="1"/>
  <c r="I1020" i="29"/>
  <c r="K1021" i="29"/>
  <c r="G1018" i="29"/>
  <c r="P1016" i="29"/>
  <c r="C1017" i="29" a="1"/>
  <c r="C1017" i="29" s="1"/>
  <c r="M1017" i="29"/>
  <c r="F1017" i="29"/>
  <c r="L1018" i="29" a="1"/>
  <c r="L1018" i="29" s="1"/>
  <c r="B1019" i="29" s="1"/>
  <c r="Q1019" i="29" a="1"/>
  <c r="Q1019" i="29" s="1"/>
  <c r="N1019" i="29" a="1"/>
  <c r="N1019" i="29" s="1"/>
  <c r="O987" i="29" l="1" a="1"/>
  <c r="O987" i="29" s="1"/>
  <c r="R987" i="29" s="1"/>
  <c r="S987" i="29" s="1"/>
  <c r="G1019" i="29"/>
  <c r="F1018" i="29"/>
  <c r="C1018" i="29" a="1"/>
  <c r="C1018" i="29" s="1"/>
  <c r="M1018" i="29"/>
  <c r="L1019" i="29" a="1"/>
  <c r="L1019" i="29" s="1"/>
  <c r="B1020" i="29" s="1"/>
  <c r="K1022" i="29"/>
  <c r="I1021" i="29"/>
  <c r="Q1020" i="29" a="1"/>
  <c r="Q1020" i="29" s="1"/>
  <c r="N1020" i="29" a="1"/>
  <c r="N1020" i="29" s="1"/>
  <c r="P1017" i="29"/>
  <c r="O988" i="29" l="1" a="1"/>
  <c r="O988" i="29" s="1"/>
  <c r="R988" i="29" s="1"/>
  <c r="S988" i="29" s="1"/>
  <c r="P1018" i="29"/>
  <c r="G1020" i="29"/>
  <c r="C1019" i="29" a="1"/>
  <c r="C1019" i="29" s="1"/>
  <c r="M1019" i="29"/>
  <c r="F1019" i="29"/>
  <c r="L1020" i="29" a="1"/>
  <c r="L1020" i="29" s="1"/>
  <c r="B1021" i="29" s="1"/>
  <c r="Q1021" i="29" a="1"/>
  <c r="Q1021" i="29" s="1"/>
  <c r="N1021" i="29" a="1"/>
  <c r="N1021" i="29" s="1"/>
  <c r="I1022" i="29"/>
  <c r="K1023" i="29"/>
  <c r="O989" i="29" l="1" a="1"/>
  <c r="O989" i="29" s="1"/>
  <c r="R989" i="29" s="1"/>
  <c r="S989" i="29" s="1"/>
  <c r="G1021" i="29"/>
  <c r="P1019" i="29"/>
  <c r="Q1022" i="29" a="1"/>
  <c r="Q1022" i="29" s="1"/>
  <c r="N1022" i="29" a="1"/>
  <c r="N1022" i="29" s="1"/>
  <c r="K1024" i="29"/>
  <c r="I1023" i="29"/>
  <c r="F1020" i="29"/>
  <c r="C1020" i="29" a="1"/>
  <c r="C1020" i="29" s="1"/>
  <c r="M1020" i="29"/>
  <c r="L1021" i="29" a="1"/>
  <c r="L1021" i="29" s="1"/>
  <c r="O990" i="29" l="1" a="1"/>
  <c r="O990" i="29" s="1"/>
  <c r="R990" i="29" s="1"/>
  <c r="S990" i="29" s="1"/>
  <c r="P1020" i="29"/>
  <c r="Q1023" i="29" a="1"/>
  <c r="Q1023" i="29" s="1"/>
  <c r="N1023" i="29" a="1"/>
  <c r="N1023" i="29" s="1"/>
  <c r="C1021" i="29" a="1"/>
  <c r="C1021" i="29" s="1"/>
  <c r="M1021" i="29"/>
  <c r="F1021" i="29"/>
  <c r="L1022" i="29" a="1"/>
  <c r="L1022" i="29" s="1"/>
  <c r="B1023" i="29" s="1"/>
  <c r="I1024" i="29"/>
  <c r="K1025" i="29"/>
  <c r="G1022" i="29"/>
  <c r="B1022" i="29"/>
  <c r="O991" i="29" l="1" a="1"/>
  <c r="O991" i="29" s="1"/>
  <c r="R991" i="29" s="1"/>
  <c r="S991" i="29" s="1"/>
  <c r="G1023" i="29"/>
  <c r="K1026" i="29"/>
  <c r="I1025" i="29"/>
  <c r="Q1024" i="29" a="1"/>
  <c r="Q1024" i="29" s="1"/>
  <c r="N1024" i="29" a="1"/>
  <c r="N1024" i="29" s="1"/>
  <c r="P1021" i="29"/>
  <c r="F1022" i="29"/>
  <c r="C1022" i="29" a="1"/>
  <c r="C1022" i="29" s="1"/>
  <c r="M1022" i="29"/>
  <c r="L1023" i="29" a="1"/>
  <c r="L1023" i="29" s="1"/>
  <c r="O992" i="29" l="1" a="1"/>
  <c r="O992" i="29" s="1"/>
  <c r="R992" i="29" s="1"/>
  <c r="S992" i="29" s="1"/>
  <c r="C1023" i="29" a="1"/>
  <c r="C1023" i="29" s="1"/>
  <c r="M1023" i="29"/>
  <c r="F1023" i="29"/>
  <c r="L1024" i="29" a="1"/>
  <c r="L1024" i="29" s="1"/>
  <c r="P1022" i="29"/>
  <c r="Q1025" i="29" a="1"/>
  <c r="Q1025" i="29" s="1"/>
  <c r="N1025" i="29" a="1"/>
  <c r="N1025" i="29" s="1"/>
  <c r="I1026" i="29"/>
  <c r="K1027" i="29"/>
  <c r="G1024" i="29"/>
  <c r="B1024" i="29"/>
  <c r="O993" i="29" l="1" a="1"/>
  <c r="O993" i="29" s="1"/>
  <c r="R993" i="29" s="1"/>
  <c r="S993" i="29" s="1"/>
  <c r="F1024" i="29"/>
  <c r="C1024" i="29" a="1"/>
  <c r="C1024" i="29" s="1"/>
  <c r="M1024" i="29"/>
  <c r="L1025" i="29" a="1"/>
  <c r="L1025" i="29" s="1"/>
  <c r="G1025" i="29"/>
  <c r="K1028" i="29"/>
  <c r="I1027" i="29"/>
  <c r="Q1026" i="29" a="1"/>
  <c r="Q1026" i="29" s="1"/>
  <c r="N1026" i="29" a="1"/>
  <c r="N1026" i="29" s="1"/>
  <c r="P1023" i="29"/>
  <c r="B1025" i="29"/>
  <c r="O994" i="29" l="1" a="1"/>
  <c r="O994" i="29" s="1"/>
  <c r="R994" i="29" s="1"/>
  <c r="S994" i="29" s="1"/>
  <c r="G1026" i="29"/>
  <c r="C1025" i="29" a="1"/>
  <c r="C1025" i="29" s="1"/>
  <c r="M1025" i="29"/>
  <c r="F1025" i="29"/>
  <c r="L1026" i="29" a="1"/>
  <c r="L1026" i="29" s="1"/>
  <c r="B1026" i="29"/>
  <c r="P1024" i="29"/>
  <c r="Q1027" i="29" a="1"/>
  <c r="Q1027" i="29" s="1"/>
  <c r="N1027" i="29" a="1"/>
  <c r="N1027" i="29" s="1"/>
  <c r="I1028" i="29"/>
  <c r="K1029" i="29"/>
  <c r="O995" i="29" l="1" a="1"/>
  <c r="O995" i="29" s="1"/>
  <c r="R995" i="29" s="1"/>
  <c r="S995" i="29" s="1"/>
  <c r="Q1028" i="29" a="1"/>
  <c r="Q1028" i="29" s="1"/>
  <c r="N1028" i="29" a="1"/>
  <c r="N1028" i="29" s="1"/>
  <c r="F1026" i="29"/>
  <c r="C1026" i="29" a="1"/>
  <c r="C1026" i="29" s="1"/>
  <c r="M1026" i="29"/>
  <c r="L1027" i="29" a="1"/>
  <c r="L1027" i="29" s="1"/>
  <c r="B1028" i="29" s="1"/>
  <c r="G1027" i="29"/>
  <c r="P1025" i="29"/>
  <c r="B1027" i="29"/>
  <c r="K1030" i="29"/>
  <c r="I1029" i="29"/>
  <c r="O996" i="29" l="1" a="1"/>
  <c r="O996" i="29" s="1"/>
  <c r="R996" i="29" s="1"/>
  <c r="S996" i="29" s="1"/>
  <c r="G1028" i="29"/>
  <c r="I1030" i="29"/>
  <c r="K1031" i="29"/>
  <c r="C1027" i="29" a="1"/>
  <c r="C1027" i="29" s="1"/>
  <c r="M1027" i="29"/>
  <c r="F1027" i="29"/>
  <c r="L1028" i="29" a="1"/>
  <c r="L1028" i="29" s="1"/>
  <c r="B1029" i="29" s="1"/>
  <c r="Q1029" i="29" a="1"/>
  <c r="Q1029" i="29" s="1"/>
  <c r="N1029" i="29" a="1"/>
  <c r="N1029" i="29" s="1"/>
  <c r="P1026" i="29"/>
  <c r="O997" i="29" l="1" a="1"/>
  <c r="O997" i="29" s="1"/>
  <c r="R997" i="29" s="1"/>
  <c r="S997" i="29" s="1"/>
  <c r="K1032" i="29"/>
  <c r="I1031" i="29"/>
  <c r="Q1030" i="29" a="1"/>
  <c r="Q1030" i="29" s="1"/>
  <c r="N1030" i="29" a="1"/>
  <c r="N1030" i="29" s="1"/>
  <c r="P1027" i="29"/>
  <c r="G1029" i="29"/>
  <c r="F1028" i="29"/>
  <c r="C1028" i="29" a="1"/>
  <c r="C1028" i="29" s="1"/>
  <c r="M1028" i="29"/>
  <c r="L1029" i="29" a="1"/>
  <c r="L1029" i="29" s="1"/>
  <c r="O998" i="29" l="1" a="1"/>
  <c r="O998" i="29" s="1"/>
  <c r="R998" i="29" s="1"/>
  <c r="S998" i="29" s="1"/>
  <c r="C1029" i="29" a="1"/>
  <c r="C1029" i="29" s="1"/>
  <c r="M1029" i="29"/>
  <c r="F1029" i="29"/>
  <c r="L1030" i="29" a="1"/>
  <c r="L1030" i="29" s="1"/>
  <c r="G1030" i="29"/>
  <c r="P1028" i="29"/>
  <c r="B1030" i="29"/>
  <c r="Q1031" i="29" a="1"/>
  <c r="Q1031" i="29" s="1"/>
  <c r="N1031" i="29" a="1"/>
  <c r="N1031" i="29" s="1"/>
  <c r="I1032" i="29"/>
  <c r="K1033" i="29"/>
  <c r="O999" i="29" l="1" a="1"/>
  <c r="O999" i="29" s="1"/>
  <c r="R999" i="29" s="1"/>
  <c r="S999" i="29" s="1"/>
  <c r="F1030" i="29"/>
  <c r="C1030" i="29" a="1"/>
  <c r="C1030" i="29" s="1"/>
  <c r="M1030" i="29"/>
  <c r="L1031" i="29" a="1"/>
  <c r="L1031" i="29" s="1"/>
  <c r="B1031" i="29"/>
  <c r="Q1032" i="29" a="1"/>
  <c r="Q1032" i="29" s="1"/>
  <c r="N1032" i="29" a="1"/>
  <c r="N1032" i="29" s="1"/>
  <c r="G1031" i="29"/>
  <c r="P1029" i="29"/>
  <c r="K1034" i="29"/>
  <c r="I1033" i="29"/>
  <c r="O1000" i="29" l="1" a="1"/>
  <c r="O1000" i="29" s="1"/>
  <c r="R1000" i="29" s="1"/>
  <c r="S1000" i="29" s="1"/>
  <c r="I1034" i="29"/>
  <c r="K1035" i="29"/>
  <c r="C1031" i="29" a="1"/>
  <c r="C1031" i="29" s="1"/>
  <c r="M1031" i="29"/>
  <c r="F1031" i="29"/>
  <c r="L1032" i="29" a="1"/>
  <c r="L1032" i="29" s="1"/>
  <c r="P1030" i="29"/>
  <c r="G1032" i="29"/>
  <c r="B1032" i="29"/>
  <c r="Q1033" i="29" a="1"/>
  <c r="Q1033" i="29" s="1"/>
  <c r="N1033" i="29" a="1"/>
  <c r="N1033" i="29" s="1"/>
  <c r="O1001" i="29" l="1" a="1"/>
  <c r="O1001" i="29" s="1"/>
  <c r="R1001" i="29" s="1"/>
  <c r="S1001" i="29" s="1"/>
  <c r="F1032" i="29"/>
  <c r="C1032" i="29" a="1"/>
  <c r="C1032" i="29" s="1"/>
  <c r="M1032" i="29"/>
  <c r="L1033" i="29" a="1"/>
  <c r="L1033" i="29" s="1"/>
  <c r="G1033" i="29"/>
  <c r="K1036" i="29"/>
  <c r="I1035" i="29"/>
  <c r="B1033" i="29"/>
  <c r="P1031" i="29"/>
  <c r="Q1034" i="29" a="1"/>
  <c r="Q1034" i="29" s="1"/>
  <c r="N1034" i="29" a="1"/>
  <c r="N1034" i="29" s="1"/>
  <c r="O1002" i="29" l="1" a="1"/>
  <c r="O1002" i="29" s="1"/>
  <c r="R1002" i="29" s="1"/>
  <c r="S1002" i="29" s="1"/>
  <c r="C1033" i="29" a="1"/>
  <c r="C1033" i="29" s="1"/>
  <c r="M1033" i="29"/>
  <c r="F1033" i="29"/>
  <c r="L1034" i="29" a="1"/>
  <c r="L1034" i="29" s="1"/>
  <c r="B1035" i="29" s="1"/>
  <c r="P1032" i="29"/>
  <c r="B1034" i="29"/>
  <c r="Q1035" i="29" a="1"/>
  <c r="Q1035" i="29" s="1"/>
  <c r="N1035" i="29" a="1"/>
  <c r="N1035" i="29" s="1"/>
  <c r="G1034" i="29"/>
  <c r="I1036" i="29"/>
  <c r="K1037" i="29"/>
  <c r="O1003" i="29" l="1" a="1"/>
  <c r="O1003" i="29" s="1"/>
  <c r="R1003" i="29" s="1"/>
  <c r="S1003" i="29" s="1"/>
  <c r="Q1036" i="29" a="1"/>
  <c r="Q1036" i="29" s="1"/>
  <c r="N1036" i="29" a="1"/>
  <c r="N1036" i="29" s="1"/>
  <c r="P1033" i="29"/>
  <c r="F1034" i="29"/>
  <c r="C1034" i="29" a="1"/>
  <c r="C1034" i="29" s="1"/>
  <c r="M1034" i="29"/>
  <c r="L1035" i="29" a="1"/>
  <c r="L1035" i="29" s="1"/>
  <c r="G1035" i="29"/>
  <c r="K1038" i="29"/>
  <c r="I1037" i="29"/>
  <c r="O1004" i="29" l="1" a="1"/>
  <c r="O1004" i="29" s="1"/>
  <c r="R1004" i="29" s="1"/>
  <c r="S1004" i="29" s="1"/>
  <c r="C1035" i="29" a="1"/>
  <c r="C1035" i="29" s="1"/>
  <c r="M1035" i="29"/>
  <c r="F1035" i="29"/>
  <c r="L1036" i="29" a="1"/>
  <c r="L1036" i="29" s="1"/>
  <c r="P1034" i="29"/>
  <c r="Q1037" i="29" a="1"/>
  <c r="Q1037" i="29" s="1"/>
  <c r="N1037" i="29" a="1"/>
  <c r="N1037" i="29" s="1"/>
  <c r="I1038" i="29"/>
  <c r="K1039" i="29"/>
  <c r="G1036" i="29"/>
  <c r="B1036" i="29"/>
  <c r="O1005" i="29" l="1" a="1"/>
  <c r="O1005" i="29" s="1"/>
  <c r="R1005" i="29" s="1"/>
  <c r="S1005" i="29" s="1"/>
  <c r="F1036" i="29"/>
  <c r="C1036" i="29" a="1"/>
  <c r="C1036" i="29" s="1"/>
  <c r="M1036" i="29"/>
  <c r="L1037" i="29" a="1"/>
  <c r="L1037" i="29" s="1"/>
  <c r="G1037" i="29"/>
  <c r="K1040" i="29"/>
  <c r="I1039" i="29"/>
  <c r="Q1038" i="29" a="1"/>
  <c r="Q1038" i="29" s="1"/>
  <c r="N1038" i="29" a="1"/>
  <c r="N1038" i="29" s="1"/>
  <c r="P1035" i="29"/>
  <c r="B1037" i="29"/>
  <c r="O1006" i="29" l="1" a="1"/>
  <c r="O1006" i="29" s="1"/>
  <c r="R1006" i="29" s="1"/>
  <c r="S1006" i="29" s="1"/>
  <c r="G1038" i="29"/>
  <c r="P1036" i="29"/>
  <c r="C1037" i="29" a="1"/>
  <c r="C1037" i="29" s="1"/>
  <c r="M1037" i="29"/>
  <c r="F1037" i="29"/>
  <c r="L1038" i="29" a="1"/>
  <c r="L1038" i="29" s="1"/>
  <c r="B1039" i="29" s="1"/>
  <c r="B1038" i="29"/>
  <c r="Q1039" i="29" a="1"/>
  <c r="Q1039" i="29" s="1"/>
  <c r="N1039" i="29" a="1"/>
  <c r="N1039" i="29" s="1"/>
  <c r="I1040" i="29"/>
  <c r="K1041" i="29"/>
  <c r="O1007" i="29" l="1" a="1"/>
  <c r="O1007" i="29" s="1"/>
  <c r="R1007" i="29" s="1"/>
  <c r="S1007" i="29" s="1"/>
  <c r="P1037" i="29"/>
  <c r="G1039" i="29"/>
  <c r="Q1040" i="29" a="1"/>
  <c r="Q1040" i="29" s="1"/>
  <c r="N1040" i="29" a="1"/>
  <c r="N1040" i="29" s="1"/>
  <c r="F1038" i="29"/>
  <c r="C1038" i="29" a="1"/>
  <c r="C1038" i="29" s="1"/>
  <c r="M1038" i="29"/>
  <c r="L1039" i="29" a="1"/>
  <c r="L1039" i="29" s="1"/>
  <c r="K1042" i="29"/>
  <c r="I1041" i="29"/>
  <c r="O1008" i="29" l="1" a="1"/>
  <c r="O1008" i="29" s="1"/>
  <c r="R1008" i="29" s="1"/>
  <c r="S1008" i="29" s="1"/>
  <c r="I1042" i="29"/>
  <c r="K1043" i="29"/>
  <c r="Q1041" i="29" a="1"/>
  <c r="Q1041" i="29" s="1"/>
  <c r="N1041" i="29" a="1"/>
  <c r="N1041" i="29" s="1"/>
  <c r="C1039" i="29" a="1"/>
  <c r="C1039" i="29" s="1"/>
  <c r="M1039" i="29"/>
  <c r="F1039" i="29"/>
  <c r="L1040" i="29" a="1"/>
  <c r="L1040" i="29" s="1"/>
  <c r="B1041" i="29" s="1"/>
  <c r="P1038" i="29"/>
  <c r="G1040" i="29"/>
  <c r="B1040" i="29"/>
  <c r="O1009" i="29" l="1" a="1"/>
  <c r="O1009" i="29" s="1"/>
  <c r="R1009" i="29" s="1"/>
  <c r="S1009" i="29" s="1"/>
  <c r="G1041" i="29"/>
  <c r="P1039" i="29"/>
  <c r="F1040" i="29"/>
  <c r="C1040" i="29" a="1"/>
  <c r="C1040" i="29" s="1"/>
  <c r="M1040" i="29"/>
  <c r="L1041" i="29" a="1"/>
  <c r="L1041" i="29" s="1"/>
  <c r="B1042" i="29" s="1"/>
  <c r="K1044" i="29"/>
  <c r="I1043" i="29"/>
  <c r="Q1042" i="29" a="1"/>
  <c r="Q1042" i="29" s="1"/>
  <c r="N1042" i="29" a="1"/>
  <c r="N1042" i="29" s="1"/>
  <c r="O1010" i="29" l="1" a="1"/>
  <c r="O1010" i="29" s="1"/>
  <c r="R1010" i="29" s="1"/>
  <c r="S1010" i="29" s="1"/>
  <c r="Q1043" i="29" a="1"/>
  <c r="Q1043" i="29" s="1"/>
  <c r="N1043" i="29" a="1"/>
  <c r="N1043" i="29" s="1"/>
  <c r="I1044" i="29"/>
  <c r="K1045" i="29"/>
  <c r="G1042" i="29"/>
  <c r="C1041" i="29" a="1"/>
  <c r="C1041" i="29" s="1"/>
  <c r="M1041" i="29"/>
  <c r="F1041" i="29"/>
  <c r="L1042" i="29" a="1"/>
  <c r="L1042" i="29" s="1"/>
  <c r="B1043" i="29" s="1"/>
  <c r="P1040" i="29"/>
  <c r="O1011" i="29" l="1" a="1"/>
  <c r="O1011" i="29" s="1"/>
  <c r="R1011" i="29" s="1"/>
  <c r="S1011" i="29" s="1"/>
  <c r="K1046" i="29"/>
  <c r="I1045" i="29"/>
  <c r="Q1044" i="29" a="1"/>
  <c r="Q1044" i="29" s="1"/>
  <c r="N1044" i="29" a="1"/>
  <c r="N1044" i="29" s="1"/>
  <c r="P1041" i="29"/>
  <c r="F1042" i="29"/>
  <c r="C1042" i="29" a="1"/>
  <c r="C1042" i="29" s="1"/>
  <c r="M1042" i="29"/>
  <c r="L1043" i="29" a="1"/>
  <c r="L1043" i="29" s="1"/>
  <c r="G1043" i="29"/>
  <c r="O1012" i="29" l="1" a="1"/>
  <c r="O1012" i="29" s="1"/>
  <c r="R1012" i="29" s="1"/>
  <c r="S1012" i="29" s="1"/>
  <c r="G1044" i="29"/>
  <c r="C1043" i="29" a="1"/>
  <c r="C1043" i="29" s="1"/>
  <c r="M1043" i="29"/>
  <c r="F1043" i="29"/>
  <c r="L1044" i="29" a="1"/>
  <c r="L1044" i="29" s="1"/>
  <c r="P1042" i="29"/>
  <c r="B1044" i="29"/>
  <c r="Q1045" i="29" a="1"/>
  <c r="Q1045" i="29" s="1"/>
  <c r="N1045" i="29" a="1"/>
  <c r="N1045" i="29" s="1"/>
  <c r="I1046" i="29"/>
  <c r="K1047" i="29"/>
  <c r="O1013" i="29" l="1" a="1"/>
  <c r="O1013" i="29" s="1"/>
  <c r="R1013" i="29" s="1"/>
  <c r="S1013" i="29" s="1"/>
  <c r="Q1046" i="29" a="1"/>
  <c r="Q1046" i="29" s="1"/>
  <c r="N1046" i="29" a="1"/>
  <c r="N1046" i="29" s="1"/>
  <c r="F1044" i="29"/>
  <c r="C1044" i="29" a="1"/>
  <c r="C1044" i="29" s="1"/>
  <c r="M1044" i="29"/>
  <c r="L1045" i="29" a="1"/>
  <c r="L1045" i="29" s="1"/>
  <c r="B1046" i="29" s="1"/>
  <c r="G1045" i="29"/>
  <c r="P1043" i="29"/>
  <c r="B1045" i="29"/>
  <c r="K1048" i="29"/>
  <c r="I1047" i="29"/>
  <c r="O1014" i="29" l="1" a="1"/>
  <c r="O1014" i="29" s="1"/>
  <c r="R1014" i="29" s="1"/>
  <c r="S1014" i="29" s="1"/>
  <c r="G1046" i="29"/>
  <c r="I1048" i="29"/>
  <c r="K1049" i="29"/>
  <c r="C1045" i="29" a="1"/>
  <c r="C1045" i="29" s="1"/>
  <c r="M1045" i="29"/>
  <c r="F1045" i="29"/>
  <c r="L1046" i="29" a="1"/>
  <c r="L1046" i="29" s="1"/>
  <c r="B1047" i="29" s="1"/>
  <c r="Q1047" i="29" a="1"/>
  <c r="Q1047" i="29" s="1"/>
  <c r="N1047" i="29" a="1"/>
  <c r="N1047" i="29" s="1"/>
  <c r="P1044" i="29"/>
  <c r="O1015" i="29" l="1" a="1"/>
  <c r="O1015" i="29" s="1"/>
  <c r="R1015" i="29" s="1"/>
  <c r="S1015" i="29" s="1"/>
  <c r="K1050" i="29"/>
  <c r="I1049" i="29"/>
  <c r="Q1048" i="29" a="1"/>
  <c r="Q1048" i="29" s="1"/>
  <c r="N1048" i="29" a="1"/>
  <c r="N1048" i="29" s="1"/>
  <c r="P1045" i="29"/>
  <c r="G1047" i="29"/>
  <c r="F1046" i="29"/>
  <c r="C1046" i="29" a="1"/>
  <c r="C1046" i="29" s="1"/>
  <c r="M1046" i="29"/>
  <c r="L1047" i="29" a="1"/>
  <c r="L1047" i="29" s="1"/>
  <c r="O1016" i="29" l="1" a="1"/>
  <c r="O1016" i="29" s="1"/>
  <c r="R1016" i="29" s="1"/>
  <c r="S1016" i="29" s="1"/>
  <c r="C1047" i="29" a="1"/>
  <c r="C1047" i="29" s="1"/>
  <c r="M1047" i="29"/>
  <c r="F1047" i="29"/>
  <c r="L1048" i="29" a="1"/>
  <c r="L1048" i="29" s="1"/>
  <c r="B1049" i="29" s="1"/>
  <c r="G1048" i="29"/>
  <c r="P1046" i="29"/>
  <c r="B1048" i="29"/>
  <c r="Q1049" i="29" a="1"/>
  <c r="Q1049" i="29" s="1"/>
  <c r="N1049" i="29" a="1"/>
  <c r="N1049" i="29" s="1"/>
  <c r="I1050" i="29"/>
  <c r="K1051" i="29"/>
  <c r="O1017" i="29" l="1" a="1"/>
  <c r="O1017" i="29" s="1"/>
  <c r="R1017" i="29" s="1"/>
  <c r="S1017" i="29" s="1"/>
  <c r="Q1050" i="29" a="1"/>
  <c r="Q1050" i="29" s="1"/>
  <c r="N1050" i="29" a="1"/>
  <c r="N1050" i="29" s="1"/>
  <c r="G1049" i="29"/>
  <c r="F1048" i="29"/>
  <c r="C1048" i="29" a="1"/>
  <c r="C1048" i="29" s="1"/>
  <c r="M1048" i="29"/>
  <c r="L1049" i="29" a="1"/>
  <c r="L1049" i="29" s="1"/>
  <c r="B1050" i="29" s="1"/>
  <c r="P1047" i="29"/>
  <c r="K1052" i="29"/>
  <c r="I1051" i="29"/>
  <c r="O1018" i="29" l="1" a="1"/>
  <c r="O1018" i="29" s="1"/>
  <c r="R1018" i="29" s="1"/>
  <c r="S1018" i="29" s="1"/>
  <c r="I1052" i="29"/>
  <c r="K1053" i="29"/>
  <c r="Q1051" i="29" a="1"/>
  <c r="Q1051" i="29" s="1"/>
  <c r="N1051" i="29" a="1"/>
  <c r="N1051" i="29" s="1"/>
  <c r="G1050" i="29"/>
  <c r="P1048" i="29"/>
  <c r="C1049" i="29" a="1"/>
  <c r="C1049" i="29" s="1"/>
  <c r="M1049" i="29"/>
  <c r="F1049" i="29"/>
  <c r="L1050" i="29" a="1"/>
  <c r="L1050" i="29" s="1"/>
  <c r="O1019" i="29" l="1" a="1"/>
  <c r="O1019" i="29" s="1"/>
  <c r="R1019" i="29" s="1"/>
  <c r="S1019" i="29" s="1"/>
  <c r="F1050" i="29"/>
  <c r="C1050" i="29" a="1"/>
  <c r="C1050" i="29" s="1"/>
  <c r="M1050" i="29"/>
  <c r="L1051" i="29" a="1"/>
  <c r="L1051" i="29" s="1"/>
  <c r="B1052" i="29" s="1"/>
  <c r="G1051" i="29"/>
  <c r="P1049" i="29"/>
  <c r="B1051" i="29"/>
  <c r="K1054" i="29"/>
  <c r="I1053" i="29"/>
  <c r="Q1052" i="29" a="1"/>
  <c r="Q1052" i="29" s="1"/>
  <c r="N1052" i="29" a="1"/>
  <c r="N1052" i="29" s="1"/>
  <c r="O1020" i="29" l="1" a="1"/>
  <c r="O1020" i="29" s="1"/>
  <c r="R1020" i="29" s="1"/>
  <c r="S1020" i="29" s="1"/>
  <c r="Q1053" i="29" a="1"/>
  <c r="Q1053" i="29" s="1"/>
  <c r="N1053" i="29" a="1"/>
  <c r="N1053" i="29" s="1"/>
  <c r="P1050" i="29"/>
  <c r="I1054" i="29"/>
  <c r="K1055" i="29"/>
  <c r="C1051" i="29" a="1"/>
  <c r="C1051" i="29" s="1"/>
  <c r="M1051" i="29"/>
  <c r="F1051" i="29"/>
  <c r="L1052" i="29" a="1"/>
  <c r="L1052" i="29" s="1"/>
  <c r="B1053" i="29" s="1"/>
  <c r="G1052" i="29"/>
  <c r="O1021" i="29" l="1" a="1"/>
  <c r="O1021" i="29" s="1"/>
  <c r="R1021" i="29" s="1"/>
  <c r="S1021" i="29" s="1"/>
  <c r="G1053" i="29"/>
  <c r="F1052" i="29"/>
  <c r="C1052" i="29" a="1"/>
  <c r="C1052" i="29" s="1"/>
  <c r="M1052" i="29"/>
  <c r="L1053" i="29" a="1"/>
  <c r="L1053" i="29" s="1"/>
  <c r="P1051" i="29"/>
  <c r="K1056" i="29"/>
  <c r="I1055" i="29"/>
  <c r="Q1054" i="29" a="1"/>
  <c r="Q1054" i="29" s="1"/>
  <c r="N1054" i="29" a="1"/>
  <c r="N1054" i="29" s="1"/>
  <c r="O1022" i="29" l="1" a="1"/>
  <c r="O1022" i="29" s="1"/>
  <c r="R1022" i="29" s="1"/>
  <c r="S1022" i="29" s="1"/>
  <c r="G1054" i="29"/>
  <c r="P1052" i="29"/>
  <c r="C1053" i="29" a="1"/>
  <c r="C1053" i="29" s="1"/>
  <c r="M1053" i="29"/>
  <c r="F1053" i="29"/>
  <c r="L1054" i="29" a="1"/>
  <c r="L1054" i="29" s="1"/>
  <c r="B1055" i="29" s="1"/>
  <c r="B1054" i="29"/>
  <c r="Q1055" i="29" a="1"/>
  <c r="Q1055" i="29" s="1"/>
  <c r="N1055" i="29" a="1"/>
  <c r="N1055" i="29" s="1"/>
  <c r="I1056" i="29"/>
  <c r="K1057" i="29"/>
  <c r="O1023" i="29" l="1" a="1"/>
  <c r="O1023" i="29" s="1"/>
  <c r="R1023" i="29" s="1"/>
  <c r="S1023" i="29" s="1"/>
  <c r="Q1056" i="29" a="1"/>
  <c r="Q1056" i="29" s="1"/>
  <c r="N1056" i="29" a="1"/>
  <c r="N1056" i="29" s="1"/>
  <c r="P1053" i="29"/>
  <c r="G1055" i="29"/>
  <c r="F1054" i="29"/>
  <c r="C1054" i="29" a="1"/>
  <c r="C1054" i="29" s="1"/>
  <c r="M1054" i="29"/>
  <c r="L1055" i="29" a="1"/>
  <c r="L1055" i="29" s="1"/>
  <c r="K1058" i="29"/>
  <c r="I1057" i="29"/>
  <c r="O1024" i="29" l="1" a="1"/>
  <c r="O1024" i="29" s="1"/>
  <c r="R1024" i="29" s="1"/>
  <c r="S1024" i="29" s="1"/>
  <c r="Q1057" i="29" a="1"/>
  <c r="Q1057" i="29" s="1"/>
  <c r="N1057" i="29" a="1"/>
  <c r="N1057" i="29" s="1"/>
  <c r="I1058" i="29"/>
  <c r="K1059" i="29"/>
  <c r="C1055" i="29" a="1"/>
  <c r="C1055" i="29" s="1"/>
  <c r="M1055" i="29"/>
  <c r="F1055" i="29"/>
  <c r="L1056" i="29" a="1"/>
  <c r="L1056" i="29" s="1"/>
  <c r="G1056" i="29"/>
  <c r="P1054" i="29"/>
  <c r="B1056" i="29"/>
  <c r="O1025" i="29" l="1" a="1"/>
  <c r="O1025" i="29" s="1"/>
  <c r="R1025" i="29" s="1"/>
  <c r="S1025" i="29" s="1"/>
  <c r="Q1058" i="29" a="1"/>
  <c r="Q1058" i="29" s="1"/>
  <c r="N1058" i="29" a="1"/>
  <c r="N1058" i="29" s="1"/>
  <c r="F1056" i="29"/>
  <c r="C1056" i="29" a="1"/>
  <c r="C1056" i="29" s="1"/>
  <c r="M1056" i="29"/>
  <c r="L1057" i="29" a="1"/>
  <c r="L1057" i="29" s="1"/>
  <c r="B1058" i="29" s="1"/>
  <c r="P1055" i="29"/>
  <c r="K1060" i="29"/>
  <c r="I1059" i="29"/>
  <c r="G1057" i="29"/>
  <c r="B1057" i="29"/>
  <c r="O1026" i="29" l="1" a="1"/>
  <c r="O1026" i="29" s="1"/>
  <c r="R1026" i="29" s="1"/>
  <c r="S1026" i="29" s="1"/>
  <c r="G1058" i="29"/>
  <c r="Q1059" i="29" a="1"/>
  <c r="Q1059" i="29" s="1"/>
  <c r="N1059" i="29" a="1"/>
  <c r="N1059" i="29" s="1"/>
  <c r="I1060" i="29"/>
  <c r="K1061" i="29"/>
  <c r="C1057" i="29" a="1"/>
  <c r="C1057" i="29" s="1"/>
  <c r="M1057" i="29"/>
  <c r="F1057" i="29"/>
  <c r="L1058" i="29" a="1"/>
  <c r="L1058" i="29" s="1"/>
  <c r="P1056" i="29"/>
  <c r="O1027" i="29" l="1" a="1"/>
  <c r="O1027" i="29" s="1"/>
  <c r="R1027" i="29" s="1"/>
  <c r="S1027" i="29" s="1"/>
  <c r="F1058" i="29"/>
  <c r="C1058" i="29" a="1"/>
  <c r="C1058" i="29" s="1"/>
  <c r="M1058" i="29"/>
  <c r="L1059" i="29" a="1"/>
  <c r="L1059" i="29" s="1"/>
  <c r="B1060" i="29" s="1"/>
  <c r="P1057" i="29"/>
  <c r="G1059" i="29"/>
  <c r="B1059" i="29"/>
  <c r="K1062" i="29"/>
  <c r="I1061" i="29"/>
  <c r="Q1060" i="29" a="1"/>
  <c r="Q1060" i="29" s="1"/>
  <c r="N1060" i="29" a="1"/>
  <c r="N1060" i="29" s="1"/>
  <c r="O1028" i="29" l="1" a="1"/>
  <c r="O1028" i="29" s="1"/>
  <c r="R1028" i="29" s="1"/>
  <c r="S1028" i="29" s="1"/>
  <c r="C1059" i="29" a="1"/>
  <c r="C1059" i="29" s="1"/>
  <c r="M1059" i="29"/>
  <c r="F1059" i="29"/>
  <c r="L1060" i="29" a="1"/>
  <c r="L1060" i="29" s="1"/>
  <c r="B1061" i="29" s="1"/>
  <c r="Q1061" i="29" a="1"/>
  <c r="Q1061" i="29" s="1"/>
  <c r="N1061" i="29" a="1"/>
  <c r="N1061" i="29" s="1"/>
  <c r="P1058" i="29"/>
  <c r="I1062" i="29"/>
  <c r="K1063" i="29"/>
  <c r="G1060" i="29"/>
  <c r="O1029" i="29" l="1" a="1"/>
  <c r="O1029" i="29" s="1"/>
  <c r="R1029" i="29" s="1"/>
  <c r="S1029" i="29" s="1"/>
  <c r="K1064" i="29"/>
  <c r="I1063" i="29"/>
  <c r="P1059" i="29"/>
  <c r="F1060" i="29"/>
  <c r="C1060" i="29" a="1"/>
  <c r="C1060" i="29" s="1"/>
  <c r="M1060" i="29"/>
  <c r="L1061" i="29" a="1"/>
  <c r="L1061" i="29" s="1"/>
  <c r="B1062" i="29" s="1"/>
  <c r="Q1062" i="29" a="1"/>
  <c r="Q1062" i="29" s="1"/>
  <c r="N1062" i="29" a="1"/>
  <c r="N1062" i="29" s="1"/>
  <c r="G1061" i="29"/>
  <c r="O1030" i="29" l="1" a="1"/>
  <c r="O1030" i="29" s="1"/>
  <c r="R1030" i="29" s="1"/>
  <c r="S1030" i="29" s="1"/>
  <c r="Q1063" i="29" a="1"/>
  <c r="Q1063" i="29" s="1"/>
  <c r="N1063" i="29" a="1"/>
  <c r="N1063" i="29" s="1"/>
  <c r="I1064" i="29"/>
  <c r="K1065" i="29"/>
  <c r="G1062" i="29"/>
  <c r="C1061" i="29" a="1"/>
  <c r="C1061" i="29" s="1"/>
  <c r="M1061" i="29"/>
  <c r="F1061" i="29"/>
  <c r="L1062" i="29" a="1"/>
  <c r="L1062" i="29" s="1"/>
  <c r="B1063" i="29" s="1"/>
  <c r="P1060" i="29"/>
  <c r="O1031" i="29" l="1" a="1"/>
  <c r="O1031" i="29" s="1"/>
  <c r="R1031" i="29" s="1"/>
  <c r="S1031" i="29" s="1"/>
  <c r="K1066" i="29"/>
  <c r="I1065" i="29"/>
  <c r="Q1064" i="29" a="1"/>
  <c r="Q1064" i="29" s="1"/>
  <c r="N1064" i="29" a="1"/>
  <c r="N1064" i="29" s="1"/>
  <c r="P1061" i="29"/>
  <c r="F1062" i="29"/>
  <c r="C1062" i="29" a="1"/>
  <c r="C1062" i="29" s="1"/>
  <c r="M1062" i="29"/>
  <c r="L1063" i="29" a="1"/>
  <c r="L1063" i="29" s="1"/>
  <c r="B1064" i="29" s="1"/>
  <c r="G1063" i="29"/>
  <c r="O1032" i="29" l="1" a="1"/>
  <c r="O1032" i="29" s="1"/>
  <c r="R1032" i="29" s="1"/>
  <c r="S1032" i="29" s="1"/>
  <c r="G1064" i="29"/>
  <c r="C1063" i="29" a="1"/>
  <c r="C1063" i="29" s="1"/>
  <c r="M1063" i="29"/>
  <c r="F1063" i="29"/>
  <c r="L1064" i="29" a="1"/>
  <c r="L1064" i="29" s="1"/>
  <c r="P1062" i="29"/>
  <c r="Q1065" i="29" a="1"/>
  <c r="Q1065" i="29" s="1"/>
  <c r="N1065" i="29" a="1"/>
  <c r="N1065" i="29" s="1"/>
  <c r="I1066" i="29"/>
  <c r="K1067" i="29"/>
  <c r="O1033" i="29" l="1" a="1"/>
  <c r="O1033" i="29" s="1"/>
  <c r="R1033" i="29" s="1"/>
  <c r="S1033" i="29" s="1"/>
  <c r="F1064" i="29"/>
  <c r="C1064" i="29" a="1"/>
  <c r="C1064" i="29" s="1"/>
  <c r="M1064" i="29"/>
  <c r="L1065" i="29" a="1"/>
  <c r="L1065" i="29" s="1"/>
  <c r="B1066" i="29" s="1"/>
  <c r="G1065" i="29"/>
  <c r="K1068" i="29"/>
  <c r="I1067" i="29"/>
  <c r="Q1066" i="29" a="1"/>
  <c r="Q1066" i="29" s="1"/>
  <c r="N1066" i="29" a="1"/>
  <c r="N1066" i="29" s="1"/>
  <c r="P1063" i="29"/>
  <c r="B1065" i="29"/>
  <c r="O1034" i="29" l="1" a="1"/>
  <c r="O1034" i="29" s="1"/>
  <c r="R1034" i="29" s="1"/>
  <c r="S1034" i="29" s="1"/>
  <c r="G1066" i="29"/>
  <c r="C1065" i="29" a="1"/>
  <c r="C1065" i="29" s="1"/>
  <c r="M1065" i="29"/>
  <c r="F1065" i="29"/>
  <c r="L1066" i="29" a="1"/>
  <c r="L1066" i="29" s="1"/>
  <c r="P1064" i="29"/>
  <c r="Q1067" i="29" a="1"/>
  <c r="Q1067" i="29" s="1"/>
  <c r="N1067" i="29" a="1"/>
  <c r="N1067" i="29" s="1"/>
  <c r="I1068" i="29"/>
  <c r="K1069" i="29"/>
  <c r="O1035" i="29" l="1" a="1"/>
  <c r="O1035" i="29" s="1"/>
  <c r="R1035" i="29" s="1"/>
  <c r="S1035" i="29" s="1"/>
  <c r="K1070" i="29"/>
  <c r="I1069" i="29"/>
  <c r="Q1068" i="29" a="1"/>
  <c r="Q1068" i="29" s="1"/>
  <c r="N1068" i="29" a="1"/>
  <c r="N1068" i="29" s="1"/>
  <c r="G1067" i="29"/>
  <c r="F1066" i="29"/>
  <c r="C1066" i="29" a="1"/>
  <c r="C1066" i="29" s="1"/>
  <c r="M1066" i="29"/>
  <c r="L1067" i="29" a="1"/>
  <c r="L1067" i="29" s="1"/>
  <c r="P1065" i="29"/>
  <c r="B1067" i="29"/>
  <c r="O1036" i="29" l="1" a="1"/>
  <c r="O1036" i="29" s="1"/>
  <c r="R1036" i="29" s="1"/>
  <c r="S1036" i="29" s="1"/>
  <c r="C1067" i="29" a="1"/>
  <c r="C1067" i="29" s="1"/>
  <c r="M1067" i="29"/>
  <c r="F1067" i="29"/>
  <c r="L1068" i="29" a="1"/>
  <c r="L1068" i="29" s="1"/>
  <c r="B1069" i="29" s="1"/>
  <c r="G1068" i="29"/>
  <c r="B1068" i="29"/>
  <c r="P1066" i="29"/>
  <c r="Q1069" i="29" a="1"/>
  <c r="Q1069" i="29" s="1"/>
  <c r="N1069" i="29" a="1"/>
  <c r="N1069" i="29" s="1"/>
  <c r="I1070" i="29"/>
  <c r="K1071" i="29"/>
  <c r="O1037" i="29" l="1" a="1"/>
  <c r="O1037" i="29" s="1"/>
  <c r="R1037" i="29" s="1"/>
  <c r="S1037" i="29" s="1"/>
  <c r="Q1070" i="29" a="1"/>
  <c r="Q1070" i="29" s="1"/>
  <c r="N1070" i="29" a="1"/>
  <c r="N1070" i="29" s="1"/>
  <c r="G1069" i="29"/>
  <c r="P1067" i="29"/>
  <c r="F1068" i="29"/>
  <c r="C1068" i="29" a="1"/>
  <c r="C1068" i="29" s="1"/>
  <c r="M1068" i="29"/>
  <c r="L1069" i="29" a="1"/>
  <c r="L1069" i="29" s="1"/>
  <c r="K1072" i="29"/>
  <c r="I1071" i="29"/>
  <c r="O1038" i="29" l="1" a="1"/>
  <c r="O1038" i="29" s="1"/>
  <c r="R1038" i="29" s="1"/>
  <c r="S1038" i="29" s="1"/>
  <c r="I1072" i="29"/>
  <c r="K1073" i="29"/>
  <c r="Q1071" i="29" a="1"/>
  <c r="Q1071" i="29" s="1"/>
  <c r="N1071" i="29" a="1"/>
  <c r="N1071" i="29" s="1"/>
  <c r="C1069" i="29" a="1"/>
  <c r="C1069" i="29" s="1"/>
  <c r="M1069" i="29"/>
  <c r="F1069" i="29"/>
  <c r="L1070" i="29" a="1"/>
  <c r="L1070" i="29" s="1"/>
  <c r="B1071" i="29" s="1"/>
  <c r="G1070" i="29"/>
  <c r="P1068" i="29"/>
  <c r="B1070" i="29"/>
  <c r="O1039" i="29" l="1" a="1"/>
  <c r="O1039" i="29" s="1"/>
  <c r="R1039" i="29" s="1"/>
  <c r="S1039" i="29" s="1"/>
  <c r="G1071" i="29"/>
  <c r="F1070" i="29"/>
  <c r="C1070" i="29" a="1"/>
  <c r="C1070" i="29" s="1"/>
  <c r="M1070" i="29"/>
  <c r="L1071" i="29" a="1"/>
  <c r="L1071" i="29" s="1"/>
  <c r="K1074" i="29"/>
  <c r="I1073" i="29"/>
  <c r="Q1072" i="29" a="1"/>
  <c r="Q1072" i="29" s="1"/>
  <c r="N1072" i="29" a="1"/>
  <c r="N1072" i="29" s="1"/>
  <c r="P1069" i="29"/>
  <c r="O1040" i="29" l="1" a="1"/>
  <c r="O1040" i="29" s="1"/>
  <c r="R1040" i="29" s="1"/>
  <c r="S1040" i="29" s="1"/>
  <c r="C1071" i="29" a="1"/>
  <c r="C1071" i="29" s="1"/>
  <c r="M1071" i="29"/>
  <c r="F1071" i="29"/>
  <c r="L1072" i="29" a="1"/>
  <c r="L1072" i="29" s="1"/>
  <c r="G1072" i="29"/>
  <c r="B1072" i="29"/>
  <c r="P1070" i="29"/>
  <c r="Q1073" i="29" a="1"/>
  <c r="Q1073" i="29" s="1"/>
  <c r="N1073" i="29" a="1"/>
  <c r="N1073" i="29" s="1"/>
  <c r="I1074" i="29"/>
  <c r="K1075" i="29"/>
  <c r="O1041" i="29" l="1" a="1"/>
  <c r="O1041" i="29" s="1"/>
  <c r="R1041" i="29" s="1"/>
  <c r="S1041" i="29" s="1"/>
  <c r="Q1074" i="29" a="1"/>
  <c r="Q1074" i="29" s="1"/>
  <c r="N1074" i="29" a="1"/>
  <c r="N1074" i="29" s="1"/>
  <c r="G1073" i="29"/>
  <c r="F1072" i="29"/>
  <c r="C1072" i="29" a="1"/>
  <c r="C1072" i="29" s="1"/>
  <c r="M1072" i="29"/>
  <c r="L1073" i="29" a="1"/>
  <c r="L1073" i="29" s="1"/>
  <c r="B1074" i="29" s="1"/>
  <c r="B1073" i="29"/>
  <c r="P1071" i="29"/>
  <c r="K1076" i="29"/>
  <c r="I1075" i="29"/>
  <c r="O1042" i="29" l="1" a="1"/>
  <c r="O1042" i="29" s="1"/>
  <c r="R1042" i="29" s="1"/>
  <c r="S1042" i="29" s="1"/>
  <c r="G1074" i="29"/>
  <c r="I1076" i="29"/>
  <c r="K1077" i="29"/>
  <c r="C1073" i="29" a="1"/>
  <c r="C1073" i="29" s="1"/>
  <c r="M1073" i="29"/>
  <c r="F1073" i="29"/>
  <c r="L1074" i="29" a="1"/>
  <c r="L1074" i="29" s="1"/>
  <c r="B1075" i="29" s="1"/>
  <c r="P1072" i="29"/>
  <c r="Q1075" i="29" a="1"/>
  <c r="Q1075" i="29" s="1"/>
  <c r="N1075" i="29" a="1"/>
  <c r="N1075" i="29" s="1"/>
  <c r="O1043" i="29" l="1" a="1"/>
  <c r="O1043" i="29" s="1"/>
  <c r="R1043" i="29" s="1"/>
  <c r="S1043" i="29" s="1"/>
  <c r="G1075" i="29"/>
  <c r="P1073" i="29"/>
  <c r="K1078" i="29"/>
  <c r="I1077" i="29"/>
  <c r="Q1076" i="29" a="1"/>
  <c r="Q1076" i="29" s="1"/>
  <c r="N1076" i="29" a="1"/>
  <c r="N1076" i="29" s="1"/>
  <c r="F1074" i="29"/>
  <c r="C1074" i="29" a="1"/>
  <c r="C1074" i="29" s="1"/>
  <c r="M1074" i="29"/>
  <c r="L1075" i="29" a="1"/>
  <c r="L1075" i="29" s="1"/>
  <c r="O1044" i="29" l="1" a="1"/>
  <c r="O1044" i="29" s="1"/>
  <c r="R1044" i="29" s="1"/>
  <c r="S1044" i="29" s="1"/>
  <c r="Q1077" i="29" a="1"/>
  <c r="Q1077" i="29" s="1"/>
  <c r="N1077" i="29" a="1"/>
  <c r="N1077" i="29" s="1"/>
  <c r="P1074" i="29"/>
  <c r="I1078" i="29"/>
  <c r="K1079" i="29"/>
  <c r="C1075" i="29" a="1"/>
  <c r="C1075" i="29" s="1"/>
  <c r="M1075" i="29"/>
  <c r="F1075" i="29"/>
  <c r="L1076" i="29" a="1"/>
  <c r="L1076" i="29" s="1"/>
  <c r="G1076" i="29"/>
  <c r="B1076" i="29"/>
  <c r="O1045" i="29" l="1" a="1"/>
  <c r="O1045" i="29" s="1"/>
  <c r="R1045" i="29" s="1"/>
  <c r="S1045" i="29" s="1"/>
  <c r="F1076" i="29"/>
  <c r="C1076" i="29" a="1"/>
  <c r="C1076" i="29" s="1"/>
  <c r="M1076" i="29"/>
  <c r="L1077" i="29" a="1"/>
  <c r="L1077" i="29" s="1"/>
  <c r="B1078" i="29" s="1"/>
  <c r="P1075" i="29"/>
  <c r="B1077" i="29"/>
  <c r="G1077" i="29"/>
  <c r="K1080" i="29"/>
  <c r="I1079" i="29"/>
  <c r="Q1078" i="29" a="1"/>
  <c r="Q1078" i="29" s="1"/>
  <c r="N1078" i="29" a="1"/>
  <c r="N1078" i="29" s="1"/>
  <c r="O1046" i="29" l="1" a="1"/>
  <c r="O1046" i="29" s="1"/>
  <c r="R1046" i="29" s="1"/>
  <c r="S1046" i="29" s="1"/>
  <c r="P1076" i="29"/>
  <c r="I1080" i="29"/>
  <c r="K1081" i="29"/>
  <c r="C1077" i="29" a="1"/>
  <c r="C1077" i="29" s="1"/>
  <c r="M1077" i="29"/>
  <c r="F1077" i="29"/>
  <c r="L1078" i="29" a="1"/>
  <c r="L1078" i="29" s="1"/>
  <c r="B1079" i="29" s="1"/>
  <c r="Q1079" i="29" a="1"/>
  <c r="Q1079" i="29" s="1"/>
  <c r="N1079" i="29" a="1"/>
  <c r="N1079" i="29" s="1"/>
  <c r="G1078" i="29"/>
  <c r="O1047" i="29" l="1" a="1"/>
  <c r="O1047" i="29" s="1"/>
  <c r="R1047" i="29" s="1"/>
  <c r="S1047" i="29" s="1"/>
  <c r="K1082" i="29"/>
  <c r="I1081" i="29"/>
  <c r="P1077" i="29"/>
  <c r="Q1080" i="29" a="1"/>
  <c r="Q1080" i="29" s="1"/>
  <c r="N1080" i="29" a="1"/>
  <c r="N1080" i="29" s="1"/>
  <c r="G1079" i="29"/>
  <c r="F1078" i="29"/>
  <c r="C1078" i="29" a="1"/>
  <c r="C1078" i="29" s="1"/>
  <c r="M1078" i="29"/>
  <c r="L1079" i="29" a="1"/>
  <c r="L1079" i="29" s="1"/>
  <c r="O1048" i="29" l="1" a="1"/>
  <c r="O1048" i="29" s="1"/>
  <c r="R1048" i="29" s="1"/>
  <c r="S1048" i="29" s="1"/>
  <c r="C1079" i="29" a="1"/>
  <c r="C1079" i="29" s="1"/>
  <c r="M1079" i="29"/>
  <c r="F1079" i="29"/>
  <c r="L1080" i="29" a="1"/>
  <c r="L1080" i="29" s="1"/>
  <c r="P1078" i="29"/>
  <c r="Q1081" i="29" a="1"/>
  <c r="Q1081" i="29" s="1"/>
  <c r="N1081" i="29" a="1"/>
  <c r="N1081" i="29" s="1"/>
  <c r="I1082" i="29"/>
  <c r="K1083" i="29"/>
  <c r="G1080" i="29"/>
  <c r="B1080" i="29"/>
  <c r="O1049" i="29" l="1" a="1"/>
  <c r="O1049" i="29" s="1"/>
  <c r="R1049" i="29" s="1"/>
  <c r="S1049" i="29" s="1"/>
  <c r="K1084" i="29"/>
  <c r="I1083" i="29"/>
  <c r="N1082" i="29" a="1"/>
  <c r="N1082" i="29" s="1"/>
  <c r="Q1082" i="29" a="1"/>
  <c r="Q1082" i="29" s="1"/>
  <c r="G1081" i="29"/>
  <c r="F1080" i="29"/>
  <c r="C1080" i="29" a="1"/>
  <c r="C1080" i="29" s="1"/>
  <c r="M1080" i="29"/>
  <c r="L1081" i="29" a="1"/>
  <c r="L1081" i="29" s="1"/>
  <c r="P1079" i="29"/>
  <c r="B1081" i="29"/>
  <c r="O1050" i="29" l="1" a="1"/>
  <c r="O1050" i="29" s="1"/>
  <c r="R1050" i="29" s="1"/>
  <c r="S1050" i="29" s="1"/>
  <c r="C1081" i="29" a="1"/>
  <c r="C1081" i="29" s="1"/>
  <c r="M1081" i="29"/>
  <c r="F1081" i="29"/>
  <c r="L1082" i="29" a="1"/>
  <c r="L1082" i="29" s="1"/>
  <c r="B1083" i="29" s="1"/>
  <c r="G1082" i="29"/>
  <c r="B1082" i="29"/>
  <c r="P1080" i="29"/>
  <c r="Q1083" i="29" a="1"/>
  <c r="Q1083" i="29" s="1"/>
  <c r="N1083" i="29" a="1"/>
  <c r="N1083" i="29" s="1"/>
  <c r="I1084" i="29"/>
  <c r="K1085" i="29"/>
  <c r="O1051" i="29" l="1" a="1"/>
  <c r="O1051" i="29" s="1"/>
  <c r="R1051" i="29" s="1"/>
  <c r="S1051" i="29" s="1"/>
  <c r="N1084" i="29" a="1"/>
  <c r="N1084" i="29" s="1"/>
  <c r="Q1084" i="29" a="1"/>
  <c r="Q1084" i="29" s="1"/>
  <c r="G1083" i="29"/>
  <c r="P1081" i="29"/>
  <c r="F1082" i="29"/>
  <c r="C1082" i="29" a="1"/>
  <c r="C1082" i="29" s="1"/>
  <c r="M1082" i="29"/>
  <c r="L1083" i="29" a="1"/>
  <c r="L1083" i="29" s="1"/>
  <c r="K1086" i="29"/>
  <c r="I1085" i="29"/>
  <c r="O1052" i="29" l="1" a="1"/>
  <c r="O1052" i="29" s="1"/>
  <c r="R1052" i="29" s="1"/>
  <c r="S1052" i="29" s="1"/>
  <c r="Q1085" i="29" a="1"/>
  <c r="Q1085" i="29" s="1"/>
  <c r="N1085" i="29" a="1"/>
  <c r="N1085" i="29" s="1"/>
  <c r="I1086" i="29"/>
  <c r="K1087" i="29"/>
  <c r="P1082" i="29"/>
  <c r="G1084" i="29"/>
  <c r="C1083" i="29" a="1"/>
  <c r="C1083" i="29" s="1"/>
  <c r="M1083" i="29"/>
  <c r="F1083" i="29"/>
  <c r="L1084" i="29" a="1"/>
  <c r="L1084" i="29" s="1"/>
  <c r="B1085" i="29" s="1"/>
  <c r="B1084" i="29"/>
  <c r="O1053" i="29" l="1" a="1"/>
  <c r="O1053" i="29" s="1"/>
  <c r="R1053" i="29" s="1"/>
  <c r="S1053" i="29" s="1"/>
  <c r="F1084" i="29"/>
  <c r="C1084" i="29" a="1"/>
  <c r="C1084" i="29" s="1"/>
  <c r="M1084" i="29"/>
  <c r="L1085" i="29" a="1"/>
  <c r="L1085" i="29" s="1"/>
  <c r="I1087" i="29"/>
  <c r="K1088" i="29"/>
  <c r="N1086" i="29" a="1"/>
  <c r="N1086" i="29" s="1"/>
  <c r="Q1086" i="29" a="1"/>
  <c r="Q1086" i="29" s="1"/>
  <c r="P1083" i="29"/>
  <c r="G1085" i="29"/>
  <c r="O1054" i="29" l="1" a="1"/>
  <c r="O1054" i="29" s="1"/>
  <c r="R1054" i="29" s="1"/>
  <c r="S1054" i="29" s="1"/>
  <c r="I1088" i="29"/>
  <c r="K1089" i="29"/>
  <c r="Q1087" i="29" a="1"/>
  <c r="Q1087" i="29" s="1"/>
  <c r="N1087" i="29" a="1"/>
  <c r="N1087" i="29" s="1"/>
  <c r="C1085" i="29" a="1"/>
  <c r="C1085" i="29" s="1"/>
  <c r="M1085" i="29"/>
  <c r="F1085" i="29"/>
  <c r="L1086" i="29" a="1"/>
  <c r="L1086" i="29" s="1"/>
  <c r="B1087" i="29" s="1"/>
  <c r="P1084" i="29"/>
  <c r="G1086" i="29"/>
  <c r="B1086" i="29"/>
  <c r="O1055" i="29" l="1" a="1"/>
  <c r="O1055" i="29" s="1"/>
  <c r="R1055" i="29" s="1"/>
  <c r="S1055" i="29" s="1"/>
  <c r="G1087" i="29"/>
  <c r="F1086" i="29"/>
  <c r="M1086" i="29"/>
  <c r="C1086" i="29" a="1"/>
  <c r="C1086" i="29" s="1"/>
  <c r="L1087" i="29" a="1"/>
  <c r="L1087" i="29" s="1"/>
  <c r="K1090" i="29"/>
  <c r="I1089" i="29"/>
  <c r="P1085" i="29"/>
  <c r="Q1088" i="29" a="1"/>
  <c r="Q1088" i="29" s="1"/>
  <c r="N1088" i="29" a="1"/>
  <c r="N1088" i="29" s="1"/>
  <c r="O1056" i="29" l="1" a="1"/>
  <c r="O1056" i="29" s="1"/>
  <c r="R1056" i="29" s="1"/>
  <c r="S1056" i="29" s="1"/>
  <c r="G1088" i="29"/>
  <c r="C1087" i="29" a="1"/>
  <c r="C1087" i="29" s="1"/>
  <c r="M1087" i="29"/>
  <c r="F1087" i="29"/>
  <c r="L1088" i="29" a="1"/>
  <c r="L1088" i="29" s="1"/>
  <c r="P1086" i="29"/>
  <c r="B1088" i="29"/>
  <c r="N1089" i="29" a="1"/>
  <c r="N1089" i="29" s="1"/>
  <c r="Q1089" i="29" a="1"/>
  <c r="Q1089" i="29" s="1"/>
  <c r="I1090" i="29"/>
  <c r="K1091" i="29"/>
  <c r="O1057" i="29" l="1" a="1"/>
  <c r="O1057" i="29" s="1"/>
  <c r="R1057" i="29" s="1"/>
  <c r="S1057" i="29" s="1"/>
  <c r="Q1090" i="29" a="1"/>
  <c r="Q1090" i="29" s="1"/>
  <c r="N1090" i="29" a="1"/>
  <c r="N1090" i="29" s="1"/>
  <c r="P1087" i="29"/>
  <c r="G1089" i="29"/>
  <c r="F1088" i="29"/>
  <c r="C1088" i="29" a="1"/>
  <c r="C1088" i="29" s="1"/>
  <c r="M1088" i="29"/>
  <c r="L1089" i="29" a="1"/>
  <c r="L1089" i="29" s="1"/>
  <c r="B1089" i="29"/>
  <c r="I1091" i="29"/>
  <c r="K1092" i="29"/>
  <c r="O1058" i="29" l="1" a="1"/>
  <c r="O1058" i="29" s="1"/>
  <c r="R1058" i="29" s="1"/>
  <c r="S1058" i="29" s="1"/>
  <c r="Q1091" i="29" a="1"/>
  <c r="Q1091" i="29" s="1"/>
  <c r="N1091" i="29" a="1"/>
  <c r="N1091" i="29" s="1"/>
  <c r="G1090" i="29"/>
  <c r="C1089" i="29" a="1"/>
  <c r="C1089" i="29" s="1"/>
  <c r="M1089" i="29"/>
  <c r="F1089" i="29"/>
  <c r="L1090" i="29" a="1"/>
  <c r="L1090" i="29" s="1"/>
  <c r="P1088" i="29"/>
  <c r="B1090" i="29"/>
  <c r="I1092" i="29"/>
  <c r="K1093" i="29"/>
  <c r="O1059" i="29" l="1" a="1"/>
  <c r="O1059" i="29" s="1"/>
  <c r="R1059" i="29" s="1"/>
  <c r="S1059" i="29" s="1"/>
  <c r="C1090" i="29" a="1"/>
  <c r="C1090" i="29" s="1"/>
  <c r="F1090" i="29"/>
  <c r="M1090" i="29"/>
  <c r="L1091" i="29" a="1"/>
  <c r="L1091" i="29" s="1"/>
  <c r="P1089" i="29"/>
  <c r="N1092" i="29" a="1"/>
  <c r="N1092" i="29" s="1"/>
  <c r="Q1092" i="29" a="1"/>
  <c r="Q1092" i="29" s="1"/>
  <c r="G1091" i="29"/>
  <c r="B1091" i="29"/>
  <c r="K1094" i="29"/>
  <c r="I1093" i="29"/>
  <c r="O1060" i="29" l="1" a="1"/>
  <c r="O1060" i="29" s="1"/>
  <c r="R1060" i="29" s="1"/>
  <c r="S1060" i="29" s="1"/>
  <c r="I1094" i="29"/>
  <c r="K1095" i="29"/>
  <c r="P1090" i="29"/>
  <c r="C1091" i="29" a="1"/>
  <c r="C1091" i="29" s="1"/>
  <c r="F1091" i="29"/>
  <c r="M1091" i="29"/>
  <c r="L1092" i="29" a="1"/>
  <c r="L1092" i="29" s="1"/>
  <c r="B1093" i="29" s="1"/>
  <c r="G1092" i="29"/>
  <c r="Q1093" i="29" a="1"/>
  <c r="Q1093" i="29" s="1"/>
  <c r="N1093" i="29" a="1"/>
  <c r="N1093" i="29" s="1"/>
  <c r="B1092" i="29"/>
  <c r="O1061" i="29" l="1" a="1"/>
  <c r="O1061" i="29" s="1"/>
  <c r="R1061" i="29" s="1"/>
  <c r="S1061" i="29" s="1"/>
  <c r="G1093" i="29"/>
  <c r="K1096" i="29"/>
  <c r="I1095" i="29"/>
  <c r="Q1094" i="29" a="1"/>
  <c r="Q1094" i="29" s="1"/>
  <c r="N1094" i="29" a="1"/>
  <c r="N1094" i="29" s="1"/>
  <c r="C1092" i="29" a="1"/>
  <c r="C1092" i="29" s="1"/>
  <c r="F1092" i="29"/>
  <c r="M1092" i="29"/>
  <c r="L1093" i="29" a="1"/>
  <c r="L1093" i="29" s="1"/>
  <c r="P1091" i="29"/>
  <c r="O1062" i="29" l="1" a="1"/>
  <c r="O1062" i="29" s="1"/>
  <c r="R1062" i="29" s="1"/>
  <c r="S1062" i="29" s="1"/>
  <c r="P1092" i="29"/>
  <c r="I1096" i="29"/>
  <c r="K1097" i="29"/>
  <c r="C1093" i="29" a="1"/>
  <c r="C1093" i="29" s="1"/>
  <c r="M1093" i="29"/>
  <c r="F1093" i="29"/>
  <c r="L1094" i="29" a="1"/>
  <c r="L1094" i="29" s="1"/>
  <c r="B1095" i="29" s="1"/>
  <c r="Q1095" i="29" a="1"/>
  <c r="Q1095" i="29" s="1"/>
  <c r="N1095" i="29" a="1"/>
  <c r="N1095" i="29" s="1"/>
  <c r="G1094" i="29"/>
  <c r="B1094" i="29"/>
  <c r="O1063" i="29" l="1" a="1"/>
  <c r="O1063" i="29" s="1"/>
  <c r="R1063" i="29" s="1"/>
  <c r="S1063" i="29" s="1"/>
  <c r="G1095" i="29"/>
  <c r="Q1096" i="29" a="1"/>
  <c r="Q1096" i="29" s="1"/>
  <c r="N1096" i="29" a="1"/>
  <c r="N1096" i="29" s="1"/>
  <c r="P1093" i="29"/>
  <c r="K1098" i="29"/>
  <c r="I1097" i="29"/>
  <c r="F1094" i="29"/>
  <c r="C1094" i="29" a="1"/>
  <c r="C1094" i="29" s="1"/>
  <c r="M1094" i="29"/>
  <c r="L1095" i="29" a="1"/>
  <c r="L1095" i="29" s="1"/>
  <c r="B1096" i="29" s="1"/>
  <c r="O1064" i="29" l="1" a="1"/>
  <c r="O1064" i="29" s="1"/>
  <c r="R1064" i="29" s="1"/>
  <c r="S1064" i="29" s="1"/>
  <c r="G1096" i="29"/>
  <c r="P1094" i="29"/>
  <c r="C1095" i="29" a="1"/>
  <c r="C1095" i="29" s="1"/>
  <c r="M1095" i="29"/>
  <c r="F1095" i="29"/>
  <c r="L1096" i="29" a="1"/>
  <c r="L1096" i="29" s="1"/>
  <c r="B1097" i="29" s="1"/>
  <c r="Q1097" i="29" a="1"/>
  <c r="Q1097" i="29" s="1"/>
  <c r="N1097" i="29" a="1"/>
  <c r="N1097" i="29" s="1"/>
  <c r="I1098" i="29"/>
  <c r="K1099" i="29"/>
  <c r="O1065" i="29" l="1" a="1"/>
  <c r="O1065" i="29" s="1"/>
  <c r="R1065" i="29" s="1"/>
  <c r="S1065" i="29" s="1"/>
  <c r="K1100" i="29"/>
  <c r="I1099" i="29"/>
  <c r="P1095" i="29"/>
  <c r="Q1098" i="29" a="1"/>
  <c r="Q1098" i="29" s="1"/>
  <c r="N1098" i="29" a="1"/>
  <c r="N1098" i="29" s="1"/>
  <c r="G1097" i="29"/>
  <c r="F1096" i="29"/>
  <c r="C1096" i="29" a="1"/>
  <c r="C1096" i="29" s="1"/>
  <c r="M1096" i="29"/>
  <c r="L1097" i="29" a="1"/>
  <c r="L1097" i="29" s="1"/>
  <c r="O1066" i="29" l="1" a="1"/>
  <c r="O1066" i="29" s="1"/>
  <c r="R1066" i="29" s="1"/>
  <c r="S1066" i="29" s="1"/>
  <c r="P1096" i="29"/>
  <c r="C1097" i="29" a="1"/>
  <c r="C1097" i="29" s="1"/>
  <c r="M1097" i="29"/>
  <c r="F1097" i="29"/>
  <c r="L1098" i="29" a="1"/>
  <c r="L1098" i="29" s="1"/>
  <c r="Q1099" i="29" a="1"/>
  <c r="Q1099" i="29" s="1"/>
  <c r="N1099" i="29" a="1"/>
  <c r="N1099" i="29" s="1"/>
  <c r="I1100" i="29"/>
  <c r="K1101" i="29"/>
  <c r="G1098" i="29"/>
  <c r="B1098" i="29"/>
  <c r="O1067" i="29" l="1" a="1"/>
  <c r="O1067" i="29" s="1"/>
  <c r="R1067" i="29" s="1"/>
  <c r="S1067" i="29" s="1"/>
  <c r="K1102" i="29"/>
  <c r="I1101" i="29"/>
  <c r="P1097" i="29"/>
  <c r="Q1100" i="29" a="1"/>
  <c r="Q1100" i="29" s="1"/>
  <c r="N1100" i="29" a="1"/>
  <c r="N1100" i="29" s="1"/>
  <c r="G1099" i="29"/>
  <c r="F1098" i="29"/>
  <c r="C1098" i="29" a="1"/>
  <c r="C1098" i="29" s="1"/>
  <c r="M1098" i="29"/>
  <c r="L1099" i="29" a="1"/>
  <c r="L1099" i="29" s="1"/>
  <c r="B1099" i="29"/>
  <c r="O1068" i="29" l="1" a="1"/>
  <c r="O1068" i="29" s="1"/>
  <c r="R1068" i="29" s="1"/>
  <c r="S1068" i="29" s="1"/>
  <c r="I1102" i="29"/>
  <c r="K1103" i="29"/>
  <c r="C1099" i="29" a="1"/>
  <c r="C1099" i="29" s="1"/>
  <c r="M1099" i="29"/>
  <c r="F1099" i="29"/>
  <c r="L1100" i="29" a="1"/>
  <c r="L1100" i="29" s="1"/>
  <c r="P1098" i="29"/>
  <c r="Q1101" i="29" a="1"/>
  <c r="Q1101" i="29" s="1"/>
  <c r="N1101" i="29" a="1"/>
  <c r="N1101" i="29" s="1"/>
  <c r="G1100" i="29"/>
  <c r="B1100" i="29"/>
  <c r="O1069" i="29" l="1" a="1"/>
  <c r="O1069" i="29" s="1"/>
  <c r="R1069" i="29" s="1"/>
  <c r="S1069" i="29" s="1"/>
  <c r="P1099" i="29"/>
  <c r="G1101" i="29"/>
  <c r="F1100" i="29"/>
  <c r="C1100" i="29" a="1"/>
  <c r="C1100" i="29" s="1"/>
  <c r="M1100" i="29"/>
  <c r="L1101" i="29" a="1"/>
  <c r="L1101" i="29" s="1"/>
  <c r="B1101" i="29"/>
  <c r="K1104" i="29"/>
  <c r="I1103" i="29"/>
  <c r="Q1102" i="29" a="1"/>
  <c r="Q1102" i="29" s="1"/>
  <c r="N1102" i="29" a="1"/>
  <c r="N1102" i="29" s="1"/>
  <c r="O1070" i="29" l="1" a="1"/>
  <c r="O1070" i="29" s="1"/>
  <c r="R1070" i="29" s="1"/>
  <c r="S1070" i="29" s="1"/>
  <c r="C1101" i="29" a="1"/>
  <c r="C1101" i="29" s="1"/>
  <c r="M1101" i="29"/>
  <c r="F1101" i="29"/>
  <c r="L1102" i="29" a="1"/>
  <c r="L1102" i="29" s="1"/>
  <c r="B1102" i="29"/>
  <c r="Q1103" i="29" a="1"/>
  <c r="Q1103" i="29" s="1"/>
  <c r="N1103" i="29" a="1"/>
  <c r="N1103" i="29" s="1"/>
  <c r="I1104" i="29"/>
  <c r="K1105" i="29"/>
  <c r="G1102" i="29"/>
  <c r="P1100" i="29"/>
  <c r="O1071" i="29" l="1" a="1"/>
  <c r="O1071" i="29" s="1"/>
  <c r="R1071" i="29" s="1"/>
  <c r="S1071" i="29" s="1"/>
  <c r="P1101" i="29"/>
  <c r="F1102" i="29"/>
  <c r="C1102" i="29" a="1"/>
  <c r="C1102" i="29" s="1"/>
  <c r="M1102" i="29"/>
  <c r="L1103" i="29" a="1"/>
  <c r="L1103" i="29" s="1"/>
  <c r="Q1104" i="29" a="1"/>
  <c r="Q1104" i="29" s="1"/>
  <c r="N1104" i="29" a="1"/>
  <c r="N1104" i="29" s="1"/>
  <c r="G1103" i="29"/>
  <c r="K1106" i="29"/>
  <c r="I1105" i="29"/>
  <c r="B1103" i="29"/>
  <c r="O1072" i="29" l="1" a="1"/>
  <c r="O1072" i="29" s="1"/>
  <c r="R1072" i="29" s="1"/>
  <c r="S1072" i="29" s="1"/>
  <c r="C1103" i="29" a="1"/>
  <c r="C1103" i="29" s="1"/>
  <c r="M1103" i="29"/>
  <c r="F1103" i="29"/>
  <c r="L1104" i="29" a="1"/>
  <c r="L1104" i="29" s="1"/>
  <c r="B1105" i="29" s="1"/>
  <c r="I1106" i="29"/>
  <c r="K1107" i="29"/>
  <c r="P1102" i="29"/>
  <c r="G1104" i="29"/>
  <c r="Q1105" i="29" a="1"/>
  <c r="Q1105" i="29" s="1"/>
  <c r="N1105" i="29" a="1"/>
  <c r="N1105" i="29" s="1"/>
  <c r="B1104" i="29"/>
  <c r="O1073" i="29" l="1" a="1"/>
  <c r="O1073" i="29" s="1"/>
  <c r="R1073" i="29" s="1"/>
  <c r="S1073" i="29" s="1"/>
  <c r="K1108" i="29"/>
  <c r="I1107" i="29"/>
  <c r="Q1106" i="29" a="1"/>
  <c r="Q1106" i="29" s="1"/>
  <c r="N1106" i="29" a="1"/>
  <c r="N1106" i="29" s="1"/>
  <c r="F1104" i="29"/>
  <c r="C1104" i="29" a="1"/>
  <c r="C1104" i="29" s="1"/>
  <c r="M1104" i="29"/>
  <c r="L1105" i="29" a="1"/>
  <c r="L1105" i="29" s="1"/>
  <c r="B1106" i="29" s="1"/>
  <c r="P1103" i="29"/>
  <c r="G1105" i="29"/>
  <c r="O1074" i="29" l="1" a="1"/>
  <c r="O1074" i="29" s="1"/>
  <c r="R1074" i="29" s="1"/>
  <c r="S1074" i="29" s="1"/>
  <c r="P1104" i="29"/>
  <c r="I1108" i="29"/>
  <c r="K1109" i="29"/>
  <c r="G1106" i="29"/>
  <c r="C1105" i="29" a="1"/>
  <c r="C1105" i="29" s="1"/>
  <c r="M1105" i="29"/>
  <c r="F1105" i="29"/>
  <c r="L1106" i="29" a="1"/>
  <c r="L1106" i="29" s="1"/>
  <c r="B1107" i="29" s="1"/>
  <c r="Q1107" i="29" a="1"/>
  <c r="Q1107" i="29" s="1"/>
  <c r="N1107" i="29" a="1"/>
  <c r="N1107" i="29" s="1"/>
  <c r="O1075" i="29" l="1" a="1"/>
  <c r="O1075" i="29" s="1"/>
  <c r="R1075" i="29" s="1"/>
  <c r="S1075" i="29" s="1"/>
  <c r="G1107" i="29"/>
  <c r="K1110" i="29"/>
  <c r="I1109" i="29"/>
  <c r="Q1108" i="29" a="1"/>
  <c r="Q1108" i="29" s="1"/>
  <c r="N1108" i="29" a="1"/>
  <c r="N1108" i="29" s="1"/>
  <c r="P1105" i="29"/>
  <c r="F1106" i="29"/>
  <c r="C1106" i="29" a="1"/>
  <c r="C1106" i="29" s="1"/>
  <c r="M1106" i="29"/>
  <c r="L1107" i="29" a="1"/>
  <c r="L1107" i="29" s="1"/>
  <c r="O1076" i="29" l="1" a="1"/>
  <c r="O1076" i="29" s="1"/>
  <c r="R1076" i="29" s="1"/>
  <c r="S1076" i="29" s="1"/>
  <c r="C1107" i="29" a="1"/>
  <c r="C1107" i="29" s="1"/>
  <c r="M1107" i="29"/>
  <c r="F1107" i="29"/>
  <c r="L1108" i="29" a="1"/>
  <c r="L1108" i="29" s="1"/>
  <c r="G1108" i="29"/>
  <c r="P1106" i="29"/>
  <c r="Q1109" i="29" a="1"/>
  <c r="Q1109" i="29" s="1"/>
  <c r="N1109" i="29" a="1"/>
  <c r="N1109" i="29" s="1"/>
  <c r="I1110" i="29"/>
  <c r="K1111" i="29"/>
  <c r="B1108" i="29"/>
  <c r="O1077" i="29" l="1" a="1"/>
  <c r="O1077" i="29" s="1"/>
  <c r="R1077" i="29" s="1"/>
  <c r="S1077" i="29" s="1"/>
  <c r="Q1110" i="29" a="1"/>
  <c r="Q1110" i="29" s="1"/>
  <c r="N1110" i="29" a="1"/>
  <c r="N1110" i="29" s="1"/>
  <c r="F1108" i="29"/>
  <c r="C1108" i="29" a="1"/>
  <c r="C1108" i="29" s="1"/>
  <c r="M1108" i="29"/>
  <c r="L1109" i="29" a="1"/>
  <c r="L1109" i="29" s="1"/>
  <c r="B1110" i="29" s="1"/>
  <c r="P1107" i="29"/>
  <c r="K1112" i="29"/>
  <c r="I1111" i="29"/>
  <c r="G1109" i="29"/>
  <c r="B1109" i="29"/>
  <c r="O1078" i="29" l="1" a="1"/>
  <c r="O1078" i="29" s="1"/>
  <c r="R1078" i="29" s="1"/>
  <c r="S1078" i="29" s="1"/>
  <c r="Q1111" i="29" a="1"/>
  <c r="Q1111" i="29" s="1"/>
  <c r="N1111" i="29" a="1"/>
  <c r="N1111" i="29" s="1"/>
  <c r="I1112" i="29"/>
  <c r="K1113" i="29"/>
  <c r="G1110" i="29"/>
  <c r="C1109" i="29" a="1"/>
  <c r="C1109" i="29" s="1"/>
  <c r="M1109" i="29"/>
  <c r="F1109" i="29"/>
  <c r="L1110" i="29" a="1"/>
  <c r="L1110" i="29" s="1"/>
  <c r="B1111" i="29" s="1"/>
  <c r="P1108" i="29"/>
  <c r="O1079" i="29" l="1" a="1"/>
  <c r="O1079" i="29" s="1"/>
  <c r="R1079" i="29" s="1"/>
  <c r="S1079" i="29" s="1"/>
  <c r="K1114" i="29"/>
  <c r="I1113" i="29"/>
  <c r="Q1112" i="29" a="1"/>
  <c r="Q1112" i="29" s="1"/>
  <c r="N1112" i="29" a="1"/>
  <c r="N1112" i="29" s="1"/>
  <c r="G1111" i="29"/>
  <c r="P1109" i="29"/>
  <c r="F1110" i="29"/>
  <c r="C1110" i="29" a="1"/>
  <c r="C1110" i="29" s="1"/>
  <c r="M1110" i="29"/>
  <c r="L1111" i="29" a="1"/>
  <c r="L1111" i="29" s="1"/>
  <c r="B1112" i="29" s="1"/>
  <c r="O1080" i="29" l="1" a="1"/>
  <c r="O1080" i="29" s="1"/>
  <c r="R1080" i="29" s="1"/>
  <c r="S1080" i="29" s="1"/>
  <c r="I1114" i="29"/>
  <c r="K1115" i="29"/>
  <c r="G1112" i="29"/>
  <c r="P1110" i="29"/>
  <c r="Q1113" i="29" a="1"/>
  <c r="Q1113" i="29" s="1"/>
  <c r="N1113" i="29" a="1"/>
  <c r="N1113" i="29" s="1"/>
  <c r="C1111" i="29" a="1"/>
  <c r="C1111" i="29" s="1"/>
  <c r="M1111" i="29"/>
  <c r="F1111" i="29"/>
  <c r="L1112" i="29" a="1"/>
  <c r="L1112" i="29" s="1"/>
  <c r="O1081" i="29" l="1" a="1"/>
  <c r="O1081" i="29" s="1"/>
  <c r="R1081" i="29" s="1"/>
  <c r="S1081" i="29" s="1"/>
  <c r="F1112" i="29"/>
  <c r="C1112" i="29" a="1"/>
  <c r="C1112" i="29" s="1"/>
  <c r="M1112" i="29"/>
  <c r="L1113" i="29" a="1"/>
  <c r="L1113" i="29" s="1"/>
  <c r="B1114" i="29" s="1"/>
  <c r="P1111" i="29"/>
  <c r="K1116" i="29"/>
  <c r="I1115" i="29"/>
  <c r="Q1114" i="29" a="1"/>
  <c r="Q1114" i="29" s="1"/>
  <c r="N1114" i="29" a="1"/>
  <c r="N1114" i="29" s="1"/>
  <c r="G1113" i="29"/>
  <c r="B1113" i="29"/>
  <c r="O1082" i="29" l="1" a="1"/>
  <c r="O1082" i="29" s="1"/>
  <c r="R1082" i="29" s="1"/>
  <c r="S1082" i="29" s="1"/>
  <c r="P1112" i="29"/>
  <c r="G1114" i="29"/>
  <c r="Q1115" i="29" a="1"/>
  <c r="Q1115" i="29" s="1"/>
  <c r="N1115" i="29" a="1"/>
  <c r="N1115" i="29" s="1"/>
  <c r="C1113" i="29" a="1"/>
  <c r="C1113" i="29" s="1"/>
  <c r="M1113" i="29"/>
  <c r="F1113" i="29"/>
  <c r="L1114" i="29" a="1"/>
  <c r="L1114" i="29" s="1"/>
  <c r="I1116" i="29"/>
  <c r="K1117" i="29"/>
  <c r="O1083" i="29" l="1" a="1"/>
  <c r="O1083" i="29" s="1"/>
  <c r="R1083" i="29" s="1"/>
  <c r="S1083" i="29" s="1"/>
  <c r="F1114" i="29"/>
  <c r="C1114" i="29" a="1"/>
  <c r="C1114" i="29" s="1"/>
  <c r="M1114" i="29"/>
  <c r="L1115" i="29" a="1"/>
  <c r="L1115" i="29" s="1"/>
  <c r="P1113" i="29"/>
  <c r="K1118" i="29"/>
  <c r="I1117" i="29"/>
  <c r="B1115" i="29"/>
  <c r="Q1116" i="29" a="1"/>
  <c r="Q1116" i="29" s="1"/>
  <c r="N1116" i="29" a="1"/>
  <c r="N1116" i="29" s="1"/>
  <c r="G1115" i="29"/>
  <c r="O1084" i="29" l="1" a="1"/>
  <c r="O1084" i="29" s="1"/>
  <c r="R1084" i="29" s="1"/>
  <c r="S1084" i="29" s="1"/>
  <c r="C1115" i="29" a="1"/>
  <c r="C1115" i="29" s="1"/>
  <c r="M1115" i="29"/>
  <c r="F1115" i="29"/>
  <c r="L1116" i="29" a="1"/>
  <c r="L1116" i="29" s="1"/>
  <c r="B1117" i="29" s="1"/>
  <c r="P1114" i="29"/>
  <c r="G1116" i="29"/>
  <c r="B1116" i="29"/>
  <c r="Q1117" i="29" a="1"/>
  <c r="Q1117" i="29" s="1"/>
  <c r="N1117" i="29" a="1"/>
  <c r="N1117" i="29" s="1"/>
  <c r="I1118" i="29"/>
  <c r="K1119" i="29"/>
  <c r="O1085" i="29" l="1" a="1"/>
  <c r="O1085" i="29" s="1"/>
  <c r="R1085" i="29" s="1"/>
  <c r="S1085" i="29" s="1"/>
  <c r="Q1118" i="29" a="1"/>
  <c r="Q1118" i="29" s="1"/>
  <c r="N1118" i="29" a="1"/>
  <c r="N1118" i="29" s="1"/>
  <c r="G1117" i="29"/>
  <c r="F1116" i="29"/>
  <c r="C1116" i="29" a="1"/>
  <c r="C1116" i="29" s="1"/>
  <c r="M1116" i="29"/>
  <c r="L1117" i="29" a="1"/>
  <c r="L1117" i="29" s="1"/>
  <c r="P1115" i="29"/>
  <c r="K1120" i="29"/>
  <c r="I1119" i="29"/>
  <c r="O1086" i="29" l="1" a="1"/>
  <c r="O1086" i="29" s="1"/>
  <c r="R1086" i="29" s="1"/>
  <c r="S1086" i="29" s="1"/>
  <c r="C1117" i="29" a="1"/>
  <c r="C1117" i="29" s="1"/>
  <c r="M1117" i="29"/>
  <c r="F1117" i="29"/>
  <c r="L1118" i="29" a="1"/>
  <c r="L1118" i="29" s="1"/>
  <c r="B1119" i="29" s="1"/>
  <c r="Q1119" i="29" a="1"/>
  <c r="Q1119" i="29" s="1"/>
  <c r="N1119" i="29" a="1"/>
  <c r="N1119" i="29" s="1"/>
  <c r="I1120" i="29"/>
  <c r="K1121" i="29"/>
  <c r="G1118" i="29"/>
  <c r="B1118" i="29"/>
  <c r="P1116" i="29"/>
  <c r="O1087" i="29" l="1" a="1"/>
  <c r="O1087" i="29" s="1"/>
  <c r="R1087" i="29" s="1"/>
  <c r="S1087" i="29" s="1"/>
  <c r="P1117" i="29"/>
  <c r="Q1120" i="29" a="1"/>
  <c r="Q1120" i="29" s="1"/>
  <c r="N1120" i="29" a="1"/>
  <c r="N1120" i="29" s="1"/>
  <c r="F1118" i="29"/>
  <c r="C1118" i="29" a="1"/>
  <c r="C1118" i="29" s="1"/>
  <c r="M1118" i="29"/>
  <c r="L1119" i="29" a="1"/>
  <c r="L1119" i="29" s="1"/>
  <c r="B1120" i="29" s="1"/>
  <c r="K1122" i="29"/>
  <c r="I1121" i="29"/>
  <c r="G1119" i="29"/>
  <c r="O1088" i="29" l="1" a="1"/>
  <c r="O1088" i="29" s="1"/>
  <c r="R1088" i="29" s="1"/>
  <c r="S1088" i="29" s="1"/>
  <c r="Q1121" i="29" a="1"/>
  <c r="Q1121" i="29" s="1"/>
  <c r="N1121" i="29" a="1"/>
  <c r="N1121" i="29" s="1"/>
  <c r="I1122" i="29"/>
  <c r="K1123" i="29"/>
  <c r="G1120" i="29"/>
  <c r="C1119" i="29" a="1"/>
  <c r="C1119" i="29" s="1"/>
  <c r="M1119" i="29"/>
  <c r="F1119" i="29"/>
  <c r="L1120" i="29" a="1"/>
  <c r="L1120" i="29" s="1"/>
  <c r="P1118" i="29"/>
  <c r="O1089" i="29" l="1" a="1"/>
  <c r="O1089" i="29" s="1"/>
  <c r="R1089" i="29" s="1"/>
  <c r="S1089" i="29" s="1"/>
  <c r="F1120" i="29"/>
  <c r="C1120" i="29" a="1"/>
  <c r="C1120" i="29" s="1"/>
  <c r="M1120" i="29"/>
  <c r="L1121" i="29" a="1"/>
  <c r="L1121" i="29" s="1"/>
  <c r="K1124" i="29"/>
  <c r="I1123" i="29"/>
  <c r="Q1122" i="29" a="1"/>
  <c r="Q1122" i="29" s="1"/>
  <c r="N1122" i="29" a="1"/>
  <c r="N1122" i="29" s="1"/>
  <c r="G1121" i="29"/>
  <c r="P1119" i="29"/>
  <c r="B1121" i="29"/>
  <c r="O1090" i="29" l="1" a="1"/>
  <c r="O1090" i="29" s="1"/>
  <c r="R1090" i="29" s="1"/>
  <c r="S1090" i="29" s="1"/>
  <c r="P1120" i="29"/>
  <c r="C1121" i="29" a="1"/>
  <c r="C1121" i="29" s="1"/>
  <c r="M1121" i="29"/>
  <c r="F1121" i="29"/>
  <c r="L1122" i="29" a="1"/>
  <c r="L1122" i="29" s="1"/>
  <c r="G1122" i="29"/>
  <c r="B1122" i="29"/>
  <c r="Q1123" i="29" a="1"/>
  <c r="Q1123" i="29" s="1"/>
  <c r="N1123" i="29" a="1"/>
  <c r="N1123" i="29" s="1"/>
  <c r="I1124" i="29"/>
  <c r="K1125" i="29"/>
  <c r="O1091" i="29" l="1" a="1"/>
  <c r="O1091" i="29" s="1"/>
  <c r="R1091" i="29" s="1"/>
  <c r="S1091" i="29" s="1"/>
  <c r="Q1124" i="29" a="1"/>
  <c r="Q1124" i="29" s="1"/>
  <c r="N1124" i="29" a="1"/>
  <c r="N1124" i="29" s="1"/>
  <c r="F1122" i="29"/>
  <c r="C1122" i="29" a="1"/>
  <c r="C1122" i="29" s="1"/>
  <c r="M1122" i="29"/>
  <c r="L1123" i="29" a="1"/>
  <c r="L1123" i="29" s="1"/>
  <c r="B1124" i="29" s="1"/>
  <c r="G1123" i="29"/>
  <c r="P1121" i="29"/>
  <c r="B1123" i="29"/>
  <c r="K1126" i="29"/>
  <c r="I1125" i="29"/>
  <c r="O1092" i="29" l="1" a="1"/>
  <c r="O1092" i="29" s="1"/>
  <c r="R1092" i="29" s="1"/>
  <c r="S1092" i="29" s="1"/>
  <c r="G1124" i="29"/>
  <c r="I1126" i="29"/>
  <c r="K1127" i="29"/>
  <c r="C1123" i="29" a="1"/>
  <c r="C1123" i="29" s="1"/>
  <c r="M1123" i="29"/>
  <c r="F1123" i="29"/>
  <c r="L1124" i="29" a="1"/>
  <c r="L1124" i="29" s="1"/>
  <c r="B1125" i="29" s="1"/>
  <c r="Q1125" i="29" a="1"/>
  <c r="Q1125" i="29" s="1"/>
  <c r="N1125" i="29" a="1"/>
  <c r="N1125" i="29" s="1"/>
  <c r="P1122" i="29"/>
  <c r="O1093" i="29" l="1" a="1"/>
  <c r="O1093" i="29" s="1"/>
  <c r="R1093" i="29" s="1"/>
  <c r="S1093" i="29" s="1"/>
  <c r="P1123" i="29"/>
  <c r="G1125" i="29"/>
  <c r="Q1126" i="29" a="1"/>
  <c r="Q1126" i="29" s="1"/>
  <c r="N1126" i="29" a="1"/>
  <c r="N1126" i="29" s="1"/>
  <c r="K1128" i="29"/>
  <c r="I1127" i="29"/>
  <c r="F1124" i="29"/>
  <c r="C1124" i="29" a="1"/>
  <c r="C1124" i="29" s="1"/>
  <c r="M1124" i="29"/>
  <c r="L1125" i="29" a="1"/>
  <c r="L1125" i="29" s="1"/>
  <c r="O1094" i="29" l="1" a="1"/>
  <c r="O1094" i="29" s="1"/>
  <c r="R1094" i="29" s="1"/>
  <c r="S1094" i="29" s="1"/>
  <c r="C1125" i="29" a="1"/>
  <c r="C1125" i="29" s="1"/>
  <c r="M1125" i="29"/>
  <c r="F1125" i="29"/>
  <c r="L1126" i="29" a="1"/>
  <c r="L1126" i="29" s="1"/>
  <c r="P1124" i="29"/>
  <c r="Q1127" i="29" a="1"/>
  <c r="Q1127" i="29" s="1"/>
  <c r="N1127" i="29" a="1"/>
  <c r="N1127" i="29" s="1"/>
  <c r="I1128" i="29"/>
  <c r="K1129" i="29"/>
  <c r="G1126" i="29"/>
  <c r="B1126" i="29"/>
  <c r="O1095" i="29" l="1" a="1"/>
  <c r="O1095" i="29" s="1"/>
  <c r="R1095" i="29" s="1"/>
  <c r="S1095" i="29" s="1"/>
  <c r="K1130" i="29"/>
  <c r="I1129" i="29"/>
  <c r="G1127" i="29"/>
  <c r="F1126" i="29"/>
  <c r="C1126" i="29" a="1"/>
  <c r="C1126" i="29" s="1"/>
  <c r="M1126" i="29"/>
  <c r="L1127" i="29" a="1"/>
  <c r="L1127" i="29" s="1"/>
  <c r="B1128" i="29" s="1"/>
  <c r="Q1128" i="29" a="1"/>
  <c r="Q1128" i="29" s="1"/>
  <c r="N1128" i="29" a="1"/>
  <c r="N1128" i="29" s="1"/>
  <c r="P1125" i="29"/>
  <c r="B1127" i="29"/>
  <c r="O1096" i="29" l="1" a="1"/>
  <c r="O1096" i="29" s="1"/>
  <c r="R1096" i="29" s="1"/>
  <c r="S1096" i="29" s="1"/>
  <c r="G1128" i="29"/>
  <c r="Q1129" i="29" a="1"/>
  <c r="Q1129" i="29" s="1"/>
  <c r="N1129" i="29" a="1"/>
  <c r="N1129" i="29" s="1"/>
  <c r="I1130" i="29"/>
  <c r="K1131" i="29"/>
  <c r="C1127" i="29" a="1"/>
  <c r="C1127" i="29" s="1"/>
  <c r="M1127" i="29"/>
  <c r="F1127" i="29"/>
  <c r="L1128" i="29" a="1"/>
  <c r="L1128" i="29" s="1"/>
  <c r="P1126" i="29"/>
  <c r="O1097" i="29" l="1" a="1"/>
  <c r="O1097" i="29" s="1"/>
  <c r="R1097" i="29" s="1"/>
  <c r="S1097" i="29" s="1"/>
  <c r="F1128" i="29"/>
  <c r="C1128" i="29" a="1"/>
  <c r="C1128" i="29" s="1"/>
  <c r="M1128" i="29"/>
  <c r="L1129" i="29" a="1"/>
  <c r="L1129" i="29" s="1"/>
  <c r="B1130" i="29" s="1"/>
  <c r="P1127" i="29"/>
  <c r="G1129" i="29"/>
  <c r="B1129" i="29"/>
  <c r="K1132" i="29"/>
  <c r="I1131" i="29"/>
  <c r="Q1130" i="29" a="1"/>
  <c r="Q1130" i="29" s="1"/>
  <c r="N1130" i="29" a="1"/>
  <c r="N1130" i="29" s="1"/>
  <c r="O1098" i="29" l="1" a="1"/>
  <c r="O1098" i="29" s="1"/>
  <c r="R1098" i="29" s="1"/>
  <c r="S1098" i="29" s="1"/>
  <c r="Q1131" i="29" a="1"/>
  <c r="Q1131" i="29" s="1"/>
  <c r="N1131" i="29" a="1"/>
  <c r="N1131" i="29" s="1"/>
  <c r="P1128" i="29"/>
  <c r="I1132" i="29"/>
  <c r="K1133" i="29"/>
  <c r="C1129" i="29" a="1"/>
  <c r="C1129" i="29" s="1"/>
  <c r="M1129" i="29"/>
  <c r="F1129" i="29"/>
  <c r="L1130" i="29" a="1"/>
  <c r="L1130" i="29" s="1"/>
  <c r="B1131" i="29" s="1"/>
  <c r="G1130" i="29"/>
  <c r="O1099" i="29" l="1" a="1"/>
  <c r="O1099" i="29" s="1"/>
  <c r="R1099" i="29" s="1"/>
  <c r="S1099" i="29" s="1"/>
  <c r="G1131" i="29"/>
  <c r="P1129" i="29"/>
  <c r="F1130" i="29"/>
  <c r="C1130" i="29" a="1"/>
  <c r="C1130" i="29" s="1"/>
  <c r="M1130" i="29"/>
  <c r="L1131" i="29" a="1"/>
  <c r="L1131" i="29" s="1"/>
  <c r="B1132" i="29" s="1"/>
  <c r="K1134" i="29"/>
  <c r="I1133" i="29"/>
  <c r="Q1132" i="29" a="1"/>
  <c r="Q1132" i="29" s="1"/>
  <c r="N1132" i="29" a="1"/>
  <c r="N1132" i="29" s="1"/>
  <c r="O1100" i="29" l="1" a="1"/>
  <c r="O1100" i="29" s="1"/>
  <c r="R1100" i="29" s="1"/>
  <c r="S1100" i="29" s="1"/>
  <c r="G1132" i="29"/>
  <c r="Q1133" i="29" a="1"/>
  <c r="Q1133" i="29" s="1"/>
  <c r="N1133" i="29" a="1"/>
  <c r="N1133" i="29" s="1"/>
  <c r="I1134" i="29"/>
  <c r="K1135" i="29"/>
  <c r="C1131" i="29" a="1"/>
  <c r="C1131" i="29" s="1"/>
  <c r="M1131" i="29"/>
  <c r="F1131" i="29"/>
  <c r="L1132" i="29" a="1"/>
  <c r="L1132" i="29" s="1"/>
  <c r="P1130" i="29"/>
  <c r="O1101" i="29" l="1" a="1"/>
  <c r="O1101" i="29" s="1"/>
  <c r="R1101" i="29" s="1"/>
  <c r="S1101" i="29" s="1"/>
  <c r="G1133" i="29"/>
  <c r="F1132" i="29"/>
  <c r="C1132" i="29" a="1"/>
  <c r="C1132" i="29" s="1"/>
  <c r="M1132" i="29"/>
  <c r="L1133" i="29" a="1"/>
  <c r="L1133" i="29" s="1"/>
  <c r="B1133" i="29"/>
  <c r="P1131" i="29"/>
  <c r="K1136" i="29"/>
  <c r="I1135" i="29"/>
  <c r="Q1134" i="29" a="1"/>
  <c r="Q1134" i="29" s="1"/>
  <c r="N1134" i="29" a="1"/>
  <c r="N1134" i="29" s="1"/>
  <c r="O1102" i="29" l="1" a="1"/>
  <c r="O1102" i="29" s="1"/>
  <c r="R1102" i="29" s="1"/>
  <c r="S1102" i="29" s="1"/>
  <c r="C1133" i="29" a="1"/>
  <c r="C1133" i="29" s="1"/>
  <c r="M1133" i="29"/>
  <c r="F1133" i="29"/>
  <c r="L1134" i="29" a="1"/>
  <c r="L1134" i="29" s="1"/>
  <c r="B1134" i="29"/>
  <c r="P1132" i="29"/>
  <c r="Q1135" i="29" a="1"/>
  <c r="Q1135" i="29" s="1"/>
  <c r="N1135" i="29" a="1"/>
  <c r="N1135" i="29" s="1"/>
  <c r="I1136" i="29"/>
  <c r="K1137" i="29"/>
  <c r="G1134" i="29"/>
  <c r="O1103" i="29" l="1" a="1"/>
  <c r="O1103" i="29" s="1"/>
  <c r="R1103" i="29" s="1"/>
  <c r="S1103" i="29" s="1"/>
  <c r="K1138" i="29"/>
  <c r="I1137" i="29"/>
  <c r="F1134" i="29"/>
  <c r="C1134" i="29" a="1"/>
  <c r="C1134" i="29" s="1"/>
  <c r="M1134" i="29"/>
  <c r="L1135" i="29" a="1"/>
  <c r="L1135" i="29" s="1"/>
  <c r="P1133" i="29"/>
  <c r="B1135" i="29"/>
  <c r="Q1136" i="29" a="1"/>
  <c r="Q1136" i="29" s="1"/>
  <c r="N1136" i="29" a="1"/>
  <c r="N1136" i="29" s="1"/>
  <c r="G1135" i="29"/>
  <c r="O1104" i="29" l="1" a="1"/>
  <c r="O1104" i="29" s="1"/>
  <c r="R1104" i="29" s="1"/>
  <c r="S1104" i="29" s="1"/>
  <c r="C1135" i="29" a="1"/>
  <c r="C1135" i="29" s="1"/>
  <c r="M1135" i="29"/>
  <c r="F1135" i="29"/>
  <c r="L1136" i="29" a="1"/>
  <c r="L1136" i="29" s="1"/>
  <c r="G1136" i="29"/>
  <c r="P1134" i="29"/>
  <c r="B1136" i="29"/>
  <c r="Q1137" i="29" a="1"/>
  <c r="Q1137" i="29" s="1"/>
  <c r="N1137" i="29" a="1"/>
  <c r="N1137" i="29" s="1"/>
  <c r="I1138" i="29"/>
  <c r="K1139" i="29"/>
  <c r="O1105" i="29" l="1" a="1"/>
  <c r="O1105" i="29" s="1"/>
  <c r="R1105" i="29" s="1"/>
  <c r="S1105" i="29" s="1"/>
  <c r="Q1138" i="29" a="1"/>
  <c r="Q1138" i="29" s="1"/>
  <c r="N1138" i="29" a="1"/>
  <c r="N1138" i="29" s="1"/>
  <c r="G1137" i="29"/>
  <c r="F1136" i="29"/>
  <c r="C1136" i="29" a="1"/>
  <c r="C1136" i="29" s="1"/>
  <c r="M1136" i="29"/>
  <c r="L1137" i="29" a="1"/>
  <c r="L1137" i="29" s="1"/>
  <c r="B1137" i="29"/>
  <c r="P1135" i="29"/>
  <c r="K1140" i="29"/>
  <c r="I1139" i="29"/>
  <c r="O1106" i="29" l="1" a="1"/>
  <c r="O1106" i="29" s="1"/>
  <c r="R1106" i="29" s="1"/>
  <c r="S1106" i="29" s="1"/>
  <c r="C1137" i="29" a="1"/>
  <c r="C1137" i="29" s="1"/>
  <c r="M1137" i="29"/>
  <c r="F1137" i="29"/>
  <c r="L1138" i="29" a="1"/>
  <c r="L1138" i="29" s="1"/>
  <c r="I1140" i="29"/>
  <c r="K1141" i="29"/>
  <c r="G1138" i="29"/>
  <c r="B1138" i="29"/>
  <c r="P1136" i="29"/>
  <c r="Q1139" i="29" a="1"/>
  <c r="Q1139" i="29" s="1"/>
  <c r="N1139" i="29" a="1"/>
  <c r="N1139" i="29" s="1"/>
  <c r="O1107" i="29" l="1" a="1"/>
  <c r="O1107" i="29" s="1"/>
  <c r="R1107" i="29" s="1"/>
  <c r="S1107" i="29" s="1"/>
  <c r="Q1140" i="29" a="1"/>
  <c r="Q1140" i="29" s="1"/>
  <c r="N1140" i="29" a="1"/>
  <c r="N1140" i="29" s="1"/>
  <c r="F1138" i="29"/>
  <c r="C1138" i="29" a="1"/>
  <c r="C1138" i="29" s="1"/>
  <c r="M1138" i="29"/>
  <c r="L1139" i="29" a="1"/>
  <c r="L1139" i="29" s="1"/>
  <c r="B1140" i="29" s="1"/>
  <c r="P1137" i="29"/>
  <c r="G1139" i="29"/>
  <c r="K1142" i="29"/>
  <c r="I1141" i="29"/>
  <c r="B1139" i="29"/>
  <c r="O1108" i="29" l="1" a="1"/>
  <c r="O1108" i="29" s="1"/>
  <c r="R1108" i="29" s="1"/>
  <c r="S1108" i="29" s="1"/>
  <c r="Q1141" i="29" a="1"/>
  <c r="Q1141" i="29" s="1"/>
  <c r="N1141" i="29" a="1"/>
  <c r="N1141" i="29" s="1"/>
  <c r="G1140" i="29"/>
  <c r="I1142" i="29"/>
  <c r="K1143" i="29"/>
  <c r="C1139" i="29" a="1"/>
  <c r="C1139" i="29" s="1"/>
  <c r="M1139" i="29"/>
  <c r="F1139" i="29"/>
  <c r="L1140" i="29" a="1"/>
  <c r="L1140" i="29" s="1"/>
  <c r="B1141" i="29" s="1"/>
  <c r="P1138" i="29"/>
  <c r="O1109" i="29" l="1" a="1"/>
  <c r="O1109" i="29" s="1"/>
  <c r="R1109" i="29" s="1"/>
  <c r="S1109" i="29" s="1"/>
  <c r="P1139" i="29"/>
  <c r="F1140" i="29"/>
  <c r="C1140" i="29" a="1"/>
  <c r="C1140" i="29" s="1"/>
  <c r="M1140" i="29"/>
  <c r="L1141" i="29" a="1"/>
  <c r="L1141" i="29" s="1"/>
  <c r="G1141" i="29"/>
  <c r="K1144" i="29"/>
  <c r="I1143" i="29"/>
  <c r="Q1142" i="29" a="1"/>
  <c r="Q1142" i="29" s="1"/>
  <c r="N1142" i="29" a="1"/>
  <c r="N1142" i="29" s="1"/>
  <c r="O1110" i="29" l="1" a="1"/>
  <c r="O1110" i="29" s="1"/>
  <c r="R1110" i="29" s="1"/>
  <c r="S1110" i="29" s="1"/>
  <c r="G1142" i="29"/>
  <c r="Q1143" i="29" a="1"/>
  <c r="Q1143" i="29" s="1"/>
  <c r="N1143" i="29" a="1"/>
  <c r="N1143" i="29" s="1"/>
  <c r="C1141" i="29" a="1"/>
  <c r="C1141" i="29" s="1"/>
  <c r="M1141" i="29"/>
  <c r="F1141" i="29"/>
  <c r="L1142" i="29" a="1"/>
  <c r="L1142" i="29" s="1"/>
  <c r="B1143" i="29" s="1"/>
  <c r="B1142" i="29"/>
  <c r="P1140" i="29"/>
  <c r="I1144" i="29"/>
  <c r="K1145" i="29"/>
  <c r="O1111" i="29" l="1" a="1"/>
  <c r="O1111" i="29" s="1"/>
  <c r="R1111" i="29" s="1"/>
  <c r="S1111" i="29" s="1"/>
  <c r="Q1144" i="29" a="1"/>
  <c r="Q1144" i="29" s="1"/>
  <c r="N1144" i="29" a="1"/>
  <c r="N1144" i="29" s="1"/>
  <c r="G1143" i="29"/>
  <c r="F1142" i="29"/>
  <c r="C1142" i="29" a="1"/>
  <c r="C1142" i="29" s="1"/>
  <c r="M1142" i="29"/>
  <c r="L1143" i="29" a="1"/>
  <c r="L1143" i="29" s="1"/>
  <c r="B1144" i="29" s="1"/>
  <c r="P1141" i="29"/>
  <c r="K1146" i="29"/>
  <c r="I1145" i="29"/>
  <c r="O1112" i="29" l="1" a="1"/>
  <c r="O1112" i="29" s="1"/>
  <c r="R1112" i="29" s="1"/>
  <c r="S1112" i="29" s="1"/>
  <c r="G1144" i="29"/>
  <c r="Q1145" i="29" a="1"/>
  <c r="Q1145" i="29" s="1"/>
  <c r="N1145" i="29" a="1"/>
  <c r="N1145" i="29" s="1"/>
  <c r="I1146" i="29"/>
  <c r="K1147" i="29"/>
  <c r="C1143" i="29" a="1"/>
  <c r="C1143" i="29" s="1"/>
  <c r="M1143" i="29"/>
  <c r="F1143" i="29"/>
  <c r="L1144" i="29" a="1"/>
  <c r="L1144" i="29" s="1"/>
  <c r="P1142" i="29"/>
  <c r="O1113" i="29" l="1" a="1"/>
  <c r="O1113" i="29" s="1"/>
  <c r="R1113" i="29" s="1"/>
  <c r="S1113" i="29" s="1"/>
  <c r="F1144" i="29"/>
  <c r="C1144" i="29" a="1"/>
  <c r="C1144" i="29" s="1"/>
  <c r="M1144" i="29"/>
  <c r="L1145" i="29" a="1"/>
  <c r="L1145" i="29" s="1"/>
  <c r="B1146" i="29" s="1"/>
  <c r="P1143" i="29"/>
  <c r="G1145" i="29"/>
  <c r="B1145" i="29"/>
  <c r="K1148" i="29"/>
  <c r="I1147" i="29"/>
  <c r="Q1146" i="29" a="1"/>
  <c r="Q1146" i="29" s="1"/>
  <c r="N1146" i="29" a="1"/>
  <c r="N1146" i="29" s="1"/>
  <c r="O1114" i="29" l="1" a="1"/>
  <c r="O1114" i="29" s="1"/>
  <c r="R1114" i="29" s="1"/>
  <c r="S1114" i="29" s="1"/>
  <c r="C1145" i="29" a="1"/>
  <c r="C1145" i="29" s="1"/>
  <c r="M1145" i="29"/>
  <c r="F1145" i="29"/>
  <c r="L1146" i="29" a="1"/>
  <c r="L1146" i="29" s="1"/>
  <c r="B1147" i="29" s="1"/>
  <c r="Q1147" i="29" a="1"/>
  <c r="Q1147" i="29" s="1"/>
  <c r="N1147" i="29" a="1"/>
  <c r="N1147" i="29" s="1"/>
  <c r="P1144" i="29"/>
  <c r="I1148" i="29"/>
  <c r="K1149" i="29"/>
  <c r="G1146" i="29"/>
  <c r="O1115" i="29" l="1" a="1"/>
  <c r="O1115" i="29" s="1"/>
  <c r="R1115" i="29" s="1"/>
  <c r="S1115" i="29" s="1"/>
  <c r="K1150" i="29"/>
  <c r="I1149" i="29"/>
  <c r="P1145" i="29"/>
  <c r="F1146" i="29"/>
  <c r="C1146" i="29" a="1"/>
  <c r="C1146" i="29" s="1"/>
  <c r="M1146" i="29"/>
  <c r="L1147" i="29" a="1"/>
  <c r="L1147" i="29" s="1"/>
  <c r="Q1148" i="29" a="1"/>
  <c r="Q1148" i="29" s="1"/>
  <c r="N1148" i="29" a="1"/>
  <c r="N1148" i="29" s="1"/>
  <c r="G1147" i="29"/>
  <c r="O1116" i="29" l="1" a="1"/>
  <c r="O1116" i="29" s="1"/>
  <c r="R1116" i="29" s="1"/>
  <c r="S1116" i="29" s="1"/>
  <c r="C1147" i="29" a="1"/>
  <c r="C1147" i="29" s="1"/>
  <c r="M1147" i="29"/>
  <c r="F1147" i="29"/>
  <c r="L1148" i="29" a="1"/>
  <c r="L1148" i="29" s="1"/>
  <c r="G1148" i="29"/>
  <c r="B1148" i="29"/>
  <c r="Q1149" i="29" a="1"/>
  <c r="Q1149" i="29" s="1"/>
  <c r="N1149" i="29" a="1"/>
  <c r="N1149" i="29" s="1"/>
  <c r="I1150" i="29"/>
  <c r="K1151" i="29"/>
  <c r="P1146" i="29"/>
  <c r="O1117" i="29" l="1" a="1"/>
  <c r="O1117" i="29" s="1"/>
  <c r="R1117" i="29" s="1"/>
  <c r="S1117" i="29" s="1"/>
  <c r="Q1150" i="29" a="1"/>
  <c r="Q1150" i="29" s="1"/>
  <c r="N1150" i="29" a="1"/>
  <c r="N1150" i="29" s="1"/>
  <c r="K1152" i="29"/>
  <c r="I1151" i="29"/>
  <c r="F1148" i="29"/>
  <c r="C1148" i="29" a="1"/>
  <c r="C1148" i="29" s="1"/>
  <c r="M1148" i="29"/>
  <c r="L1149" i="29" a="1"/>
  <c r="L1149" i="29" s="1"/>
  <c r="G1149" i="29"/>
  <c r="P1147" i="29"/>
  <c r="B1149" i="29"/>
  <c r="O1118" i="29" l="1" a="1"/>
  <c r="O1118" i="29" s="1"/>
  <c r="R1118" i="29" s="1"/>
  <c r="S1118" i="29" s="1"/>
  <c r="I1152" i="29"/>
  <c r="K1153" i="29"/>
  <c r="C1149" i="29" a="1"/>
  <c r="C1149" i="29" s="1"/>
  <c r="M1149" i="29"/>
  <c r="F1149" i="29"/>
  <c r="L1150" i="29" a="1"/>
  <c r="L1150" i="29" s="1"/>
  <c r="P1148" i="29"/>
  <c r="Q1151" i="29" a="1"/>
  <c r="Q1151" i="29" s="1"/>
  <c r="N1151" i="29" a="1"/>
  <c r="N1151" i="29" s="1"/>
  <c r="G1150" i="29"/>
  <c r="B1150" i="29"/>
  <c r="O1119" i="29" l="1" a="1"/>
  <c r="O1119" i="29" s="1"/>
  <c r="R1119" i="29" s="1"/>
  <c r="S1119" i="29" s="1"/>
  <c r="F1150" i="29"/>
  <c r="C1150" i="29" a="1"/>
  <c r="C1150" i="29" s="1"/>
  <c r="M1150" i="29"/>
  <c r="L1151" i="29" a="1"/>
  <c r="L1151" i="29" s="1"/>
  <c r="B1152" i="29" s="1"/>
  <c r="P1149" i="29"/>
  <c r="G1151" i="29"/>
  <c r="K1154" i="29"/>
  <c r="I1153" i="29"/>
  <c r="B1151" i="29"/>
  <c r="Q1152" i="29" a="1"/>
  <c r="Q1152" i="29" s="1"/>
  <c r="N1152" i="29" a="1"/>
  <c r="N1152" i="29" s="1"/>
  <c r="O1120" i="29" l="1" a="1"/>
  <c r="O1120" i="29" s="1"/>
  <c r="R1120" i="29" s="1"/>
  <c r="S1120" i="29" s="1"/>
  <c r="C1151" i="29" a="1"/>
  <c r="C1151" i="29" s="1"/>
  <c r="M1151" i="29"/>
  <c r="F1151" i="29"/>
  <c r="L1152" i="29" a="1"/>
  <c r="L1152" i="29" s="1"/>
  <c r="P1150" i="29"/>
  <c r="Q1153" i="29" a="1"/>
  <c r="Q1153" i="29" s="1"/>
  <c r="N1153" i="29" a="1"/>
  <c r="N1153" i="29" s="1"/>
  <c r="I1154" i="29"/>
  <c r="K1155" i="29"/>
  <c r="G1152" i="29"/>
  <c r="O1121" i="29" l="1" a="1"/>
  <c r="O1121" i="29" s="1"/>
  <c r="R1121" i="29" s="1"/>
  <c r="S1121" i="29" s="1"/>
  <c r="F1152" i="29"/>
  <c r="C1152" i="29" a="1"/>
  <c r="C1152" i="29" s="1"/>
  <c r="M1152" i="29"/>
  <c r="L1153" i="29" a="1"/>
  <c r="L1153" i="29" s="1"/>
  <c r="G1153" i="29"/>
  <c r="K1156" i="29"/>
  <c r="I1155" i="29"/>
  <c r="Q1154" i="29" a="1"/>
  <c r="Q1154" i="29" s="1"/>
  <c r="N1154" i="29" a="1"/>
  <c r="N1154" i="29" s="1"/>
  <c r="P1151" i="29"/>
  <c r="B1153" i="29"/>
  <c r="O1122" i="29" l="1" a="1"/>
  <c r="O1122" i="29" s="1"/>
  <c r="R1122" i="29" s="1"/>
  <c r="S1122" i="29" s="1"/>
  <c r="G1154" i="29"/>
  <c r="P1152" i="29"/>
  <c r="C1153" i="29" a="1"/>
  <c r="C1153" i="29" s="1"/>
  <c r="M1153" i="29"/>
  <c r="F1153" i="29"/>
  <c r="L1154" i="29" a="1"/>
  <c r="L1154" i="29" s="1"/>
  <c r="B1155" i="29" s="1"/>
  <c r="B1154" i="29"/>
  <c r="Q1155" i="29" a="1"/>
  <c r="Q1155" i="29" s="1"/>
  <c r="N1155" i="29" a="1"/>
  <c r="N1155" i="29" s="1"/>
  <c r="I1156" i="29"/>
  <c r="K1157" i="29"/>
  <c r="O1123" i="29" l="1" a="1"/>
  <c r="O1123" i="29" s="1"/>
  <c r="R1123" i="29" s="1"/>
  <c r="S1123" i="29" s="1"/>
  <c r="Q1156" i="29" a="1"/>
  <c r="Q1156" i="29" s="1"/>
  <c r="N1156" i="29" a="1"/>
  <c r="N1156" i="29" s="1"/>
  <c r="P1153" i="29"/>
  <c r="G1155" i="29"/>
  <c r="F1154" i="29"/>
  <c r="C1154" i="29" a="1"/>
  <c r="C1154" i="29" s="1"/>
  <c r="M1154" i="29"/>
  <c r="L1155" i="29" a="1"/>
  <c r="L1155" i="29" s="1"/>
  <c r="K1158" i="29"/>
  <c r="I1157" i="29"/>
  <c r="O1124" i="29" l="1" a="1"/>
  <c r="O1124" i="29" s="1"/>
  <c r="R1124" i="29" s="1"/>
  <c r="S1124" i="29" s="1"/>
  <c r="Q1157" i="29" a="1"/>
  <c r="Q1157" i="29" s="1"/>
  <c r="N1157" i="29" a="1"/>
  <c r="N1157" i="29" s="1"/>
  <c r="I1158" i="29"/>
  <c r="K1159" i="29"/>
  <c r="C1155" i="29" a="1"/>
  <c r="C1155" i="29" s="1"/>
  <c r="M1155" i="29"/>
  <c r="F1155" i="29"/>
  <c r="L1156" i="29" a="1"/>
  <c r="L1156" i="29" s="1"/>
  <c r="G1156" i="29"/>
  <c r="P1154" i="29"/>
  <c r="B1156" i="29"/>
  <c r="O1125" i="29" l="1" a="1"/>
  <c r="O1125" i="29" s="1"/>
  <c r="R1125" i="29" s="1"/>
  <c r="S1125" i="29" s="1"/>
  <c r="K1160" i="29"/>
  <c r="I1159" i="29"/>
  <c r="G1157" i="29"/>
  <c r="P1155" i="29"/>
  <c r="Q1158" i="29" a="1"/>
  <c r="Q1158" i="29" s="1"/>
  <c r="N1158" i="29" a="1"/>
  <c r="N1158" i="29" s="1"/>
  <c r="F1156" i="29"/>
  <c r="C1156" i="29" a="1"/>
  <c r="C1156" i="29" s="1"/>
  <c r="M1156" i="29"/>
  <c r="L1157" i="29" a="1"/>
  <c r="L1157" i="29" s="1"/>
  <c r="B1157" i="29"/>
  <c r="O1126" i="29" l="1" a="1"/>
  <c r="O1126" i="29" s="1"/>
  <c r="R1126" i="29" s="1"/>
  <c r="S1126" i="29" s="1"/>
  <c r="C1157" i="29" a="1"/>
  <c r="C1157" i="29" s="1"/>
  <c r="M1157" i="29"/>
  <c r="F1157" i="29"/>
  <c r="L1158" i="29" a="1"/>
  <c r="L1158" i="29" s="1"/>
  <c r="P1156" i="29"/>
  <c r="G1158" i="29"/>
  <c r="Q1159" i="29" a="1"/>
  <c r="Q1159" i="29" s="1"/>
  <c r="N1159" i="29" a="1"/>
  <c r="N1159" i="29" s="1"/>
  <c r="B1158" i="29"/>
  <c r="I1160" i="29"/>
  <c r="K1161" i="29"/>
  <c r="O1127" i="29" l="1" a="1"/>
  <c r="O1127" i="29" s="1"/>
  <c r="R1127" i="29" s="1"/>
  <c r="S1127" i="29" s="1"/>
  <c r="F1158" i="29"/>
  <c r="C1158" i="29" a="1"/>
  <c r="C1158" i="29" s="1"/>
  <c r="M1158" i="29"/>
  <c r="L1159" i="29" a="1"/>
  <c r="L1159" i="29" s="1"/>
  <c r="B1159" i="29"/>
  <c r="Q1160" i="29" a="1"/>
  <c r="Q1160" i="29" s="1"/>
  <c r="N1160" i="29" a="1"/>
  <c r="N1160" i="29" s="1"/>
  <c r="G1159" i="29"/>
  <c r="P1157" i="29"/>
  <c r="K1162" i="29"/>
  <c r="I1161" i="29"/>
  <c r="O1128" i="29" l="1" a="1"/>
  <c r="O1128" i="29" s="1"/>
  <c r="R1128" i="29" s="1"/>
  <c r="S1128" i="29" s="1"/>
  <c r="I1162" i="29"/>
  <c r="K1163" i="29"/>
  <c r="P1158" i="29"/>
  <c r="C1159" i="29" a="1"/>
  <c r="C1159" i="29" s="1"/>
  <c r="M1159" i="29"/>
  <c r="F1159" i="29"/>
  <c r="L1160" i="29" a="1"/>
  <c r="L1160" i="29" s="1"/>
  <c r="B1161" i="29" s="1"/>
  <c r="G1160" i="29"/>
  <c r="B1160" i="29"/>
  <c r="Q1161" i="29" a="1"/>
  <c r="Q1161" i="29" s="1"/>
  <c r="N1161" i="29" a="1"/>
  <c r="N1161" i="29" s="1"/>
  <c r="O1129" i="29" l="1" a="1"/>
  <c r="O1129" i="29" s="1"/>
  <c r="R1129" i="29" s="1"/>
  <c r="S1129" i="29" s="1"/>
  <c r="P1159" i="29"/>
  <c r="K1164" i="29"/>
  <c r="I1163" i="29"/>
  <c r="Q1162" i="29" a="1"/>
  <c r="Q1162" i="29" s="1"/>
  <c r="N1162" i="29" a="1"/>
  <c r="N1162" i="29" s="1"/>
  <c r="G1161" i="29"/>
  <c r="F1160" i="29"/>
  <c r="C1160" i="29" a="1"/>
  <c r="C1160" i="29" s="1"/>
  <c r="M1160" i="29"/>
  <c r="L1161" i="29" a="1"/>
  <c r="L1161" i="29" s="1"/>
  <c r="O1130" i="29" l="1" a="1"/>
  <c r="O1130" i="29" s="1"/>
  <c r="R1130" i="29" s="1"/>
  <c r="S1130" i="29" s="1"/>
  <c r="C1161" i="29" a="1"/>
  <c r="C1161" i="29" s="1"/>
  <c r="M1161" i="29"/>
  <c r="F1161" i="29"/>
  <c r="L1162" i="29" a="1"/>
  <c r="L1162" i="29" s="1"/>
  <c r="P1160" i="29"/>
  <c r="Q1163" i="29" a="1"/>
  <c r="Q1163" i="29" s="1"/>
  <c r="N1163" i="29" a="1"/>
  <c r="N1163" i="29" s="1"/>
  <c r="I1164" i="29"/>
  <c r="K1165" i="29"/>
  <c r="G1162" i="29"/>
  <c r="B1162" i="29"/>
  <c r="O1131" i="29" l="1" a="1"/>
  <c r="O1131" i="29" s="1"/>
  <c r="R1131" i="29" s="1"/>
  <c r="S1131" i="29" s="1"/>
  <c r="F1162" i="29"/>
  <c r="C1162" i="29" a="1"/>
  <c r="C1162" i="29" s="1"/>
  <c r="M1162" i="29"/>
  <c r="L1163" i="29" a="1"/>
  <c r="L1163" i="29" s="1"/>
  <c r="B1164" i="29" s="1"/>
  <c r="G1163" i="29"/>
  <c r="B1163" i="29"/>
  <c r="K1166" i="29"/>
  <c r="I1165" i="29"/>
  <c r="Q1164" i="29" a="1"/>
  <c r="Q1164" i="29" s="1"/>
  <c r="N1164" i="29" a="1"/>
  <c r="N1164" i="29" s="1"/>
  <c r="P1161" i="29"/>
  <c r="O1132" i="29" l="1" a="1"/>
  <c r="O1132" i="29" s="1"/>
  <c r="R1132" i="29" s="1"/>
  <c r="S1132" i="29" s="1"/>
  <c r="G1164" i="29"/>
  <c r="P1162" i="29"/>
  <c r="C1163" i="29" a="1"/>
  <c r="C1163" i="29" s="1"/>
  <c r="M1163" i="29"/>
  <c r="F1163" i="29"/>
  <c r="L1164" i="29" a="1"/>
  <c r="L1164" i="29" s="1"/>
  <c r="B1165" i="29" s="1"/>
  <c r="Q1165" i="29" a="1"/>
  <c r="Q1165" i="29" s="1"/>
  <c r="N1165" i="29" a="1"/>
  <c r="N1165" i="29" s="1"/>
  <c r="I1166" i="29"/>
  <c r="K1167" i="29"/>
  <c r="O1133" i="29" l="1" a="1"/>
  <c r="O1133" i="29" s="1"/>
  <c r="R1133" i="29" s="1"/>
  <c r="S1133" i="29" s="1"/>
  <c r="G1165" i="29"/>
  <c r="K1168" i="29"/>
  <c r="I1167" i="29"/>
  <c r="P1163" i="29"/>
  <c r="Q1166" i="29" a="1"/>
  <c r="Q1166" i="29" s="1"/>
  <c r="N1166" i="29" a="1"/>
  <c r="N1166" i="29" s="1"/>
  <c r="F1164" i="29"/>
  <c r="C1164" i="29" a="1"/>
  <c r="C1164" i="29" s="1"/>
  <c r="M1164" i="29"/>
  <c r="L1165" i="29" a="1"/>
  <c r="L1165" i="29" s="1"/>
  <c r="O1134" i="29" l="1" a="1"/>
  <c r="O1134" i="29" s="1"/>
  <c r="R1134" i="29" s="1"/>
  <c r="S1134" i="29" s="1"/>
  <c r="C1165" i="29" a="1"/>
  <c r="C1165" i="29" s="1"/>
  <c r="M1165" i="29"/>
  <c r="F1165" i="29"/>
  <c r="L1166" i="29" a="1"/>
  <c r="L1166" i="29" s="1"/>
  <c r="P1164" i="29"/>
  <c r="Q1167" i="29" a="1"/>
  <c r="Q1167" i="29" s="1"/>
  <c r="N1167" i="29" a="1"/>
  <c r="N1167" i="29" s="1"/>
  <c r="I1168" i="29"/>
  <c r="K1169" i="29"/>
  <c r="G1166" i="29"/>
  <c r="B1166" i="29"/>
  <c r="O1135" i="29" l="1" a="1"/>
  <c r="O1135" i="29" s="1"/>
  <c r="R1135" i="29" s="1"/>
  <c r="S1135" i="29" s="1"/>
  <c r="F1166" i="29"/>
  <c r="C1166" i="29" a="1"/>
  <c r="C1166" i="29" s="1"/>
  <c r="M1166" i="29"/>
  <c r="L1167" i="29" a="1"/>
  <c r="L1167" i="29" s="1"/>
  <c r="G1167" i="29"/>
  <c r="K1170" i="29"/>
  <c r="I1169" i="29"/>
  <c r="Q1168" i="29" a="1"/>
  <c r="Q1168" i="29" s="1"/>
  <c r="N1168" i="29" a="1"/>
  <c r="N1168" i="29" s="1"/>
  <c r="P1165" i="29"/>
  <c r="B1167" i="29"/>
  <c r="O1136" i="29" l="1" a="1"/>
  <c r="O1136" i="29" s="1"/>
  <c r="R1136" i="29" s="1"/>
  <c r="S1136" i="29" s="1"/>
  <c r="G1168" i="29"/>
  <c r="P1166" i="29"/>
  <c r="C1167" i="29" a="1"/>
  <c r="C1167" i="29" s="1"/>
  <c r="M1167" i="29"/>
  <c r="F1167" i="29"/>
  <c r="L1168" i="29" a="1"/>
  <c r="L1168" i="29" s="1"/>
  <c r="B1169" i="29" s="1"/>
  <c r="B1168" i="29"/>
  <c r="Q1169" i="29" a="1"/>
  <c r="Q1169" i="29" s="1"/>
  <c r="N1169" i="29" a="1"/>
  <c r="N1169" i="29" s="1"/>
  <c r="I1170" i="29"/>
  <c r="K1171" i="29"/>
  <c r="O1137" i="29" l="1" a="1"/>
  <c r="O1137" i="29" s="1"/>
  <c r="R1137" i="29" s="1"/>
  <c r="S1137" i="29" s="1"/>
  <c r="P1167" i="29"/>
  <c r="Q1170" i="29" a="1"/>
  <c r="Q1170" i="29" s="1"/>
  <c r="N1170" i="29" a="1"/>
  <c r="N1170" i="29" s="1"/>
  <c r="G1169" i="29"/>
  <c r="F1168" i="29"/>
  <c r="C1168" i="29" a="1"/>
  <c r="C1168" i="29" s="1"/>
  <c r="M1168" i="29"/>
  <c r="L1169" i="29" a="1"/>
  <c r="L1169" i="29" s="1"/>
  <c r="K1172" i="29"/>
  <c r="I1171" i="29"/>
  <c r="O1138" i="29" l="1" a="1"/>
  <c r="O1138" i="29" s="1"/>
  <c r="R1138" i="29" s="1"/>
  <c r="S1138" i="29" s="1"/>
  <c r="Q1171" i="29" a="1"/>
  <c r="Q1171" i="29" s="1"/>
  <c r="N1171" i="29" a="1"/>
  <c r="N1171" i="29" s="1"/>
  <c r="C1169" i="29" a="1"/>
  <c r="C1169" i="29" s="1"/>
  <c r="M1169" i="29"/>
  <c r="F1169" i="29"/>
  <c r="L1170" i="29" a="1"/>
  <c r="L1170" i="29" s="1"/>
  <c r="B1171" i="29" s="1"/>
  <c r="P1168" i="29"/>
  <c r="G1170" i="29"/>
  <c r="I1172" i="29"/>
  <c r="K1173" i="29"/>
  <c r="B1170" i="29"/>
  <c r="O1139" i="29" l="1" a="1"/>
  <c r="O1139" i="29" s="1"/>
  <c r="R1139" i="29" s="1"/>
  <c r="S1139" i="29" s="1"/>
  <c r="G1171" i="29"/>
  <c r="K1174" i="29"/>
  <c r="I1173" i="29"/>
  <c r="P1169" i="29"/>
  <c r="Q1172" i="29" a="1"/>
  <c r="Q1172" i="29" s="1"/>
  <c r="N1172" i="29" a="1"/>
  <c r="N1172" i="29" s="1"/>
  <c r="F1170" i="29"/>
  <c r="C1170" i="29" a="1"/>
  <c r="C1170" i="29" s="1"/>
  <c r="M1170" i="29"/>
  <c r="L1171" i="29" a="1"/>
  <c r="L1171" i="29" s="1"/>
  <c r="O1140" i="29" l="1" a="1"/>
  <c r="O1140" i="29" s="1"/>
  <c r="R1140" i="29" s="1"/>
  <c r="S1140" i="29" s="1"/>
  <c r="I1174" i="29"/>
  <c r="K1175" i="29"/>
  <c r="C1171" i="29" a="1"/>
  <c r="C1171" i="29" s="1"/>
  <c r="M1171" i="29"/>
  <c r="F1171" i="29"/>
  <c r="L1172" i="29" a="1"/>
  <c r="L1172" i="29" s="1"/>
  <c r="P1170" i="29"/>
  <c r="Q1173" i="29" a="1"/>
  <c r="Q1173" i="29" s="1"/>
  <c r="N1173" i="29" a="1"/>
  <c r="N1173" i="29" s="1"/>
  <c r="G1172" i="29"/>
  <c r="B1172" i="29"/>
  <c r="O1141" i="29" l="1" a="1"/>
  <c r="O1141" i="29" s="1"/>
  <c r="R1141" i="29" s="1"/>
  <c r="S1141" i="29" s="1"/>
  <c r="F1172" i="29"/>
  <c r="C1172" i="29" a="1"/>
  <c r="C1172" i="29" s="1"/>
  <c r="M1172" i="29"/>
  <c r="L1173" i="29" a="1"/>
  <c r="L1173" i="29" s="1"/>
  <c r="B1174" i="29" s="1"/>
  <c r="G1173" i="29"/>
  <c r="P1171" i="29"/>
  <c r="B1173" i="29"/>
  <c r="K1176" i="29"/>
  <c r="I1175" i="29"/>
  <c r="Q1174" i="29" a="1"/>
  <c r="Q1174" i="29" s="1"/>
  <c r="N1174" i="29" a="1"/>
  <c r="N1174" i="29" s="1"/>
  <c r="O1142" i="29" l="1" a="1"/>
  <c r="O1142" i="29" s="1"/>
  <c r="R1142" i="29" s="1"/>
  <c r="S1142" i="29" s="1"/>
  <c r="C1173" i="29" a="1"/>
  <c r="C1173" i="29" s="1"/>
  <c r="M1173" i="29"/>
  <c r="F1173" i="29"/>
  <c r="L1174" i="29" a="1"/>
  <c r="L1174" i="29" s="1"/>
  <c r="B1175" i="29" s="1"/>
  <c r="Q1175" i="29" a="1"/>
  <c r="Q1175" i="29" s="1"/>
  <c r="N1175" i="29" a="1"/>
  <c r="N1175" i="29" s="1"/>
  <c r="P1172" i="29"/>
  <c r="I1176" i="29"/>
  <c r="K1177" i="29"/>
  <c r="G1174" i="29"/>
  <c r="O1143" i="29" l="1" a="1"/>
  <c r="O1143" i="29" s="1"/>
  <c r="R1143" i="29" s="1"/>
  <c r="S1143" i="29" s="1"/>
  <c r="K1178" i="29"/>
  <c r="I1177" i="29"/>
  <c r="Q1176" i="29" a="1"/>
  <c r="Q1176" i="29" s="1"/>
  <c r="N1176" i="29" a="1"/>
  <c r="N1176" i="29" s="1"/>
  <c r="P1173" i="29"/>
  <c r="F1174" i="29"/>
  <c r="C1174" i="29" a="1"/>
  <c r="C1174" i="29" s="1"/>
  <c r="M1174" i="29"/>
  <c r="L1175" i="29" a="1"/>
  <c r="L1175" i="29" s="1"/>
  <c r="B1176" i="29" s="1"/>
  <c r="G1175" i="29"/>
  <c r="O1144" i="29" l="1" a="1"/>
  <c r="O1144" i="29" s="1"/>
  <c r="R1144" i="29" s="1"/>
  <c r="S1144" i="29" s="1"/>
  <c r="G1176" i="29"/>
  <c r="C1175" i="29" a="1"/>
  <c r="C1175" i="29" s="1"/>
  <c r="M1175" i="29"/>
  <c r="F1175" i="29"/>
  <c r="L1176" i="29" a="1"/>
  <c r="L1176" i="29" s="1"/>
  <c r="P1174" i="29"/>
  <c r="Q1177" i="29" a="1"/>
  <c r="Q1177" i="29" s="1"/>
  <c r="N1177" i="29" a="1"/>
  <c r="N1177" i="29" s="1"/>
  <c r="I1178" i="29"/>
  <c r="K1179" i="29"/>
  <c r="O1145" i="29" l="1" a="1"/>
  <c r="O1145" i="29" s="1"/>
  <c r="R1145" i="29" s="1"/>
  <c r="S1145" i="29" s="1"/>
  <c r="F1176" i="29"/>
  <c r="C1176" i="29" a="1"/>
  <c r="C1176" i="29" s="1"/>
  <c r="M1176" i="29"/>
  <c r="L1177" i="29" a="1"/>
  <c r="L1177" i="29" s="1"/>
  <c r="K1180" i="29"/>
  <c r="I1179" i="29"/>
  <c r="Q1178" i="29" a="1"/>
  <c r="Q1178" i="29" s="1"/>
  <c r="N1178" i="29" a="1"/>
  <c r="N1178" i="29" s="1"/>
  <c r="P1175" i="29"/>
  <c r="G1177" i="29"/>
  <c r="B1177" i="29"/>
  <c r="O1146" i="29" l="1" a="1"/>
  <c r="O1146" i="29" s="1"/>
  <c r="R1146" i="29" s="1"/>
  <c r="S1146" i="29" s="1"/>
  <c r="Q1179" i="29" a="1"/>
  <c r="Q1179" i="29" s="1"/>
  <c r="N1179" i="29" a="1"/>
  <c r="N1179" i="29" s="1"/>
  <c r="I1180" i="29"/>
  <c r="K1181" i="29"/>
  <c r="C1177" i="29" a="1"/>
  <c r="C1177" i="29" s="1"/>
  <c r="M1177" i="29"/>
  <c r="F1177" i="29"/>
  <c r="L1178" i="29" a="1"/>
  <c r="L1178" i="29" s="1"/>
  <c r="P1176" i="29"/>
  <c r="G1178" i="29"/>
  <c r="B1178" i="29"/>
  <c r="O1147" i="29" l="1" a="1"/>
  <c r="O1147" i="29" s="1"/>
  <c r="R1147" i="29" s="1"/>
  <c r="S1147" i="29" s="1"/>
  <c r="Q1180" i="29" a="1"/>
  <c r="Q1180" i="29" s="1"/>
  <c r="N1180" i="29" a="1"/>
  <c r="N1180" i="29" s="1"/>
  <c r="K1182" i="29"/>
  <c r="I1181" i="29"/>
  <c r="G1179" i="29"/>
  <c r="F1178" i="29"/>
  <c r="C1178" i="29" a="1"/>
  <c r="C1178" i="29" s="1"/>
  <c r="M1178" i="29"/>
  <c r="L1179" i="29" a="1"/>
  <c r="L1179" i="29" s="1"/>
  <c r="B1180" i="29" s="1"/>
  <c r="B1179" i="29"/>
  <c r="P1177" i="29"/>
  <c r="O1148" i="29" l="1" a="1"/>
  <c r="O1148" i="29" s="1"/>
  <c r="R1148" i="29" s="1"/>
  <c r="S1148" i="29" s="1"/>
  <c r="I1182" i="29"/>
  <c r="K1183" i="29"/>
  <c r="Q1181" i="29" a="1"/>
  <c r="Q1181" i="29" s="1"/>
  <c r="N1181" i="29" a="1"/>
  <c r="N1181" i="29" s="1"/>
  <c r="G1180" i="29"/>
  <c r="P1178" i="29"/>
  <c r="C1179" i="29" a="1"/>
  <c r="C1179" i="29" s="1"/>
  <c r="M1179" i="29"/>
  <c r="F1179" i="29"/>
  <c r="L1180" i="29" a="1"/>
  <c r="L1180" i="29" s="1"/>
  <c r="O1149" i="29" l="1" a="1"/>
  <c r="O1149" i="29" s="1"/>
  <c r="R1149" i="29" s="1"/>
  <c r="S1149" i="29" s="1"/>
  <c r="F1180" i="29"/>
  <c r="C1180" i="29" a="1"/>
  <c r="C1180" i="29" s="1"/>
  <c r="M1180" i="29"/>
  <c r="L1181" i="29" a="1"/>
  <c r="L1181" i="29" s="1"/>
  <c r="G1181" i="29"/>
  <c r="P1179" i="29"/>
  <c r="B1181" i="29"/>
  <c r="K1184" i="29"/>
  <c r="I1183" i="29"/>
  <c r="Q1182" i="29" a="1"/>
  <c r="Q1182" i="29" s="1"/>
  <c r="N1182" i="29" a="1"/>
  <c r="N1182" i="29" s="1"/>
  <c r="O1150" i="29" l="1" a="1"/>
  <c r="O1150" i="29" s="1"/>
  <c r="R1150" i="29" s="1"/>
  <c r="S1150" i="29" s="1"/>
  <c r="C1181" i="29" a="1"/>
  <c r="C1181" i="29" s="1"/>
  <c r="M1181" i="29"/>
  <c r="F1181" i="29"/>
  <c r="L1182" i="29" a="1"/>
  <c r="L1182" i="29" s="1"/>
  <c r="B1183" i="29" s="1"/>
  <c r="Q1183" i="29" a="1"/>
  <c r="Q1183" i="29" s="1"/>
  <c r="N1183" i="29" a="1"/>
  <c r="N1183" i="29" s="1"/>
  <c r="P1180" i="29"/>
  <c r="I1184" i="29"/>
  <c r="K1185" i="29"/>
  <c r="B1182" i="29"/>
  <c r="G1182" i="29"/>
  <c r="O1151" i="29" l="1" a="1"/>
  <c r="O1151" i="29" s="1"/>
  <c r="R1151" i="29" s="1"/>
  <c r="S1151" i="29" s="1"/>
  <c r="K1186" i="29"/>
  <c r="I1185" i="29"/>
  <c r="Q1184" i="29" a="1"/>
  <c r="Q1184" i="29" s="1"/>
  <c r="N1184" i="29" a="1"/>
  <c r="N1184" i="29" s="1"/>
  <c r="P1181" i="29"/>
  <c r="F1182" i="29"/>
  <c r="C1182" i="29" a="1"/>
  <c r="C1182" i="29" s="1"/>
  <c r="M1182" i="29"/>
  <c r="L1183" i="29" a="1"/>
  <c r="L1183" i="29" s="1"/>
  <c r="B1184" i="29" s="1"/>
  <c r="G1183" i="29"/>
  <c r="O1152" i="29" l="1" a="1"/>
  <c r="O1152" i="29" s="1"/>
  <c r="R1152" i="29" s="1"/>
  <c r="S1152" i="29" s="1"/>
  <c r="G1184" i="29"/>
  <c r="C1183" i="29" a="1"/>
  <c r="C1183" i="29" s="1"/>
  <c r="M1183" i="29"/>
  <c r="F1183" i="29"/>
  <c r="L1184" i="29" a="1"/>
  <c r="L1184" i="29" s="1"/>
  <c r="P1182" i="29"/>
  <c r="Q1185" i="29" a="1"/>
  <c r="Q1185" i="29" s="1"/>
  <c r="N1185" i="29" a="1"/>
  <c r="N1185" i="29" s="1"/>
  <c r="I1186" i="29"/>
  <c r="K1187" i="29"/>
  <c r="O1153" i="29" l="1" a="1"/>
  <c r="O1153" i="29" s="1"/>
  <c r="R1153" i="29" s="1"/>
  <c r="S1153" i="29" s="1"/>
  <c r="K1188" i="29"/>
  <c r="I1187" i="29"/>
  <c r="P1183" i="29"/>
  <c r="G1185" i="29"/>
  <c r="F1184" i="29"/>
  <c r="C1184" i="29" a="1"/>
  <c r="C1184" i="29" s="1"/>
  <c r="M1184" i="29"/>
  <c r="L1185" i="29" a="1"/>
  <c r="L1185" i="29" s="1"/>
  <c r="B1186" i="29" s="1"/>
  <c r="Q1186" i="29" a="1"/>
  <c r="Q1186" i="29" s="1"/>
  <c r="N1186" i="29" a="1"/>
  <c r="N1186" i="29" s="1"/>
  <c r="B1185" i="29"/>
  <c r="O1154" i="29" l="1" a="1"/>
  <c r="O1154" i="29" s="1"/>
  <c r="R1154" i="29" s="1"/>
  <c r="S1154" i="29" s="1"/>
  <c r="P1184" i="29"/>
  <c r="I1188" i="29"/>
  <c r="K1189" i="29"/>
  <c r="G1186" i="29"/>
  <c r="C1185" i="29" a="1"/>
  <c r="C1185" i="29" s="1"/>
  <c r="M1185" i="29"/>
  <c r="F1185" i="29"/>
  <c r="L1186" i="29" a="1"/>
  <c r="L1186" i="29" s="1"/>
  <c r="B1187" i="29" s="1"/>
  <c r="Q1187" i="29" a="1"/>
  <c r="Q1187" i="29" s="1"/>
  <c r="N1187" i="29" a="1"/>
  <c r="N1187" i="29" s="1"/>
  <c r="O1155" i="29" l="1" a="1"/>
  <c r="O1155" i="29" s="1"/>
  <c r="R1155" i="29" s="1"/>
  <c r="S1155" i="29" s="1"/>
  <c r="G1187" i="29"/>
  <c r="K1190" i="29"/>
  <c r="I1189" i="29"/>
  <c r="Q1188" i="29" a="1"/>
  <c r="Q1188" i="29" s="1"/>
  <c r="N1188" i="29" a="1"/>
  <c r="N1188" i="29" s="1"/>
  <c r="P1185" i="29"/>
  <c r="F1186" i="29"/>
  <c r="C1186" i="29" a="1"/>
  <c r="C1186" i="29" s="1"/>
  <c r="M1186" i="29"/>
  <c r="L1187" i="29" a="1"/>
  <c r="L1187" i="29" s="1"/>
  <c r="O1156" i="29" l="1" a="1"/>
  <c r="O1156" i="29" s="1"/>
  <c r="R1156" i="29" s="1"/>
  <c r="S1156" i="29" s="1"/>
  <c r="C1187" i="29" a="1"/>
  <c r="C1187" i="29" s="1"/>
  <c r="M1187" i="29"/>
  <c r="F1187" i="29"/>
  <c r="L1188" i="29" a="1"/>
  <c r="L1188" i="29" s="1"/>
  <c r="P1186" i="29"/>
  <c r="Q1189" i="29" a="1"/>
  <c r="Q1189" i="29" s="1"/>
  <c r="N1189" i="29" a="1"/>
  <c r="N1189" i="29" s="1"/>
  <c r="I1190" i="29"/>
  <c r="K1191" i="29"/>
  <c r="G1188" i="29"/>
  <c r="B1188" i="29"/>
  <c r="O1157" i="29" l="1" a="1"/>
  <c r="O1157" i="29" s="1"/>
  <c r="R1157" i="29" s="1"/>
  <c r="S1157" i="29" s="1"/>
  <c r="K1192" i="29"/>
  <c r="I1191" i="29"/>
  <c r="F1188" i="29"/>
  <c r="C1188" i="29" a="1"/>
  <c r="C1188" i="29" s="1"/>
  <c r="M1188" i="29"/>
  <c r="L1189" i="29" a="1"/>
  <c r="L1189" i="29" s="1"/>
  <c r="Q1190" i="29" a="1"/>
  <c r="Q1190" i="29" s="1"/>
  <c r="N1190" i="29" a="1"/>
  <c r="N1190" i="29" s="1"/>
  <c r="P1187" i="29"/>
  <c r="G1189" i="29"/>
  <c r="B1189" i="29"/>
  <c r="O1158" i="29" l="1" a="1"/>
  <c r="O1158" i="29" s="1"/>
  <c r="R1158" i="29" s="1"/>
  <c r="S1158" i="29" s="1"/>
  <c r="C1189" i="29" a="1"/>
  <c r="C1189" i="29" s="1"/>
  <c r="M1189" i="29"/>
  <c r="F1189" i="29"/>
  <c r="L1190" i="29" a="1"/>
  <c r="L1190" i="29" s="1"/>
  <c r="P1188" i="29"/>
  <c r="G1190" i="29"/>
  <c r="Q1191" i="29" a="1"/>
  <c r="Q1191" i="29" s="1"/>
  <c r="N1191" i="29" a="1"/>
  <c r="N1191" i="29" s="1"/>
  <c r="B1190" i="29"/>
  <c r="I1192" i="29"/>
  <c r="K1193" i="29"/>
  <c r="O1159" i="29" l="1" a="1"/>
  <c r="O1159" i="29" s="1"/>
  <c r="R1159" i="29" s="1"/>
  <c r="S1159" i="29" s="1"/>
  <c r="Q1192" i="29" a="1"/>
  <c r="Q1192" i="29" s="1"/>
  <c r="N1192" i="29" a="1"/>
  <c r="N1192" i="29" s="1"/>
  <c r="F1190" i="29"/>
  <c r="C1190" i="29" a="1"/>
  <c r="C1190" i="29" s="1"/>
  <c r="M1190" i="29"/>
  <c r="L1191" i="29" a="1"/>
  <c r="L1191" i="29" s="1"/>
  <c r="B1192" i="29" s="1"/>
  <c r="P1189" i="29"/>
  <c r="G1191" i="29"/>
  <c r="B1191" i="29"/>
  <c r="K1194" i="29"/>
  <c r="I1193" i="29"/>
  <c r="O1160" i="29" l="1" a="1"/>
  <c r="O1160" i="29" s="1"/>
  <c r="R1160" i="29" s="1"/>
  <c r="S1160" i="29" s="1"/>
  <c r="G1192" i="29"/>
  <c r="I1194" i="29"/>
  <c r="K1195" i="29"/>
  <c r="C1191" i="29" a="1"/>
  <c r="C1191" i="29" s="1"/>
  <c r="M1191" i="29"/>
  <c r="F1191" i="29"/>
  <c r="L1192" i="29" a="1"/>
  <c r="L1192" i="29" s="1"/>
  <c r="B1193" i="29" s="1"/>
  <c r="Q1193" i="29" a="1"/>
  <c r="Q1193" i="29" s="1"/>
  <c r="N1193" i="29" a="1"/>
  <c r="N1193" i="29" s="1"/>
  <c r="P1190" i="29"/>
  <c r="O1161" i="29" l="1" a="1"/>
  <c r="O1161" i="29" s="1"/>
  <c r="R1161" i="29" s="1"/>
  <c r="S1161" i="29" s="1"/>
  <c r="K1196" i="29"/>
  <c r="I1195" i="29"/>
  <c r="P1191" i="29"/>
  <c r="Q1194" i="29" a="1"/>
  <c r="Q1194" i="29" s="1"/>
  <c r="N1194" i="29" a="1"/>
  <c r="N1194" i="29" s="1"/>
  <c r="G1193" i="29"/>
  <c r="F1192" i="29"/>
  <c r="C1192" i="29" a="1"/>
  <c r="C1192" i="29" s="1"/>
  <c r="M1192" i="29"/>
  <c r="L1193" i="29" a="1"/>
  <c r="L1193" i="29" s="1"/>
  <c r="O1162" i="29" l="1" a="1"/>
  <c r="O1162" i="29" s="1"/>
  <c r="R1162" i="29" s="1"/>
  <c r="S1162" i="29" s="1"/>
  <c r="C1193" i="29" a="1"/>
  <c r="C1193" i="29" s="1"/>
  <c r="M1193" i="29"/>
  <c r="F1193" i="29"/>
  <c r="L1194" i="29" a="1"/>
  <c r="L1194" i="29" s="1"/>
  <c r="P1192" i="29"/>
  <c r="Q1195" i="29" a="1"/>
  <c r="Q1195" i="29" s="1"/>
  <c r="N1195" i="29" a="1"/>
  <c r="N1195" i="29" s="1"/>
  <c r="I1196" i="29"/>
  <c r="K1197" i="29"/>
  <c r="G1194" i="29"/>
  <c r="B1194" i="29"/>
  <c r="O1163" i="29" l="1" a="1"/>
  <c r="O1163" i="29" s="1"/>
  <c r="R1163" i="29" s="1"/>
  <c r="S1163" i="29" s="1"/>
  <c r="F1194" i="29"/>
  <c r="C1194" i="29" a="1"/>
  <c r="C1194" i="29" s="1"/>
  <c r="M1194" i="29"/>
  <c r="L1195" i="29" a="1"/>
  <c r="L1195" i="29" s="1"/>
  <c r="B1196" i="29" s="1"/>
  <c r="P1193" i="29"/>
  <c r="G1195" i="29"/>
  <c r="B1195" i="29"/>
  <c r="K1198" i="29"/>
  <c r="I1197" i="29"/>
  <c r="Q1196" i="29" a="1"/>
  <c r="Q1196" i="29" s="1"/>
  <c r="N1196" i="29" a="1"/>
  <c r="N1196" i="29" s="1"/>
  <c r="O1164" i="29" l="1" a="1"/>
  <c r="O1164" i="29" s="1"/>
  <c r="R1164" i="29" s="1"/>
  <c r="S1164" i="29" s="1"/>
  <c r="C1195" i="29" a="1"/>
  <c r="C1195" i="29" s="1"/>
  <c r="M1195" i="29"/>
  <c r="F1195" i="29"/>
  <c r="L1196" i="29" a="1"/>
  <c r="L1196" i="29" s="1"/>
  <c r="B1197" i="29" s="1"/>
  <c r="Q1197" i="29" a="1"/>
  <c r="Q1197" i="29" s="1"/>
  <c r="N1197" i="29" a="1"/>
  <c r="N1197" i="29" s="1"/>
  <c r="P1194" i="29"/>
  <c r="I1198" i="29"/>
  <c r="K1199" i="29"/>
  <c r="G1196" i="29"/>
  <c r="O1165" i="29" l="1" a="1"/>
  <c r="O1165" i="29" s="1"/>
  <c r="R1165" i="29" s="1"/>
  <c r="S1165" i="29" s="1"/>
  <c r="K1200" i="29"/>
  <c r="I1199" i="29"/>
  <c r="F1196" i="29"/>
  <c r="C1196" i="29" a="1"/>
  <c r="C1196" i="29" s="1"/>
  <c r="M1196" i="29"/>
  <c r="L1197" i="29" a="1"/>
  <c r="L1197" i="29" s="1"/>
  <c r="Q1198" i="29" a="1"/>
  <c r="Q1198" i="29" s="1"/>
  <c r="N1198" i="29" a="1"/>
  <c r="N1198" i="29" s="1"/>
  <c r="P1195" i="29"/>
  <c r="G1197" i="29"/>
  <c r="O1166" i="29" l="1" a="1"/>
  <c r="O1166" i="29" s="1"/>
  <c r="R1166" i="29" s="1"/>
  <c r="S1166" i="29" s="1"/>
  <c r="C1197" i="29" a="1"/>
  <c r="C1197" i="29" s="1"/>
  <c r="M1197" i="29"/>
  <c r="F1197" i="29"/>
  <c r="L1198" i="29" a="1"/>
  <c r="L1198" i="29" s="1"/>
  <c r="B1199" i="29" s="1"/>
  <c r="P1196" i="29"/>
  <c r="B1198" i="29"/>
  <c r="G1198" i="29"/>
  <c r="Q1199" i="29" a="1"/>
  <c r="Q1199" i="29" s="1"/>
  <c r="N1199" i="29" a="1"/>
  <c r="N1199" i="29" s="1"/>
  <c r="I1200" i="29"/>
  <c r="K1201" i="29"/>
  <c r="O1167" i="29" l="1" a="1"/>
  <c r="O1167" i="29" s="1"/>
  <c r="R1167" i="29" s="1"/>
  <c r="S1167" i="29" s="1"/>
  <c r="Q1200" i="29" a="1"/>
  <c r="Q1200" i="29" s="1"/>
  <c r="N1200" i="29" a="1"/>
  <c r="N1200" i="29" s="1"/>
  <c r="G1199" i="29"/>
  <c r="P1197" i="29"/>
  <c r="F1198" i="29"/>
  <c r="C1198" i="29" a="1"/>
  <c r="C1198" i="29" s="1"/>
  <c r="M1198" i="29"/>
  <c r="L1199" i="29" a="1"/>
  <c r="L1199" i="29" s="1"/>
  <c r="K1202" i="29"/>
  <c r="I1201" i="29"/>
  <c r="O1168" i="29" l="1" a="1"/>
  <c r="O1168" i="29" s="1"/>
  <c r="R1168" i="29" s="1"/>
  <c r="S1168" i="29" s="1"/>
  <c r="Q1201" i="29" a="1"/>
  <c r="Q1201" i="29" s="1"/>
  <c r="N1201" i="29" a="1"/>
  <c r="N1201" i="29" s="1"/>
  <c r="I1202" i="29"/>
  <c r="K1203" i="29"/>
  <c r="C1199" i="29" a="1"/>
  <c r="C1199" i="29" s="1"/>
  <c r="M1199" i="29"/>
  <c r="F1199" i="29"/>
  <c r="L1200" i="29" a="1"/>
  <c r="L1200" i="29" s="1"/>
  <c r="G1200" i="29"/>
  <c r="P1198" i="29"/>
  <c r="B1200" i="29"/>
  <c r="O1169" i="29" l="1" a="1"/>
  <c r="O1169" i="29" s="1"/>
  <c r="R1169" i="29" s="1"/>
  <c r="S1169" i="29" s="1"/>
  <c r="Q1202" i="29" a="1"/>
  <c r="Q1202" i="29" s="1"/>
  <c r="N1202" i="29" a="1"/>
  <c r="N1202" i="29" s="1"/>
  <c r="K1204" i="29"/>
  <c r="I1203" i="29"/>
  <c r="G1201" i="29"/>
  <c r="F1200" i="29"/>
  <c r="C1200" i="29" a="1"/>
  <c r="C1200" i="29" s="1"/>
  <c r="M1200" i="29"/>
  <c r="L1201" i="29" a="1"/>
  <c r="L1201" i="29" s="1"/>
  <c r="B1201" i="29"/>
  <c r="P1199" i="29"/>
  <c r="O1170" i="29" l="1" a="1"/>
  <c r="O1170" i="29" s="1"/>
  <c r="R1170" i="29" s="1"/>
  <c r="S1170" i="29" s="1"/>
  <c r="I1204" i="29"/>
  <c r="K1205" i="29"/>
  <c r="Q1203" i="29" a="1"/>
  <c r="Q1203" i="29" s="1"/>
  <c r="N1203" i="29" a="1"/>
  <c r="N1203" i="29" s="1"/>
  <c r="C1201" i="29" a="1"/>
  <c r="C1201" i="29" s="1"/>
  <c r="M1201" i="29"/>
  <c r="F1201" i="29"/>
  <c r="L1202" i="29" a="1"/>
  <c r="L1202" i="29" s="1"/>
  <c r="B1203" i="29" s="1"/>
  <c r="G1202" i="29"/>
  <c r="P1200" i="29"/>
  <c r="B1202" i="29"/>
  <c r="O1171" i="29" l="1" a="1"/>
  <c r="O1171" i="29" s="1"/>
  <c r="R1171" i="29" s="1"/>
  <c r="S1171" i="29" s="1"/>
  <c r="G1203" i="29"/>
  <c r="F1202" i="29"/>
  <c r="C1202" i="29" a="1"/>
  <c r="C1202" i="29" s="1"/>
  <c r="M1202" i="29"/>
  <c r="L1203" i="29" a="1"/>
  <c r="L1203" i="29" s="1"/>
  <c r="K1206" i="29"/>
  <c r="I1205" i="29"/>
  <c r="Q1204" i="29" a="1"/>
  <c r="Q1204" i="29" s="1"/>
  <c r="N1204" i="29" a="1"/>
  <c r="N1204" i="29" s="1"/>
  <c r="P1201" i="29"/>
  <c r="O1172" i="29" l="1" a="1"/>
  <c r="O1172" i="29" s="1"/>
  <c r="R1172" i="29" s="1"/>
  <c r="S1172" i="29" s="1"/>
  <c r="C1203" i="29" a="1"/>
  <c r="C1203" i="29" s="1"/>
  <c r="M1203" i="29"/>
  <c r="F1203" i="29"/>
  <c r="L1204" i="29" a="1"/>
  <c r="L1204" i="29" s="1"/>
  <c r="P1202" i="29"/>
  <c r="G1204" i="29"/>
  <c r="B1204" i="29"/>
  <c r="Q1205" i="29" a="1"/>
  <c r="Q1205" i="29" s="1"/>
  <c r="N1205" i="29" a="1"/>
  <c r="N1205" i="29" s="1"/>
  <c r="I1206" i="29"/>
  <c r="K1207" i="29"/>
  <c r="O1173" i="29" l="1" a="1"/>
  <c r="O1173" i="29" s="1"/>
  <c r="R1173" i="29" s="1"/>
  <c r="S1173" i="29" s="1"/>
  <c r="N1206" i="29" a="1"/>
  <c r="N1206" i="29" s="1"/>
  <c r="Q1206" i="29" a="1"/>
  <c r="Q1206" i="29" s="1"/>
  <c r="G1205" i="29"/>
  <c r="F1204" i="29"/>
  <c r="C1204" i="29" a="1"/>
  <c r="C1204" i="29" s="1"/>
  <c r="M1204" i="29"/>
  <c r="L1205" i="29" a="1"/>
  <c r="L1205" i="29" s="1"/>
  <c r="B1205" i="29"/>
  <c r="P1203" i="29"/>
  <c r="K1208" i="29"/>
  <c r="I1207" i="29"/>
  <c r="O1174" i="29" l="1" a="1"/>
  <c r="O1174" i="29" s="1"/>
  <c r="R1174" i="29" s="1"/>
  <c r="S1174" i="29" s="1"/>
  <c r="G1206" i="29"/>
  <c r="P1204" i="29"/>
  <c r="I1208" i="29"/>
  <c r="K1209" i="29"/>
  <c r="C1205" i="29" a="1"/>
  <c r="C1205" i="29" s="1"/>
  <c r="M1205" i="29"/>
  <c r="F1205" i="29"/>
  <c r="L1206" i="29" a="1"/>
  <c r="L1206" i="29" s="1"/>
  <c r="B1206" i="29"/>
  <c r="Q1207" i="29" a="1"/>
  <c r="Q1207" i="29" s="1"/>
  <c r="N1207" i="29" a="1"/>
  <c r="N1207" i="29" s="1"/>
  <c r="O1175" i="29" l="1" a="1"/>
  <c r="O1175" i="29" s="1"/>
  <c r="R1175" i="29" s="1"/>
  <c r="S1175" i="29" s="1"/>
  <c r="N1208" i="29" a="1"/>
  <c r="N1208" i="29" s="1"/>
  <c r="Q1208" i="29" a="1"/>
  <c r="Q1208" i="29" s="1"/>
  <c r="F1206" i="29"/>
  <c r="M1206" i="29"/>
  <c r="C1206" i="29" a="1"/>
  <c r="C1206" i="29" s="1"/>
  <c r="L1207" i="29" a="1"/>
  <c r="L1207" i="29" s="1"/>
  <c r="B1208" i="29" s="1"/>
  <c r="G1207" i="29"/>
  <c r="K1210" i="29"/>
  <c r="I1209" i="29"/>
  <c r="B1207" i="29"/>
  <c r="P1205" i="29"/>
  <c r="O1176" i="29" l="1" a="1"/>
  <c r="O1176" i="29" s="1"/>
  <c r="R1176" i="29" s="1"/>
  <c r="S1176" i="29" s="1"/>
  <c r="Q1209" i="29" a="1"/>
  <c r="Q1209" i="29" s="1"/>
  <c r="N1209" i="29" a="1"/>
  <c r="N1209" i="29" s="1"/>
  <c r="I1210" i="29"/>
  <c r="K1211" i="29"/>
  <c r="P1206" i="29"/>
  <c r="G1208" i="29"/>
  <c r="C1207" i="29" a="1"/>
  <c r="C1207" i="29" s="1"/>
  <c r="M1207" i="29"/>
  <c r="F1207" i="29"/>
  <c r="L1208" i="29" a="1"/>
  <c r="L1208" i="29" s="1"/>
  <c r="O1177" i="29" l="1" a="1"/>
  <c r="O1177" i="29" s="1"/>
  <c r="R1177" i="29" s="1"/>
  <c r="S1177" i="29" s="1"/>
  <c r="K1212" i="29"/>
  <c r="I1211" i="29"/>
  <c r="G1209" i="29"/>
  <c r="F1208" i="29"/>
  <c r="C1208" i="29" a="1"/>
  <c r="C1208" i="29" s="1"/>
  <c r="M1208" i="29"/>
  <c r="L1209" i="29" a="1"/>
  <c r="L1209" i="29" s="1"/>
  <c r="B1210" i="29" s="1"/>
  <c r="N1210" i="29" a="1"/>
  <c r="N1210" i="29" s="1"/>
  <c r="Q1210" i="29" a="1"/>
  <c r="Q1210" i="29" s="1"/>
  <c r="P1207" i="29"/>
  <c r="B1209" i="29"/>
  <c r="O1178" i="29" l="1" a="1"/>
  <c r="O1178" i="29" s="1"/>
  <c r="R1178" i="29" s="1"/>
  <c r="S1178" i="29" s="1"/>
  <c r="G1210" i="29"/>
  <c r="I1212" i="29"/>
  <c r="K1213" i="29"/>
  <c r="Q1211" i="29" a="1"/>
  <c r="Q1211" i="29" s="1"/>
  <c r="N1211" i="29" a="1"/>
  <c r="N1211" i="29" s="1"/>
  <c r="C1209" i="29" a="1"/>
  <c r="C1209" i="29" s="1"/>
  <c r="M1209" i="29"/>
  <c r="F1209" i="29"/>
  <c r="L1210" i="29" a="1"/>
  <c r="L1210" i="29" s="1"/>
  <c r="B1211" i="29" s="1"/>
  <c r="P1208" i="29"/>
  <c r="O1179" i="29" l="1" a="1"/>
  <c r="O1179" i="29" s="1"/>
  <c r="R1179" i="29" s="1"/>
  <c r="S1179" i="29" s="1"/>
  <c r="K1214" i="29"/>
  <c r="I1213" i="29"/>
  <c r="Q1212" i="29" a="1"/>
  <c r="Q1212" i="29" s="1"/>
  <c r="N1212" i="29" a="1"/>
  <c r="N1212" i="29" s="1"/>
  <c r="P1209" i="29"/>
  <c r="F1210" i="29"/>
  <c r="C1210" i="29" a="1"/>
  <c r="C1210" i="29" s="1"/>
  <c r="M1210" i="29"/>
  <c r="L1211" i="29" a="1"/>
  <c r="L1211" i="29" s="1"/>
  <c r="G1211" i="29"/>
  <c r="O1180" i="29" l="1" a="1"/>
  <c r="O1180" i="29" s="1"/>
  <c r="R1180" i="29" s="1"/>
  <c r="S1180" i="29" s="1"/>
  <c r="G1212" i="29"/>
  <c r="P1210" i="29"/>
  <c r="Q1213" i="29" a="1"/>
  <c r="Q1213" i="29" s="1"/>
  <c r="N1213" i="29" a="1"/>
  <c r="N1213" i="29" s="1"/>
  <c r="C1211" i="29" a="1"/>
  <c r="C1211" i="29" s="1"/>
  <c r="M1211" i="29"/>
  <c r="F1211" i="29"/>
  <c r="L1212" i="29" a="1"/>
  <c r="L1212" i="29" s="1"/>
  <c r="B1212" i="29"/>
  <c r="I1214" i="29"/>
  <c r="K1215" i="29"/>
  <c r="O1181" i="29" l="1" a="1"/>
  <c r="O1181" i="29" s="1"/>
  <c r="R1181" i="29" s="1"/>
  <c r="S1181" i="29" s="1"/>
  <c r="F1212" i="29"/>
  <c r="C1212" i="29" a="1"/>
  <c r="C1212" i="29" s="1"/>
  <c r="M1212" i="29"/>
  <c r="L1213" i="29" a="1"/>
  <c r="L1213" i="29" s="1"/>
  <c r="P1211" i="29"/>
  <c r="N1214" i="29" a="1"/>
  <c r="N1214" i="29" s="1"/>
  <c r="Q1214" i="29" a="1"/>
  <c r="Q1214" i="29" s="1"/>
  <c r="B1213" i="29"/>
  <c r="I1215" i="29"/>
  <c r="K1216" i="29"/>
  <c r="G1213" i="29"/>
  <c r="O1182" i="29" l="1" a="1"/>
  <c r="O1182" i="29" s="1"/>
  <c r="R1182" i="29" s="1"/>
  <c r="S1182" i="29" s="1"/>
  <c r="I1216" i="29"/>
  <c r="K1217" i="29"/>
  <c r="Q1215" i="29" a="1"/>
  <c r="Q1215" i="29" s="1"/>
  <c r="N1215" i="29" a="1"/>
  <c r="N1215" i="29" s="1"/>
  <c r="C1213" i="29" a="1"/>
  <c r="C1213" i="29" s="1"/>
  <c r="M1213" i="29"/>
  <c r="F1213" i="29"/>
  <c r="L1214" i="29" a="1"/>
  <c r="L1214" i="29" s="1"/>
  <c r="B1215" i="29" s="1"/>
  <c r="P1212" i="29"/>
  <c r="G1214" i="29"/>
  <c r="B1214" i="29"/>
  <c r="O1183" i="29" l="1" a="1"/>
  <c r="O1183" i="29" s="1"/>
  <c r="R1183" i="29" s="1"/>
  <c r="S1183" i="29" s="1"/>
  <c r="G1215" i="29"/>
  <c r="F1214" i="29"/>
  <c r="C1214" i="29" a="1"/>
  <c r="C1214" i="29" s="1"/>
  <c r="M1214" i="29"/>
  <c r="L1215" i="29" a="1"/>
  <c r="L1215" i="29" s="1"/>
  <c r="K1218" i="29"/>
  <c r="I1217" i="29"/>
  <c r="Q1216" i="29" a="1"/>
  <c r="Q1216" i="29" s="1"/>
  <c r="N1216" i="29" a="1"/>
  <c r="N1216" i="29" s="1"/>
  <c r="P1213" i="29"/>
  <c r="O1184" i="29" l="1" a="1"/>
  <c r="O1184" i="29" s="1"/>
  <c r="R1184" i="29" s="1"/>
  <c r="S1184" i="29" s="1"/>
  <c r="C1215" i="29" a="1"/>
  <c r="C1215" i="29" s="1"/>
  <c r="M1215" i="29"/>
  <c r="F1215" i="29"/>
  <c r="L1216" i="29" a="1"/>
  <c r="L1216" i="29" s="1"/>
  <c r="P1214" i="29"/>
  <c r="G1216" i="29"/>
  <c r="B1216" i="29"/>
  <c r="Q1217" i="29" a="1"/>
  <c r="Q1217" i="29" s="1"/>
  <c r="N1217" i="29" a="1"/>
  <c r="N1217" i="29" s="1"/>
  <c r="I1218" i="29"/>
  <c r="K1219" i="29"/>
  <c r="O1185" i="29" l="1" a="1"/>
  <c r="O1185" i="29" s="1"/>
  <c r="R1185" i="29" s="1"/>
  <c r="S1185" i="29" s="1"/>
  <c r="F1216" i="29"/>
  <c r="C1216" i="29" a="1"/>
  <c r="C1216" i="29" s="1"/>
  <c r="M1216" i="29"/>
  <c r="L1217" i="29" a="1"/>
  <c r="L1217" i="29" s="1"/>
  <c r="P1215" i="29"/>
  <c r="N1218" i="29" a="1"/>
  <c r="N1218" i="29" s="1"/>
  <c r="Q1218" i="29" a="1"/>
  <c r="Q1218" i="29" s="1"/>
  <c r="G1217" i="29"/>
  <c r="B1217" i="29"/>
  <c r="K1220" i="29"/>
  <c r="I1219" i="29"/>
  <c r="O1186" i="29" l="1" a="1"/>
  <c r="O1186" i="29" s="1"/>
  <c r="R1186" i="29" s="1"/>
  <c r="S1186" i="29" s="1"/>
  <c r="C1217" i="29" a="1"/>
  <c r="C1217" i="29" s="1"/>
  <c r="M1217" i="29"/>
  <c r="F1217" i="29"/>
  <c r="L1218" i="29" a="1"/>
  <c r="L1218" i="29" s="1"/>
  <c r="B1219" i="29" s="1"/>
  <c r="P1216" i="29"/>
  <c r="I1220" i="29"/>
  <c r="K1221" i="29"/>
  <c r="B1218" i="29"/>
  <c r="G1218" i="29"/>
  <c r="Q1219" i="29" a="1"/>
  <c r="Q1219" i="29" s="1"/>
  <c r="N1219" i="29" a="1"/>
  <c r="N1219" i="29" s="1"/>
  <c r="O1187" i="29" l="1" a="1"/>
  <c r="O1187" i="29" s="1"/>
  <c r="R1187" i="29" s="1"/>
  <c r="S1187" i="29" s="1"/>
  <c r="G1219" i="29"/>
  <c r="P1217" i="29"/>
  <c r="F1218" i="29"/>
  <c r="M1218" i="29"/>
  <c r="C1218" i="29" a="1"/>
  <c r="C1218" i="29" s="1"/>
  <c r="L1219" i="29" a="1"/>
  <c r="L1219" i="29" s="1"/>
  <c r="K1222" i="29"/>
  <c r="I1221" i="29"/>
  <c r="Q1220" i="29" a="1"/>
  <c r="Q1220" i="29" s="1"/>
  <c r="N1220" i="29" a="1"/>
  <c r="N1220" i="29" s="1"/>
  <c r="O1188" i="29" l="1" a="1"/>
  <c r="O1188" i="29" s="1"/>
  <c r="R1188" i="29" s="1"/>
  <c r="S1188" i="29" s="1"/>
  <c r="G1220" i="29"/>
  <c r="C1219" i="29" a="1"/>
  <c r="C1219" i="29" s="1"/>
  <c r="M1219" i="29"/>
  <c r="F1219" i="29"/>
  <c r="L1220" i="29" a="1"/>
  <c r="L1220" i="29" s="1"/>
  <c r="B1220" i="29"/>
  <c r="P1218" i="29"/>
  <c r="Q1221" i="29" a="1"/>
  <c r="Q1221" i="29" s="1"/>
  <c r="N1221" i="29" a="1"/>
  <c r="N1221" i="29" s="1"/>
  <c r="I1222" i="29"/>
  <c r="K1223" i="29"/>
  <c r="O1189" i="29" l="1" a="1"/>
  <c r="O1189" i="29" s="1"/>
  <c r="R1189" i="29" s="1"/>
  <c r="S1189" i="29" s="1"/>
  <c r="F1220" i="29"/>
  <c r="C1220" i="29" a="1"/>
  <c r="C1220" i="29" s="1"/>
  <c r="M1220" i="29"/>
  <c r="L1221" i="29" a="1"/>
  <c r="L1221" i="29" s="1"/>
  <c r="B1222" i="29" s="1"/>
  <c r="N1222" i="29" a="1"/>
  <c r="N1222" i="29" s="1"/>
  <c r="Q1222" i="29" a="1"/>
  <c r="Q1222" i="29" s="1"/>
  <c r="G1221" i="29"/>
  <c r="P1219" i="29"/>
  <c r="B1221" i="29"/>
  <c r="I1223" i="29"/>
  <c r="K1224" i="29"/>
  <c r="O1190" i="29" l="1" a="1"/>
  <c r="O1190" i="29" s="1"/>
  <c r="R1190" i="29" s="1"/>
  <c r="S1190" i="29" s="1"/>
  <c r="G1222" i="29"/>
  <c r="Q1223" i="29" a="1"/>
  <c r="Q1223" i="29" s="1"/>
  <c r="N1223" i="29" a="1"/>
  <c r="N1223" i="29" s="1"/>
  <c r="P1220" i="29"/>
  <c r="C1221" i="29" a="1"/>
  <c r="C1221" i="29" s="1"/>
  <c r="M1221" i="29"/>
  <c r="F1221" i="29"/>
  <c r="L1222" i="29" a="1"/>
  <c r="L1222" i="29" s="1"/>
  <c r="K1225" i="29"/>
  <c r="I1224" i="29"/>
  <c r="O1191" i="29" l="1" a="1"/>
  <c r="O1191" i="29" s="1"/>
  <c r="R1191" i="29" s="1"/>
  <c r="S1191" i="29" s="1"/>
  <c r="C1222" i="29" a="1"/>
  <c r="C1222" i="29" s="1"/>
  <c r="F1222" i="29"/>
  <c r="M1222" i="29"/>
  <c r="L1223" i="29" a="1"/>
  <c r="L1223" i="29" s="1"/>
  <c r="Q1224" i="29" a="1"/>
  <c r="Q1224" i="29" s="1"/>
  <c r="N1224" i="29" a="1"/>
  <c r="N1224" i="29" s="1"/>
  <c r="G1223" i="29"/>
  <c r="I1225" i="29"/>
  <c r="K1226" i="29"/>
  <c r="B1223" i="29"/>
  <c r="P1221" i="29"/>
  <c r="O1192" i="29" l="1" a="1"/>
  <c r="O1192" i="29" s="1"/>
  <c r="R1192" i="29" s="1"/>
  <c r="S1192" i="29" s="1"/>
  <c r="C1223" i="29" a="1"/>
  <c r="C1223" i="29" s="1"/>
  <c r="F1223" i="29"/>
  <c r="M1223" i="29"/>
  <c r="L1224" i="29" a="1"/>
  <c r="L1224" i="29" s="1"/>
  <c r="B1225" i="29" s="1"/>
  <c r="P1222" i="29"/>
  <c r="B1224" i="29"/>
  <c r="K1227" i="29"/>
  <c r="I1226" i="29"/>
  <c r="Q1225" i="29" a="1"/>
  <c r="Q1225" i="29" s="1"/>
  <c r="N1225" i="29" a="1"/>
  <c r="N1225" i="29" s="1"/>
  <c r="G1224" i="29"/>
  <c r="O1193" i="29" l="1" a="1"/>
  <c r="O1193" i="29" s="1"/>
  <c r="R1193" i="29" s="1"/>
  <c r="S1193" i="29" s="1"/>
  <c r="G1225" i="29"/>
  <c r="Q1226" i="29" a="1"/>
  <c r="Q1226" i="29" s="1"/>
  <c r="N1226" i="29" a="1"/>
  <c r="N1226" i="29" s="1"/>
  <c r="C1224" i="29" a="1"/>
  <c r="C1224" i="29" s="1"/>
  <c r="M1224" i="29"/>
  <c r="F1224" i="29"/>
  <c r="L1225" i="29" a="1"/>
  <c r="L1225" i="29" s="1"/>
  <c r="B1226" i="29" s="1"/>
  <c r="P1223" i="29"/>
  <c r="I1227" i="29"/>
  <c r="K1228" i="29"/>
  <c r="O1194" i="29" l="1" a="1"/>
  <c r="O1194" i="29" s="1"/>
  <c r="R1194" i="29" s="1"/>
  <c r="S1194" i="29" s="1"/>
  <c r="K1229" i="29"/>
  <c r="I1228" i="29"/>
  <c r="Q1227" i="29" a="1"/>
  <c r="Q1227" i="29" s="1"/>
  <c r="N1227" i="29" a="1"/>
  <c r="N1227" i="29" s="1"/>
  <c r="G1226" i="29"/>
  <c r="P1224" i="29"/>
  <c r="F1225" i="29"/>
  <c r="C1225" i="29" a="1"/>
  <c r="C1225" i="29" s="1"/>
  <c r="M1225" i="29"/>
  <c r="L1226" i="29" a="1"/>
  <c r="L1226" i="29" s="1"/>
  <c r="O1195" i="29" l="1" a="1"/>
  <c r="O1195" i="29" s="1"/>
  <c r="R1195" i="29" s="1"/>
  <c r="S1195" i="29" s="1"/>
  <c r="C1226" i="29" a="1"/>
  <c r="C1226" i="29" s="1"/>
  <c r="M1226" i="29"/>
  <c r="F1226" i="29"/>
  <c r="L1227" i="29" a="1"/>
  <c r="L1227" i="29" s="1"/>
  <c r="G1227" i="29"/>
  <c r="P1225" i="29"/>
  <c r="B1227" i="29"/>
  <c r="Q1228" i="29" a="1"/>
  <c r="Q1228" i="29" s="1"/>
  <c r="N1228" i="29" a="1"/>
  <c r="N1228" i="29" s="1"/>
  <c r="I1229" i="29"/>
  <c r="K1230" i="29"/>
  <c r="O1196" i="29" l="1" a="1"/>
  <c r="O1196" i="29" s="1"/>
  <c r="R1196" i="29" s="1"/>
  <c r="S1196" i="29" s="1"/>
  <c r="F1227" i="29"/>
  <c r="C1227" i="29" a="1"/>
  <c r="C1227" i="29" s="1"/>
  <c r="M1227" i="29"/>
  <c r="L1228" i="29" a="1"/>
  <c r="L1228" i="29" s="1"/>
  <c r="Q1229" i="29" a="1"/>
  <c r="Q1229" i="29" s="1"/>
  <c r="N1229" i="29" a="1"/>
  <c r="N1229" i="29" s="1"/>
  <c r="G1228" i="29"/>
  <c r="B1228" i="29"/>
  <c r="P1226" i="29"/>
  <c r="K1231" i="29"/>
  <c r="I1230" i="29"/>
  <c r="O1197" i="29" l="1" a="1"/>
  <c r="O1197" i="29" s="1"/>
  <c r="R1197" i="29" s="1"/>
  <c r="S1197" i="29" s="1"/>
  <c r="I1231" i="29"/>
  <c r="K1232" i="29"/>
  <c r="C1228" i="29" a="1"/>
  <c r="C1228" i="29" s="1"/>
  <c r="M1228" i="29"/>
  <c r="F1228" i="29"/>
  <c r="L1229" i="29" a="1"/>
  <c r="L1229" i="29" s="1"/>
  <c r="P1227" i="29"/>
  <c r="G1229" i="29"/>
  <c r="Q1230" i="29" a="1"/>
  <c r="Q1230" i="29" s="1"/>
  <c r="N1230" i="29" a="1"/>
  <c r="N1230" i="29" s="1"/>
  <c r="B1229" i="29"/>
  <c r="O1198" i="29" l="1" a="1"/>
  <c r="O1198" i="29" s="1"/>
  <c r="R1198" i="29" s="1"/>
  <c r="S1198" i="29" s="1"/>
  <c r="F1229" i="29"/>
  <c r="C1229" i="29" a="1"/>
  <c r="C1229" i="29" s="1"/>
  <c r="M1229" i="29"/>
  <c r="L1230" i="29" a="1"/>
  <c r="L1230" i="29" s="1"/>
  <c r="B1231" i="29" s="1"/>
  <c r="P1228" i="29"/>
  <c r="G1230" i="29"/>
  <c r="B1230" i="29"/>
  <c r="K1233" i="29"/>
  <c r="I1232" i="29"/>
  <c r="Q1231" i="29" a="1"/>
  <c r="Q1231" i="29" s="1"/>
  <c r="N1231" i="29" a="1"/>
  <c r="N1231" i="29" s="1"/>
  <c r="O1199" i="29" l="1" a="1"/>
  <c r="O1199" i="29" s="1"/>
  <c r="R1199" i="29" s="1"/>
  <c r="S1199" i="29" s="1"/>
  <c r="P1229" i="29"/>
  <c r="I1233" i="29"/>
  <c r="K1234" i="29"/>
  <c r="C1230" i="29" a="1"/>
  <c r="C1230" i="29" s="1"/>
  <c r="M1230" i="29"/>
  <c r="F1230" i="29"/>
  <c r="L1231" i="29" a="1"/>
  <c r="L1231" i="29" s="1"/>
  <c r="B1232" i="29" s="1"/>
  <c r="Q1232" i="29" a="1"/>
  <c r="Q1232" i="29" s="1"/>
  <c r="N1232" i="29" a="1"/>
  <c r="N1232" i="29" s="1"/>
  <c r="G1231" i="29"/>
  <c r="O1200" i="29" l="1" a="1"/>
  <c r="O1200" i="29" s="1"/>
  <c r="R1200" i="29" s="1"/>
  <c r="S1200" i="29" s="1"/>
  <c r="K1235" i="29"/>
  <c r="I1234" i="29"/>
  <c r="P1230" i="29"/>
  <c r="G1232" i="29"/>
  <c r="Q1233" i="29" a="1"/>
  <c r="Q1233" i="29" s="1"/>
  <c r="N1233" i="29" a="1"/>
  <c r="N1233" i="29" s="1"/>
  <c r="F1231" i="29"/>
  <c r="C1231" i="29" a="1"/>
  <c r="C1231" i="29" s="1"/>
  <c r="M1231" i="29"/>
  <c r="L1232" i="29" a="1"/>
  <c r="L1232" i="29" s="1"/>
  <c r="O1201" i="29" l="1" a="1"/>
  <c r="O1201" i="29" s="1"/>
  <c r="R1201" i="29" s="1"/>
  <c r="S1201" i="29" s="1"/>
  <c r="C1232" i="29" a="1"/>
  <c r="C1232" i="29" s="1"/>
  <c r="M1232" i="29"/>
  <c r="F1232" i="29"/>
  <c r="L1233" i="29" a="1"/>
  <c r="L1233" i="29" s="1"/>
  <c r="P1231" i="29"/>
  <c r="Q1234" i="29" a="1"/>
  <c r="Q1234" i="29" s="1"/>
  <c r="N1234" i="29" a="1"/>
  <c r="N1234" i="29" s="1"/>
  <c r="G1233" i="29"/>
  <c r="B1233" i="29"/>
  <c r="I1235" i="29"/>
  <c r="K1236" i="29"/>
  <c r="O1202" i="29" l="1" a="1"/>
  <c r="O1202" i="29" s="1"/>
  <c r="R1202" i="29" s="1"/>
  <c r="S1202" i="29" s="1"/>
  <c r="F1233" i="29"/>
  <c r="C1233" i="29" a="1"/>
  <c r="C1233" i="29" s="1"/>
  <c r="M1233" i="29"/>
  <c r="L1234" i="29" a="1"/>
  <c r="L1234" i="29" s="1"/>
  <c r="G1234" i="29"/>
  <c r="Q1235" i="29" a="1"/>
  <c r="Q1235" i="29" s="1"/>
  <c r="N1235" i="29" a="1"/>
  <c r="N1235" i="29" s="1"/>
  <c r="P1232" i="29"/>
  <c r="B1234" i="29"/>
  <c r="K1237" i="29"/>
  <c r="I1236" i="29"/>
  <c r="O1203" i="29" l="1" a="1"/>
  <c r="O1203" i="29" s="1"/>
  <c r="R1203" i="29" s="1"/>
  <c r="S1203" i="29" s="1"/>
  <c r="I1237" i="29"/>
  <c r="K1238" i="29"/>
  <c r="G1235" i="29"/>
  <c r="C1234" i="29" a="1"/>
  <c r="C1234" i="29" s="1"/>
  <c r="M1234" i="29"/>
  <c r="F1234" i="29"/>
  <c r="L1235" i="29" a="1"/>
  <c r="L1235" i="29" s="1"/>
  <c r="B1236" i="29" s="1"/>
  <c r="P1233" i="29"/>
  <c r="B1235" i="29"/>
  <c r="Q1236" i="29" a="1"/>
  <c r="Q1236" i="29" s="1"/>
  <c r="N1236" i="29" a="1"/>
  <c r="N1236" i="29" s="1"/>
  <c r="O1204" i="29" l="1" a="1"/>
  <c r="O1204" i="29" s="1"/>
  <c r="R1204" i="29" s="1"/>
  <c r="S1204" i="29" s="1"/>
  <c r="P1234" i="29"/>
  <c r="K1239" i="29"/>
  <c r="I1238" i="29"/>
  <c r="Q1237" i="29" a="1"/>
  <c r="Q1237" i="29" s="1"/>
  <c r="N1237" i="29" a="1"/>
  <c r="N1237" i="29" s="1"/>
  <c r="G1236" i="29"/>
  <c r="F1235" i="29"/>
  <c r="C1235" i="29" a="1"/>
  <c r="C1235" i="29" s="1"/>
  <c r="M1235" i="29"/>
  <c r="L1236" i="29" a="1"/>
  <c r="L1236" i="29" s="1"/>
  <c r="O1205" i="29" l="1" a="1"/>
  <c r="O1205" i="29" s="1"/>
  <c r="R1205" i="29" s="1"/>
  <c r="S1205" i="29" s="1"/>
  <c r="C1236" i="29" a="1"/>
  <c r="C1236" i="29" s="1"/>
  <c r="M1236" i="29"/>
  <c r="F1236" i="29"/>
  <c r="L1237" i="29" a="1"/>
  <c r="L1237" i="29" s="1"/>
  <c r="P1235" i="29"/>
  <c r="Q1238" i="29" a="1"/>
  <c r="Q1238" i="29" s="1"/>
  <c r="N1238" i="29" a="1"/>
  <c r="N1238" i="29" s="1"/>
  <c r="I1239" i="29"/>
  <c r="K1240" i="29"/>
  <c r="G1237" i="29"/>
  <c r="B1237" i="29"/>
  <c r="O1206" i="29" l="1" a="1"/>
  <c r="O1206" i="29" s="1"/>
  <c r="R1206" i="29" s="1"/>
  <c r="S1206" i="29" s="1"/>
  <c r="F1237" i="29"/>
  <c r="C1237" i="29" a="1"/>
  <c r="C1237" i="29" s="1"/>
  <c r="M1237" i="29"/>
  <c r="L1238" i="29" a="1"/>
  <c r="L1238" i="29" s="1"/>
  <c r="B1239" i="29" s="1"/>
  <c r="P1236" i="29"/>
  <c r="G1238" i="29"/>
  <c r="K1241" i="29"/>
  <c r="I1240" i="29"/>
  <c r="Q1239" i="29" a="1"/>
  <c r="Q1239" i="29" s="1"/>
  <c r="N1239" i="29" a="1"/>
  <c r="N1239" i="29" s="1"/>
  <c r="B1238" i="29"/>
  <c r="O1207" i="29" l="1" a="1"/>
  <c r="O1207" i="29" s="1"/>
  <c r="R1207" i="29" s="1"/>
  <c r="S1207" i="29" s="1"/>
  <c r="G1239" i="29"/>
  <c r="P1237" i="29"/>
  <c r="Q1240" i="29" a="1"/>
  <c r="Q1240" i="29" s="1"/>
  <c r="N1240" i="29" a="1"/>
  <c r="N1240" i="29" s="1"/>
  <c r="C1238" i="29" a="1"/>
  <c r="C1238" i="29" s="1"/>
  <c r="M1238" i="29"/>
  <c r="F1238" i="29"/>
  <c r="L1239" i="29" a="1"/>
  <c r="L1239" i="29" s="1"/>
  <c r="I1241" i="29"/>
  <c r="K1242" i="29"/>
  <c r="O1208" i="29" l="1" a="1"/>
  <c r="O1208" i="29" s="1"/>
  <c r="R1208" i="29" s="1"/>
  <c r="S1208" i="29" s="1"/>
  <c r="K1243" i="29"/>
  <c r="I1242" i="29"/>
  <c r="F1239" i="29"/>
  <c r="C1239" i="29" a="1"/>
  <c r="C1239" i="29" s="1"/>
  <c r="M1239" i="29"/>
  <c r="L1240" i="29" a="1"/>
  <c r="L1240" i="29" s="1"/>
  <c r="B1241" i="29" s="1"/>
  <c r="P1238" i="29"/>
  <c r="B1240" i="29"/>
  <c r="Q1241" i="29" a="1"/>
  <c r="Q1241" i="29" s="1"/>
  <c r="N1241" i="29" a="1"/>
  <c r="N1241" i="29" s="1"/>
  <c r="G1240" i="29"/>
  <c r="O1209" i="29" l="1" a="1"/>
  <c r="O1209" i="29" s="1"/>
  <c r="R1209" i="29" s="1"/>
  <c r="S1209" i="29" s="1"/>
  <c r="G1241" i="29"/>
  <c r="P1239" i="29"/>
  <c r="C1240" i="29" a="1"/>
  <c r="C1240" i="29" s="1"/>
  <c r="M1240" i="29"/>
  <c r="F1240" i="29"/>
  <c r="L1241" i="29" a="1"/>
  <c r="L1241" i="29" s="1"/>
  <c r="B1242" i="29" s="1"/>
  <c r="Q1242" i="29" a="1"/>
  <c r="Q1242" i="29" s="1"/>
  <c r="N1242" i="29" a="1"/>
  <c r="N1242" i="29" s="1"/>
  <c r="I1243" i="29"/>
  <c r="K1244" i="29"/>
  <c r="O1210" i="29" l="1" a="1"/>
  <c r="O1210" i="29" s="1"/>
  <c r="R1210" i="29" s="1"/>
  <c r="S1210" i="29" s="1"/>
  <c r="P1240" i="29"/>
  <c r="K1245" i="29"/>
  <c r="I1244" i="29"/>
  <c r="Q1243" i="29" a="1"/>
  <c r="Q1243" i="29" s="1"/>
  <c r="N1243" i="29" a="1"/>
  <c r="N1243" i="29" s="1"/>
  <c r="G1242" i="29"/>
  <c r="F1241" i="29"/>
  <c r="C1241" i="29" a="1"/>
  <c r="C1241" i="29" s="1"/>
  <c r="M1241" i="29"/>
  <c r="L1242" i="29" a="1"/>
  <c r="L1242" i="29" s="1"/>
  <c r="O1211" i="29" l="1" a="1"/>
  <c r="O1211" i="29" s="1"/>
  <c r="R1211" i="29" s="1"/>
  <c r="S1211" i="29" s="1"/>
  <c r="C1242" i="29" a="1"/>
  <c r="C1242" i="29" s="1"/>
  <c r="M1242" i="29"/>
  <c r="F1242" i="29"/>
  <c r="L1243" i="29" a="1"/>
  <c r="L1243" i="29" s="1"/>
  <c r="P1241" i="29"/>
  <c r="Q1244" i="29" a="1"/>
  <c r="Q1244" i="29" s="1"/>
  <c r="N1244" i="29" a="1"/>
  <c r="N1244" i="29" s="1"/>
  <c r="I1245" i="29"/>
  <c r="K1246" i="29"/>
  <c r="G1243" i="29"/>
  <c r="B1243" i="29"/>
  <c r="O1212" i="29" l="1" a="1"/>
  <c r="O1212" i="29" s="1"/>
  <c r="R1212" i="29" s="1"/>
  <c r="S1212" i="29" s="1"/>
  <c r="F1243" i="29"/>
  <c r="C1243" i="29" a="1"/>
  <c r="C1243" i="29" s="1"/>
  <c r="M1243" i="29"/>
  <c r="L1244" i="29" a="1"/>
  <c r="L1244" i="29" s="1"/>
  <c r="G1244" i="29"/>
  <c r="K1247" i="29"/>
  <c r="I1246" i="29"/>
  <c r="Q1245" i="29" a="1"/>
  <c r="Q1245" i="29" s="1"/>
  <c r="N1245" i="29" a="1"/>
  <c r="N1245" i="29" s="1"/>
  <c r="P1242" i="29"/>
  <c r="B1244" i="29"/>
  <c r="O1213" i="29" l="1" a="1"/>
  <c r="O1213" i="29" s="1"/>
  <c r="R1213" i="29" s="1"/>
  <c r="S1213" i="29" s="1"/>
  <c r="G1245" i="29"/>
  <c r="P1243" i="29"/>
  <c r="C1244" i="29" a="1"/>
  <c r="C1244" i="29" s="1"/>
  <c r="M1244" i="29"/>
  <c r="F1244" i="29"/>
  <c r="L1245" i="29" a="1"/>
  <c r="L1245" i="29" s="1"/>
  <c r="B1246" i="29" s="1"/>
  <c r="B1245" i="29"/>
  <c r="Q1246" i="29" a="1"/>
  <c r="Q1246" i="29" s="1"/>
  <c r="N1246" i="29" a="1"/>
  <c r="N1246" i="29" s="1"/>
  <c r="I1247" i="29"/>
  <c r="K1248" i="29"/>
  <c r="O1214" i="29" l="1" a="1"/>
  <c r="O1214" i="29" s="1"/>
  <c r="R1214" i="29" s="1"/>
  <c r="S1214" i="29" s="1"/>
  <c r="Q1247" i="29" a="1"/>
  <c r="Q1247" i="29" s="1"/>
  <c r="N1247" i="29" a="1"/>
  <c r="N1247" i="29" s="1"/>
  <c r="P1244" i="29"/>
  <c r="G1246" i="29"/>
  <c r="F1245" i="29"/>
  <c r="C1245" i="29" a="1"/>
  <c r="C1245" i="29" s="1"/>
  <c r="M1245" i="29"/>
  <c r="L1246" i="29" a="1"/>
  <c r="L1246" i="29" s="1"/>
  <c r="K1249" i="29"/>
  <c r="I1248" i="29"/>
  <c r="O1215" i="29" l="1" a="1"/>
  <c r="O1215" i="29" s="1"/>
  <c r="R1215" i="29" s="1"/>
  <c r="S1215" i="29" s="1"/>
  <c r="C1246" i="29" a="1"/>
  <c r="C1246" i="29" s="1"/>
  <c r="M1246" i="29"/>
  <c r="F1246" i="29"/>
  <c r="L1247" i="29" a="1"/>
  <c r="L1247" i="29" s="1"/>
  <c r="B1248" i="29" s="1"/>
  <c r="P1245" i="29"/>
  <c r="B1247" i="29"/>
  <c r="Q1248" i="29" a="1"/>
  <c r="Q1248" i="29" s="1"/>
  <c r="N1248" i="29" a="1"/>
  <c r="N1248" i="29" s="1"/>
  <c r="I1249" i="29"/>
  <c r="K1250" i="29"/>
  <c r="G1247" i="29"/>
  <c r="O1216" i="29" l="1" a="1"/>
  <c r="O1216" i="29" s="1"/>
  <c r="R1216" i="29" s="1"/>
  <c r="S1216" i="29" s="1"/>
  <c r="Q1249" i="29" a="1"/>
  <c r="Q1249" i="29" s="1"/>
  <c r="N1249" i="29" a="1"/>
  <c r="N1249" i="29" s="1"/>
  <c r="K1251" i="29"/>
  <c r="I1250" i="29"/>
  <c r="P1246" i="29"/>
  <c r="F1247" i="29"/>
  <c r="C1247" i="29" a="1"/>
  <c r="C1247" i="29" s="1"/>
  <c r="M1247" i="29"/>
  <c r="L1248" i="29" a="1"/>
  <c r="L1248" i="29" s="1"/>
  <c r="G1248" i="29"/>
  <c r="O1217" i="29" l="1" a="1"/>
  <c r="O1217" i="29" s="1"/>
  <c r="R1217" i="29" s="1"/>
  <c r="S1217" i="29" s="1"/>
  <c r="C1248" i="29" a="1"/>
  <c r="C1248" i="29" s="1"/>
  <c r="M1248" i="29"/>
  <c r="F1248" i="29"/>
  <c r="L1249" i="29" a="1"/>
  <c r="L1249" i="29" s="1"/>
  <c r="B1250" i="29" s="1"/>
  <c r="P1247" i="29"/>
  <c r="B1249" i="29"/>
  <c r="Q1250" i="29" a="1"/>
  <c r="Q1250" i="29" s="1"/>
  <c r="N1250" i="29" a="1"/>
  <c r="N1250" i="29" s="1"/>
  <c r="I1251" i="29"/>
  <c r="K1252" i="29"/>
  <c r="G1249" i="29"/>
  <c r="O1218" i="29" l="1" a="1"/>
  <c r="O1218" i="29" s="1"/>
  <c r="R1218" i="29" s="1"/>
  <c r="S1218" i="29" s="1"/>
  <c r="K1253" i="29"/>
  <c r="I1252" i="29"/>
  <c r="Q1251" i="29" a="1"/>
  <c r="Q1251" i="29" s="1"/>
  <c r="N1251" i="29" a="1"/>
  <c r="N1251" i="29" s="1"/>
  <c r="P1248" i="29"/>
  <c r="F1249" i="29"/>
  <c r="C1249" i="29" a="1"/>
  <c r="C1249" i="29" s="1"/>
  <c r="M1249" i="29"/>
  <c r="L1250" i="29" a="1"/>
  <c r="L1250" i="29" s="1"/>
  <c r="B1251" i="29" s="1"/>
  <c r="G1250" i="29"/>
  <c r="O1219" i="29" l="1" a="1"/>
  <c r="O1219" i="29" s="1"/>
  <c r="R1219" i="29" s="1"/>
  <c r="S1219" i="29" s="1"/>
  <c r="G1251" i="29"/>
  <c r="P1249" i="29"/>
  <c r="C1250" i="29" a="1"/>
  <c r="C1250" i="29" s="1"/>
  <c r="M1250" i="29"/>
  <c r="F1250" i="29"/>
  <c r="L1251" i="29" a="1"/>
  <c r="L1251" i="29" s="1"/>
  <c r="B1252" i="29" s="1"/>
  <c r="Q1252" i="29" a="1"/>
  <c r="Q1252" i="29" s="1"/>
  <c r="N1252" i="29" a="1"/>
  <c r="N1252" i="29" s="1"/>
  <c r="I1253" i="29"/>
  <c r="K1254" i="29"/>
  <c r="O1220" i="29" l="1" a="1"/>
  <c r="O1220" i="29" s="1"/>
  <c r="R1220" i="29" s="1"/>
  <c r="S1220" i="29" s="1"/>
  <c r="K1255" i="29"/>
  <c r="I1254" i="29"/>
  <c r="Q1253" i="29" a="1"/>
  <c r="Q1253" i="29" s="1"/>
  <c r="N1253" i="29" a="1"/>
  <c r="N1253" i="29" s="1"/>
  <c r="G1252" i="29"/>
  <c r="P1250" i="29"/>
  <c r="F1251" i="29"/>
  <c r="C1251" i="29" a="1"/>
  <c r="C1251" i="29" s="1"/>
  <c r="M1251" i="29"/>
  <c r="L1252" i="29" a="1"/>
  <c r="L1252" i="29" s="1"/>
  <c r="O1221" i="29" l="1" a="1"/>
  <c r="O1221" i="29" s="1"/>
  <c r="R1221" i="29" s="1"/>
  <c r="S1221" i="29" s="1"/>
  <c r="C1252" i="29" a="1"/>
  <c r="C1252" i="29" s="1"/>
  <c r="M1252" i="29"/>
  <c r="F1252" i="29"/>
  <c r="L1253" i="29" a="1"/>
  <c r="L1253" i="29" s="1"/>
  <c r="G1253" i="29"/>
  <c r="P1251" i="29"/>
  <c r="B1253" i="29"/>
  <c r="Q1254" i="29" a="1"/>
  <c r="Q1254" i="29" s="1"/>
  <c r="N1254" i="29" a="1"/>
  <c r="N1254" i="29" s="1"/>
  <c r="I1255" i="29"/>
  <c r="K1256" i="29"/>
  <c r="O1222" i="29" l="1" a="1"/>
  <c r="O1222" i="29" s="1"/>
  <c r="R1222" i="29" s="1"/>
  <c r="S1222" i="29" s="1"/>
  <c r="Q1255" i="29" a="1"/>
  <c r="Q1255" i="29" s="1"/>
  <c r="N1255" i="29" a="1"/>
  <c r="N1255" i="29" s="1"/>
  <c r="G1254" i="29"/>
  <c r="F1253" i="29"/>
  <c r="C1253" i="29" a="1"/>
  <c r="C1253" i="29" s="1"/>
  <c r="M1253" i="29"/>
  <c r="L1254" i="29" a="1"/>
  <c r="L1254" i="29" s="1"/>
  <c r="B1254" i="29"/>
  <c r="P1252" i="29"/>
  <c r="K1257" i="29"/>
  <c r="I1256" i="29"/>
  <c r="O1223" i="29" l="1" a="1"/>
  <c r="O1223" i="29" s="1"/>
  <c r="R1223" i="29" s="1"/>
  <c r="S1223" i="29" s="1"/>
  <c r="C1254" i="29" a="1"/>
  <c r="C1254" i="29" s="1"/>
  <c r="M1254" i="29"/>
  <c r="F1254" i="29"/>
  <c r="L1255" i="29" a="1"/>
  <c r="L1255" i="29" s="1"/>
  <c r="B1256" i="29" s="1"/>
  <c r="I1257" i="29"/>
  <c r="K1258" i="29"/>
  <c r="G1255" i="29"/>
  <c r="B1255" i="29"/>
  <c r="P1253" i="29"/>
  <c r="Q1256" i="29" a="1"/>
  <c r="Q1256" i="29" s="1"/>
  <c r="N1256" i="29" a="1"/>
  <c r="N1256" i="29" s="1"/>
  <c r="O1224" i="29" l="1" a="1"/>
  <c r="O1224" i="29" s="1"/>
  <c r="R1224" i="29" s="1"/>
  <c r="S1224" i="29" s="1"/>
  <c r="Q1257" i="29" a="1"/>
  <c r="Q1257" i="29" s="1"/>
  <c r="N1257" i="29" a="1"/>
  <c r="N1257" i="29" s="1"/>
  <c r="G1256" i="29"/>
  <c r="K1259" i="29"/>
  <c r="I1258" i="29"/>
  <c r="F1255" i="29"/>
  <c r="C1255" i="29" a="1"/>
  <c r="C1255" i="29" s="1"/>
  <c r="M1255" i="29"/>
  <c r="L1256" i="29" a="1"/>
  <c r="L1256" i="29" s="1"/>
  <c r="B1257" i="29" s="1"/>
  <c r="P1254" i="29"/>
  <c r="O1225" i="29" l="1" a="1"/>
  <c r="O1225" i="29" s="1"/>
  <c r="R1225" i="29" s="1"/>
  <c r="S1225" i="29" s="1"/>
  <c r="G1257" i="29"/>
  <c r="P1255" i="29"/>
  <c r="C1256" i="29" a="1"/>
  <c r="C1256" i="29" s="1"/>
  <c r="M1256" i="29"/>
  <c r="F1256" i="29"/>
  <c r="L1257" i="29" a="1"/>
  <c r="L1257" i="29" s="1"/>
  <c r="B1258" i="29" s="1"/>
  <c r="Q1258" i="29" a="1"/>
  <c r="Q1258" i="29" s="1"/>
  <c r="N1258" i="29" a="1"/>
  <c r="N1258" i="29" s="1"/>
  <c r="I1259" i="29"/>
  <c r="K1260" i="29"/>
  <c r="O1226" i="29" l="1" a="1"/>
  <c r="O1226" i="29" s="1"/>
  <c r="R1226" i="29" s="1"/>
  <c r="S1226" i="29" s="1"/>
  <c r="K1261" i="29"/>
  <c r="I1260" i="29"/>
  <c r="Q1259" i="29" a="1"/>
  <c r="Q1259" i="29" s="1"/>
  <c r="N1259" i="29" a="1"/>
  <c r="N1259" i="29" s="1"/>
  <c r="P1256" i="29"/>
  <c r="G1258" i="29"/>
  <c r="F1257" i="29"/>
  <c r="C1257" i="29" a="1"/>
  <c r="C1257" i="29" s="1"/>
  <c r="M1257" i="29"/>
  <c r="L1258" i="29" a="1"/>
  <c r="L1258" i="29" s="1"/>
  <c r="B1259" i="29" s="1"/>
  <c r="O1227" i="29" l="1" a="1"/>
  <c r="O1227" i="29" s="1"/>
  <c r="R1227" i="29" s="1"/>
  <c r="S1227" i="29" s="1"/>
  <c r="G1259" i="29"/>
  <c r="C1258" i="29" a="1"/>
  <c r="C1258" i="29" s="1"/>
  <c r="M1258" i="29"/>
  <c r="F1258" i="29"/>
  <c r="L1259" i="29" a="1"/>
  <c r="L1259" i="29" s="1"/>
  <c r="P1257" i="29"/>
  <c r="Q1260" i="29" a="1"/>
  <c r="Q1260" i="29" s="1"/>
  <c r="N1260" i="29" a="1"/>
  <c r="N1260" i="29" s="1"/>
  <c r="I1261" i="29"/>
  <c r="K1262" i="29"/>
  <c r="O1228" i="29" l="1" a="1"/>
  <c r="O1228" i="29" s="1"/>
  <c r="R1228" i="29" s="1"/>
  <c r="S1228" i="29" s="1"/>
  <c r="K1263" i="29"/>
  <c r="I1262" i="29"/>
  <c r="F1259" i="29"/>
  <c r="C1259" i="29" a="1"/>
  <c r="C1259" i="29" s="1"/>
  <c r="M1259" i="29"/>
  <c r="L1260" i="29" a="1"/>
  <c r="L1260" i="29" s="1"/>
  <c r="B1261" i="29" s="1"/>
  <c r="P1258" i="29"/>
  <c r="G1260" i="29"/>
  <c r="Q1261" i="29" a="1"/>
  <c r="Q1261" i="29" s="1"/>
  <c r="N1261" i="29" a="1"/>
  <c r="N1261" i="29" s="1"/>
  <c r="B1260" i="29"/>
  <c r="O1229" i="29" l="1" a="1"/>
  <c r="O1229" i="29" s="1"/>
  <c r="R1229" i="29" s="1"/>
  <c r="S1229" i="29" s="1"/>
  <c r="G1261" i="29"/>
  <c r="C1260" i="29" a="1"/>
  <c r="C1260" i="29" s="1"/>
  <c r="M1260" i="29"/>
  <c r="F1260" i="29"/>
  <c r="L1261" i="29" a="1"/>
  <c r="L1261" i="29" s="1"/>
  <c r="P1259" i="29"/>
  <c r="Q1262" i="29" a="1"/>
  <c r="Q1262" i="29" s="1"/>
  <c r="N1262" i="29" a="1"/>
  <c r="N1262" i="29" s="1"/>
  <c r="I1263" i="29"/>
  <c r="K1264" i="29"/>
  <c r="O1230" i="29" l="1" a="1"/>
  <c r="O1230" i="29" s="1"/>
  <c r="R1230" i="29" s="1"/>
  <c r="S1230" i="29" s="1"/>
  <c r="K1265" i="29"/>
  <c r="I1264" i="29"/>
  <c r="P1260" i="29"/>
  <c r="G1262" i="29"/>
  <c r="F1261" i="29"/>
  <c r="C1261" i="29" a="1"/>
  <c r="C1261" i="29" s="1"/>
  <c r="M1261" i="29"/>
  <c r="L1262" i="29" a="1"/>
  <c r="L1262" i="29" s="1"/>
  <c r="B1263" i="29" s="1"/>
  <c r="Q1263" i="29" a="1"/>
  <c r="Q1263" i="29" s="1"/>
  <c r="N1263" i="29" a="1"/>
  <c r="N1263" i="29" s="1"/>
  <c r="B1262" i="29"/>
  <c r="O1231" i="29" l="1" a="1"/>
  <c r="O1231" i="29" s="1"/>
  <c r="R1231" i="29" s="1"/>
  <c r="S1231" i="29" s="1"/>
  <c r="G1263" i="29"/>
  <c r="Q1264" i="29" a="1"/>
  <c r="Q1264" i="29" s="1"/>
  <c r="N1264" i="29" a="1"/>
  <c r="N1264" i="29" s="1"/>
  <c r="I1265" i="29"/>
  <c r="K1266" i="29"/>
  <c r="C1262" i="29" a="1"/>
  <c r="C1262" i="29" s="1"/>
  <c r="M1262" i="29"/>
  <c r="F1262" i="29"/>
  <c r="L1263" i="29" a="1"/>
  <c r="L1263" i="29" s="1"/>
  <c r="B1264" i="29" s="1"/>
  <c r="P1261" i="29"/>
  <c r="O1232" i="29" l="1" a="1"/>
  <c r="O1232" i="29" s="1"/>
  <c r="R1232" i="29" s="1"/>
  <c r="S1232" i="29" s="1"/>
  <c r="G1264" i="29"/>
  <c r="P1262" i="29"/>
  <c r="F1263" i="29"/>
  <c r="C1263" i="29" a="1"/>
  <c r="C1263" i="29" s="1"/>
  <c r="M1263" i="29"/>
  <c r="L1264" i="29" a="1"/>
  <c r="L1264" i="29" s="1"/>
  <c r="B1265" i="29" s="1"/>
  <c r="K1267" i="29"/>
  <c r="I1266" i="29"/>
  <c r="Q1265" i="29" a="1"/>
  <c r="Q1265" i="29" s="1"/>
  <c r="N1265" i="29" a="1"/>
  <c r="N1265" i="29" s="1"/>
  <c r="O1233" i="29" l="1" a="1"/>
  <c r="O1233" i="29" s="1"/>
  <c r="R1233" i="29" s="1"/>
  <c r="S1233" i="29" s="1"/>
  <c r="G1265" i="29"/>
  <c r="Q1266" i="29" a="1"/>
  <c r="Q1266" i="29" s="1"/>
  <c r="N1266" i="29" a="1"/>
  <c r="N1266" i="29" s="1"/>
  <c r="I1267" i="29"/>
  <c r="K1268" i="29"/>
  <c r="C1264" i="29" a="1"/>
  <c r="C1264" i="29" s="1"/>
  <c r="M1264" i="29"/>
  <c r="F1264" i="29"/>
  <c r="L1265" i="29" a="1"/>
  <c r="L1265" i="29" s="1"/>
  <c r="P1263" i="29"/>
  <c r="O1234" i="29" l="1" a="1"/>
  <c r="O1234" i="29" s="1"/>
  <c r="R1234" i="29" s="1"/>
  <c r="S1234" i="29" s="1"/>
  <c r="F1265" i="29"/>
  <c r="C1265" i="29" a="1"/>
  <c r="C1265" i="29" s="1"/>
  <c r="M1265" i="29"/>
  <c r="L1266" i="29" a="1"/>
  <c r="L1266" i="29" s="1"/>
  <c r="P1264" i="29"/>
  <c r="G1266" i="29"/>
  <c r="B1266" i="29"/>
  <c r="K1269" i="29"/>
  <c r="I1268" i="29"/>
  <c r="Q1267" i="29" a="1"/>
  <c r="Q1267" i="29" s="1"/>
  <c r="N1267" i="29" a="1"/>
  <c r="N1267" i="29" s="1"/>
  <c r="O1235" i="29" l="1" a="1"/>
  <c r="O1235" i="29" s="1"/>
  <c r="R1235" i="29" s="1"/>
  <c r="S1235" i="29" s="1"/>
  <c r="C1266" i="29" a="1"/>
  <c r="C1266" i="29" s="1"/>
  <c r="M1266" i="29"/>
  <c r="F1266" i="29"/>
  <c r="L1267" i="29" a="1"/>
  <c r="L1267" i="29" s="1"/>
  <c r="B1268" i="29" s="1"/>
  <c r="Q1268" i="29" a="1"/>
  <c r="Q1268" i="29" s="1"/>
  <c r="N1268" i="29" a="1"/>
  <c r="N1268" i="29" s="1"/>
  <c r="I1269" i="29"/>
  <c r="K1270" i="29"/>
  <c r="B1267" i="29"/>
  <c r="P1265" i="29"/>
  <c r="G1267" i="29"/>
  <c r="O1236" i="29" l="1" a="1"/>
  <c r="O1236" i="29" s="1"/>
  <c r="R1236" i="29" s="1"/>
  <c r="S1236" i="29" s="1"/>
  <c r="K1271" i="29"/>
  <c r="I1270" i="29"/>
  <c r="P1266" i="29"/>
  <c r="Q1269" i="29" a="1"/>
  <c r="Q1269" i="29" s="1"/>
  <c r="N1269" i="29" a="1"/>
  <c r="N1269" i="29" s="1"/>
  <c r="F1267" i="29"/>
  <c r="C1267" i="29" a="1"/>
  <c r="C1267" i="29" s="1"/>
  <c r="M1267" i="29"/>
  <c r="L1268" i="29" a="1"/>
  <c r="L1268" i="29" s="1"/>
  <c r="G1268" i="29"/>
  <c r="O1237" i="29" l="1" a="1"/>
  <c r="O1237" i="29" s="1"/>
  <c r="R1237" i="29" s="1"/>
  <c r="S1237" i="29" s="1"/>
  <c r="C1268" i="29" a="1"/>
  <c r="C1268" i="29" s="1"/>
  <c r="M1268" i="29"/>
  <c r="F1268" i="29"/>
  <c r="L1269" i="29" a="1"/>
  <c r="L1269" i="29" s="1"/>
  <c r="B1270" i="29" s="1"/>
  <c r="P1267" i="29"/>
  <c r="Q1270" i="29" a="1"/>
  <c r="Q1270" i="29" s="1"/>
  <c r="N1270" i="29" a="1"/>
  <c r="N1270" i="29" s="1"/>
  <c r="I1271" i="29"/>
  <c r="K1272" i="29"/>
  <c r="G1269" i="29"/>
  <c r="B1269" i="29"/>
  <c r="O1238" i="29" l="1" a="1"/>
  <c r="O1238" i="29" s="1"/>
  <c r="R1238" i="29" s="1"/>
  <c r="S1238" i="29" s="1"/>
  <c r="K1273" i="29"/>
  <c r="I1272" i="29"/>
  <c r="Q1271" i="29" a="1"/>
  <c r="Q1271" i="29" s="1"/>
  <c r="N1271" i="29" a="1"/>
  <c r="N1271" i="29" s="1"/>
  <c r="G1270" i="29"/>
  <c r="F1269" i="29"/>
  <c r="C1269" i="29" a="1"/>
  <c r="C1269" i="29" s="1"/>
  <c r="M1269" i="29"/>
  <c r="L1270" i="29" a="1"/>
  <c r="L1270" i="29" s="1"/>
  <c r="P1268" i="29"/>
  <c r="O1239" i="29" l="1" a="1"/>
  <c r="O1239" i="29" s="1"/>
  <c r="R1239" i="29" s="1"/>
  <c r="S1239" i="29" s="1"/>
  <c r="C1270" i="29" a="1"/>
  <c r="C1270" i="29" s="1"/>
  <c r="M1270" i="29"/>
  <c r="F1270" i="29"/>
  <c r="L1271" i="29" a="1"/>
  <c r="L1271" i="29" s="1"/>
  <c r="G1271" i="29"/>
  <c r="B1271" i="29"/>
  <c r="P1269" i="29"/>
  <c r="Q1272" i="29" a="1"/>
  <c r="Q1272" i="29" s="1"/>
  <c r="N1272" i="29" a="1"/>
  <c r="N1272" i="29" s="1"/>
  <c r="I1273" i="29"/>
  <c r="K1274" i="29"/>
  <c r="O1240" i="29" l="1" a="1"/>
  <c r="O1240" i="29" s="1"/>
  <c r="R1240" i="29" s="1"/>
  <c r="S1240" i="29" s="1"/>
  <c r="F1271" i="29"/>
  <c r="C1271" i="29" a="1"/>
  <c r="C1271" i="29" s="1"/>
  <c r="M1271" i="29"/>
  <c r="L1272" i="29" a="1"/>
  <c r="L1272" i="29" s="1"/>
  <c r="Q1273" i="29" a="1"/>
  <c r="Q1273" i="29" s="1"/>
  <c r="N1273" i="29" a="1"/>
  <c r="N1273" i="29" s="1"/>
  <c r="B1272" i="29"/>
  <c r="G1272" i="29"/>
  <c r="P1270" i="29"/>
  <c r="K1275" i="29"/>
  <c r="I1274" i="29"/>
  <c r="O1241" i="29" l="1" a="1"/>
  <c r="O1241" i="29" s="1"/>
  <c r="R1241" i="29" s="1"/>
  <c r="S1241" i="29" s="1"/>
  <c r="I1275" i="29"/>
  <c r="K1276" i="29"/>
  <c r="P1271" i="29"/>
  <c r="C1272" i="29" a="1"/>
  <c r="C1272" i="29" s="1"/>
  <c r="M1272" i="29"/>
  <c r="F1272" i="29"/>
  <c r="L1273" i="29" a="1"/>
  <c r="L1273" i="29" s="1"/>
  <c r="B1274" i="29" s="1"/>
  <c r="G1273" i="29"/>
  <c r="Q1274" i="29" a="1"/>
  <c r="Q1274" i="29" s="1"/>
  <c r="N1274" i="29" a="1"/>
  <c r="N1274" i="29" s="1"/>
  <c r="B1273" i="29"/>
  <c r="O1242" i="29" l="1" a="1"/>
  <c r="O1242" i="29" s="1"/>
  <c r="R1242" i="29" s="1"/>
  <c r="S1242" i="29" s="1"/>
  <c r="G1274" i="29"/>
  <c r="K1277" i="29"/>
  <c r="I1276" i="29"/>
  <c r="Q1275" i="29" a="1"/>
  <c r="Q1275" i="29" s="1"/>
  <c r="N1275" i="29" a="1"/>
  <c r="N1275" i="29" s="1"/>
  <c r="P1272" i="29"/>
  <c r="F1273" i="29"/>
  <c r="C1273" i="29" a="1"/>
  <c r="C1273" i="29" s="1"/>
  <c r="M1273" i="29"/>
  <c r="L1274" i="29" a="1"/>
  <c r="L1274" i="29" s="1"/>
  <c r="O1243" i="29" l="1" a="1"/>
  <c r="O1243" i="29" s="1"/>
  <c r="R1243" i="29" s="1"/>
  <c r="S1243" i="29" s="1"/>
  <c r="P1273" i="29"/>
  <c r="C1274" i="29" a="1"/>
  <c r="C1274" i="29" s="1"/>
  <c r="M1274" i="29"/>
  <c r="F1274" i="29"/>
  <c r="L1275" i="29" a="1"/>
  <c r="L1275" i="29" s="1"/>
  <c r="Q1276" i="29" a="1"/>
  <c r="Q1276" i="29" s="1"/>
  <c r="N1276" i="29" a="1"/>
  <c r="N1276" i="29" s="1"/>
  <c r="I1277" i="29"/>
  <c r="K1278" i="29"/>
  <c r="G1275" i="29"/>
  <c r="B1275" i="29"/>
  <c r="O1244" i="29" l="1" a="1"/>
  <c r="O1244" i="29" s="1"/>
  <c r="R1244" i="29" s="1"/>
  <c r="S1244" i="29" s="1"/>
  <c r="F1275" i="29"/>
  <c r="C1275" i="29" a="1"/>
  <c r="C1275" i="29" s="1"/>
  <c r="M1275" i="29"/>
  <c r="L1276" i="29" a="1"/>
  <c r="L1276" i="29" s="1"/>
  <c r="K1279" i="29"/>
  <c r="I1278" i="29"/>
  <c r="P1274" i="29"/>
  <c r="Q1277" i="29" a="1"/>
  <c r="Q1277" i="29" s="1"/>
  <c r="N1277" i="29" a="1"/>
  <c r="N1277" i="29" s="1"/>
  <c r="G1276" i="29"/>
  <c r="B1276" i="29"/>
  <c r="O1245" i="29" l="1" a="1"/>
  <c r="O1245" i="29" s="1"/>
  <c r="R1245" i="29" s="1"/>
  <c r="S1245" i="29" s="1"/>
  <c r="Q1278" i="29" a="1"/>
  <c r="Q1278" i="29" s="1"/>
  <c r="N1278" i="29" a="1"/>
  <c r="N1278" i="29" s="1"/>
  <c r="I1279" i="29"/>
  <c r="K1280" i="29"/>
  <c r="G1277" i="29"/>
  <c r="C1276" i="29" a="1"/>
  <c r="C1276" i="29" s="1"/>
  <c r="M1276" i="29"/>
  <c r="F1276" i="29"/>
  <c r="L1277" i="29" a="1"/>
  <c r="L1277" i="29" s="1"/>
  <c r="B1277" i="29"/>
  <c r="P1275" i="29"/>
  <c r="O1246" i="29" l="1" a="1"/>
  <c r="O1246" i="29" s="1"/>
  <c r="R1246" i="29" s="1"/>
  <c r="S1246" i="29" s="1"/>
  <c r="F1277" i="29"/>
  <c r="C1277" i="29" a="1"/>
  <c r="C1277" i="29" s="1"/>
  <c r="M1277" i="29"/>
  <c r="L1278" i="29" a="1"/>
  <c r="L1278" i="29" s="1"/>
  <c r="K1281" i="29"/>
  <c r="I1280" i="29"/>
  <c r="Q1279" i="29" a="1"/>
  <c r="Q1279" i="29" s="1"/>
  <c r="N1279" i="29" a="1"/>
  <c r="N1279" i="29" s="1"/>
  <c r="G1278" i="29"/>
  <c r="P1276" i="29"/>
  <c r="B1278" i="29"/>
  <c r="O1247" i="29" l="1" a="1"/>
  <c r="O1247" i="29" s="1"/>
  <c r="R1247" i="29" s="1"/>
  <c r="S1247" i="29" s="1"/>
  <c r="P1277" i="29"/>
  <c r="C1278" i="29" a="1"/>
  <c r="C1278" i="29" s="1"/>
  <c r="M1278" i="29"/>
  <c r="F1278" i="29"/>
  <c r="L1279" i="29" a="1"/>
  <c r="L1279" i="29" s="1"/>
  <c r="G1279" i="29"/>
  <c r="Q1280" i="29" a="1"/>
  <c r="Q1280" i="29" s="1"/>
  <c r="N1280" i="29" a="1"/>
  <c r="N1280" i="29" s="1"/>
  <c r="I1281" i="29"/>
  <c r="K1282" i="29"/>
  <c r="B1279" i="29"/>
  <c r="O1248" i="29" l="1" a="1"/>
  <c r="O1248" i="29" s="1"/>
  <c r="R1248" i="29" s="1"/>
  <c r="S1248" i="29" s="1"/>
  <c r="K1283" i="29"/>
  <c r="I1282" i="29"/>
  <c r="P1278" i="29"/>
  <c r="F1279" i="29"/>
  <c r="C1279" i="29" a="1"/>
  <c r="C1279" i="29" s="1"/>
  <c r="M1279" i="29"/>
  <c r="L1280" i="29" a="1"/>
  <c r="L1280" i="29" s="1"/>
  <c r="B1281" i="29" s="1"/>
  <c r="Q1281" i="29" a="1"/>
  <c r="Q1281" i="29" s="1"/>
  <c r="N1281" i="29" a="1"/>
  <c r="N1281" i="29" s="1"/>
  <c r="G1280" i="29"/>
  <c r="B1280" i="29"/>
  <c r="O1249" i="29" l="1" a="1"/>
  <c r="O1249" i="29" s="1"/>
  <c r="R1249" i="29" s="1"/>
  <c r="S1249" i="29" s="1"/>
  <c r="G1281" i="29"/>
  <c r="I1283" i="29"/>
  <c r="K1284" i="29"/>
  <c r="C1280" i="29" a="1"/>
  <c r="C1280" i="29" s="1"/>
  <c r="M1280" i="29"/>
  <c r="F1280" i="29"/>
  <c r="L1281" i="29" a="1"/>
  <c r="L1281" i="29" s="1"/>
  <c r="B1282" i="29" s="1"/>
  <c r="Q1282" i="29" a="1"/>
  <c r="Q1282" i="29" s="1"/>
  <c r="N1282" i="29" a="1"/>
  <c r="N1282" i="29" s="1"/>
  <c r="P1279" i="29"/>
  <c r="O1250" i="29" l="1" a="1"/>
  <c r="O1250" i="29" s="1"/>
  <c r="R1250" i="29" s="1"/>
  <c r="S1250" i="29" s="1"/>
  <c r="K1285" i="29"/>
  <c r="I1284" i="29"/>
  <c r="G1282" i="29"/>
  <c r="Q1283" i="29" a="1"/>
  <c r="Q1283" i="29" s="1"/>
  <c r="N1283" i="29" a="1"/>
  <c r="N1283" i="29" s="1"/>
  <c r="P1280" i="29"/>
  <c r="F1281" i="29"/>
  <c r="C1281" i="29" a="1"/>
  <c r="C1281" i="29" s="1"/>
  <c r="M1281" i="29"/>
  <c r="L1282" i="29" a="1"/>
  <c r="L1282" i="29" s="1"/>
  <c r="O1251" i="29" l="1" a="1"/>
  <c r="O1251" i="29" s="1"/>
  <c r="R1251" i="29" s="1"/>
  <c r="S1251" i="29" s="1"/>
  <c r="P1281" i="29"/>
  <c r="I1285" i="29"/>
  <c r="K1286" i="29"/>
  <c r="C1282" i="29" a="1"/>
  <c r="C1282" i="29" s="1"/>
  <c r="M1282" i="29"/>
  <c r="F1282" i="29"/>
  <c r="L1283" i="29" a="1"/>
  <c r="L1283" i="29" s="1"/>
  <c r="Q1284" i="29" a="1"/>
  <c r="Q1284" i="29" s="1"/>
  <c r="N1284" i="29" a="1"/>
  <c r="N1284" i="29" s="1"/>
  <c r="G1283" i="29"/>
  <c r="B1283" i="29"/>
  <c r="O1252" i="29" l="1" a="1"/>
  <c r="O1252" i="29" s="1"/>
  <c r="R1252" i="29" s="1"/>
  <c r="S1252" i="29" s="1"/>
  <c r="P1282" i="29"/>
  <c r="K1287" i="29"/>
  <c r="I1286" i="29"/>
  <c r="Q1285" i="29" a="1"/>
  <c r="Q1285" i="29" s="1"/>
  <c r="N1285" i="29" a="1"/>
  <c r="N1285" i="29" s="1"/>
  <c r="F1283" i="29"/>
  <c r="C1283" i="29" a="1"/>
  <c r="C1283" i="29" s="1"/>
  <c r="M1283" i="29"/>
  <c r="L1284" i="29" a="1"/>
  <c r="L1284" i="29" s="1"/>
  <c r="G1284" i="29"/>
  <c r="B1284" i="29"/>
  <c r="O1253" i="29" l="1" a="1"/>
  <c r="O1253" i="29" s="1"/>
  <c r="R1253" i="29" s="1"/>
  <c r="S1253" i="29" s="1"/>
  <c r="C1284" i="29" a="1"/>
  <c r="C1284" i="29" s="1"/>
  <c r="M1284" i="29"/>
  <c r="F1284" i="29"/>
  <c r="L1285" i="29" a="1"/>
  <c r="L1285" i="29" s="1"/>
  <c r="B1286" i="29" s="1"/>
  <c r="Q1286" i="29" a="1"/>
  <c r="Q1286" i="29" s="1"/>
  <c r="N1286" i="29" a="1"/>
  <c r="N1286" i="29" s="1"/>
  <c r="P1283" i="29"/>
  <c r="I1287" i="29"/>
  <c r="K1288" i="29"/>
  <c r="G1285" i="29"/>
  <c r="B1285" i="29"/>
  <c r="O1254" i="29" l="1" a="1"/>
  <c r="O1254" i="29" s="1"/>
  <c r="R1254" i="29" s="1"/>
  <c r="S1254" i="29" s="1"/>
  <c r="K1289" i="29"/>
  <c r="I1288" i="29"/>
  <c r="Q1287" i="29" a="1"/>
  <c r="Q1287" i="29" s="1"/>
  <c r="N1287" i="29" a="1"/>
  <c r="N1287" i="29" s="1"/>
  <c r="P1284" i="29"/>
  <c r="F1285" i="29"/>
  <c r="C1285" i="29" a="1"/>
  <c r="C1285" i="29" s="1"/>
  <c r="M1285" i="29"/>
  <c r="L1286" i="29" a="1"/>
  <c r="L1286" i="29" s="1"/>
  <c r="B1287" i="29" s="1"/>
  <c r="G1286" i="29"/>
  <c r="O1255" i="29" l="1" a="1"/>
  <c r="O1255" i="29" s="1"/>
  <c r="R1255" i="29" s="1"/>
  <c r="S1255" i="29" s="1"/>
  <c r="G1287" i="29"/>
  <c r="C1286" i="29" a="1"/>
  <c r="C1286" i="29" s="1"/>
  <c r="M1286" i="29"/>
  <c r="F1286" i="29"/>
  <c r="L1287" i="29" a="1"/>
  <c r="L1287" i="29" s="1"/>
  <c r="P1285" i="29"/>
  <c r="Q1288" i="29" a="1"/>
  <c r="Q1288" i="29" s="1"/>
  <c r="N1288" i="29" a="1"/>
  <c r="N1288" i="29" s="1"/>
  <c r="I1289" i="29"/>
  <c r="K1290" i="29"/>
  <c r="O1256" i="29" l="1" a="1"/>
  <c r="O1256" i="29" s="1"/>
  <c r="R1256" i="29" s="1"/>
  <c r="S1256" i="29" s="1"/>
  <c r="F1287" i="29"/>
  <c r="C1287" i="29" a="1"/>
  <c r="C1287" i="29" s="1"/>
  <c r="M1287" i="29"/>
  <c r="L1288" i="29" a="1"/>
  <c r="L1288" i="29" s="1"/>
  <c r="B1288" i="29"/>
  <c r="K1291" i="29"/>
  <c r="I1290" i="29"/>
  <c r="Q1289" i="29" a="1"/>
  <c r="Q1289" i="29" s="1"/>
  <c r="N1289" i="29" a="1"/>
  <c r="N1289" i="29" s="1"/>
  <c r="P1286" i="29"/>
  <c r="G1288" i="29"/>
  <c r="O1257" i="29" l="1" a="1"/>
  <c r="O1257" i="29" s="1"/>
  <c r="R1257" i="29" s="1"/>
  <c r="S1257" i="29" s="1"/>
  <c r="I1291" i="29"/>
  <c r="K1292" i="29"/>
  <c r="G1289" i="29"/>
  <c r="C1288" i="29" a="1"/>
  <c r="C1288" i="29" s="1"/>
  <c r="M1288" i="29"/>
  <c r="F1288" i="29"/>
  <c r="L1289" i="29" a="1"/>
  <c r="L1289" i="29" s="1"/>
  <c r="B1290" i="29" s="1"/>
  <c r="P1287" i="29"/>
  <c r="B1289" i="29"/>
  <c r="Q1290" i="29" a="1"/>
  <c r="Q1290" i="29" s="1"/>
  <c r="N1290" i="29" a="1"/>
  <c r="N1290" i="29" s="1"/>
  <c r="O1258" i="29" l="1" a="1"/>
  <c r="O1258" i="29" s="1"/>
  <c r="R1258" i="29" s="1"/>
  <c r="S1258" i="29" s="1"/>
  <c r="G1290" i="29"/>
  <c r="P1288" i="29"/>
  <c r="F1289" i="29"/>
  <c r="C1289" i="29" a="1"/>
  <c r="C1289" i="29" s="1"/>
  <c r="M1289" i="29"/>
  <c r="L1290" i="29" a="1"/>
  <c r="L1290" i="29" s="1"/>
  <c r="K1293" i="29"/>
  <c r="I1292" i="29"/>
  <c r="Q1291" i="29" a="1"/>
  <c r="Q1291" i="29" s="1"/>
  <c r="N1291" i="29" a="1"/>
  <c r="N1291" i="29" s="1"/>
  <c r="O1259" i="29" l="1" a="1"/>
  <c r="O1259" i="29" s="1"/>
  <c r="R1259" i="29" s="1"/>
  <c r="S1259" i="29" s="1"/>
  <c r="G1291" i="29"/>
  <c r="C1290" i="29" a="1"/>
  <c r="C1290" i="29" s="1"/>
  <c r="M1290" i="29"/>
  <c r="F1290" i="29"/>
  <c r="L1291" i="29" a="1"/>
  <c r="L1291" i="29" s="1"/>
  <c r="B1291" i="29"/>
  <c r="Q1292" i="29" a="1"/>
  <c r="Q1292" i="29" s="1"/>
  <c r="N1292" i="29" a="1"/>
  <c r="N1292" i="29" s="1"/>
  <c r="I1293" i="29"/>
  <c r="K1294" i="29"/>
  <c r="P1289" i="29"/>
  <c r="O1260" i="29" l="1" a="1"/>
  <c r="O1260" i="29" s="1"/>
  <c r="R1260" i="29" s="1"/>
  <c r="S1260" i="29" s="1"/>
  <c r="G1292" i="29"/>
  <c r="F1291" i="29"/>
  <c r="C1291" i="29" a="1"/>
  <c r="C1291" i="29" s="1"/>
  <c r="M1291" i="29"/>
  <c r="L1292" i="29" a="1"/>
  <c r="L1292" i="29" s="1"/>
  <c r="B1293" i="29" s="1"/>
  <c r="K1295" i="29"/>
  <c r="I1294" i="29"/>
  <c r="Q1293" i="29" a="1"/>
  <c r="Q1293" i="29" s="1"/>
  <c r="N1293" i="29" a="1"/>
  <c r="N1293" i="29" s="1"/>
  <c r="P1290" i="29"/>
  <c r="B1292" i="29"/>
  <c r="O1261" i="29" l="1" a="1"/>
  <c r="O1261" i="29" s="1"/>
  <c r="R1261" i="29" s="1"/>
  <c r="S1261" i="29" s="1"/>
  <c r="G1293" i="29"/>
  <c r="C1292" i="29" a="1"/>
  <c r="C1292" i="29" s="1"/>
  <c r="M1292" i="29"/>
  <c r="F1292" i="29"/>
  <c r="L1293" i="29" a="1"/>
  <c r="L1293" i="29" s="1"/>
  <c r="P1291" i="29"/>
  <c r="Q1294" i="29" a="1"/>
  <c r="Q1294" i="29" s="1"/>
  <c r="N1294" i="29" a="1"/>
  <c r="N1294" i="29" s="1"/>
  <c r="I1295" i="29"/>
  <c r="K1296" i="29"/>
  <c r="O1262" i="29" l="1" a="1"/>
  <c r="O1262" i="29" s="1"/>
  <c r="R1262" i="29" s="1"/>
  <c r="S1262" i="29" s="1"/>
  <c r="K1297" i="29"/>
  <c r="I1296" i="29"/>
  <c r="Q1295" i="29" a="1"/>
  <c r="Q1295" i="29" s="1"/>
  <c r="N1295" i="29" a="1"/>
  <c r="N1295" i="29" s="1"/>
  <c r="P1292" i="29"/>
  <c r="G1294" i="29"/>
  <c r="F1293" i="29"/>
  <c r="C1293" i="29" a="1"/>
  <c r="C1293" i="29" s="1"/>
  <c r="M1293" i="29"/>
  <c r="L1294" i="29" a="1"/>
  <c r="L1294" i="29" s="1"/>
  <c r="B1294" i="29"/>
  <c r="O1263" i="29" l="1" a="1"/>
  <c r="O1263" i="29" s="1"/>
  <c r="R1263" i="29" s="1"/>
  <c r="S1263" i="29" s="1"/>
  <c r="C1294" i="29" a="1"/>
  <c r="C1294" i="29" s="1"/>
  <c r="M1294" i="29"/>
  <c r="F1294" i="29"/>
  <c r="L1295" i="29" a="1"/>
  <c r="L1295" i="29" s="1"/>
  <c r="P1293" i="29"/>
  <c r="B1295" i="29"/>
  <c r="G1295" i="29"/>
  <c r="Q1296" i="29" a="1"/>
  <c r="Q1296" i="29" s="1"/>
  <c r="N1296" i="29" a="1"/>
  <c r="N1296" i="29" s="1"/>
  <c r="I1297" i="29"/>
  <c r="K1298" i="29"/>
  <c r="O1264" i="29" l="1" a="1"/>
  <c r="O1264" i="29" s="1"/>
  <c r="R1264" i="29" s="1"/>
  <c r="S1264" i="29" s="1"/>
  <c r="Q1297" i="29" a="1"/>
  <c r="Q1297" i="29" s="1"/>
  <c r="N1297" i="29" a="1"/>
  <c r="N1297" i="29" s="1"/>
  <c r="F1295" i="29"/>
  <c r="C1295" i="29" a="1"/>
  <c r="C1295" i="29" s="1"/>
  <c r="M1295" i="29"/>
  <c r="L1296" i="29" a="1"/>
  <c r="L1296" i="29" s="1"/>
  <c r="B1297" i="29" s="1"/>
  <c r="G1296" i="29"/>
  <c r="B1296" i="29"/>
  <c r="P1294" i="29"/>
  <c r="K1299" i="29"/>
  <c r="I1298" i="29"/>
  <c r="O1265" i="29" l="1" a="1"/>
  <c r="O1265" i="29" s="1"/>
  <c r="R1265" i="29" s="1"/>
  <c r="S1265" i="29" s="1"/>
  <c r="I1299" i="29"/>
  <c r="K1300" i="29"/>
  <c r="G1297" i="29"/>
  <c r="C1296" i="29" a="1"/>
  <c r="C1296" i="29" s="1"/>
  <c r="M1296" i="29"/>
  <c r="F1296" i="29"/>
  <c r="L1297" i="29" a="1"/>
  <c r="L1297" i="29" s="1"/>
  <c r="Q1298" i="29" a="1"/>
  <c r="Q1298" i="29" s="1"/>
  <c r="N1298" i="29" a="1"/>
  <c r="N1298" i="29" s="1"/>
  <c r="P1295" i="29"/>
  <c r="O1266" i="29" l="1" a="1"/>
  <c r="O1266" i="29" s="1"/>
  <c r="R1266" i="29" s="1"/>
  <c r="S1266" i="29" s="1"/>
  <c r="F1297" i="29"/>
  <c r="C1297" i="29" a="1"/>
  <c r="C1297" i="29" s="1"/>
  <c r="M1297" i="29"/>
  <c r="L1298" i="29" a="1"/>
  <c r="L1298" i="29" s="1"/>
  <c r="B1299" i="29" s="1"/>
  <c r="P1296" i="29"/>
  <c r="G1298" i="29"/>
  <c r="B1298" i="29"/>
  <c r="K1301" i="29"/>
  <c r="I1300" i="29"/>
  <c r="Q1299" i="29" a="1"/>
  <c r="Q1299" i="29" s="1"/>
  <c r="N1299" i="29" a="1"/>
  <c r="N1299" i="29" s="1"/>
  <c r="O1267" i="29" l="1" a="1"/>
  <c r="O1267" i="29" s="1"/>
  <c r="R1267" i="29" s="1"/>
  <c r="S1267" i="29" s="1"/>
  <c r="Q1300" i="29" a="1"/>
  <c r="Q1300" i="29" s="1"/>
  <c r="N1300" i="29" a="1"/>
  <c r="N1300" i="29" s="1"/>
  <c r="P1297" i="29"/>
  <c r="I1301" i="29"/>
  <c r="K1302" i="29"/>
  <c r="C1298" i="29" a="1"/>
  <c r="C1298" i="29" s="1"/>
  <c r="M1298" i="29"/>
  <c r="F1298" i="29"/>
  <c r="L1299" i="29" a="1"/>
  <c r="L1299" i="29" s="1"/>
  <c r="G1299" i="29"/>
  <c r="O1268" i="29" l="1" a="1"/>
  <c r="O1268" i="29" s="1"/>
  <c r="R1268" i="29" s="1"/>
  <c r="S1268" i="29" s="1"/>
  <c r="F1299" i="29"/>
  <c r="C1299" i="29" a="1"/>
  <c r="C1299" i="29" s="1"/>
  <c r="M1299" i="29"/>
  <c r="L1300" i="29" a="1"/>
  <c r="L1300" i="29" s="1"/>
  <c r="P1298" i="29"/>
  <c r="B1300" i="29"/>
  <c r="G1300" i="29"/>
  <c r="K1303" i="29"/>
  <c r="I1302" i="29"/>
  <c r="Q1301" i="29" a="1"/>
  <c r="Q1301" i="29" s="1"/>
  <c r="N1301" i="29" a="1"/>
  <c r="N1301" i="29" s="1"/>
  <c r="O1269" i="29" l="1" a="1"/>
  <c r="O1269" i="29" s="1"/>
  <c r="R1269" i="29" s="1"/>
  <c r="S1269" i="29" s="1"/>
  <c r="C1300" i="29" a="1"/>
  <c r="C1300" i="29" s="1"/>
  <c r="M1300" i="29"/>
  <c r="F1300" i="29"/>
  <c r="L1301" i="29" a="1"/>
  <c r="L1301" i="29" s="1"/>
  <c r="Q1302" i="29" a="1"/>
  <c r="Q1302" i="29" s="1"/>
  <c r="N1302" i="29" a="1"/>
  <c r="N1302" i="29" s="1"/>
  <c r="P1299" i="29"/>
  <c r="I1303" i="29"/>
  <c r="K1304" i="29"/>
  <c r="B1301" i="29"/>
  <c r="G1301" i="29"/>
  <c r="O1270" i="29" l="1" a="1"/>
  <c r="O1270" i="29" s="1"/>
  <c r="R1270" i="29" s="1"/>
  <c r="S1270" i="29" s="1"/>
  <c r="F1301" i="29"/>
  <c r="C1301" i="29" a="1"/>
  <c r="C1301" i="29" s="1"/>
  <c r="M1301" i="29"/>
  <c r="L1302" i="29" a="1"/>
  <c r="L1302" i="29" s="1"/>
  <c r="B1302" i="29"/>
  <c r="K1305" i="29"/>
  <c r="I1304" i="29"/>
  <c r="Q1303" i="29" a="1"/>
  <c r="Q1303" i="29" s="1"/>
  <c r="N1303" i="29" a="1"/>
  <c r="N1303" i="29" s="1"/>
  <c r="P1300" i="29"/>
  <c r="G1302" i="29"/>
  <c r="O1271" i="29" l="1" a="1"/>
  <c r="O1271" i="29" s="1"/>
  <c r="R1271" i="29" s="1"/>
  <c r="S1271" i="29" s="1"/>
  <c r="I1305" i="29"/>
  <c r="K1306" i="29"/>
  <c r="C1302" i="29" a="1"/>
  <c r="C1302" i="29" s="1"/>
  <c r="M1302" i="29"/>
  <c r="F1302" i="29"/>
  <c r="L1303" i="29" a="1"/>
  <c r="L1303" i="29" s="1"/>
  <c r="G1303" i="29"/>
  <c r="P1301" i="29"/>
  <c r="B1303" i="29"/>
  <c r="Q1304" i="29" a="1"/>
  <c r="Q1304" i="29" s="1"/>
  <c r="N1304" i="29" a="1"/>
  <c r="N1304" i="29" s="1"/>
  <c r="O1272" i="29" l="1" a="1"/>
  <c r="O1272" i="29" s="1"/>
  <c r="R1272" i="29" s="1"/>
  <c r="S1272" i="29" s="1"/>
  <c r="G1304" i="29"/>
  <c r="P1302" i="29"/>
  <c r="F1303" i="29"/>
  <c r="C1303" i="29" a="1"/>
  <c r="C1303" i="29" s="1"/>
  <c r="M1303" i="29"/>
  <c r="L1304" i="29" a="1"/>
  <c r="L1304" i="29" s="1"/>
  <c r="B1305" i="29" s="1"/>
  <c r="B1304" i="29"/>
  <c r="K1307" i="29"/>
  <c r="I1306" i="29"/>
  <c r="Q1305" i="29" a="1"/>
  <c r="Q1305" i="29" s="1"/>
  <c r="N1305" i="29" a="1"/>
  <c r="N1305" i="29" s="1"/>
  <c r="O1273" i="29" l="1" a="1"/>
  <c r="O1273" i="29" s="1"/>
  <c r="R1273" i="29" s="1"/>
  <c r="S1273" i="29" s="1"/>
  <c r="Q1306" i="29" a="1"/>
  <c r="Q1306" i="29" s="1"/>
  <c r="N1306" i="29" a="1"/>
  <c r="N1306" i="29" s="1"/>
  <c r="I1307" i="29"/>
  <c r="K1308" i="29"/>
  <c r="C1304" i="29" a="1"/>
  <c r="C1304" i="29" s="1"/>
  <c r="M1304" i="29"/>
  <c r="F1304" i="29"/>
  <c r="L1305" i="29" a="1"/>
  <c r="L1305" i="29" s="1"/>
  <c r="G1305" i="29"/>
  <c r="P1303" i="29"/>
  <c r="O1274" i="29" l="1" a="1"/>
  <c r="O1274" i="29" s="1"/>
  <c r="R1274" i="29" s="1"/>
  <c r="S1274" i="29" s="1"/>
  <c r="F1305" i="29"/>
  <c r="C1305" i="29" a="1"/>
  <c r="C1305" i="29" s="1"/>
  <c r="M1305" i="29"/>
  <c r="L1306" i="29" a="1"/>
  <c r="L1306" i="29" s="1"/>
  <c r="P1304" i="29"/>
  <c r="K1309" i="29"/>
  <c r="I1308" i="29"/>
  <c r="Q1307" i="29" a="1"/>
  <c r="Q1307" i="29" s="1"/>
  <c r="N1307" i="29" a="1"/>
  <c r="N1307" i="29" s="1"/>
  <c r="G1306" i="29"/>
  <c r="B1306" i="29"/>
  <c r="O1275" i="29" l="1" a="1"/>
  <c r="O1275" i="29" s="1"/>
  <c r="R1275" i="29" s="1"/>
  <c r="S1275" i="29" s="1"/>
  <c r="G1307" i="29"/>
  <c r="C1306" i="29" a="1"/>
  <c r="C1306" i="29" s="1"/>
  <c r="M1306" i="29"/>
  <c r="F1306" i="29"/>
  <c r="L1307" i="29" a="1"/>
  <c r="L1307" i="29" s="1"/>
  <c r="B1307" i="29"/>
  <c r="P1305" i="29"/>
  <c r="Q1308" i="29" a="1"/>
  <c r="Q1308" i="29" s="1"/>
  <c r="N1308" i="29" a="1"/>
  <c r="N1308" i="29" s="1"/>
  <c r="I1309" i="29"/>
  <c r="K1310" i="29"/>
  <c r="O1276" i="29" l="1" a="1"/>
  <c r="O1276" i="29" s="1"/>
  <c r="R1276" i="29" s="1"/>
  <c r="S1276" i="29" s="1"/>
  <c r="Q1309" i="29" a="1"/>
  <c r="Q1309" i="29" s="1"/>
  <c r="N1309" i="29" a="1"/>
  <c r="N1309" i="29" s="1"/>
  <c r="F1307" i="29"/>
  <c r="C1307" i="29" a="1"/>
  <c r="C1307" i="29" s="1"/>
  <c r="M1307" i="29"/>
  <c r="L1308" i="29" a="1"/>
  <c r="L1308" i="29" s="1"/>
  <c r="B1309" i="29" s="1"/>
  <c r="G1308" i="29"/>
  <c r="P1306" i="29"/>
  <c r="B1308" i="29"/>
  <c r="K1311" i="29"/>
  <c r="I1310" i="29"/>
  <c r="O1277" i="29" l="1" a="1"/>
  <c r="O1277" i="29" s="1"/>
  <c r="R1277" i="29" s="1"/>
  <c r="S1277" i="29" s="1"/>
  <c r="I1311" i="29"/>
  <c r="K1312" i="29"/>
  <c r="G1309" i="29"/>
  <c r="C1308" i="29" a="1"/>
  <c r="C1308" i="29" s="1"/>
  <c r="M1308" i="29"/>
  <c r="F1308" i="29"/>
  <c r="L1309" i="29" a="1"/>
  <c r="L1309" i="29" s="1"/>
  <c r="B1310" i="29" s="1"/>
  <c r="Q1310" i="29" a="1"/>
  <c r="Q1310" i="29" s="1"/>
  <c r="N1310" i="29" a="1"/>
  <c r="N1310" i="29" s="1"/>
  <c r="P1307" i="29"/>
  <c r="O1278" i="29" l="1" a="1"/>
  <c r="O1278" i="29" s="1"/>
  <c r="R1278" i="29" s="1"/>
  <c r="S1278" i="29" s="1"/>
  <c r="P1308" i="29"/>
  <c r="G1310" i="29"/>
  <c r="K1313" i="29"/>
  <c r="I1312" i="29"/>
  <c r="Q1311" i="29" a="1"/>
  <c r="Q1311" i="29" s="1"/>
  <c r="N1311" i="29" a="1"/>
  <c r="N1311" i="29" s="1"/>
  <c r="F1309" i="29"/>
  <c r="C1309" i="29" a="1"/>
  <c r="C1309" i="29" s="1"/>
  <c r="M1309" i="29"/>
  <c r="L1310" i="29" a="1"/>
  <c r="L1310" i="29" s="1"/>
  <c r="O1279" i="29" l="1" a="1"/>
  <c r="O1279" i="29" s="1"/>
  <c r="R1279" i="29" s="1"/>
  <c r="S1279" i="29" s="1"/>
  <c r="C1310" i="29" a="1"/>
  <c r="C1310" i="29" s="1"/>
  <c r="M1310" i="29"/>
  <c r="F1310" i="29"/>
  <c r="L1311" i="29" a="1"/>
  <c r="L1311" i="29" s="1"/>
  <c r="B1312" i="29" s="1"/>
  <c r="Q1312" i="29" a="1"/>
  <c r="Q1312" i="29" s="1"/>
  <c r="N1312" i="29" a="1"/>
  <c r="N1312" i="29" s="1"/>
  <c r="P1309" i="29"/>
  <c r="I1313" i="29"/>
  <c r="K1314" i="29"/>
  <c r="G1311" i="29"/>
  <c r="B1311" i="29"/>
  <c r="O1280" i="29" l="1" a="1"/>
  <c r="O1280" i="29" s="1"/>
  <c r="R1280" i="29" s="1"/>
  <c r="S1280" i="29" s="1"/>
  <c r="K1315" i="29"/>
  <c r="I1314" i="29"/>
  <c r="Q1313" i="29" a="1"/>
  <c r="Q1313" i="29" s="1"/>
  <c r="N1313" i="29" a="1"/>
  <c r="N1313" i="29" s="1"/>
  <c r="P1310" i="29"/>
  <c r="F1311" i="29"/>
  <c r="C1311" i="29" a="1"/>
  <c r="C1311" i="29" s="1"/>
  <c r="M1311" i="29"/>
  <c r="L1312" i="29" a="1"/>
  <c r="L1312" i="29" s="1"/>
  <c r="B1313" i="29" s="1"/>
  <c r="G1312" i="29"/>
  <c r="O1281" i="29" l="1" a="1"/>
  <c r="O1281" i="29" s="1"/>
  <c r="R1281" i="29" s="1"/>
  <c r="S1281" i="29" s="1"/>
  <c r="G1313" i="29"/>
  <c r="C1312" i="29" a="1"/>
  <c r="C1312" i="29" s="1"/>
  <c r="M1312" i="29"/>
  <c r="F1312" i="29"/>
  <c r="L1313" i="29" a="1"/>
  <c r="L1313" i="29" s="1"/>
  <c r="P1311" i="29"/>
  <c r="Q1314" i="29" a="1"/>
  <c r="Q1314" i="29" s="1"/>
  <c r="N1314" i="29" a="1"/>
  <c r="N1314" i="29" s="1"/>
  <c r="I1315" i="29"/>
  <c r="K1316" i="29"/>
  <c r="O1282" i="29" l="1" a="1"/>
  <c r="O1282" i="29" s="1"/>
  <c r="R1282" i="29" s="1"/>
  <c r="S1282" i="29" s="1"/>
  <c r="K1317" i="29"/>
  <c r="I1316" i="29"/>
  <c r="G1314" i="29"/>
  <c r="F1313" i="29"/>
  <c r="C1313" i="29" a="1"/>
  <c r="C1313" i="29" s="1"/>
  <c r="M1313" i="29"/>
  <c r="L1314" i="29" a="1"/>
  <c r="L1314" i="29" s="1"/>
  <c r="B1315" i="29" s="1"/>
  <c r="Q1315" i="29" a="1"/>
  <c r="Q1315" i="29" s="1"/>
  <c r="N1315" i="29" a="1"/>
  <c r="N1315" i="29" s="1"/>
  <c r="P1312" i="29"/>
  <c r="B1314" i="29"/>
  <c r="O1283" i="29" l="1" a="1"/>
  <c r="O1283" i="29" s="1"/>
  <c r="R1283" i="29" s="1"/>
  <c r="S1283" i="29" s="1"/>
  <c r="Q1316" i="29" a="1"/>
  <c r="Q1316" i="29" s="1"/>
  <c r="N1316" i="29" a="1"/>
  <c r="N1316" i="29" s="1"/>
  <c r="I1317" i="29"/>
  <c r="K1318" i="29"/>
  <c r="G1315" i="29"/>
  <c r="C1314" i="29" a="1"/>
  <c r="C1314" i="29" s="1"/>
  <c r="M1314" i="29"/>
  <c r="F1314" i="29"/>
  <c r="L1315" i="29" a="1"/>
  <c r="L1315" i="29" s="1"/>
  <c r="P1313" i="29"/>
  <c r="O1284" i="29" l="1" a="1"/>
  <c r="O1284" i="29" s="1"/>
  <c r="R1284" i="29" s="1"/>
  <c r="S1284" i="29" s="1"/>
  <c r="K1319" i="29"/>
  <c r="I1318" i="29"/>
  <c r="Q1317" i="29" a="1"/>
  <c r="Q1317" i="29" s="1"/>
  <c r="N1317" i="29" a="1"/>
  <c r="N1317" i="29" s="1"/>
  <c r="F1315" i="29"/>
  <c r="C1315" i="29" a="1"/>
  <c r="C1315" i="29" s="1"/>
  <c r="M1315" i="29"/>
  <c r="L1316" i="29" a="1"/>
  <c r="L1316" i="29" s="1"/>
  <c r="B1317" i="29" s="1"/>
  <c r="G1316" i="29"/>
  <c r="P1314" i="29"/>
  <c r="B1316" i="29"/>
  <c r="O1285" i="29" l="1" a="1"/>
  <c r="O1285" i="29" s="1"/>
  <c r="R1285" i="29" s="1"/>
  <c r="S1285" i="29" s="1"/>
  <c r="G1317" i="29"/>
  <c r="P1315" i="29"/>
  <c r="I1319" i="29"/>
  <c r="K1320" i="29"/>
  <c r="C1316" i="29" a="1"/>
  <c r="C1316" i="29" s="1"/>
  <c r="M1316" i="29"/>
  <c r="F1316" i="29"/>
  <c r="L1317" i="29" a="1"/>
  <c r="L1317" i="29" s="1"/>
  <c r="B1318" i="29" s="1"/>
  <c r="Q1318" i="29" a="1"/>
  <c r="Q1318" i="29" s="1"/>
  <c r="N1318" i="29" a="1"/>
  <c r="N1318" i="29" s="1"/>
  <c r="O1286" i="29" l="1" a="1"/>
  <c r="O1286" i="29" s="1"/>
  <c r="R1286" i="29" s="1"/>
  <c r="S1286" i="29" s="1"/>
  <c r="K1321" i="29"/>
  <c r="I1320" i="29"/>
  <c r="Q1319" i="29" a="1"/>
  <c r="Q1319" i="29" s="1"/>
  <c r="N1319" i="29" a="1"/>
  <c r="N1319" i="29" s="1"/>
  <c r="P1316" i="29"/>
  <c r="G1318" i="29"/>
  <c r="F1317" i="29"/>
  <c r="C1317" i="29" a="1"/>
  <c r="C1317" i="29" s="1"/>
  <c r="M1317" i="29"/>
  <c r="L1318" i="29" a="1"/>
  <c r="L1318" i="29" s="1"/>
  <c r="O1287" i="29" l="1" a="1"/>
  <c r="O1287" i="29" s="1"/>
  <c r="R1287" i="29" s="1"/>
  <c r="S1287" i="29" s="1"/>
  <c r="C1318" i="29" a="1"/>
  <c r="C1318" i="29" s="1"/>
  <c r="M1318" i="29"/>
  <c r="F1318" i="29"/>
  <c r="L1319" i="29" a="1"/>
  <c r="L1319" i="29" s="1"/>
  <c r="B1320" i="29" s="1"/>
  <c r="G1319" i="29"/>
  <c r="P1317" i="29"/>
  <c r="B1319" i="29"/>
  <c r="Q1320" i="29" a="1"/>
  <c r="Q1320" i="29" s="1"/>
  <c r="N1320" i="29" a="1"/>
  <c r="N1320" i="29" s="1"/>
  <c r="I1321" i="29"/>
  <c r="K1322" i="29"/>
  <c r="O1288" i="29" l="1" a="1"/>
  <c r="O1288" i="29" s="1"/>
  <c r="R1288" i="29" s="1"/>
  <c r="S1288" i="29" s="1"/>
  <c r="Q1321" i="29" a="1"/>
  <c r="Q1321" i="29" s="1"/>
  <c r="N1321" i="29" a="1"/>
  <c r="N1321" i="29" s="1"/>
  <c r="G1320" i="29"/>
  <c r="F1319" i="29"/>
  <c r="C1319" i="29" a="1"/>
  <c r="C1319" i="29" s="1"/>
  <c r="M1319" i="29"/>
  <c r="L1320" i="29" a="1"/>
  <c r="L1320" i="29" s="1"/>
  <c r="P1318" i="29"/>
  <c r="K1323" i="29"/>
  <c r="I1322" i="29"/>
  <c r="I1323" i="29" l="1"/>
  <c r="K1324" i="29"/>
  <c r="P1319" i="29"/>
  <c r="C1320" i="29" a="1"/>
  <c r="C1320" i="29" s="1"/>
  <c r="M1320" i="29"/>
  <c r="F1320" i="29"/>
  <c r="L1321" i="29" a="1"/>
  <c r="L1321" i="29" s="1"/>
  <c r="Q1322" i="29" a="1"/>
  <c r="Q1322" i="29" s="1"/>
  <c r="N1322" i="29" a="1"/>
  <c r="N1322" i="29" s="1"/>
  <c r="G1321" i="29"/>
  <c r="B1321" i="29"/>
  <c r="O1289" i="29" a="1"/>
  <c r="O1289" i="29" s="1"/>
  <c r="R1289" i="29" s="1"/>
  <c r="S1289" i="29" s="1"/>
  <c r="O1290" i="29" l="1" a="1"/>
  <c r="O1290" i="29" s="1"/>
  <c r="R1290" i="29" s="1"/>
  <c r="S1290" i="29" s="1"/>
  <c r="P1320" i="29"/>
  <c r="F1321" i="29"/>
  <c r="C1321" i="29" a="1"/>
  <c r="C1321" i="29" s="1"/>
  <c r="M1321" i="29"/>
  <c r="L1322" i="29" a="1"/>
  <c r="L1322" i="29" s="1"/>
  <c r="B1323" i="29" s="1"/>
  <c r="G1322" i="29"/>
  <c r="B1322" i="29"/>
  <c r="K1325" i="29"/>
  <c r="I1324" i="29"/>
  <c r="Q1323" i="29" a="1"/>
  <c r="Q1323" i="29" s="1"/>
  <c r="N1323" i="29" a="1"/>
  <c r="N1323" i="29" s="1"/>
  <c r="O1291" i="29" l="1" a="1"/>
  <c r="O1291" i="29" s="1"/>
  <c r="R1291" i="29" s="1"/>
  <c r="S1291" i="29" s="1"/>
  <c r="C1322" i="29" a="1"/>
  <c r="C1322" i="29" s="1"/>
  <c r="M1322" i="29"/>
  <c r="F1322" i="29"/>
  <c r="L1323" i="29" a="1"/>
  <c r="L1323" i="29" s="1"/>
  <c r="P1321" i="29"/>
  <c r="Q1324" i="29" a="1"/>
  <c r="Q1324" i="29" s="1"/>
  <c r="N1324" i="29" a="1"/>
  <c r="N1324" i="29" s="1"/>
  <c r="I1325" i="29"/>
  <c r="K1326" i="29"/>
  <c r="G1323" i="29"/>
  <c r="O1292" i="29" l="1" a="1"/>
  <c r="O1292" i="29" s="1"/>
  <c r="R1292" i="29" s="1"/>
  <c r="S1292" i="29" s="1"/>
  <c r="K1327" i="29"/>
  <c r="I1326" i="29"/>
  <c r="G1324" i="29"/>
  <c r="F1323" i="29"/>
  <c r="C1323" i="29" a="1"/>
  <c r="C1323" i="29" s="1"/>
  <c r="M1323" i="29"/>
  <c r="L1324" i="29" a="1"/>
  <c r="L1324" i="29" s="1"/>
  <c r="B1325" i="29" s="1"/>
  <c r="Q1325" i="29" a="1"/>
  <c r="Q1325" i="29" s="1"/>
  <c r="N1325" i="29" a="1"/>
  <c r="N1325" i="29" s="1"/>
  <c r="P1322" i="29"/>
  <c r="B1324" i="29"/>
  <c r="O1293" i="29" l="1" a="1"/>
  <c r="O1293" i="29" s="1"/>
  <c r="R1293" i="29" s="1"/>
  <c r="S1293" i="29" s="1"/>
  <c r="Q1326" i="29" a="1"/>
  <c r="Q1326" i="29" s="1"/>
  <c r="N1326" i="29" a="1"/>
  <c r="N1326" i="29" s="1"/>
  <c r="I1327" i="29"/>
  <c r="K1328" i="29"/>
  <c r="G1325" i="29"/>
  <c r="C1324" i="29" a="1"/>
  <c r="C1324" i="29" s="1"/>
  <c r="M1324" i="29"/>
  <c r="F1324" i="29"/>
  <c r="L1325" i="29" a="1"/>
  <c r="L1325" i="29" s="1"/>
  <c r="B1326" i="29" s="1"/>
  <c r="P1323" i="29"/>
  <c r="O1294" i="29" l="1" a="1"/>
  <c r="O1294" i="29" s="1"/>
  <c r="R1294" i="29" s="1"/>
  <c r="S1294" i="29" s="1"/>
  <c r="Q1327" i="29" a="1"/>
  <c r="Q1327" i="29" s="1"/>
  <c r="N1327" i="29" a="1"/>
  <c r="N1327" i="29" s="1"/>
  <c r="K1329" i="29"/>
  <c r="I1328" i="29"/>
  <c r="G1326" i="29"/>
  <c r="P1324" i="29"/>
  <c r="F1325" i="29"/>
  <c r="C1325" i="29" a="1"/>
  <c r="C1325" i="29" s="1"/>
  <c r="M1325" i="29"/>
  <c r="L1326" i="29" a="1"/>
  <c r="L1326" i="29" s="1"/>
  <c r="O1295" i="29" l="1" a="1"/>
  <c r="O1295" i="29" s="1"/>
  <c r="R1295" i="29" s="1"/>
  <c r="S1295" i="29" s="1"/>
  <c r="Q1328" i="29" a="1"/>
  <c r="Q1328" i="29" s="1"/>
  <c r="N1328" i="29" a="1"/>
  <c r="N1328" i="29" s="1"/>
  <c r="C1326" i="29" a="1"/>
  <c r="C1326" i="29" s="1"/>
  <c r="M1326" i="29"/>
  <c r="F1326" i="29"/>
  <c r="L1327" i="29" a="1"/>
  <c r="L1327" i="29" s="1"/>
  <c r="P1325" i="29"/>
  <c r="I1329" i="29"/>
  <c r="K1330" i="29"/>
  <c r="G1327" i="29"/>
  <c r="B1327" i="29"/>
  <c r="O1296" i="29" l="1" a="1"/>
  <c r="O1296" i="29" s="1"/>
  <c r="R1296" i="29" s="1"/>
  <c r="S1296" i="29" s="1"/>
  <c r="P1326" i="29"/>
  <c r="K1331" i="29"/>
  <c r="I1330" i="29"/>
  <c r="F1327" i="29"/>
  <c r="C1327" i="29" a="1"/>
  <c r="C1327" i="29" s="1"/>
  <c r="M1327" i="29"/>
  <c r="L1328" i="29" a="1"/>
  <c r="L1328" i="29" s="1"/>
  <c r="B1329" i="29" s="1"/>
  <c r="Q1329" i="29" a="1"/>
  <c r="Q1329" i="29" s="1"/>
  <c r="N1329" i="29" a="1"/>
  <c r="N1329" i="29" s="1"/>
  <c r="G1328" i="29"/>
  <c r="B1328" i="29"/>
  <c r="O1297" i="29" l="1" a="1"/>
  <c r="O1297" i="29" s="1"/>
  <c r="R1297" i="29" s="1"/>
  <c r="S1297" i="29" s="1"/>
  <c r="I1331" i="29"/>
  <c r="K1332" i="29"/>
  <c r="G1329" i="29"/>
  <c r="Q1330" i="29" a="1"/>
  <c r="Q1330" i="29" s="1"/>
  <c r="N1330" i="29" a="1"/>
  <c r="N1330" i="29" s="1"/>
  <c r="C1328" i="29" a="1"/>
  <c r="C1328" i="29" s="1"/>
  <c r="M1328" i="29"/>
  <c r="F1328" i="29"/>
  <c r="L1329" i="29" a="1"/>
  <c r="L1329" i="29" s="1"/>
  <c r="P1327" i="29"/>
  <c r="O1298" i="29" l="1" a="1"/>
  <c r="O1298" i="29" s="1"/>
  <c r="R1298" i="29" s="1"/>
  <c r="S1298" i="29" s="1"/>
  <c r="F1329" i="29"/>
  <c r="C1329" i="29" a="1"/>
  <c r="C1329" i="29" s="1"/>
  <c r="M1329" i="29"/>
  <c r="L1330" i="29" a="1"/>
  <c r="L1330" i="29" s="1"/>
  <c r="B1331" i="29" s="1"/>
  <c r="P1328" i="29"/>
  <c r="K1333" i="29"/>
  <c r="I1332" i="29"/>
  <c r="B1330" i="29"/>
  <c r="Q1331" i="29" a="1"/>
  <c r="Q1331" i="29" s="1"/>
  <c r="N1331" i="29" a="1"/>
  <c r="N1331" i="29" s="1"/>
  <c r="G1330" i="29"/>
  <c r="O1299" i="29" l="1" a="1"/>
  <c r="O1299" i="29" s="1"/>
  <c r="R1299" i="29" s="1"/>
  <c r="S1299" i="29" s="1"/>
  <c r="G1331" i="29"/>
  <c r="C1330" i="29" a="1"/>
  <c r="C1330" i="29" s="1"/>
  <c r="M1330" i="29"/>
  <c r="F1330" i="29"/>
  <c r="L1331" i="29" a="1"/>
  <c r="L1331" i="29" s="1"/>
  <c r="P1329" i="29"/>
  <c r="Q1332" i="29" a="1"/>
  <c r="Q1332" i="29" s="1"/>
  <c r="N1332" i="29" a="1"/>
  <c r="N1332" i="29" s="1"/>
  <c r="I1333" i="29"/>
  <c r="K1334" i="29"/>
  <c r="O1300" i="29" l="1" a="1"/>
  <c r="O1300" i="29" s="1"/>
  <c r="R1300" i="29" s="1"/>
  <c r="S1300" i="29" s="1"/>
  <c r="F1331" i="29"/>
  <c r="C1331" i="29" a="1"/>
  <c r="C1331" i="29" s="1"/>
  <c r="M1331" i="29"/>
  <c r="L1332" i="29" a="1"/>
  <c r="L1332" i="29" s="1"/>
  <c r="B1333" i="29" s="1"/>
  <c r="G1332" i="29"/>
  <c r="K1335" i="29"/>
  <c r="I1334" i="29"/>
  <c r="Q1333" i="29" a="1"/>
  <c r="Q1333" i="29" s="1"/>
  <c r="N1333" i="29" a="1"/>
  <c r="N1333" i="29" s="1"/>
  <c r="P1330" i="29"/>
  <c r="B1332" i="29"/>
  <c r="O1301" i="29" l="1" a="1"/>
  <c r="O1301" i="29" s="1"/>
  <c r="R1301" i="29" s="1"/>
  <c r="S1301" i="29" s="1"/>
  <c r="G1333" i="29"/>
  <c r="C1332" i="29" a="1"/>
  <c r="C1332" i="29" s="1"/>
  <c r="M1332" i="29"/>
  <c r="F1332" i="29"/>
  <c r="L1333" i="29" a="1"/>
  <c r="L1333" i="29" s="1"/>
  <c r="P1331" i="29"/>
  <c r="Q1334" i="29" a="1"/>
  <c r="Q1334" i="29" s="1"/>
  <c r="N1334" i="29" a="1"/>
  <c r="N1334" i="29" s="1"/>
  <c r="I1335" i="29"/>
  <c r="K1336" i="29"/>
  <c r="O1302" i="29" l="1" a="1"/>
  <c r="O1302" i="29" s="1"/>
  <c r="R1302" i="29" s="1"/>
  <c r="S1302" i="29" s="1"/>
  <c r="K1337" i="29"/>
  <c r="I1336" i="29"/>
  <c r="G1334" i="29"/>
  <c r="F1333" i="29"/>
  <c r="C1333" i="29" a="1"/>
  <c r="C1333" i="29" s="1"/>
  <c r="M1333" i="29"/>
  <c r="L1334" i="29" a="1"/>
  <c r="L1334" i="29" s="1"/>
  <c r="Q1335" i="29" a="1"/>
  <c r="Q1335" i="29" s="1"/>
  <c r="N1335" i="29" a="1"/>
  <c r="N1335" i="29" s="1"/>
  <c r="P1332" i="29"/>
  <c r="B1334" i="29"/>
  <c r="O1303" i="29" l="1" a="1"/>
  <c r="O1303" i="29" s="1"/>
  <c r="R1303" i="29" s="1"/>
  <c r="S1303" i="29" s="1"/>
  <c r="C1334" i="29" a="1"/>
  <c r="C1334" i="29" s="1"/>
  <c r="M1334" i="29"/>
  <c r="F1334" i="29"/>
  <c r="L1335" i="29" a="1"/>
  <c r="L1335" i="29" s="1"/>
  <c r="B1336" i="29" s="1"/>
  <c r="G1335" i="29"/>
  <c r="B1335" i="29"/>
  <c r="Q1336" i="29" a="1"/>
  <c r="Q1336" i="29" s="1"/>
  <c r="N1336" i="29" a="1"/>
  <c r="N1336" i="29" s="1"/>
  <c r="I1337" i="29"/>
  <c r="K1338" i="29"/>
  <c r="P1333" i="29"/>
  <c r="O1304" i="29" l="1" a="1"/>
  <c r="O1304" i="29" s="1"/>
  <c r="R1304" i="29" s="1"/>
  <c r="S1304" i="29" s="1"/>
  <c r="K1339" i="29"/>
  <c r="I1338" i="29"/>
  <c r="Q1337" i="29" a="1"/>
  <c r="Q1337" i="29" s="1"/>
  <c r="N1337" i="29" a="1"/>
  <c r="N1337" i="29" s="1"/>
  <c r="G1336" i="29"/>
  <c r="P1334" i="29"/>
  <c r="F1335" i="29"/>
  <c r="C1335" i="29" a="1"/>
  <c r="C1335" i="29" s="1"/>
  <c r="M1335" i="29"/>
  <c r="L1336" i="29" a="1"/>
  <c r="L1336" i="29" s="1"/>
  <c r="O1305" i="29" l="1" a="1"/>
  <c r="O1305" i="29" s="1"/>
  <c r="R1305" i="29" s="1"/>
  <c r="S1305" i="29" s="1"/>
  <c r="C1336" i="29" a="1"/>
  <c r="C1336" i="29" s="1"/>
  <c r="M1336" i="29"/>
  <c r="F1336" i="29"/>
  <c r="L1337" i="29" a="1"/>
  <c r="L1337" i="29" s="1"/>
  <c r="P1335" i="29"/>
  <c r="B1337" i="29"/>
  <c r="G1337" i="29"/>
  <c r="Q1338" i="29" a="1"/>
  <c r="Q1338" i="29" s="1"/>
  <c r="N1338" i="29" a="1"/>
  <c r="N1338" i="29" s="1"/>
  <c r="I1339" i="29"/>
  <c r="K1340" i="29"/>
  <c r="O1306" i="29" l="1" a="1"/>
  <c r="O1306" i="29" s="1"/>
  <c r="R1306" i="29" s="1"/>
  <c r="S1306" i="29" s="1"/>
  <c r="F1337" i="29"/>
  <c r="C1337" i="29" a="1"/>
  <c r="C1337" i="29" s="1"/>
  <c r="M1337" i="29"/>
  <c r="L1338" i="29" a="1"/>
  <c r="L1338" i="29" s="1"/>
  <c r="B1339" i="29" s="1"/>
  <c r="B1338" i="29"/>
  <c r="P1336" i="29"/>
  <c r="Q1339" i="29" a="1"/>
  <c r="Q1339" i="29" s="1"/>
  <c r="N1339" i="29" a="1"/>
  <c r="N1339" i="29" s="1"/>
  <c r="G1338" i="29"/>
  <c r="K1341" i="29"/>
  <c r="I1340" i="29"/>
  <c r="O1307" i="29" l="1" a="1"/>
  <c r="O1307" i="29" s="1"/>
  <c r="R1307" i="29" s="1"/>
  <c r="S1307" i="29" s="1"/>
  <c r="I1341" i="29"/>
  <c r="K1342" i="29"/>
  <c r="G1339" i="29"/>
  <c r="P1337" i="29"/>
  <c r="C1338" i="29" a="1"/>
  <c r="C1338" i="29" s="1"/>
  <c r="M1338" i="29"/>
  <c r="F1338" i="29"/>
  <c r="L1339" i="29" a="1"/>
  <c r="L1339" i="29" s="1"/>
  <c r="B1340" i="29" s="1"/>
  <c r="Q1340" i="29" a="1"/>
  <c r="Q1340" i="29" s="1"/>
  <c r="N1340" i="29" a="1"/>
  <c r="N1340" i="29" s="1"/>
  <c r="O1308" i="29" l="1" a="1"/>
  <c r="O1308" i="29" s="1"/>
  <c r="R1308" i="29" s="1"/>
  <c r="S1308" i="29" s="1"/>
  <c r="G1340" i="29"/>
  <c r="P1338" i="29"/>
  <c r="F1339" i="29"/>
  <c r="C1339" i="29" a="1"/>
  <c r="C1339" i="29" s="1"/>
  <c r="M1339" i="29"/>
  <c r="L1340" i="29" a="1"/>
  <c r="L1340" i="29" s="1"/>
  <c r="K1343" i="29"/>
  <c r="I1342" i="29"/>
  <c r="Q1341" i="29" a="1"/>
  <c r="Q1341" i="29" s="1"/>
  <c r="N1341" i="29" a="1"/>
  <c r="N1341" i="29" s="1"/>
  <c r="O1309" i="29" l="1" a="1"/>
  <c r="O1309" i="29" s="1"/>
  <c r="R1309" i="29" s="1"/>
  <c r="S1309" i="29" s="1"/>
  <c r="G1341" i="29"/>
  <c r="C1340" i="29" a="1"/>
  <c r="C1340" i="29" s="1"/>
  <c r="M1340" i="29"/>
  <c r="F1340" i="29"/>
  <c r="L1341" i="29" a="1"/>
  <c r="L1341" i="29" s="1"/>
  <c r="B1341" i="29"/>
  <c r="Q1342" i="29" a="1"/>
  <c r="Q1342" i="29" s="1"/>
  <c r="N1342" i="29" a="1"/>
  <c r="N1342" i="29" s="1"/>
  <c r="I1343" i="29"/>
  <c r="K1344" i="29"/>
  <c r="P1339" i="29"/>
  <c r="O1310" i="29" l="1" a="1"/>
  <c r="O1310" i="29" s="1"/>
  <c r="R1310" i="29" s="1"/>
  <c r="S1310" i="29" s="1"/>
  <c r="F1341" i="29"/>
  <c r="C1341" i="29" a="1"/>
  <c r="C1341" i="29" s="1"/>
  <c r="M1341" i="29"/>
  <c r="L1342" i="29" a="1"/>
  <c r="L1342" i="29" s="1"/>
  <c r="K1345" i="29"/>
  <c r="I1344" i="29"/>
  <c r="Q1343" i="29" a="1"/>
  <c r="Q1343" i="29" s="1"/>
  <c r="N1343" i="29" a="1"/>
  <c r="N1343" i="29" s="1"/>
  <c r="P1340" i="29"/>
  <c r="G1342" i="29"/>
  <c r="B1342" i="29"/>
  <c r="O1311" i="29" l="1" a="1"/>
  <c r="O1311" i="29" s="1"/>
  <c r="R1311" i="29" s="1"/>
  <c r="S1311" i="29" s="1"/>
  <c r="Q1344" i="29" a="1"/>
  <c r="Q1344" i="29" s="1"/>
  <c r="N1344" i="29" a="1"/>
  <c r="N1344" i="29" s="1"/>
  <c r="I1345" i="29"/>
  <c r="K1346" i="29"/>
  <c r="P1341" i="29"/>
  <c r="G1343" i="29"/>
  <c r="C1342" i="29" a="1"/>
  <c r="C1342" i="29" s="1"/>
  <c r="M1342" i="29"/>
  <c r="F1342" i="29"/>
  <c r="L1343" i="29" a="1"/>
  <c r="L1343" i="29" s="1"/>
  <c r="B1344" i="29" s="1"/>
  <c r="B1343" i="29"/>
  <c r="O1312" i="29" l="1" a="1"/>
  <c r="O1312" i="29" s="1"/>
  <c r="R1312" i="29" s="1"/>
  <c r="S1312" i="29" s="1"/>
  <c r="F1343" i="29"/>
  <c r="C1343" i="29" a="1"/>
  <c r="C1343" i="29" s="1"/>
  <c r="M1343" i="29"/>
  <c r="L1344" i="29" a="1"/>
  <c r="L1344" i="29" s="1"/>
  <c r="K1347" i="29"/>
  <c r="I1346" i="29"/>
  <c r="Q1345" i="29" a="1"/>
  <c r="Q1345" i="29" s="1"/>
  <c r="N1345" i="29" a="1"/>
  <c r="N1345" i="29" s="1"/>
  <c r="P1342" i="29"/>
  <c r="G1344" i="29"/>
  <c r="O1313" i="29" l="1" a="1"/>
  <c r="O1313" i="29" s="1"/>
  <c r="R1313" i="29" s="1"/>
  <c r="S1313" i="29" s="1"/>
  <c r="Q1346" i="29" a="1"/>
  <c r="Q1346" i="29" s="1"/>
  <c r="N1346" i="29" a="1"/>
  <c r="N1346" i="29" s="1"/>
  <c r="I1347" i="29"/>
  <c r="K1348" i="29"/>
  <c r="P1343" i="29"/>
  <c r="G1345" i="29"/>
  <c r="C1344" i="29" a="1"/>
  <c r="C1344" i="29" s="1"/>
  <c r="M1344" i="29"/>
  <c r="F1344" i="29"/>
  <c r="L1345" i="29" a="1"/>
  <c r="L1345" i="29" s="1"/>
  <c r="B1345" i="29"/>
  <c r="O1314" i="29" l="1" a="1"/>
  <c r="O1314" i="29" s="1"/>
  <c r="R1314" i="29" s="1"/>
  <c r="S1314" i="29" s="1"/>
  <c r="F1345" i="29"/>
  <c r="C1345" i="29" a="1"/>
  <c r="C1345" i="29" s="1"/>
  <c r="M1345" i="29"/>
  <c r="L1346" i="29" a="1"/>
  <c r="L1346" i="29" s="1"/>
  <c r="K1349" i="29"/>
  <c r="I1348" i="29"/>
  <c r="N1347" i="29" a="1"/>
  <c r="N1347" i="29" s="1"/>
  <c r="Q1347" i="29" a="1"/>
  <c r="Q1347" i="29" s="1"/>
  <c r="P1344" i="29"/>
  <c r="G1346" i="29"/>
  <c r="B1346" i="29"/>
  <c r="O1315" i="29" l="1" a="1"/>
  <c r="O1315" i="29" s="1"/>
  <c r="R1315" i="29" s="1"/>
  <c r="S1315" i="29" s="1"/>
  <c r="Q1348" i="29" a="1"/>
  <c r="Q1348" i="29" s="1"/>
  <c r="N1348" i="29" a="1"/>
  <c r="N1348" i="29" s="1"/>
  <c r="I1349" i="29"/>
  <c r="K1350" i="29"/>
  <c r="G1347" i="29"/>
  <c r="C1346" i="29" a="1"/>
  <c r="C1346" i="29" s="1"/>
  <c r="M1346" i="29"/>
  <c r="F1346" i="29"/>
  <c r="L1347" i="29" a="1"/>
  <c r="L1347" i="29" s="1"/>
  <c r="P1345" i="29"/>
  <c r="B1347" i="29"/>
  <c r="O1316" i="29" l="1" a="1"/>
  <c r="O1316" i="29" s="1"/>
  <c r="R1316" i="29" s="1"/>
  <c r="S1316" i="29" s="1"/>
  <c r="K1351" i="29"/>
  <c r="I1350" i="29"/>
  <c r="N1349" i="29" a="1"/>
  <c r="N1349" i="29" s="1"/>
  <c r="Q1349" i="29" a="1"/>
  <c r="Q1349" i="29" s="1"/>
  <c r="F1347" i="29"/>
  <c r="C1347" i="29" a="1"/>
  <c r="C1347" i="29" s="1"/>
  <c r="M1347" i="29"/>
  <c r="L1348" i="29" a="1"/>
  <c r="L1348" i="29" s="1"/>
  <c r="G1348" i="29"/>
  <c r="P1346" i="29"/>
  <c r="B1348" i="29"/>
  <c r="O1317" i="29" l="1" a="1"/>
  <c r="O1317" i="29" s="1"/>
  <c r="R1317" i="29" s="1"/>
  <c r="S1317" i="29" s="1"/>
  <c r="C1348" i="29" a="1"/>
  <c r="C1348" i="29" s="1"/>
  <c r="M1348" i="29"/>
  <c r="F1348" i="29"/>
  <c r="L1349" i="29" a="1"/>
  <c r="L1349" i="29" s="1"/>
  <c r="B1350" i="29" s="1"/>
  <c r="P1347" i="29"/>
  <c r="I1351" i="29"/>
  <c r="K1352" i="29"/>
  <c r="G1349" i="29"/>
  <c r="B1349" i="29"/>
  <c r="Q1350" i="29" a="1"/>
  <c r="Q1350" i="29" s="1"/>
  <c r="N1350" i="29" a="1"/>
  <c r="N1350" i="29" s="1"/>
  <c r="O1318" i="29" l="1" a="1"/>
  <c r="O1318" i="29" s="1"/>
  <c r="R1318" i="29" s="1"/>
  <c r="S1318" i="29" s="1"/>
  <c r="G1350" i="29"/>
  <c r="P1348" i="29"/>
  <c r="F1349" i="29"/>
  <c r="M1349" i="29"/>
  <c r="C1349" i="29" a="1"/>
  <c r="C1349" i="29" s="1"/>
  <c r="L1350" i="29" a="1"/>
  <c r="L1350" i="29" s="1"/>
  <c r="K1353" i="29"/>
  <c r="I1352" i="29"/>
  <c r="N1351" i="29" a="1"/>
  <c r="N1351" i="29" s="1"/>
  <c r="Q1351" i="29" a="1"/>
  <c r="Q1351" i="29" s="1"/>
  <c r="O1319" i="29" l="1" a="1"/>
  <c r="O1319" i="29" s="1"/>
  <c r="R1319" i="29" s="1"/>
  <c r="S1319" i="29" s="1"/>
  <c r="C1350" i="29" a="1"/>
  <c r="C1350" i="29" s="1"/>
  <c r="M1350" i="29"/>
  <c r="F1350" i="29"/>
  <c r="L1351" i="29" a="1"/>
  <c r="L1351" i="29" s="1"/>
  <c r="B1352" i="29" s="1"/>
  <c r="P1349" i="29"/>
  <c r="G1351" i="29"/>
  <c r="B1351" i="29"/>
  <c r="Q1352" i="29" a="1"/>
  <c r="Q1352" i="29" s="1"/>
  <c r="N1352" i="29" a="1"/>
  <c r="N1352" i="29" s="1"/>
  <c r="I1353" i="29"/>
  <c r="K1354" i="29"/>
  <c r="O1320" i="29" l="1" a="1"/>
  <c r="O1320" i="29" s="1"/>
  <c r="R1320" i="29" s="1"/>
  <c r="S1320" i="29" s="1"/>
  <c r="G1352" i="29"/>
  <c r="N1353" i="29" a="1"/>
  <c r="N1353" i="29" s="1"/>
  <c r="Q1353" i="29" a="1"/>
  <c r="Q1353" i="29" s="1"/>
  <c r="F1351" i="29"/>
  <c r="C1351" i="29" a="1"/>
  <c r="C1351" i="29" s="1"/>
  <c r="M1351" i="29"/>
  <c r="L1352" i="29" a="1"/>
  <c r="L1352" i="29" s="1"/>
  <c r="B1353" i="29" s="1"/>
  <c r="P1350" i="29"/>
  <c r="K1355" i="29"/>
  <c r="I1354" i="29"/>
  <c r="O1321" i="29" l="1" a="1"/>
  <c r="O1321" i="29" s="1"/>
  <c r="R1321" i="29" s="1"/>
  <c r="S1321" i="29" s="1"/>
  <c r="Q1354" i="29" a="1"/>
  <c r="Q1354" i="29" s="1"/>
  <c r="N1354" i="29" a="1"/>
  <c r="N1354" i="29" s="1"/>
  <c r="G1353" i="29"/>
  <c r="P1351" i="29"/>
  <c r="I1355" i="29"/>
  <c r="K1356" i="29"/>
  <c r="C1352" i="29" a="1"/>
  <c r="C1352" i="29" s="1"/>
  <c r="M1352" i="29"/>
  <c r="F1352" i="29"/>
  <c r="L1353" i="29" a="1"/>
  <c r="L1353" i="29" s="1"/>
  <c r="B1354" i="29" s="1"/>
  <c r="O1322" i="29" l="1" a="1"/>
  <c r="O1322" i="29" s="1"/>
  <c r="R1322" i="29" s="1"/>
  <c r="S1322" i="29" s="1"/>
  <c r="F1353" i="29"/>
  <c r="M1353" i="29"/>
  <c r="C1353" i="29" a="1"/>
  <c r="C1353" i="29" s="1"/>
  <c r="L1354" i="29" a="1"/>
  <c r="L1354" i="29" s="1"/>
  <c r="B1355" i="29" s="1"/>
  <c r="P1352" i="29"/>
  <c r="G1354" i="29"/>
  <c r="K1357" i="29"/>
  <c r="I1356" i="29"/>
  <c r="N1355" i="29" a="1"/>
  <c r="N1355" i="29" s="1"/>
  <c r="Q1355" i="29" a="1"/>
  <c r="Q1355" i="29" s="1"/>
  <c r="O1323" i="29" l="1" a="1"/>
  <c r="O1323" i="29" s="1"/>
  <c r="R1323" i="29" s="1"/>
  <c r="S1323" i="29" s="1"/>
  <c r="G1355" i="29"/>
  <c r="P1353" i="29"/>
  <c r="C1354" i="29" a="1"/>
  <c r="C1354" i="29" s="1"/>
  <c r="M1354" i="29"/>
  <c r="F1354" i="29"/>
  <c r="L1355" i="29" a="1"/>
  <c r="L1355" i="29" s="1"/>
  <c r="B1356" i="29" s="1"/>
  <c r="Q1356" i="29" a="1"/>
  <c r="Q1356" i="29" s="1"/>
  <c r="N1356" i="29" a="1"/>
  <c r="N1356" i="29" s="1"/>
  <c r="I1357" i="29"/>
  <c r="K1358" i="29"/>
  <c r="O1324" i="29" l="1" a="1"/>
  <c r="O1324" i="29" s="1"/>
  <c r="R1324" i="29" s="1"/>
  <c r="S1324" i="29" s="1"/>
  <c r="K1359" i="29"/>
  <c r="I1358" i="29"/>
  <c r="P1354" i="29"/>
  <c r="N1357" i="29" a="1"/>
  <c r="N1357" i="29" s="1"/>
  <c r="Q1357" i="29" a="1"/>
  <c r="Q1357" i="29" s="1"/>
  <c r="G1356" i="29"/>
  <c r="F1355" i="29"/>
  <c r="M1355" i="29"/>
  <c r="C1355" i="29" a="1"/>
  <c r="C1355" i="29" s="1"/>
  <c r="L1356" i="29" a="1"/>
  <c r="L1356" i="29" s="1"/>
  <c r="O1325" i="29" l="1" a="1"/>
  <c r="O1325" i="29" s="1"/>
  <c r="R1325" i="29" s="1"/>
  <c r="S1325" i="29" s="1"/>
  <c r="C1356" i="29" a="1"/>
  <c r="C1356" i="29" s="1"/>
  <c r="M1356" i="29"/>
  <c r="F1356" i="29"/>
  <c r="L1357" i="29" a="1"/>
  <c r="L1357" i="29" s="1"/>
  <c r="B1357" i="29"/>
  <c r="P1355" i="29"/>
  <c r="Q1358" i="29" a="1"/>
  <c r="Q1358" i="29" s="1"/>
  <c r="N1358" i="29" a="1"/>
  <c r="N1358" i="29" s="1"/>
  <c r="I1359" i="29"/>
  <c r="K1360" i="29"/>
  <c r="G1357" i="29"/>
  <c r="O1326" i="29" l="1" a="1"/>
  <c r="O1326" i="29" s="1"/>
  <c r="R1326" i="29" s="1"/>
  <c r="S1326" i="29" s="1"/>
  <c r="F1357" i="29"/>
  <c r="C1357" i="29" a="1"/>
  <c r="C1357" i="29" s="1"/>
  <c r="M1357" i="29"/>
  <c r="L1358" i="29" a="1"/>
  <c r="L1358" i="29" s="1"/>
  <c r="P1356" i="29"/>
  <c r="B1358" i="29"/>
  <c r="K1361" i="29"/>
  <c r="I1360" i="29"/>
  <c r="Q1359" i="29" a="1"/>
  <c r="Q1359" i="29" s="1"/>
  <c r="N1359" i="29" a="1"/>
  <c r="N1359" i="29" s="1"/>
  <c r="G1358" i="29"/>
  <c r="O1327" i="29" l="1" a="1"/>
  <c r="O1327" i="29" s="1"/>
  <c r="R1327" i="29" s="1"/>
  <c r="S1327" i="29" s="1"/>
  <c r="G1359" i="29"/>
  <c r="C1358" i="29" a="1"/>
  <c r="C1358" i="29" s="1"/>
  <c r="M1358" i="29"/>
  <c r="F1358" i="29"/>
  <c r="L1359" i="29" a="1"/>
  <c r="L1359" i="29" s="1"/>
  <c r="B1360" i="29" s="1"/>
  <c r="B1359" i="29"/>
  <c r="P1357" i="29"/>
  <c r="Q1360" i="29" a="1"/>
  <c r="Q1360" i="29" s="1"/>
  <c r="N1360" i="29" a="1"/>
  <c r="N1360" i="29" s="1"/>
  <c r="I1361" i="29"/>
  <c r="K1362" i="29"/>
  <c r="O1328" i="29" l="1" a="1"/>
  <c r="O1328" i="29" s="1"/>
  <c r="R1328" i="29" s="1"/>
  <c r="S1328" i="29" s="1"/>
  <c r="N1361" i="29" a="1"/>
  <c r="N1361" i="29" s="1"/>
  <c r="Q1361" i="29" a="1"/>
  <c r="Q1361" i="29" s="1"/>
  <c r="P1358" i="29"/>
  <c r="F1359" i="29"/>
  <c r="C1359" i="29" a="1"/>
  <c r="C1359" i="29" s="1"/>
  <c r="M1359" i="29"/>
  <c r="L1360" i="29" a="1"/>
  <c r="L1360" i="29" s="1"/>
  <c r="G1360" i="29"/>
  <c r="K1363" i="29"/>
  <c r="I1362" i="29"/>
  <c r="O1329" i="29" l="1" a="1"/>
  <c r="O1329" i="29" s="1"/>
  <c r="R1329" i="29" s="1"/>
  <c r="S1329" i="29" s="1"/>
  <c r="Q1362" i="29" a="1"/>
  <c r="Q1362" i="29" s="1"/>
  <c r="N1362" i="29" a="1"/>
  <c r="N1362" i="29" s="1"/>
  <c r="I1363" i="29"/>
  <c r="K1364" i="29"/>
  <c r="G1361" i="29"/>
  <c r="P1359" i="29"/>
  <c r="C1360" i="29" a="1"/>
  <c r="C1360" i="29" s="1"/>
  <c r="M1360" i="29"/>
  <c r="F1360" i="29"/>
  <c r="L1361" i="29" a="1"/>
  <c r="L1361" i="29" s="1"/>
  <c r="B1361" i="29"/>
  <c r="O1330" i="29" l="1" a="1"/>
  <c r="O1330" i="29" s="1"/>
  <c r="R1330" i="29" s="1"/>
  <c r="S1330" i="29" s="1"/>
  <c r="F1361" i="29"/>
  <c r="C1361" i="29" a="1"/>
  <c r="C1361" i="29" s="1"/>
  <c r="M1361" i="29"/>
  <c r="L1362" i="29" a="1"/>
  <c r="L1362" i="29" s="1"/>
  <c r="I1364" i="29"/>
  <c r="K1365" i="29"/>
  <c r="N1363" i="29" a="1"/>
  <c r="N1363" i="29" s="1"/>
  <c r="Q1363" i="29" a="1"/>
  <c r="Q1363" i="29" s="1"/>
  <c r="P1360" i="29"/>
  <c r="G1362" i="29"/>
  <c r="B1362" i="29"/>
  <c r="O1331" i="29" l="1" a="1"/>
  <c r="O1331" i="29" s="1"/>
  <c r="R1331" i="29" s="1"/>
  <c r="S1331" i="29" s="1"/>
  <c r="I1365" i="29"/>
  <c r="K1366" i="29"/>
  <c r="Q1364" i="29" a="1"/>
  <c r="Q1364" i="29" s="1"/>
  <c r="N1364" i="29" a="1"/>
  <c r="N1364" i="29" s="1"/>
  <c r="C1362" i="29" a="1"/>
  <c r="C1362" i="29" s="1"/>
  <c r="M1362" i="29"/>
  <c r="F1362" i="29"/>
  <c r="L1363" i="29" a="1"/>
  <c r="L1363" i="29" s="1"/>
  <c r="B1364" i="29" s="1"/>
  <c r="P1361" i="29"/>
  <c r="G1363" i="29"/>
  <c r="B1363" i="29"/>
  <c r="O1332" i="29" l="1" a="1"/>
  <c r="O1332" i="29" s="1"/>
  <c r="R1332" i="29" s="1"/>
  <c r="S1332" i="29" s="1"/>
  <c r="G1364" i="29"/>
  <c r="K1367" i="29"/>
  <c r="I1366" i="29"/>
  <c r="F1363" i="29"/>
  <c r="C1363" i="29" a="1"/>
  <c r="C1363" i="29" s="1"/>
  <c r="M1363" i="29"/>
  <c r="L1364" i="29" a="1"/>
  <c r="L1364" i="29" s="1"/>
  <c r="B1365" i="29" s="1"/>
  <c r="N1365" i="29" a="1"/>
  <c r="N1365" i="29" s="1"/>
  <c r="Q1365" i="29" a="1"/>
  <c r="Q1365" i="29" s="1"/>
  <c r="P1362" i="29"/>
  <c r="O1333" i="29" l="1" a="1"/>
  <c r="O1333" i="29" s="1"/>
  <c r="R1333" i="29" s="1"/>
  <c r="S1333" i="29" s="1"/>
  <c r="Q1366" i="29" a="1"/>
  <c r="Q1366" i="29" s="1"/>
  <c r="N1366" i="29" a="1"/>
  <c r="N1366" i="29" s="1"/>
  <c r="G1365" i="29"/>
  <c r="I1367" i="29"/>
  <c r="K1368" i="29"/>
  <c r="C1364" i="29" a="1"/>
  <c r="C1364" i="29" s="1"/>
  <c r="M1364" i="29"/>
  <c r="F1364" i="29"/>
  <c r="L1365" i="29" a="1"/>
  <c r="L1365" i="29" s="1"/>
  <c r="B1366" i="29" s="1"/>
  <c r="P1363" i="29"/>
  <c r="O1334" i="29" l="1" a="1"/>
  <c r="O1334" i="29" s="1"/>
  <c r="R1334" i="29" s="1"/>
  <c r="S1334" i="29" s="1"/>
  <c r="P1364" i="29"/>
  <c r="F1365" i="29"/>
  <c r="C1365" i="29" a="1"/>
  <c r="C1365" i="29" s="1"/>
  <c r="M1365" i="29"/>
  <c r="L1366" i="29" a="1"/>
  <c r="L1366" i="29" s="1"/>
  <c r="G1366" i="29"/>
  <c r="K1369" i="29"/>
  <c r="I1368" i="29"/>
  <c r="Q1367" i="29" a="1"/>
  <c r="Q1367" i="29" s="1"/>
  <c r="N1367" i="29" a="1"/>
  <c r="N1367" i="29" s="1"/>
  <c r="O1335" i="29" l="1" a="1"/>
  <c r="O1335" i="29" s="1"/>
  <c r="R1335" i="29" s="1"/>
  <c r="S1335" i="29" s="1"/>
  <c r="C1366" i="29" a="1"/>
  <c r="C1366" i="29" s="1"/>
  <c r="M1366" i="29"/>
  <c r="F1366" i="29"/>
  <c r="L1367" i="29" a="1"/>
  <c r="L1367" i="29" s="1"/>
  <c r="P1365" i="29"/>
  <c r="G1367" i="29"/>
  <c r="B1367" i="29"/>
  <c r="N1368" i="29" a="1"/>
  <c r="N1368" i="29" s="1"/>
  <c r="Q1368" i="29" a="1"/>
  <c r="Q1368" i="29" s="1"/>
  <c r="I1369" i="29"/>
  <c r="K1370" i="29"/>
  <c r="O1336" i="29" l="1" a="1"/>
  <c r="O1336" i="29" s="1"/>
  <c r="R1336" i="29" s="1"/>
  <c r="S1336" i="29" s="1"/>
  <c r="F1367" i="29"/>
  <c r="M1367" i="29"/>
  <c r="C1367" i="29" a="1"/>
  <c r="C1367" i="29" s="1"/>
  <c r="L1368" i="29" a="1"/>
  <c r="L1368" i="29" s="1"/>
  <c r="B1368" i="29"/>
  <c r="Q1369" i="29" a="1"/>
  <c r="Q1369" i="29" s="1"/>
  <c r="N1369" i="29" a="1"/>
  <c r="N1369" i="29" s="1"/>
  <c r="G1368" i="29"/>
  <c r="P1366" i="29"/>
  <c r="K1371" i="29"/>
  <c r="I1370" i="29"/>
  <c r="O1337" i="29" l="1" a="1"/>
  <c r="O1337" i="29" s="1"/>
  <c r="R1337" i="29" s="1"/>
  <c r="S1337" i="29" s="1"/>
  <c r="C1368" i="29" a="1"/>
  <c r="C1368" i="29" s="1"/>
  <c r="M1368" i="29"/>
  <c r="F1368" i="29"/>
  <c r="L1369" i="29" a="1"/>
  <c r="L1369" i="29" s="1"/>
  <c r="B1370" i="29" s="1"/>
  <c r="G1369" i="29"/>
  <c r="I1371" i="29"/>
  <c r="K1372" i="29"/>
  <c r="B1369" i="29"/>
  <c r="P1367" i="29"/>
  <c r="N1370" i="29" a="1"/>
  <c r="N1370" i="29" s="1"/>
  <c r="Q1370" i="29" a="1"/>
  <c r="Q1370" i="29" s="1"/>
  <c r="O1338" i="29" l="1" a="1"/>
  <c r="O1338" i="29" s="1"/>
  <c r="R1338" i="29" s="1"/>
  <c r="S1338" i="29" s="1"/>
  <c r="G1370" i="29"/>
  <c r="P1368" i="29"/>
  <c r="C1369" i="29" a="1"/>
  <c r="C1369" i="29" s="1"/>
  <c r="F1369" i="29"/>
  <c r="M1369" i="29"/>
  <c r="L1370" i="29" a="1"/>
  <c r="L1370" i="29" s="1"/>
  <c r="B1371" i="29" s="1"/>
  <c r="I1372" i="29"/>
  <c r="K1373" i="29"/>
  <c r="N1371" i="29" a="1"/>
  <c r="N1371" i="29" s="1"/>
  <c r="Q1371" i="29" a="1"/>
  <c r="Q1371" i="29" s="1"/>
  <c r="O1339" i="29" l="1" a="1"/>
  <c r="O1339" i="29" s="1"/>
  <c r="R1339" i="29" s="1"/>
  <c r="S1339" i="29" s="1"/>
  <c r="G1371" i="29"/>
  <c r="I1373" i="29"/>
  <c r="K1374" i="29"/>
  <c r="Q1372" i="29" a="1"/>
  <c r="Q1372" i="29" s="1"/>
  <c r="N1372" i="29" a="1"/>
  <c r="N1372" i="29" s="1"/>
  <c r="C1370" i="29" a="1"/>
  <c r="C1370" i="29" s="1"/>
  <c r="M1370" i="29"/>
  <c r="F1370" i="29"/>
  <c r="L1371" i="29" a="1"/>
  <c r="L1371" i="29" s="1"/>
  <c r="B1372" i="29" s="1"/>
  <c r="P1369" i="29"/>
  <c r="O1340" i="29" l="1" a="1"/>
  <c r="O1340" i="29" s="1"/>
  <c r="R1340" i="29" s="1"/>
  <c r="S1340" i="29" s="1"/>
  <c r="C1371" i="29" a="1"/>
  <c r="C1371" i="29" s="1"/>
  <c r="F1371" i="29"/>
  <c r="M1371" i="29"/>
  <c r="L1372" i="29" a="1"/>
  <c r="L1372" i="29" s="1"/>
  <c r="K1375" i="29"/>
  <c r="I1374" i="29"/>
  <c r="Q1373" i="29" a="1"/>
  <c r="Q1373" i="29" s="1"/>
  <c r="N1373" i="29" a="1"/>
  <c r="N1373" i="29" s="1"/>
  <c r="P1370" i="29"/>
  <c r="G1372" i="29"/>
  <c r="O1341" i="29" l="1" a="1"/>
  <c r="O1341" i="29" s="1"/>
  <c r="R1341" i="29" s="1"/>
  <c r="S1341" i="29" s="1"/>
  <c r="C1372" i="29" a="1"/>
  <c r="C1372" i="29" s="1"/>
  <c r="F1372" i="29"/>
  <c r="M1372" i="29"/>
  <c r="L1373" i="29" a="1"/>
  <c r="L1373" i="29" s="1"/>
  <c r="G1373" i="29"/>
  <c r="N1374" i="29" a="1"/>
  <c r="N1374" i="29" s="1"/>
  <c r="Q1374" i="29" a="1"/>
  <c r="Q1374" i="29" s="1"/>
  <c r="I1375" i="29"/>
  <c r="K1376" i="29"/>
  <c r="P1371" i="29"/>
  <c r="B1373" i="29"/>
  <c r="O1342" i="29" l="1" a="1"/>
  <c r="O1342" i="29" s="1"/>
  <c r="R1342" i="29" s="1"/>
  <c r="S1342" i="29" s="1"/>
  <c r="K1377" i="29"/>
  <c r="I1376" i="29"/>
  <c r="F1373" i="29"/>
  <c r="M1373" i="29"/>
  <c r="C1373" i="29" a="1"/>
  <c r="C1373" i="29" s="1"/>
  <c r="L1374" i="29" a="1"/>
  <c r="L1374" i="29" s="1"/>
  <c r="Q1375" i="29" a="1"/>
  <c r="Q1375" i="29" s="1"/>
  <c r="N1375" i="29" a="1"/>
  <c r="N1375" i="29" s="1"/>
  <c r="P1372" i="29"/>
  <c r="B1374" i="29"/>
  <c r="G1374" i="29"/>
  <c r="O1343" i="29" l="1" a="1"/>
  <c r="O1343" i="29" s="1"/>
  <c r="R1343" i="29" s="1"/>
  <c r="S1343" i="29" s="1"/>
  <c r="N1376" i="29" a="1"/>
  <c r="N1376" i="29" s="1"/>
  <c r="Q1376" i="29" a="1"/>
  <c r="Q1376" i="29" s="1"/>
  <c r="C1374" i="29" a="1"/>
  <c r="C1374" i="29" s="1"/>
  <c r="M1374" i="29"/>
  <c r="F1374" i="29"/>
  <c r="L1375" i="29" a="1"/>
  <c r="L1375" i="29" s="1"/>
  <c r="B1376" i="29" s="1"/>
  <c r="G1375" i="29"/>
  <c r="I1377" i="29"/>
  <c r="K1378" i="29"/>
  <c r="B1375" i="29"/>
  <c r="P1373" i="29"/>
  <c r="O1344" i="29" l="1" a="1"/>
  <c r="O1344" i="29" s="1"/>
  <c r="R1344" i="29" s="1"/>
  <c r="S1344" i="29" s="1"/>
  <c r="K1379" i="29"/>
  <c r="I1378" i="29"/>
  <c r="Q1377" i="29" a="1"/>
  <c r="Q1377" i="29" s="1"/>
  <c r="N1377" i="29" a="1"/>
  <c r="N1377" i="29" s="1"/>
  <c r="G1376" i="29"/>
  <c r="P1374" i="29"/>
  <c r="C1375" i="29" a="1"/>
  <c r="C1375" i="29" s="1"/>
  <c r="M1375" i="29"/>
  <c r="F1375" i="29"/>
  <c r="L1376" i="29" a="1"/>
  <c r="L1376" i="29" s="1"/>
  <c r="O1345" i="29" l="1" a="1"/>
  <c r="O1345" i="29" s="1"/>
  <c r="R1345" i="29" s="1"/>
  <c r="S1345" i="29" s="1"/>
  <c r="C1376" i="29" a="1"/>
  <c r="C1376" i="29" s="1"/>
  <c r="M1376" i="29"/>
  <c r="F1376" i="29"/>
  <c r="L1377" i="29" a="1"/>
  <c r="L1377" i="29" s="1"/>
  <c r="G1377" i="29"/>
  <c r="P1375" i="29"/>
  <c r="B1377" i="29"/>
  <c r="N1378" i="29" a="1"/>
  <c r="N1378" i="29" s="1"/>
  <c r="Q1378" i="29" a="1"/>
  <c r="Q1378" i="29" s="1"/>
  <c r="I1379" i="29"/>
  <c r="K1380" i="29"/>
  <c r="O1346" i="29" l="1" a="1"/>
  <c r="O1346" i="29" s="1"/>
  <c r="R1346" i="29" s="1"/>
  <c r="S1346" i="29" s="1"/>
  <c r="C1377" i="29" a="1"/>
  <c r="C1377" i="29" s="1"/>
  <c r="M1377" i="29"/>
  <c r="F1377" i="29"/>
  <c r="L1378" i="29" a="1"/>
  <c r="L1378" i="29" s="1"/>
  <c r="G1378" i="29"/>
  <c r="P1376" i="29"/>
  <c r="Q1379" i="29" a="1"/>
  <c r="Q1379" i="29" s="1"/>
  <c r="N1379" i="29" a="1"/>
  <c r="N1379" i="29" s="1"/>
  <c r="B1378" i="29"/>
  <c r="K1381" i="29"/>
  <c r="I1380" i="29"/>
  <c r="O1347" i="29" l="1" a="1"/>
  <c r="O1347" i="29" s="1"/>
  <c r="R1347" i="29" s="1"/>
  <c r="S1347" i="29" s="1"/>
  <c r="C1378" i="29" a="1"/>
  <c r="C1378" i="29" s="1"/>
  <c r="M1378" i="29"/>
  <c r="F1378" i="29"/>
  <c r="L1379" i="29" a="1"/>
  <c r="L1379" i="29" s="1"/>
  <c r="I1381" i="29"/>
  <c r="K1382" i="29"/>
  <c r="G1379" i="29"/>
  <c r="B1379" i="29"/>
  <c r="P1377" i="29"/>
  <c r="N1380" i="29" a="1"/>
  <c r="N1380" i="29" s="1"/>
  <c r="Q1380" i="29" a="1"/>
  <c r="Q1380" i="29" s="1"/>
  <c r="O1348" i="29" l="1" a="1"/>
  <c r="O1348" i="29" s="1"/>
  <c r="R1348" i="29" s="1"/>
  <c r="S1348" i="29" s="1"/>
  <c r="K1383" i="29"/>
  <c r="I1382" i="29"/>
  <c r="Q1381" i="29" a="1"/>
  <c r="Q1381" i="29" s="1"/>
  <c r="N1381" i="29" a="1"/>
  <c r="N1381" i="29" s="1"/>
  <c r="G1380" i="29"/>
  <c r="P1378" i="29"/>
  <c r="C1379" i="29" a="1"/>
  <c r="C1379" i="29" s="1"/>
  <c r="M1379" i="29"/>
  <c r="F1379" i="29"/>
  <c r="L1380" i="29" a="1"/>
  <c r="L1380" i="29" s="1"/>
  <c r="B1380" i="29"/>
  <c r="O1349" i="29" l="1" a="1"/>
  <c r="O1349" i="29" s="1"/>
  <c r="R1349" i="29" s="1"/>
  <c r="S1349" i="29" s="1"/>
  <c r="C1380" i="29" a="1"/>
  <c r="C1380" i="29" s="1"/>
  <c r="M1380" i="29"/>
  <c r="F1380" i="29"/>
  <c r="L1381" i="29" a="1"/>
  <c r="L1381" i="29" s="1"/>
  <c r="B1382" i="29" s="1"/>
  <c r="G1381" i="29"/>
  <c r="P1379" i="29"/>
  <c r="B1381" i="29"/>
  <c r="N1382" i="29" a="1"/>
  <c r="N1382" i="29" s="1"/>
  <c r="Q1382" i="29" a="1"/>
  <c r="Q1382" i="29" s="1"/>
  <c r="I1383" i="29"/>
  <c r="K1384" i="29"/>
  <c r="O1350" i="29" l="1" a="1"/>
  <c r="O1350" i="29" s="1"/>
  <c r="R1350" i="29" s="1"/>
  <c r="S1350" i="29" s="1"/>
  <c r="Q1383" i="29" a="1"/>
  <c r="Q1383" i="29" s="1"/>
  <c r="N1383" i="29" a="1"/>
  <c r="N1383" i="29" s="1"/>
  <c r="G1382" i="29"/>
  <c r="C1381" i="29" a="1"/>
  <c r="C1381" i="29" s="1"/>
  <c r="M1381" i="29"/>
  <c r="F1381" i="29"/>
  <c r="L1382" i="29" a="1"/>
  <c r="L1382" i="29" s="1"/>
  <c r="B1383" i="29" s="1"/>
  <c r="P1380" i="29"/>
  <c r="K1385" i="29"/>
  <c r="I1384" i="29"/>
  <c r="O1351" i="29" l="1" a="1"/>
  <c r="O1351" i="29" s="1"/>
  <c r="R1351" i="29" s="1"/>
  <c r="S1351" i="29" s="1"/>
  <c r="N1384" i="29" a="1"/>
  <c r="N1384" i="29" s="1"/>
  <c r="Q1384" i="29" a="1"/>
  <c r="Q1384" i="29" s="1"/>
  <c r="G1383" i="29"/>
  <c r="P1381" i="29"/>
  <c r="I1385" i="29"/>
  <c r="K1386" i="29"/>
  <c r="C1382" i="29" a="1"/>
  <c r="C1382" i="29" s="1"/>
  <c r="M1382" i="29"/>
  <c r="F1382" i="29"/>
  <c r="L1383" i="29" a="1"/>
  <c r="L1383" i="29" s="1"/>
  <c r="O1352" i="29" l="1" a="1"/>
  <c r="O1352" i="29" s="1"/>
  <c r="R1352" i="29" s="1"/>
  <c r="S1352" i="29" s="1"/>
  <c r="Q1385" i="29" a="1"/>
  <c r="Q1385" i="29" s="1"/>
  <c r="N1385" i="29" a="1"/>
  <c r="N1385" i="29" s="1"/>
  <c r="C1383" i="29" a="1"/>
  <c r="C1383" i="29" s="1"/>
  <c r="M1383" i="29"/>
  <c r="F1383" i="29"/>
  <c r="L1384" i="29" a="1"/>
  <c r="L1384" i="29" s="1"/>
  <c r="B1385" i="29" s="1"/>
  <c r="P1382" i="29"/>
  <c r="B1384" i="29"/>
  <c r="K1387" i="29"/>
  <c r="I1386" i="29"/>
  <c r="G1384" i="29"/>
  <c r="O1353" i="29" l="1" a="1"/>
  <c r="O1353" i="29" s="1"/>
  <c r="R1353" i="29" s="1"/>
  <c r="S1353" i="29" s="1"/>
  <c r="G1385" i="29"/>
  <c r="P1383" i="29"/>
  <c r="N1386" i="29" a="1"/>
  <c r="N1386" i="29" s="1"/>
  <c r="Q1386" i="29" a="1"/>
  <c r="Q1386" i="29" s="1"/>
  <c r="I1387" i="29"/>
  <c r="K1388" i="29"/>
  <c r="C1384" i="29" a="1"/>
  <c r="C1384" i="29" s="1"/>
  <c r="M1384" i="29"/>
  <c r="F1384" i="29"/>
  <c r="L1385" i="29" a="1"/>
  <c r="L1385" i="29" s="1"/>
  <c r="O1354" i="29" l="1" a="1"/>
  <c r="O1354" i="29" s="1"/>
  <c r="R1354" i="29" s="1"/>
  <c r="S1354" i="29" s="1"/>
  <c r="P1384" i="29"/>
  <c r="C1385" i="29" a="1"/>
  <c r="C1385" i="29" s="1"/>
  <c r="M1385" i="29"/>
  <c r="F1385" i="29"/>
  <c r="L1386" i="29" a="1"/>
  <c r="L1386" i="29" s="1"/>
  <c r="G1386" i="29"/>
  <c r="K1389" i="29"/>
  <c r="I1388" i="29"/>
  <c r="Q1387" i="29" a="1"/>
  <c r="Q1387" i="29" s="1"/>
  <c r="N1387" i="29" a="1"/>
  <c r="N1387" i="29" s="1"/>
  <c r="B1386" i="29"/>
  <c r="O1355" i="29" l="1" a="1"/>
  <c r="O1355" i="29" s="1"/>
  <c r="R1355" i="29" s="1"/>
  <c r="S1355" i="29" s="1"/>
  <c r="C1386" i="29" a="1"/>
  <c r="C1386" i="29" s="1"/>
  <c r="M1386" i="29"/>
  <c r="F1386" i="29"/>
  <c r="L1387" i="29" a="1"/>
  <c r="L1387" i="29" s="1"/>
  <c r="P1385" i="29"/>
  <c r="N1388" i="29" a="1"/>
  <c r="N1388" i="29" s="1"/>
  <c r="Q1388" i="29" a="1"/>
  <c r="Q1388" i="29" s="1"/>
  <c r="I1389" i="29"/>
  <c r="K1390" i="29"/>
  <c r="G1387" i="29"/>
  <c r="B1387" i="29"/>
  <c r="O1356" i="29" l="1" a="1"/>
  <c r="O1356" i="29" s="1"/>
  <c r="R1356" i="29" s="1"/>
  <c r="S1356" i="29" s="1"/>
  <c r="K1391" i="29"/>
  <c r="I1390" i="29"/>
  <c r="C1387" i="29" a="1"/>
  <c r="C1387" i="29" s="1"/>
  <c r="M1387" i="29"/>
  <c r="F1387" i="29"/>
  <c r="L1388" i="29" a="1"/>
  <c r="L1388" i="29" s="1"/>
  <c r="Q1389" i="29" a="1"/>
  <c r="Q1389" i="29" s="1"/>
  <c r="N1389" i="29" a="1"/>
  <c r="N1389" i="29" s="1"/>
  <c r="B1388" i="29"/>
  <c r="P1386" i="29"/>
  <c r="G1388" i="29"/>
  <c r="O1357" i="29" l="1" a="1"/>
  <c r="O1357" i="29" s="1"/>
  <c r="R1357" i="29" s="1"/>
  <c r="S1357" i="29" s="1"/>
  <c r="N1390" i="29" a="1"/>
  <c r="N1390" i="29" s="1"/>
  <c r="Q1390" i="29" a="1"/>
  <c r="Q1390" i="29" s="1"/>
  <c r="C1388" i="29" a="1"/>
  <c r="C1388" i="29" s="1"/>
  <c r="M1388" i="29"/>
  <c r="F1388" i="29"/>
  <c r="L1389" i="29" a="1"/>
  <c r="L1389" i="29" s="1"/>
  <c r="B1390" i="29" s="1"/>
  <c r="P1387" i="29"/>
  <c r="G1389" i="29"/>
  <c r="I1391" i="29"/>
  <c r="K1392" i="29"/>
  <c r="B1389" i="29"/>
  <c r="O1358" i="29" l="1" a="1"/>
  <c r="O1358" i="29" s="1"/>
  <c r="R1358" i="29" s="1"/>
  <c r="S1358" i="29" s="1"/>
  <c r="K1393" i="29"/>
  <c r="I1392" i="29"/>
  <c r="P1388" i="29"/>
  <c r="Q1391" i="29" a="1"/>
  <c r="Q1391" i="29" s="1"/>
  <c r="N1391" i="29" a="1"/>
  <c r="N1391" i="29" s="1"/>
  <c r="G1390" i="29"/>
  <c r="C1389" i="29" a="1"/>
  <c r="C1389" i="29" s="1"/>
  <c r="M1389" i="29"/>
  <c r="F1389" i="29"/>
  <c r="L1390" i="29" a="1"/>
  <c r="L1390" i="29" s="1"/>
  <c r="O1359" i="29" l="1" a="1"/>
  <c r="O1359" i="29" s="1"/>
  <c r="R1359" i="29" s="1"/>
  <c r="S1359" i="29" s="1"/>
  <c r="C1390" i="29" a="1"/>
  <c r="C1390" i="29" s="1"/>
  <c r="M1390" i="29"/>
  <c r="F1390" i="29"/>
  <c r="L1391" i="29" a="1"/>
  <c r="L1391" i="29" s="1"/>
  <c r="B1391" i="29"/>
  <c r="P1389" i="29"/>
  <c r="N1392" i="29" a="1"/>
  <c r="N1392" i="29" s="1"/>
  <c r="Q1392" i="29" a="1"/>
  <c r="Q1392" i="29" s="1"/>
  <c r="I1393" i="29"/>
  <c r="K1394" i="29"/>
  <c r="G1391" i="29"/>
  <c r="O1360" i="29" l="1" a="1"/>
  <c r="O1360" i="29" s="1"/>
  <c r="R1360" i="29" s="1"/>
  <c r="S1360" i="29" s="1"/>
  <c r="C1391" i="29" a="1"/>
  <c r="C1391" i="29" s="1"/>
  <c r="M1391" i="29"/>
  <c r="F1391" i="29"/>
  <c r="L1392" i="29" a="1"/>
  <c r="L1392" i="29" s="1"/>
  <c r="K1395" i="29"/>
  <c r="I1394" i="29"/>
  <c r="Q1393" i="29" a="1"/>
  <c r="Q1393" i="29" s="1"/>
  <c r="N1393" i="29" a="1"/>
  <c r="N1393" i="29" s="1"/>
  <c r="B1392" i="29"/>
  <c r="P1390" i="29"/>
  <c r="G1392" i="29"/>
  <c r="O1361" i="29" l="1" a="1"/>
  <c r="O1361" i="29" s="1"/>
  <c r="R1361" i="29" s="1"/>
  <c r="S1361" i="29" s="1"/>
  <c r="N1394" i="29" a="1"/>
  <c r="N1394" i="29" s="1"/>
  <c r="Q1394" i="29" a="1"/>
  <c r="Q1394" i="29" s="1"/>
  <c r="I1395" i="29"/>
  <c r="K1396" i="29"/>
  <c r="G1393" i="29"/>
  <c r="C1392" i="29" a="1"/>
  <c r="C1392" i="29" s="1"/>
  <c r="M1392" i="29"/>
  <c r="F1392" i="29"/>
  <c r="L1393" i="29" a="1"/>
  <c r="L1393" i="29" s="1"/>
  <c r="P1391" i="29"/>
  <c r="B1393" i="29"/>
  <c r="O1362" i="29" l="1" a="1"/>
  <c r="O1362" i="29" s="1"/>
  <c r="R1362" i="29" s="1"/>
  <c r="S1362" i="29" s="1"/>
  <c r="C1393" i="29" a="1"/>
  <c r="C1393" i="29" s="1"/>
  <c r="M1393" i="29"/>
  <c r="F1393" i="29"/>
  <c r="L1394" i="29" a="1"/>
  <c r="L1394" i="29" s="1"/>
  <c r="P1392" i="29"/>
  <c r="K1397" i="29"/>
  <c r="I1396" i="29"/>
  <c r="Q1395" i="29" a="1"/>
  <c r="Q1395" i="29" s="1"/>
  <c r="N1395" i="29" a="1"/>
  <c r="N1395" i="29" s="1"/>
  <c r="B1394" i="29"/>
  <c r="G1394" i="29"/>
  <c r="O1363" i="29" l="1" a="1"/>
  <c r="O1363" i="29" s="1"/>
  <c r="R1363" i="29" s="1"/>
  <c r="S1363" i="29" s="1"/>
  <c r="C1394" i="29" a="1"/>
  <c r="C1394" i="29" s="1"/>
  <c r="M1394" i="29"/>
  <c r="F1394" i="29"/>
  <c r="L1395" i="29" a="1"/>
  <c r="L1395" i="29" s="1"/>
  <c r="B1396" i="29" s="1"/>
  <c r="G1395" i="29"/>
  <c r="B1395" i="29"/>
  <c r="P1393" i="29"/>
  <c r="N1396" i="29" a="1"/>
  <c r="N1396" i="29" s="1"/>
  <c r="Q1396" i="29" a="1"/>
  <c r="Q1396" i="29" s="1"/>
  <c r="I1397" i="29"/>
  <c r="K1398" i="29"/>
  <c r="O1364" i="29" l="1" a="1"/>
  <c r="O1364" i="29" s="1"/>
  <c r="R1364" i="29" s="1"/>
  <c r="S1364" i="29" s="1"/>
  <c r="Q1397" i="29" a="1"/>
  <c r="Q1397" i="29" s="1"/>
  <c r="N1397" i="29" a="1"/>
  <c r="N1397" i="29" s="1"/>
  <c r="G1396" i="29"/>
  <c r="C1395" i="29" a="1"/>
  <c r="C1395" i="29" s="1"/>
  <c r="M1395" i="29"/>
  <c r="F1395" i="29"/>
  <c r="L1396" i="29" a="1"/>
  <c r="L1396" i="29" s="1"/>
  <c r="P1394" i="29"/>
  <c r="K1399" i="29"/>
  <c r="I1398" i="29"/>
  <c r="O1365" i="29" l="1" a="1"/>
  <c r="O1365" i="29" s="1"/>
  <c r="R1365" i="29" s="1"/>
  <c r="S1365" i="29" s="1"/>
  <c r="N1398" i="29" a="1"/>
  <c r="N1398" i="29" s="1"/>
  <c r="Q1398" i="29" a="1"/>
  <c r="Q1398" i="29" s="1"/>
  <c r="G1397" i="29"/>
  <c r="P1395" i="29"/>
  <c r="I1399" i="29"/>
  <c r="K1400" i="29"/>
  <c r="C1396" i="29" a="1"/>
  <c r="C1396" i="29" s="1"/>
  <c r="M1396" i="29"/>
  <c r="F1396" i="29"/>
  <c r="L1397" i="29" a="1"/>
  <c r="L1397" i="29" s="1"/>
  <c r="B1398" i="29" s="1"/>
  <c r="B1397" i="29"/>
  <c r="O1366" i="29" l="1" a="1"/>
  <c r="O1366" i="29" s="1"/>
  <c r="R1366" i="29" s="1"/>
  <c r="S1366" i="29" s="1"/>
  <c r="P1396" i="29"/>
  <c r="C1397" i="29" a="1"/>
  <c r="C1397" i="29" s="1"/>
  <c r="M1397" i="29"/>
  <c r="F1397" i="29"/>
  <c r="L1398" i="29" a="1"/>
  <c r="L1398" i="29" s="1"/>
  <c r="K1401" i="29"/>
  <c r="I1400" i="29"/>
  <c r="Q1399" i="29" a="1"/>
  <c r="Q1399" i="29" s="1"/>
  <c r="N1399" i="29" a="1"/>
  <c r="N1399" i="29" s="1"/>
  <c r="G1398" i="29"/>
  <c r="O1367" i="29" l="1" a="1"/>
  <c r="O1367" i="29" s="1"/>
  <c r="R1367" i="29" s="1"/>
  <c r="S1367" i="29" s="1"/>
  <c r="C1398" i="29" a="1"/>
  <c r="C1398" i="29" s="1"/>
  <c r="M1398" i="29"/>
  <c r="F1398" i="29"/>
  <c r="L1399" i="29" a="1"/>
  <c r="L1399" i="29" s="1"/>
  <c r="B1400" i="29" s="1"/>
  <c r="P1397" i="29"/>
  <c r="G1399" i="29"/>
  <c r="B1399" i="29"/>
  <c r="N1400" i="29" a="1"/>
  <c r="N1400" i="29" s="1"/>
  <c r="Q1400" i="29" a="1"/>
  <c r="Q1400" i="29" s="1"/>
  <c r="I1401" i="29"/>
  <c r="K1402" i="29"/>
  <c r="O1368" i="29" l="1" a="1"/>
  <c r="O1368" i="29" s="1"/>
  <c r="R1368" i="29" s="1"/>
  <c r="S1368" i="29" s="1"/>
  <c r="Q1401" i="29" a="1"/>
  <c r="Q1401" i="29" s="1"/>
  <c r="N1401" i="29" a="1"/>
  <c r="N1401" i="29" s="1"/>
  <c r="G1400" i="29"/>
  <c r="C1399" i="29" a="1"/>
  <c r="C1399" i="29" s="1"/>
  <c r="M1399" i="29"/>
  <c r="F1399" i="29"/>
  <c r="L1400" i="29" a="1"/>
  <c r="L1400" i="29" s="1"/>
  <c r="P1398" i="29"/>
  <c r="K1403" i="29"/>
  <c r="I1402" i="29"/>
  <c r="O1369" i="29" l="1" a="1"/>
  <c r="O1369" i="29" s="1"/>
  <c r="R1369" i="29" s="1"/>
  <c r="S1369" i="29" s="1"/>
  <c r="N1402" i="29" a="1"/>
  <c r="N1402" i="29" s="1"/>
  <c r="Q1402" i="29" a="1"/>
  <c r="Q1402" i="29" s="1"/>
  <c r="I1403" i="29"/>
  <c r="K1404" i="29"/>
  <c r="G1401" i="29"/>
  <c r="P1399" i="29"/>
  <c r="C1400" i="29" a="1"/>
  <c r="C1400" i="29" s="1"/>
  <c r="M1400" i="29"/>
  <c r="F1400" i="29"/>
  <c r="L1401" i="29" a="1"/>
  <c r="L1401" i="29" s="1"/>
  <c r="B1401" i="29"/>
  <c r="O1370" i="29" l="1" a="1"/>
  <c r="O1370" i="29" s="1"/>
  <c r="R1370" i="29" s="1"/>
  <c r="S1370" i="29" s="1"/>
  <c r="C1401" i="29" a="1"/>
  <c r="C1401" i="29" s="1"/>
  <c r="M1401" i="29"/>
  <c r="F1401" i="29"/>
  <c r="L1402" i="29" a="1"/>
  <c r="L1402" i="29" s="1"/>
  <c r="P1400" i="29"/>
  <c r="B1402" i="29"/>
  <c r="K1405" i="29"/>
  <c r="I1404" i="29"/>
  <c r="Q1403" i="29" a="1"/>
  <c r="Q1403" i="29" s="1"/>
  <c r="N1403" i="29" a="1"/>
  <c r="N1403" i="29" s="1"/>
  <c r="G1402" i="29"/>
  <c r="O1371" i="29" l="1" a="1"/>
  <c r="O1371" i="29" s="1"/>
  <c r="R1371" i="29" s="1"/>
  <c r="S1371" i="29" s="1"/>
  <c r="C1402" i="29" a="1"/>
  <c r="C1402" i="29" s="1"/>
  <c r="M1402" i="29"/>
  <c r="F1402" i="29"/>
  <c r="L1403" i="29" a="1"/>
  <c r="L1403" i="29" s="1"/>
  <c r="P1401" i="29"/>
  <c r="N1404" i="29" a="1"/>
  <c r="N1404" i="29" s="1"/>
  <c r="Q1404" i="29" a="1"/>
  <c r="Q1404" i="29" s="1"/>
  <c r="G1403" i="29"/>
  <c r="B1403" i="29"/>
  <c r="I1405" i="29"/>
  <c r="K1406" i="29"/>
  <c r="O1372" i="29" l="1" a="1"/>
  <c r="O1372" i="29" s="1"/>
  <c r="R1372" i="29" s="1"/>
  <c r="S1372" i="29" s="1"/>
  <c r="Q1405" i="29" a="1"/>
  <c r="Q1405" i="29" s="1"/>
  <c r="N1405" i="29" a="1"/>
  <c r="N1405" i="29" s="1"/>
  <c r="P1402" i="29"/>
  <c r="C1403" i="29" a="1"/>
  <c r="C1403" i="29" s="1"/>
  <c r="M1403" i="29"/>
  <c r="F1403" i="29"/>
  <c r="L1404" i="29" a="1"/>
  <c r="L1404" i="29" s="1"/>
  <c r="B1404" i="29"/>
  <c r="K1407" i="29"/>
  <c r="I1406" i="29"/>
  <c r="G1404" i="29"/>
  <c r="O1373" i="29" l="1" a="1"/>
  <c r="O1373" i="29" s="1"/>
  <c r="R1373" i="29" s="1"/>
  <c r="S1373" i="29" s="1"/>
  <c r="N1406" i="29" a="1"/>
  <c r="N1406" i="29" s="1"/>
  <c r="Q1406" i="29" a="1"/>
  <c r="Q1406" i="29" s="1"/>
  <c r="G1405" i="29"/>
  <c r="P1403" i="29"/>
  <c r="I1407" i="29"/>
  <c r="K1408" i="29"/>
  <c r="C1404" i="29" a="1"/>
  <c r="C1404" i="29" s="1"/>
  <c r="M1404" i="29"/>
  <c r="F1404" i="29"/>
  <c r="L1405" i="29" a="1"/>
  <c r="L1405" i="29" s="1"/>
  <c r="B1405" i="29"/>
  <c r="O1374" i="29" l="1" a="1"/>
  <c r="O1374" i="29" s="1"/>
  <c r="R1374" i="29" s="1"/>
  <c r="S1374" i="29" s="1"/>
  <c r="C1405" i="29" a="1"/>
  <c r="C1405" i="29" s="1"/>
  <c r="M1405" i="29"/>
  <c r="F1405" i="29"/>
  <c r="L1406" i="29" a="1"/>
  <c r="L1406" i="29" s="1"/>
  <c r="B1406" i="29"/>
  <c r="P1404" i="29"/>
  <c r="K1409" i="29"/>
  <c r="I1408" i="29"/>
  <c r="Q1407" i="29" a="1"/>
  <c r="Q1407" i="29" s="1"/>
  <c r="N1407" i="29" a="1"/>
  <c r="N1407" i="29" s="1"/>
  <c r="G1406" i="29"/>
  <c r="O1375" i="29" l="1" a="1"/>
  <c r="O1375" i="29" s="1"/>
  <c r="R1375" i="29" s="1"/>
  <c r="S1375" i="29" s="1"/>
  <c r="G1407" i="29"/>
  <c r="P1405" i="29"/>
  <c r="N1408" i="29" a="1"/>
  <c r="N1408" i="29" s="1"/>
  <c r="Q1408" i="29" a="1"/>
  <c r="Q1408" i="29" s="1"/>
  <c r="C1406" i="29" a="1"/>
  <c r="C1406" i="29" s="1"/>
  <c r="M1406" i="29"/>
  <c r="F1406" i="29"/>
  <c r="L1407" i="29" a="1"/>
  <c r="L1407" i="29" s="1"/>
  <c r="B1407" i="29"/>
  <c r="I1409" i="29"/>
  <c r="K1410" i="29"/>
  <c r="O1376" i="29" l="1" a="1"/>
  <c r="O1376" i="29" s="1"/>
  <c r="R1376" i="29" s="1"/>
  <c r="S1376" i="29" s="1"/>
  <c r="C1407" i="29" a="1"/>
  <c r="C1407" i="29" s="1"/>
  <c r="M1407" i="29"/>
  <c r="F1407" i="29"/>
  <c r="L1408" i="29" a="1"/>
  <c r="L1408" i="29" s="1"/>
  <c r="P1406" i="29"/>
  <c r="Q1409" i="29" a="1"/>
  <c r="Q1409" i="29" s="1"/>
  <c r="N1409" i="29" a="1"/>
  <c r="N1409" i="29" s="1"/>
  <c r="G1408" i="29"/>
  <c r="B1408" i="29"/>
  <c r="K1411" i="29"/>
  <c r="I1410" i="29"/>
  <c r="O1377" i="29" l="1" a="1"/>
  <c r="O1377" i="29" s="1"/>
  <c r="R1377" i="29" s="1"/>
  <c r="S1377" i="29" s="1"/>
  <c r="C1408" i="29" a="1"/>
  <c r="C1408" i="29" s="1"/>
  <c r="M1408" i="29"/>
  <c r="F1408" i="29"/>
  <c r="L1409" i="29" a="1"/>
  <c r="L1409" i="29" s="1"/>
  <c r="P1407" i="29"/>
  <c r="B1409" i="29"/>
  <c r="I1411" i="29"/>
  <c r="K1412" i="29"/>
  <c r="G1409" i="29"/>
  <c r="N1410" i="29" a="1"/>
  <c r="N1410" i="29" s="1"/>
  <c r="Q1410" i="29" a="1"/>
  <c r="Q1410" i="29" s="1"/>
  <c r="O1378" i="29" l="1" a="1"/>
  <c r="O1378" i="29" s="1"/>
  <c r="R1378" i="29" s="1"/>
  <c r="S1378" i="29" s="1"/>
  <c r="G1410" i="29"/>
  <c r="P1408" i="29"/>
  <c r="K1413" i="29"/>
  <c r="I1412" i="29"/>
  <c r="C1409" i="29" a="1"/>
  <c r="C1409" i="29" s="1"/>
  <c r="M1409" i="29"/>
  <c r="F1409" i="29"/>
  <c r="L1410" i="29" a="1"/>
  <c r="L1410" i="29" s="1"/>
  <c r="Q1411" i="29" a="1"/>
  <c r="Q1411" i="29" s="1"/>
  <c r="N1411" i="29" a="1"/>
  <c r="N1411" i="29" s="1"/>
  <c r="B1410" i="29"/>
  <c r="O1379" i="29" l="1" a="1"/>
  <c r="O1379" i="29" s="1"/>
  <c r="R1379" i="29" s="1"/>
  <c r="S1379" i="29" s="1"/>
  <c r="C1410" i="29" a="1"/>
  <c r="C1410" i="29" s="1"/>
  <c r="M1410" i="29"/>
  <c r="F1410" i="29"/>
  <c r="L1411" i="29" a="1"/>
  <c r="L1411" i="29" s="1"/>
  <c r="P1409" i="29"/>
  <c r="N1412" i="29" a="1"/>
  <c r="N1412" i="29" s="1"/>
  <c r="Q1412" i="29" a="1"/>
  <c r="Q1412" i="29" s="1"/>
  <c r="G1411" i="29"/>
  <c r="I1413" i="29"/>
  <c r="K1414" i="29"/>
  <c r="B1411" i="29"/>
  <c r="O1380" i="29" l="1" a="1"/>
  <c r="O1380" i="29" s="1"/>
  <c r="R1380" i="29" s="1"/>
  <c r="S1380" i="29" s="1"/>
  <c r="K1415" i="29"/>
  <c r="I1414" i="29"/>
  <c r="Q1413" i="29" a="1"/>
  <c r="Q1413" i="29" s="1"/>
  <c r="N1413" i="29" a="1"/>
  <c r="N1413" i="29" s="1"/>
  <c r="P1410" i="29"/>
  <c r="C1411" i="29" a="1"/>
  <c r="C1411" i="29" s="1"/>
  <c r="M1411" i="29"/>
  <c r="F1411" i="29"/>
  <c r="L1412" i="29" a="1"/>
  <c r="L1412" i="29" s="1"/>
  <c r="B1412" i="29"/>
  <c r="G1412" i="29"/>
  <c r="O1381" i="29" l="1" a="1"/>
  <c r="O1381" i="29" s="1"/>
  <c r="R1381" i="29" s="1"/>
  <c r="S1381" i="29" s="1"/>
  <c r="G1413" i="29"/>
  <c r="I1415" i="29"/>
  <c r="K1416" i="29"/>
  <c r="C1412" i="29" a="1"/>
  <c r="C1412" i="29" s="1"/>
  <c r="M1412" i="29"/>
  <c r="F1412" i="29"/>
  <c r="L1413" i="29" a="1"/>
  <c r="L1413" i="29" s="1"/>
  <c r="B1413" i="29"/>
  <c r="P1411" i="29"/>
  <c r="N1414" i="29" a="1"/>
  <c r="N1414" i="29" s="1"/>
  <c r="Q1414" i="29" a="1"/>
  <c r="Q1414" i="29" s="1"/>
  <c r="O1382" i="29" l="1" a="1"/>
  <c r="O1382" i="29" s="1"/>
  <c r="R1382" i="29" s="1"/>
  <c r="S1382" i="29" s="1"/>
  <c r="K1417" i="29"/>
  <c r="I1416" i="29"/>
  <c r="Q1415" i="29" a="1"/>
  <c r="Q1415" i="29" s="1"/>
  <c r="N1415" i="29" a="1"/>
  <c r="N1415" i="29" s="1"/>
  <c r="P1412" i="29"/>
  <c r="G1414" i="29"/>
  <c r="C1413" i="29" a="1"/>
  <c r="C1413" i="29" s="1"/>
  <c r="M1413" i="29"/>
  <c r="F1413" i="29"/>
  <c r="L1414" i="29" a="1"/>
  <c r="L1414" i="29" s="1"/>
  <c r="B1414" i="29"/>
  <c r="O1383" i="29" l="1" a="1"/>
  <c r="O1383" i="29" s="1"/>
  <c r="R1383" i="29" s="1"/>
  <c r="S1383" i="29" s="1"/>
  <c r="C1414" i="29" a="1"/>
  <c r="C1414" i="29" s="1"/>
  <c r="M1414" i="29"/>
  <c r="F1414" i="29"/>
  <c r="L1415" i="29" a="1"/>
  <c r="L1415" i="29" s="1"/>
  <c r="B1416" i="29" s="1"/>
  <c r="G1415" i="29"/>
  <c r="P1413" i="29"/>
  <c r="B1415" i="29"/>
  <c r="N1416" i="29" a="1"/>
  <c r="N1416" i="29" s="1"/>
  <c r="Q1416" i="29" a="1"/>
  <c r="Q1416" i="29" s="1"/>
  <c r="I1417" i="29"/>
  <c r="K1418" i="29"/>
  <c r="O1384" i="29" l="1" a="1"/>
  <c r="O1384" i="29" s="1"/>
  <c r="R1384" i="29" s="1"/>
  <c r="S1384" i="29" s="1"/>
  <c r="Q1417" i="29" a="1"/>
  <c r="Q1417" i="29" s="1"/>
  <c r="N1417" i="29" a="1"/>
  <c r="N1417" i="29" s="1"/>
  <c r="G1416" i="29"/>
  <c r="P1414" i="29"/>
  <c r="C1415" i="29" a="1"/>
  <c r="C1415" i="29" s="1"/>
  <c r="M1415" i="29"/>
  <c r="F1415" i="29"/>
  <c r="L1416" i="29" a="1"/>
  <c r="L1416" i="29" s="1"/>
  <c r="B1417" i="29" s="1"/>
  <c r="K1419" i="29"/>
  <c r="I1418" i="29"/>
  <c r="O1385" i="29" l="1" a="1"/>
  <c r="O1385" i="29" s="1"/>
  <c r="R1385" i="29" s="1"/>
  <c r="S1385" i="29" s="1"/>
  <c r="N1418" i="29" a="1"/>
  <c r="N1418" i="29" s="1"/>
  <c r="Q1418" i="29" a="1"/>
  <c r="Q1418" i="29" s="1"/>
  <c r="I1419" i="29"/>
  <c r="K1420" i="29"/>
  <c r="P1415" i="29"/>
  <c r="C1416" i="29" a="1"/>
  <c r="C1416" i="29" s="1"/>
  <c r="M1416" i="29"/>
  <c r="F1416" i="29"/>
  <c r="L1417" i="29" a="1"/>
  <c r="L1417" i="29" s="1"/>
  <c r="G1417" i="29"/>
  <c r="O1386" i="29" l="1" a="1"/>
  <c r="O1386" i="29" s="1"/>
  <c r="R1386" i="29" s="1"/>
  <c r="S1386" i="29" s="1"/>
  <c r="K1421" i="29"/>
  <c r="I1420" i="29"/>
  <c r="Q1419" i="29" a="1"/>
  <c r="Q1419" i="29" s="1"/>
  <c r="N1419" i="29" a="1"/>
  <c r="N1419" i="29" s="1"/>
  <c r="C1417" i="29" a="1"/>
  <c r="C1417" i="29" s="1"/>
  <c r="M1417" i="29"/>
  <c r="F1417" i="29"/>
  <c r="L1418" i="29" a="1"/>
  <c r="L1418" i="29" s="1"/>
  <c r="B1419" i="29" s="1"/>
  <c r="B1418" i="29"/>
  <c r="P1416" i="29"/>
  <c r="G1418" i="29"/>
  <c r="O1387" i="29" l="1" a="1"/>
  <c r="O1387" i="29" s="1"/>
  <c r="R1387" i="29" s="1"/>
  <c r="S1387" i="29" s="1"/>
  <c r="G1419" i="29"/>
  <c r="P1417" i="29"/>
  <c r="C1418" i="29" a="1"/>
  <c r="C1418" i="29" s="1"/>
  <c r="M1418" i="29"/>
  <c r="F1418" i="29"/>
  <c r="L1419" i="29" a="1"/>
  <c r="L1419" i="29" s="1"/>
  <c r="B1420" i="29" s="1"/>
  <c r="N1420" i="29" a="1"/>
  <c r="N1420" i="29" s="1"/>
  <c r="Q1420" i="29" a="1"/>
  <c r="Q1420" i="29" s="1"/>
  <c r="I1421" i="29"/>
  <c r="K1422" i="29"/>
  <c r="O1388" i="29" l="1" a="1"/>
  <c r="O1388" i="29" s="1"/>
  <c r="R1388" i="29" s="1"/>
  <c r="S1388" i="29" s="1"/>
  <c r="K1423" i="29"/>
  <c r="I1422" i="29"/>
  <c r="G1420" i="29"/>
  <c r="P1418" i="29"/>
  <c r="Q1421" i="29" a="1"/>
  <c r="Q1421" i="29" s="1"/>
  <c r="N1421" i="29" a="1"/>
  <c r="N1421" i="29" s="1"/>
  <c r="C1419" i="29" a="1"/>
  <c r="C1419" i="29" s="1"/>
  <c r="M1419" i="29"/>
  <c r="F1419" i="29"/>
  <c r="L1420" i="29" a="1"/>
  <c r="L1420" i="29" s="1"/>
  <c r="O1389" i="29" l="1" a="1"/>
  <c r="O1389" i="29" s="1"/>
  <c r="R1389" i="29" s="1"/>
  <c r="S1389" i="29" s="1"/>
  <c r="P1419" i="29"/>
  <c r="G1421" i="29"/>
  <c r="C1420" i="29" a="1"/>
  <c r="C1420" i="29" s="1"/>
  <c r="M1420" i="29"/>
  <c r="F1420" i="29"/>
  <c r="L1421" i="29" a="1"/>
  <c r="L1421" i="29" s="1"/>
  <c r="B1422" i="29" s="1"/>
  <c r="N1422" i="29" a="1"/>
  <c r="N1422" i="29" s="1"/>
  <c r="Q1422" i="29" a="1"/>
  <c r="Q1422" i="29" s="1"/>
  <c r="I1423" i="29"/>
  <c r="K1424" i="29"/>
  <c r="B1421" i="29"/>
  <c r="O1390" i="29" l="1" a="1"/>
  <c r="O1390" i="29" s="1"/>
  <c r="R1390" i="29" s="1"/>
  <c r="S1390" i="29" s="1"/>
  <c r="K1425" i="29"/>
  <c r="I1424" i="29"/>
  <c r="Q1423" i="29" a="1"/>
  <c r="Q1423" i="29" s="1"/>
  <c r="N1423" i="29" a="1"/>
  <c r="N1423" i="29" s="1"/>
  <c r="P1420" i="29"/>
  <c r="G1422" i="29"/>
  <c r="C1421" i="29" a="1"/>
  <c r="C1421" i="29" s="1"/>
  <c r="M1421" i="29"/>
  <c r="F1421" i="29"/>
  <c r="L1422" i="29" a="1"/>
  <c r="L1422" i="29" s="1"/>
  <c r="B1423" i="29" s="1"/>
  <c r="O1391" i="29" l="1" a="1"/>
  <c r="O1391" i="29" s="1"/>
  <c r="R1391" i="29" s="1"/>
  <c r="S1391" i="29" s="1"/>
  <c r="G1423" i="29"/>
  <c r="P1421" i="29"/>
  <c r="C1422" i="29" a="1"/>
  <c r="C1422" i="29" s="1"/>
  <c r="M1422" i="29"/>
  <c r="F1422" i="29"/>
  <c r="L1423" i="29" a="1"/>
  <c r="L1423" i="29" s="1"/>
  <c r="B1424" i="29" s="1"/>
  <c r="N1424" i="29" a="1"/>
  <c r="N1424" i="29" s="1"/>
  <c r="Q1424" i="29" a="1"/>
  <c r="Q1424" i="29" s="1"/>
  <c r="I1425" i="29"/>
  <c r="K1426" i="29"/>
  <c r="O1392" i="29" l="1" a="1"/>
  <c r="O1392" i="29" s="1"/>
  <c r="R1392" i="29" s="1"/>
  <c r="S1392" i="29" s="1"/>
  <c r="K1427" i="29"/>
  <c r="I1426" i="29"/>
  <c r="G1424" i="29"/>
  <c r="P1422" i="29"/>
  <c r="Q1425" i="29" a="1"/>
  <c r="Q1425" i="29" s="1"/>
  <c r="N1425" i="29" a="1"/>
  <c r="N1425" i="29" s="1"/>
  <c r="C1423" i="29" a="1"/>
  <c r="C1423" i="29" s="1"/>
  <c r="M1423" i="29"/>
  <c r="F1423" i="29"/>
  <c r="L1424" i="29" a="1"/>
  <c r="L1424" i="29" s="1"/>
  <c r="O1393" i="29" l="1" a="1"/>
  <c r="O1393" i="29" s="1"/>
  <c r="R1393" i="29" s="1"/>
  <c r="S1393" i="29" s="1"/>
  <c r="C1424" i="29" a="1"/>
  <c r="C1424" i="29" s="1"/>
  <c r="M1424" i="29"/>
  <c r="F1424" i="29"/>
  <c r="L1425" i="29" a="1"/>
  <c r="L1425" i="29" s="1"/>
  <c r="P1423" i="29"/>
  <c r="N1426" i="29" a="1"/>
  <c r="N1426" i="29" s="1"/>
  <c r="Q1426" i="29" a="1"/>
  <c r="Q1426" i="29" s="1"/>
  <c r="G1425" i="29"/>
  <c r="I1427" i="29"/>
  <c r="K1428" i="29"/>
  <c r="B1425" i="29"/>
  <c r="O1394" i="29" l="1" a="1"/>
  <c r="O1394" i="29" s="1"/>
  <c r="R1394" i="29" s="1"/>
  <c r="S1394" i="29" s="1"/>
  <c r="K1429" i="29"/>
  <c r="I1428" i="29"/>
  <c r="Q1427" i="29" a="1"/>
  <c r="Q1427" i="29" s="1"/>
  <c r="N1427" i="29" a="1"/>
  <c r="N1427" i="29" s="1"/>
  <c r="C1425" i="29" a="1"/>
  <c r="C1425" i="29" s="1"/>
  <c r="M1425" i="29"/>
  <c r="F1425" i="29"/>
  <c r="L1426" i="29" a="1"/>
  <c r="L1426" i="29" s="1"/>
  <c r="B1427" i="29" s="1"/>
  <c r="B1426" i="29"/>
  <c r="P1424" i="29"/>
  <c r="G1426" i="29"/>
  <c r="O1395" i="29" l="1" a="1"/>
  <c r="O1395" i="29" s="1"/>
  <c r="R1395" i="29" s="1"/>
  <c r="S1395" i="29" s="1"/>
  <c r="G1427" i="29"/>
  <c r="P1425" i="29"/>
  <c r="C1426" i="29" a="1"/>
  <c r="C1426" i="29" s="1"/>
  <c r="M1426" i="29"/>
  <c r="F1426" i="29"/>
  <c r="L1427" i="29" a="1"/>
  <c r="L1427" i="29" s="1"/>
  <c r="B1428" i="29" s="1"/>
  <c r="N1428" i="29" a="1"/>
  <c r="N1428" i="29" s="1"/>
  <c r="Q1428" i="29" a="1"/>
  <c r="Q1428" i="29" s="1"/>
  <c r="I1429" i="29"/>
  <c r="K1430" i="29"/>
  <c r="O1396" i="29" l="1" a="1"/>
  <c r="O1396" i="29" s="1"/>
  <c r="R1396" i="29" s="1"/>
  <c r="S1396" i="29" s="1"/>
  <c r="K1431" i="29"/>
  <c r="I1430" i="29"/>
  <c r="Q1429" i="29" a="1"/>
  <c r="Q1429" i="29" s="1"/>
  <c r="N1429" i="29" a="1"/>
  <c r="N1429" i="29" s="1"/>
  <c r="P1426" i="29"/>
  <c r="G1428" i="29"/>
  <c r="C1427" i="29" a="1"/>
  <c r="C1427" i="29" s="1"/>
  <c r="M1427" i="29"/>
  <c r="F1427" i="29"/>
  <c r="L1428" i="29" a="1"/>
  <c r="L1428" i="29" s="1"/>
  <c r="O1397" i="29" l="1" a="1"/>
  <c r="O1397" i="29" s="1"/>
  <c r="R1397" i="29" s="1"/>
  <c r="S1397" i="29" s="1"/>
  <c r="C1428" i="29" a="1"/>
  <c r="C1428" i="29" s="1"/>
  <c r="M1428" i="29"/>
  <c r="F1428" i="29"/>
  <c r="L1429" i="29" a="1"/>
  <c r="L1429" i="29" s="1"/>
  <c r="G1429" i="29"/>
  <c r="P1427" i="29"/>
  <c r="B1429" i="29"/>
  <c r="N1430" i="29" a="1"/>
  <c r="N1430" i="29" s="1"/>
  <c r="Q1430" i="29" a="1"/>
  <c r="Q1430" i="29" s="1"/>
  <c r="I1431" i="29"/>
  <c r="K1432" i="29"/>
  <c r="O1398" i="29" l="1" a="1"/>
  <c r="O1398" i="29" s="1"/>
  <c r="R1398" i="29" s="1"/>
  <c r="S1398" i="29" s="1"/>
  <c r="C1429" i="29" a="1"/>
  <c r="C1429" i="29" s="1"/>
  <c r="M1429" i="29"/>
  <c r="F1429" i="29"/>
  <c r="L1430" i="29" a="1"/>
  <c r="L1430" i="29" s="1"/>
  <c r="P1428" i="29"/>
  <c r="Q1431" i="29" a="1"/>
  <c r="Q1431" i="29" s="1"/>
  <c r="N1431" i="29" a="1"/>
  <c r="N1431" i="29" s="1"/>
  <c r="B1430" i="29"/>
  <c r="G1430" i="29"/>
  <c r="K1433" i="29"/>
  <c r="I1432" i="29"/>
  <c r="O1399" i="29" l="1" a="1"/>
  <c r="O1399" i="29" s="1"/>
  <c r="R1399" i="29" s="1"/>
  <c r="S1399" i="29" s="1"/>
  <c r="C1430" i="29" a="1"/>
  <c r="C1430" i="29" s="1"/>
  <c r="M1430" i="29"/>
  <c r="F1430" i="29"/>
  <c r="L1431" i="29" a="1"/>
  <c r="L1431" i="29" s="1"/>
  <c r="G1431" i="29"/>
  <c r="I1433" i="29"/>
  <c r="K1434" i="29"/>
  <c r="P1429" i="29"/>
  <c r="B1431" i="29"/>
  <c r="N1432" i="29" a="1"/>
  <c r="N1432" i="29" s="1"/>
  <c r="Q1432" i="29" a="1"/>
  <c r="Q1432" i="29" s="1"/>
  <c r="O1400" i="29" l="1" a="1"/>
  <c r="O1400" i="29" s="1"/>
  <c r="R1400" i="29" s="1"/>
  <c r="S1400" i="29" s="1"/>
  <c r="G1432" i="29"/>
  <c r="P1430" i="29"/>
  <c r="C1431" i="29" a="1"/>
  <c r="C1431" i="29" s="1"/>
  <c r="M1431" i="29"/>
  <c r="F1431" i="29"/>
  <c r="L1432" i="29" a="1"/>
  <c r="L1432" i="29" s="1"/>
  <c r="B1433" i="29" s="1"/>
  <c r="K1435" i="29"/>
  <c r="I1434" i="29"/>
  <c r="B1432" i="29"/>
  <c r="Q1433" i="29" a="1"/>
  <c r="Q1433" i="29" s="1"/>
  <c r="N1433" i="29" a="1"/>
  <c r="N1433" i="29" s="1"/>
  <c r="O1401" i="29" l="1" a="1"/>
  <c r="O1401" i="29" s="1"/>
  <c r="R1401" i="29" s="1"/>
  <c r="S1401" i="29" s="1"/>
  <c r="P1431" i="29"/>
  <c r="N1434" i="29" a="1"/>
  <c r="N1434" i="29" s="1"/>
  <c r="Q1434" i="29" a="1"/>
  <c r="Q1434" i="29" s="1"/>
  <c r="I1435" i="29"/>
  <c r="K1436" i="29"/>
  <c r="G1433" i="29"/>
  <c r="C1432" i="29" a="1"/>
  <c r="C1432" i="29" s="1"/>
  <c r="M1432" i="29"/>
  <c r="F1432" i="29"/>
  <c r="L1433" i="29" a="1"/>
  <c r="L1433" i="29" s="1"/>
  <c r="O1402" i="29" l="1" a="1"/>
  <c r="O1402" i="29" s="1"/>
  <c r="R1402" i="29" s="1"/>
  <c r="S1402" i="29" s="1"/>
  <c r="C1433" i="29" a="1"/>
  <c r="C1433" i="29" s="1"/>
  <c r="M1433" i="29"/>
  <c r="F1433" i="29"/>
  <c r="L1434" i="29" a="1"/>
  <c r="L1434" i="29" s="1"/>
  <c r="B1435" i="29" s="1"/>
  <c r="B1434" i="29"/>
  <c r="P1432" i="29"/>
  <c r="G1434" i="29"/>
  <c r="K1437" i="29"/>
  <c r="I1436" i="29"/>
  <c r="Q1435" i="29" a="1"/>
  <c r="Q1435" i="29" s="1"/>
  <c r="N1435" i="29" a="1"/>
  <c r="N1435" i="29" s="1"/>
  <c r="O1403" i="29" l="1" a="1"/>
  <c r="O1403" i="29" s="1"/>
  <c r="R1403" i="29" s="1"/>
  <c r="S1403" i="29" s="1"/>
  <c r="G1435" i="29"/>
  <c r="P1433" i="29"/>
  <c r="C1434" i="29" a="1"/>
  <c r="C1434" i="29" s="1"/>
  <c r="M1434" i="29"/>
  <c r="F1434" i="29"/>
  <c r="L1435" i="29" a="1"/>
  <c r="L1435" i="29" s="1"/>
  <c r="B1436" i="29" s="1"/>
  <c r="N1436" i="29" a="1"/>
  <c r="N1436" i="29" s="1"/>
  <c r="Q1436" i="29" a="1"/>
  <c r="Q1436" i="29" s="1"/>
  <c r="I1437" i="29"/>
  <c r="K1438" i="29"/>
  <c r="O1404" i="29" l="1" a="1"/>
  <c r="O1404" i="29" s="1"/>
  <c r="R1404" i="29" s="1"/>
  <c r="S1404" i="29" s="1"/>
  <c r="P1434" i="29"/>
  <c r="Q1437" i="29" a="1"/>
  <c r="Q1437" i="29" s="1"/>
  <c r="N1437" i="29" a="1"/>
  <c r="N1437" i="29" s="1"/>
  <c r="G1436" i="29"/>
  <c r="K1439" i="29"/>
  <c r="I1438" i="29"/>
  <c r="C1435" i="29" a="1"/>
  <c r="C1435" i="29" s="1"/>
  <c r="M1435" i="29"/>
  <c r="F1435" i="29"/>
  <c r="L1436" i="29" a="1"/>
  <c r="L1436" i="29" s="1"/>
  <c r="B1437" i="29" s="1"/>
  <c r="O1405" i="29" l="1" a="1"/>
  <c r="O1405" i="29" s="1"/>
  <c r="R1405" i="29" s="1"/>
  <c r="S1405" i="29" s="1"/>
  <c r="P1435" i="29"/>
  <c r="C1436" i="29" a="1"/>
  <c r="C1436" i="29" s="1"/>
  <c r="M1436" i="29"/>
  <c r="F1436" i="29"/>
  <c r="L1437" i="29" a="1"/>
  <c r="L1437" i="29" s="1"/>
  <c r="G1437" i="29"/>
  <c r="N1438" i="29" a="1"/>
  <c r="N1438" i="29" s="1"/>
  <c r="Q1438" i="29" a="1"/>
  <c r="Q1438" i="29" s="1"/>
  <c r="I1439" i="29"/>
  <c r="K1440" i="29"/>
  <c r="O1406" i="29" l="1" a="1"/>
  <c r="O1406" i="29" s="1"/>
  <c r="R1406" i="29" s="1"/>
  <c r="S1406" i="29" s="1"/>
  <c r="C1437" i="29" a="1"/>
  <c r="C1437" i="29" s="1"/>
  <c r="M1437" i="29"/>
  <c r="F1437" i="29"/>
  <c r="L1438" i="29" a="1"/>
  <c r="L1438" i="29" s="1"/>
  <c r="P1436" i="29"/>
  <c r="K1441" i="29"/>
  <c r="I1440" i="29"/>
  <c r="Q1439" i="29" a="1"/>
  <c r="Q1439" i="29" s="1"/>
  <c r="N1439" i="29" a="1"/>
  <c r="N1439" i="29" s="1"/>
  <c r="B1438" i="29"/>
  <c r="G1438" i="29"/>
  <c r="O1407" i="29" l="1" a="1"/>
  <c r="O1407" i="29" s="1"/>
  <c r="R1407" i="29" s="1"/>
  <c r="S1407" i="29" s="1"/>
  <c r="C1438" i="29" a="1"/>
  <c r="C1438" i="29" s="1"/>
  <c r="M1438" i="29"/>
  <c r="F1438" i="29"/>
  <c r="L1439" i="29" a="1"/>
  <c r="L1439" i="29" s="1"/>
  <c r="B1440" i="29" s="1"/>
  <c r="P1437" i="29"/>
  <c r="G1439" i="29"/>
  <c r="B1439" i="29"/>
  <c r="N1440" i="29" a="1"/>
  <c r="N1440" i="29" s="1"/>
  <c r="Q1440" i="29" a="1"/>
  <c r="Q1440" i="29" s="1"/>
  <c r="I1441" i="29"/>
  <c r="K1442" i="29"/>
  <c r="O1408" i="29" l="1" a="1"/>
  <c r="O1408" i="29" s="1"/>
  <c r="R1408" i="29" s="1"/>
  <c r="S1408" i="29" s="1"/>
  <c r="Q1441" i="29" a="1"/>
  <c r="Q1441" i="29" s="1"/>
  <c r="N1441" i="29" a="1"/>
  <c r="N1441" i="29" s="1"/>
  <c r="G1440" i="29"/>
  <c r="C1439" i="29" a="1"/>
  <c r="C1439" i="29" s="1"/>
  <c r="M1439" i="29"/>
  <c r="F1439" i="29"/>
  <c r="L1440" i="29" a="1"/>
  <c r="L1440" i="29" s="1"/>
  <c r="P1438" i="29"/>
  <c r="K1443" i="29"/>
  <c r="I1442" i="29"/>
  <c r="O1409" i="29" l="1" a="1"/>
  <c r="O1409" i="29" s="1"/>
  <c r="R1409" i="29" s="1"/>
  <c r="S1409" i="29" s="1"/>
  <c r="C1440" i="29" a="1"/>
  <c r="C1440" i="29" s="1"/>
  <c r="M1440" i="29"/>
  <c r="F1440" i="29"/>
  <c r="L1441" i="29" a="1"/>
  <c r="L1441" i="29" s="1"/>
  <c r="B1442" i="29" s="1"/>
  <c r="B1441" i="29"/>
  <c r="N1442" i="29" a="1"/>
  <c r="N1442" i="29" s="1"/>
  <c r="Q1442" i="29" a="1"/>
  <c r="Q1442" i="29" s="1"/>
  <c r="I1443" i="29"/>
  <c r="K1444" i="29"/>
  <c r="P1439" i="29"/>
  <c r="G1441" i="29"/>
  <c r="O1410" i="29" l="1" a="1"/>
  <c r="O1410" i="29" s="1"/>
  <c r="R1410" i="29" s="1"/>
  <c r="S1410" i="29" s="1"/>
  <c r="G1442" i="29"/>
  <c r="P1440" i="29"/>
  <c r="C1441" i="29" a="1"/>
  <c r="C1441" i="29" s="1"/>
  <c r="M1441" i="29"/>
  <c r="F1441" i="29"/>
  <c r="L1442" i="29" a="1"/>
  <c r="L1442" i="29" s="1"/>
  <c r="B1443" i="29" s="1"/>
  <c r="K1445" i="29"/>
  <c r="I1444" i="29"/>
  <c r="Q1443" i="29" a="1"/>
  <c r="Q1443" i="29" s="1"/>
  <c r="N1443" i="29" a="1"/>
  <c r="N1443" i="29" s="1"/>
  <c r="O1411" i="29" l="1" a="1"/>
  <c r="O1411" i="29" s="1"/>
  <c r="R1411" i="29" s="1"/>
  <c r="S1411" i="29" s="1"/>
  <c r="N1444" i="29" a="1"/>
  <c r="N1444" i="29" s="1"/>
  <c r="Q1444" i="29" a="1"/>
  <c r="Q1444" i="29" s="1"/>
  <c r="I1445" i="29"/>
  <c r="K1446" i="29"/>
  <c r="C1442" i="29" a="1"/>
  <c r="C1442" i="29" s="1"/>
  <c r="M1442" i="29"/>
  <c r="F1442" i="29"/>
  <c r="L1443" i="29" a="1"/>
  <c r="L1443" i="29" s="1"/>
  <c r="P1441" i="29"/>
  <c r="G1443" i="29"/>
  <c r="O1412" i="29" l="1" a="1"/>
  <c r="O1412" i="29" s="1"/>
  <c r="R1412" i="29" s="1"/>
  <c r="S1412" i="29" s="1"/>
  <c r="C1443" i="29" a="1"/>
  <c r="C1443" i="29" s="1"/>
  <c r="M1443" i="29"/>
  <c r="F1443" i="29"/>
  <c r="L1444" i="29" a="1"/>
  <c r="L1444" i="29" s="1"/>
  <c r="K1447" i="29"/>
  <c r="I1446" i="29"/>
  <c r="Q1445" i="29" a="1"/>
  <c r="Q1445" i="29" s="1"/>
  <c r="N1445" i="29" a="1"/>
  <c r="N1445" i="29" s="1"/>
  <c r="B1444" i="29"/>
  <c r="G1444" i="29"/>
  <c r="P1442" i="29"/>
  <c r="O1413" i="29" l="1" a="1"/>
  <c r="O1413" i="29" s="1"/>
  <c r="R1413" i="29" s="1"/>
  <c r="S1413" i="29" s="1"/>
  <c r="I1447" i="29"/>
  <c r="K1448" i="29"/>
  <c r="G1445" i="29"/>
  <c r="N1446" i="29" a="1"/>
  <c r="N1446" i="29" s="1"/>
  <c r="Q1446" i="29" a="1"/>
  <c r="Q1446" i="29" s="1"/>
  <c r="P1443" i="29"/>
  <c r="C1444" i="29" a="1"/>
  <c r="C1444" i="29" s="1"/>
  <c r="M1444" i="29"/>
  <c r="F1444" i="29"/>
  <c r="L1445" i="29" a="1"/>
  <c r="L1445" i="29" s="1"/>
  <c r="B1445" i="29"/>
  <c r="O1414" i="29" l="1" a="1"/>
  <c r="O1414" i="29" s="1"/>
  <c r="R1414" i="29" s="1"/>
  <c r="S1414" i="29" s="1"/>
  <c r="G1446" i="29"/>
  <c r="P1444" i="29"/>
  <c r="C1445" i="29" a="1"/>
  <c r="C1445" i="29" s="1"/>
  <c r="M1445" i="29"/>
  <c r="F1445" i="29"/>
  <c r="L1446" i="29" a="1"/>
  <c r="L1446" i="29" s="1"/>
  <c r="K1449" i="29"/>
  <c r="I1448" i="29"/>
  <c r="Q1447" i="29" a="1"/>
  <c r="Q1447" i="29" s="1"/>
  <c r="N1447" i="29" a="1"/>
  <c r="N1447" i="29" s="1"/>
  <c r="B1446" i="29"/>
  <c r="O1415" i="29" l="1" a="1"/>
  <c r="O1415" i="29" s="1"/>
  <c r="R1415" i="29" s="1"/>
  <c r="S1415" i="29" s="1"/>
  <c r="G1447" i="29"/>
  <c r="P1445" i="29"/>
  <c r="C1446" i="29" a="1"/>
  <c r="C1446" i="29" s="1"/>
  <c r="M1446" i="29"/>
  <c r="F1446" i="29"/>
  <c r="L1447" i="29" a="1"/>
  <c r="L1447" i="29" s="1"/>
  <c r="B1448" i="29" s="1"/>
  <c r="B1447" i="29"/>
  <c r="N1448" i="29" a="1"/>
  <c r="N1448" i="29" s="1"/>
  <c r="Q1448" i="29" a="1"/>
  <c r="Q1448" i="29" s="1"/>
  <c r="I1449" i="29"/>
  <c r="K1450" i="29"/>
  <c r="O1416" i="29" l="1" a="1"/>
  <c r="O1416" i="29" s="1"/>
  <c r="R1416" i="29" s="1"/>
  <c r="S1416" i="29" s="1"/>
  <c r="Q1449" i="29" a="1"/>
  <c r="Q1449" i="29" s="1"/>
  <c r="N1449" i="29" a="1"/>
  <c r="N1449" i="29" s="1"/>
  <c r="G1448" i="29"/>
  <c r="P1446" i="29"/>
  <c r="C1447" i="29" a="1"/>
  <c r="C1447" i="29" s="1"/>
  <c r="M1447" i="29"/>
  <c r="F1447" i="29"/>
  <c r="L1448" i="29" a="1"/>
  <c r="L1448" i="29" s="1"/>
  <c r="K1451" i="29"/>
  <c r="I1450" i="29"/>
  <c r="O1417" i="29" l="1" a="1"/>
  <c r="O1417" i="29" s="1"/>
  <c r="R1417" i="29" s="1"/>
  <c r="S1417" i="29" s="1"/>
  <c r="N1450" i="29" a="1"/>
  <c r="N1450" i="29" s="1"/>
  <c r="Q1450" i="29" a="1"/>
  <c r="Q1450" i="29" s="1"/>
  <c r="I1451" i="29"/>
  <c r="K1452" i="29"/>
  <c r="C1448" i="29" a="1"/>
  <c r="C1448" i="29" s="1"/>
  <c r="M1448" i="29"/>
  <c r="F1448" i="29"/>
  <c r="L1449" i="29" a="1"/>
  <c r="L1449" i="29" s="1"/>
  <c r="B1450" i="29" s="1"/>
  <c r="G1449" i="29"/>
  <c r="P1447" i="29"/>
  <c r="B1449" i="29"/>
  <c r="O1418" i="29" l="1" a="1"/>
  <c r="O1418" i="29" s="1"/>
  <c r="R1418" i="29" s="1"/>
  <c r="S1418" i="29" s="1"/>
  <c r="K1453" i="29"/>
  <c r="I1452" i="29"/>
  <c r="Q1451" i="29" a="1"/>
  <c r="Q1451" i="29" s="1"/>
  <c r="N1451" i="29" a="1"/>
  <c r="N1451" i="29" s="1"/>
  <c r="C1449" i="29" a="1"/>
  <c r="C1449" i="29" s="1"/>
  <c r="M1449" i="29"/>
  <c r="F1449" i="29"/>
  <c r="L1450" i="29" a="1"/>
  <c r="L1450" i="29" s="1"/>
  <c r="B1451" i="29" s="1"/>
  <c r="G1450" i="29"/>
  <c r="P1448" i="29"/>
  <c r="O1419" i="29" l="1" a="1"/>
  <c r="O1419" i="29" s="1"/>
  <c r="R1419" i="29" s="1"/>
  <c r="S1419" i="29" s="1"/>
  <c r="G1451" i="29"/>
  <c r="C1450" i="29" a="1"/>
  <c r="C1450" i="29" s="1"/>
  <c r="M1450" i="29"/>
  <c r="F1450" i="29"/>
  <c r="L1451" i="29" a="1"/>
  <c r="L1451" i="29" s="1"/>
  <c r="N1452" i="29" a="1"/>
  <c r="N1452" i="29" s="1"/>
  <c r="Q1452" i="29" a="1"/>
  <c r="Q1452" i="29" s="1"/>
  <c r="I1453" i="29"/>
  <c r="K1454" i="29"/>
  <c r="P1449" i="29"/>
  <c r="O1420" i="29" l="1" a="1"/>
  <c r="O1420" i="29" s="1"/>
  <c r="R1420" i="29" s="1"/>
  <c r="S1420" i="29" s="1"/>
  <c r="K1455" i="29"/>
  <c r="I1454" i="29"/>
  <c r="P1450" i="29"/>
  <c r="Q1453" i="29" a="1"/>
  <c r="Q1453" i="29" s="1"/>
  <c r="N1453" i="29" a="1"/>
  <c r="N1453" i="29" s="1"/>
  <c r="C1451" i="29" a="1"/>
  <c r="C1451" i="29" s="1"/>
  <c r="M1451" i="29"/>
  <c r="F1451" i="29"/>
  <c r="L1452" i="29" a="1"/>
  <c r="L1452" i="29" s="1"/>
  <c r="B1453" i="29" s="1"/>
  <c r="B1452" i="29"/>
  <c r="G1452" i="29"/>
  <c r="O1421" i="29" l="1" a="1"/>
  <c r="O1421" i="29" s="1"/>
  <c r="R1421" i="29" s="1"/>
  <c r="S1421" i="29" s="1"/>
  <c r="C1452" i="29" a="1"/>
  <c r="C1452" i="29" s="1"/>
  <c r="M1452" i="29"/>
  <c r="F1452" i="29"/>
  <c r="L1453" i="29" a="1"/>
  <c r="L1453" i="29" s="1"/>
  <c r="P1451" i="29"/>
  <c r="N1454" i="29" a="1"/>
  <c r="N1454" i="29" s="1"/>
  <c r="Q1454" i="29" a="1"/>
  <c r="Q1454" i="29" s="1"/>
  <c r="I1455" i="29"/>
  <c r="K1456" i="29"/>
  <c r="G1453" i="29"/>
  <c r="O1422" i="29" l="1" a="1"/>
  <c r="O1422" i="29" s="1"/>
  <c r="R1422" i="29" s="1"/>
  <c r="S1422" i="29" s="1"/>
  <c r="K1457" i="29"/>
  <c r="I1456" i="29"/>
  <c r="C1453" i="29" a="1"/>
  <c r="C1453" i="29" s="1"/>
  <c r="M1453" i="29"/>
  <c r="F1453" i="29"/>
  <c r="L1454" i="29" a="1"/>
  <c r="L1454" i="29" s="1"/>
  <c r="Q1455" i="29" a="1"/>
  <c r="Q1455" i="29" s="1"/>
  <c r="N1455" i="29" a="1"/>
  <c r="N1455" i="29" s="1"/>
  <c r="B1454" i="29"/>
  <c r="P1452" i="29"/>
  <c r="G1454" i="29"/>
  <c r="O1423" i="29" l="1" a="1"/>
  <c r="O1423" i="29" s="1"/>
  <c r="R1423" i="29" s="1"/>
  <c r="S1423" i="29" s="1"/>
  <c r="P1453" i="29"/>
  <c r="N1456" i="29" a="1"/>
  <c r="N1456" i="29" s="1"/>
  <c r="Q1456" i="29" a="1"/>
  <c r="Q1456" i="29" s="1"/>
  <c r="C1454" i="29" a="1"/>
  <c r="C1454" i="29" s="1"/>
  <c r="M1454" i="29"/>
  <c r="F1454" i="29"/>
  <c r="L1455" i="29" a="1"/>
  <c r="L1455" i="29" s="1"/>
  <c r="B1456" i="29" s="1"/>
  <c r="G1455" i="29"/>
  <c r="I1457" i="29"/>
  <c r="K1458" i="29"/>
  <c r="B1455" i="29"/>
  <c r="O1424" i="29" l="1" a="1"/>
  <c r="O1424" i="29" s="1"/>
  <c r="R1424" i="29" s="1"/>
  <c r="S1424" i="29" s="1"/>
  <c r="Q1457" i="29" a="1"/>
  <c r="Q1457" i="29" s="1"/>
  <c r="N1457" i="29" a="1"/>
  <c r="N1457" i="29" s="1"/>
  <c r="G1456" i="29"/>
  <c r="P1454" i="29"/>
  <c r="K1459" i="29"/>
  <c r="I1458" i="29"/>
  <c r="C1455" i="29" a="1"/>
  <c r="C1455" i="29" s="1"/>
  <c r="M1455" i="29"/>
  <c r="F1455" i="29"/>
  <c r="L1456" i="29" a="1"/>
  <c r="L1456" i="29" s="1"/>
  <c r="O1425" i="29" l="1" a="1"/>
  <c r="O1425" i="29" s="1"/>
  <c r="R1425" i="29" s="1"/>
  <c r="S1425" i="29" s="1"/>
  <c r="C1456" i="29" a="1"/>
  <c r="C1456" i="29" s="1"/>
  <c r="M1456" i="29"/>
  <c r="F1456" i="29"/>
  <c r="L1457" i="29" a="1"/>
  <c r="L1457" i="29" s="1"/>
  <c r="P1455" i="29"/>
  <c r="G1457" i="29"/>
  <c r="N1458" i="29" a="1"/>
  <c r="N1458" i="29" s="1"/>
  <c r="Q1458" i="29" a="1"/>
  <c r="Q1458" i="29" s="1"/>
  <c r="B1457" i="29"/>
  <c r="I1459" i="29"/>
  <c r="K1460" i="29"/>
  <c r="O1426" i="29" l="1" a="1"/>
  <c r="O1426" i="29" s="1"/>
  <c r="R1426" i="29" s="1"/>
  <c r="S1426" i="29" s="1"/>
  <c r="C1457" i="29" a="1"/>
  <c r="C1457" i="29" s="1"/>
  <c r="M1457" i="29"/>
  <c r="F1457" i="29"/>
  <c r="L1458" i="29" a="1"/>
  <c r="L1458" i="29" s="1"/>
  <c r="B1459" i="29" s="1"/>
  <c r="P1456" i="29"/>
  <c r="G1458" i="29"/>
  <c r="Q1459" i="29" a="1"/>
  <c r="Q1459" i="29" s="1"/>
  <c r="N1459" i="29" a="1"/>
  <c r="N1459" i="29" s="1"/>
  <c r="B1458" i="29"/>
  <c r="K1461" i="29"/>
  <c r="I1460" i="29"/>
  <c r="O1427" i="29" l="1" a="1"/>
  <c r="O1427" i="29" s="1"/>
  <c r="R1427" i="29" s="1"/>
  <c r="S1427" i="29" s="1"/>
  <c r="I1461" i="29"/>
  <c r="K1462" i="29"/>
  <c r="P1457" i="29"/>
  <c r="G1459" i="29"/>
  <c r="C1458" i="29" a="1"/>
  <c r="C1458" i="29" s="1"/>
  <c r="M1458" i="29"/>
  <c r="F1458" i="29"/>
  <c r="L1459" i="29" a="1"/>
  <c r="L1459" i="29" s="1"/>
  <c r="B1460" i="29" s="1"/>
  <c r="N1460" i="29" a="1"/>
  <c r="N1460" i="29" s="1"/>
  <c r="Q1460" i="29" a="1"/>
  <c r="Q1460" i="29" s="1"/>
  <c r="O1428" i="29" l="1" a="1"/>
  <c r="O1428" i="29" s="1"/>
  <c r="R1428" i="29" s="1"/>
  <c r="S1428" i="29" s="1"/>
  <c r="G1460" i="29"/>
  <c r="C1459" i="29" a="1"/>
  <c r="C1459" i="29" s="1"/>
  <c r="M1459" i="29"/>
  <c r="F1459" i="29"/>
  <c r="L1460" i="29" a="1"/>
  <c r="L1460" i="29" s="1"/>
  <c r="K1463" i="29"/>
  <c r="I1462" i="29"/>
  <c r="Q1461" i="29" a="1"/>
  <c r="Q1461" i="29" s="1"/>
  <c r="N1461" i="29" a="1"/>
  <c r="N1461" i="29" s="1"/>
  <c r="P1458" i="29"/>
  <c r="O1429" i="29" l="1" a="1"/>
  <c r="O1429" i="29" s="1"/>
  <c r="R1429" i="29" s="1"/>
  <c r="S1429" i="29" s="1"/>
  <c r="P1459" i="29"/>
  <c r="C1460" i="29" a="1"/>
  <c r="C1460" i="29" s="1"/>
  <c r="M1460" i="29"/>
  <c r="F1460" i="29"/>
  <c r="L1461" i="29" a="1"/>
  <c r="L1461" i="29" s="1"/>
  <c r="G1461" i="29"/>
  <c r="B1461" i="29"/>
  <c r="N1462" i="29" a="1"/>
  <c r="N1462" i="29" s="1"/>
  <c r="Q1462" i="29" a="1"/>
  <c r="Q1462" i="29" s="1"/>
  <c r="I1463" i="29"/>
  <c r="K1464" i="29"/>
  <c r="O1430" i="29" l="1" a="1"/>
  <c r="O1430" i="29" s="1"/>
  <c r="R1430" i="29" s="1"/>
  <c r="S1430" i="29" s="1"/>
  <c r="Q1463" i="29" a="1"/>
  <c r="Q1463" i="29" s="1"/>
  <c r="N1463" i="29" a="1"/>
  <c r="N1463" i="29" s="1"/>
  <c r="P1460" i="29"/>
  <c r="G1462" i="29"/>
  <c r="C1461" i="29" a="1"/>
  <c r="C1461" i="29" s="1"/>
  <c r="M1461" i="29"/>
  <c r="F1461" i="29"/>
  <c r="L1462" i="29" a="1"/>
  <c r="L1462" i="29" s="1"/>
  <c r="B1462" i="29"/>
  <c r="K1465" i="29"/>
  <c r="I1464" i="29"/>
  <c r="O1431" i="29" l="1" a="1"/>
  <c r="O1431" i="29" s="1"/>
  <c r="R1431" i="29" s="1"/>
  <c r="S1431" i="29" s="1"/>
  <c r="I1465" i="29"/>
  <c r="K1466" i="29"/>
  <c r="C1462" i="29" a="1"/>
  <c r="C1462" i="29" s="1"/>
  <c r="M1462" i="29"/>
  <c r="F1462" i="29"/>
  <c r="L1463" i="29" a="1"/>
  <c r="L1463" i="29" s="1"/>
  <c r="G1463" i="29"/>
  <c r="P1461" i="29"/>
  <c r="B1463" i="29"/>
  <c r="N1464" i="29" a="1"/>
  <c r="N1464" i="29" s="1"/>
  <c r="Q1464" i="29" a="1"/>
  <c r="Q1464" i="29" s="1"/>
  <c r="O1432" i="29" l="1" a="1"/>
  <c r="O1432" i="29" s="1"/>
  <c r="R1432" i="29" s="1"/>
  <c r="S1432" i="29" s="1"/>
  <c r="G1464" i="29"/>
  <c r="P1462" i="29"/>
  <c r="C1463" i="29" a="1"/>
  <c r="C1463" i="29" s="1"/>
  <c r="M1463" i="29"/>
  <c r="F1463" i="29"/>
  <c r="L1464" i="29" a="1"/>
  <c r="L1464" i="29" s="1"/>
  <c r="K1467" i="29"/>
  <c r="I1466" i="29"/>
  <c r="Q1465" i="29" a="1"/>
  <c r="Q1465" i="29" s="1"/>
  <c r="N1465" i="29" a="1"/>
  <c r="N1465" i="29" s="1"/>
  <c r="B1464" i="29"/>
  <c r="O1433" i="29" l="1" a="1"/>
  <c r="O1433" i="29" s="1"/>
  <c r="R1433" i="29" s="1"/>
  <c r="S1433" i="29" s="1"/>
  <c r="G1465" i="29"/>
  <c r="C1464" i="29" a="1"/>
  <c r="C1464" i="29" s="1"/>
  <c r="M1464" i="29"/>
  <c r="F1464" i="29"/>
  <c r="L1465" i="29" a="1"/>
  <c r="L1465" i="29" s="1"/>
  <c r="P1463" i="29"/>
  <c r="B1465" i="29"/>
  <c r="N1466" i="29" a="1"/>
  <c r="N1466" i="29" s="1"/>
  <c r="Q1466" i="29" a="1"/>
  <c r="Q1466" i="29" s="1"/>
  <c r="I1467" i="29"/>
  <c r="K1468" i="29"/>
  <c r="O1434" i="29" l="1" a="1"/>
  <c r="O1434" i="29" s="1"/>
  <c r="R1434" i="29" s="1"/>
  <c r="S1434" i="29" s="1"/>
  <c r="Q1467" i="29" a="1"/>
  <c r="Q1467" i="29" s="1"/>
  <c r="N1467" i="29" a="1"/>
  <c r="N1467" i="29" s="1"/>
  <c r="C1465" i="29" a="1"/>
  <c r="C1465" i="29" s="1"/>
  <c r="M1465" i="29"/>
  <c r="F1465" i="29"/>
  <c r="L1466" i="29" a="1"/>
  <c r="L1466" i="29" s="1"/>
  <c r="B1466" i="29"/>
  <c r="P1464" i="29"/>
  <c r="G1466" i="29"/>
  <c r="K1469" i="29"/>
  <c r="I1468" i="29"/>
  <c r="O1435" i="29" l="1" a="1"/>
  <c r="O1435" i="29" s="1"/>
  <c r="R1435" i="29" s="1"/>
  <c r="S1435" i="29" s="1"/>
  <c r="C1466" i="29" a="1"/>
  <c r="C1466" i="29" s="1"/>
  <c r="M1466" i="29"/>
  <c r="F1466" i="29"/>
  <c r="L1467" i="29" a="1"/>
  <c r="L1467" i="29" s="1"/>
  <c r="I1469" i="29"/>
  <c r="K1470" i="29"/>
  <c r="P1465" i="29"/>
  <c r="G1467" i="29"/>
  <c r="B1467" i="29"/>
  <c r="N1468" i="29" a="1"/>
  <c r="N1468" i="29" s="1"/>
  <c r="Q1468" i="29" a="1"/>
  <c r="Q1468" i="29" s="1"/>
  <c r="O1436" i="29" l="1" a="1"/>
  <c r="O1436" i="29" s="1"/>
  <c r="R1436" i="29" s="1"/>
  <c r="S1436" i="29" s="1"/>
  <c r="C1467" i="29" a="1"/>
  <c r="C1467" i="29" s="1"/>
  <c r="M1467" i="29"/>
  <c r="F1467" i="29"/>
  <c r="L1468" i="29" a="1"/>
  <c r="L1468" i="29" s="1"/>
  <c r="P1466" i="29"/>
  <c r="K1471" i="29"/>
  <c r="I1470" i="29"/>
  <c r="Q1469" i="29" a="1"/>
  <c r="Q1469" i="29" s="1"/>
  <c r="N1469" i="29" a="1"/>
  <c r="N1469" i="29" s="1"/>
  <c r="G1468" i="29"/>
  <c r="B1468" i="29"/>
  <c r="O1437" i="29" l="1" a="1"/>
  <c r="O1437" i="29" s="1"/>
  <c r="R1437" i="29" s="1"/>
  <c r="S1437" i="29" s="1"/>
  <c r="C1468" i="29" a="1"/>
  <c r="C1468" i="29" s="1"/>
  <c r="M1468" i="29"/>
  <c r="F1468" i="29"/>
  <c r="L1469" i="29" a="1"/>
  <c r="L1469" i="29" s="1"/>
  <c r="N1470" i="29" a="1"/>
  <c r="N1470" i="29" s="1"/>
  <c r="Q1470" i="29" a="1"/>
  <c r="Q1470" i="29" s="1"/>
  <c r="G1469" i="29"/>
  <c r="B1469" i="29"/>
  <c r="P1467" i="29"/>
  <c r="I1471" i="29"/>
  <c r="K1472" i="29"/>
  <c r="O1438" i="29" l="1" a="1"/>
  <c r="O1438" i="29" s="1"/>
  <c r="R1438" i="29" s="1"/>
  <c r="S1438" i="29" s="1"/>
  <c r="C1469" i="29" a="1"/>
  <c r="C1469" i="29" s="1"/>
  <c r="M1469" i="29"/>
  <c r="F1469" i="29"/>
  <c r="L1470" i="29" a="1"/>
  <c r="L1470" i="29" s="1"/>
  <c r="P1468" i="29"/>
  <c r="B1470" i="29"/>
  <c r="Q1471" i="29" a="1"/>
  <c r="Q1471" i="29" s="1"/>
  <c r="N1471" i="29" a="1"/>
  <c r="N1471" i="29" s="1"/>
  <c r="G1470" i="29"/>
  <c r="K1473" i="29"/>
  <c r="I1472" i="29"/>
  <c r="O1439" i="29" l="1" a="1"/>
  <c r="O1439" i="29" s="1"/>
  <c r="R1439" i="29" s="1"/>
  <c r="S1439" i="29" s="1"/>
  <c r="C1470" i="29" a="1"/>
  <c r="C1470" i="29" s="1"/>
  <c r="M1470" i="29"/>
  <c r="F1470" i="29"/>
  <c r="L1471" i="29" a="1"/>
  <c r="L1471" i="29" s="1"/>
  <c r="P1469" i="29"/>
  <c r="B1471" i="29"/>
  <c r="I1473" i="29"/>
  <c r="K1474" i="29"/>
  <c r="G1471" i="29"/>
  <c r="N1472" i="29" a="1"/>
  <c r="N1472" i="29" s="1"/>
  <c r="Q1472" i="29" a="1"/>
  <c r="Q1472" i="29" s="1"/>
  <c r="O1440" i="29" l="1" a="1"/>
  <c r="O1440" i="29" s="1"/>
  <c r="R1440" i="29" s="1"/>
  <c r="S1440" i="29" s="1"/>
  <c r="G1472" i="29"/>
  <c r="C1471" i="29" a="1"/>
  <c r="C1471" i="29" s="1"/>
  <c r="M1471" i="29"/>
  <c r="F1471" i="29"/>
  <c r="L1472" i="29" a="1"/>
  <c r="L1472" i="29" s="1"/>
  <c r="P1470" i="29"/>
  <c r="K1475" i="29"/>
  <c r="I1474" i="29"/>
  <c r="Q1473" i="29" a="1"/>
  <c r="Q1473" i="29" s="1"/>
  <c r="N1473" i="29" a="1"/>
  <c r="N1473" i="29" s="1"/>
  <c r="B1472" i="29"/>
  <c r="O1441" i="29" l="1" a="1"/>
  <c r="O1441" i="29" s="1"/>
  <c r="R1441" i="29" s="1"/>
  <c r="S1441" i="29" s="1"/>
  <c r="C1472" i="29" a="1"/>
  <c r="C1472" i="29" s="1"/>
  <c r="M1472" i="29"/>
  <c r="F1472" i="29"/>
  <c r="L1473" i="29" a="1"/>
  <c r="L1473" i="29" s="1"/>
  <c r="B1474" i="29" s="1"/>
  <c r="B1473" i="29"/>
  <c r="N1474" i="29" a="1"/>
  <c r="N1474" i="29" s="1"/>
  <c r="Q1474" i="29" a="1"/>
  <c r="Q1474" i="29" s="1"/>
  <c r="G1473" i="29"/>
  <c r="P1471" i="29"/>
  <c r="I1475" i="29"/>
  <c r="K1476" i="29"/>
  <c r="O1442" i="29" l="1" a="1"/>
  <c r="O1442" i="29" s="1"/>
  <c r="R1442" i="29" s="1"/>
  <c r="S1442" i="29" s="1"/>
  <c r="Q1475" i="29" a="1"/>
  <c r="Q1475" i="29" s="1"/>
  <c r="N1475" i="29" a="1"/>
  <c r="N1475" i="29" s="1"/>
  <c r="G1474" i="29"/>
  <c r="C1473" i="29" a="1"/>
  <c r="C1473" i="29" s="1"/>
  <c r="M1473" i="29"/>
  <c r="F1473" i="29"/>
  <c r="L1474" i="29" a="1"/>
  <c r="L1474" i="29" s="1"/>
  <c r="B1475" i="29" s="1"/>
  <c r="P1472" i="29"/>
  <c r="K1477" i="29"/>
  <c r="I1476" i="29"/>
  <c r="O1443" i="29" l="1" a="1"/>
  <c r="O1443" i="29" s="1"/>
  <c r="R1443" i="29" s="1"/>
  <c r="S1443" i="29" s="1"/>
  <c r="N1476" i="29" a="1"/>
  <c r="N1476" i="29" s="1"/>
  <c r="Q1476" i="29" a="1"/>
  <c r="Q1476" i="29" s="1"/>
  <c r="I1477" i="29"/>
  <c r="K1478" i="29"/>
  <c r="G1475" i="29"/>
  <c r="C1474" i="29" a="1"/>
  <c r="C1474" i="29" s="1"/>
  <c r="M1474" i="29"/>
  <c r="F1474" i="29"/>
  <c r="L1475" i="29" a="1"/>
  <c r="L1475" i="29" s="1"/>
  <c r="P1473" i="29"/>
  <c r="O1444" i="29" l="1" a="1"/>
  <c r="O1444" i="29" s="1"/>
  <c r="R1444" i="29" s="1"/>
  <c r="S1444" i="29" s="1"/>
  <c r="K1479" i="29"/>
  <c r="I1478" i="29"/>
  <c r="Q1477" i="29" a="1"/>
  <c r="Q1477" i="29" s="1"/>
  <c r="N1477" i="29" a="1"/>
  <c r="N1477" i="29" s="1"/>
  <c r="C1475" i="29" a="1"/>
  <c r="C1475" i="29" s="1"/>
  <c r="M1475" i="29"/>
  <c r="F1475" i="29"/>
  <c r="L1476" i="29" a="1"/>
  <c r="L1476" i="29" s="1"/>
  <c r="B1477" i="29" s="1"/>
  <c r="B1476" i="29"/>
  <c r="P1474" i="29"/>
  <c r="G1476" i="29"/>
  <c r="O1445" i="29" l="1" a="1"/>
  <c r="O1445" i="29" s="1"/>
  <c r="R1445" i="29" s="1"/>
  <c r="S1445" i="29" s="1"/>
  <c r="G1477" i="29"/>
  <c r="C1476" i="29" a="1"/>
  <c r="C1476" i="29" s="1"/>
  <c r="M1476" i="29"/>
  <c r="F1476" i="29"/>
  <c r="L1477" i="29" a="1"/>
  <c r="L1477" i="29" s="1"/>
  <c r="N1478" i="29" a="1"/>
  <c r="N1478" i="29" s="1"/>
  <c r="Q1478" i="29" a="1"/>
  <c r="Q1478" i="29" s="1"/>
  <c r="I1479" i="29"/>
  <c r="K1480" i="29"/>
  <c r="P1475" i="29"/>
  <c r="O1446" i="29" l="1" a="1"/>
  <c r="O1446" i="29" s="1"/>
  <c r="R1446" i="29" s="1"/>
  <c r="S1446" i="29" s="1"/>
  <c r="C1477" i="29" a="1"/>
  <c r="C1477" i="29" s="1"/>
  <c r="M1477" i="29"/>
  <c r="F1477" i="29"/>
  <c r="L1478" i="29" a="1"/>
  <c r="L1478" i="29" s="1"/>
  <c r="K1481" i="29"/>
  <c r="I1480" i="29"/>
  <c r="P1476" i="29"/>
  <c r="Q1479" i="29" a="1"/>
  <c r="Q1479" i="29" s="1"/>
  <c r="N1479" i="29" a="1"/>
  <c r="N1479" i="29" s="1"/>
  <c r="B1478" i="29"/>
  <c r="G1478" i="29"/>
  <c r="O1447" i="29" l="1" a="1"/>
  <c r="O1447" i="29" s="1"/>
  <c r="R1447" i="29" s="1"/>
  <c r="S1447" i="29" s="1"/>
  <c r="C1478" i="29" a="1"/>
  <c r="C1478" i="29" s="1"/>
  <c r="M1478" i="29"/>
  <c r="F1478" i="29"/>
  <c r="L1479" i="29" a="1"/>
  <c r="L1479" i="29" s="1"/>
  <c r="B1479" i="29"/>
  <c r="P1477" i="29"/>
  <c r="N1480" i="29" a="1"/>
  <c r="N1480" i="29" s="1"/>
  <c r="Q1480" i="29" a="1"/>
  <c r="Q1480" i="29" s="1"/>
  <c r="I1481" i="29"/>
  <c r="K1482" i="29"/>
  <c r="G1479" i="29"/>
  <c r="O1448" i="29" l="1" a="1"/>
  <c r="O1448" i="29" s="1"/>
  <c r="R1448" i="29" s="1"/>
  <c r="S1448" i="29" s="1"/>
  <c r="K1483" i="29"/>
  <c r="I1482" i="29"/>
  <c r="Q1481" i="29" a="1"/>
  <c r="Q1481" i="29" s="1"/>
  <c r="N1481" i="29" a="1"/>
  <c r="N1481" i="29" s="1"/>
  <c r="C1479" i="29" a="1"/>
  <c r="C1479" i="29" s="1"/>
  <c r="M1479" i="29"/>
  <c r="F1479" i="29"/>
  <c r="L1480" i="29" a="1"/>
  <c r="L1480" i="29" s="1"/>
  <c r="B1481" i="29" s="1"/>
  <c r="B1480" i="29"/>
  <c r="P1478" i="29"/>
  <c r="G1480" i="29"/>
  <c r="O1449" i="29" l="1" a="1"/>
  <c r="O1449" i="29" s="1"/>
  <c r="R1449" i="29" s="1"/>
  <c r="S1449" i="29" s="1"/>
  <c r="G1481" i="29"/>
  <c r="C1480" i="29" a="1"/>
  <c r="C1480" i="29" s="1"/>
  <c r="M1480" i="29"/>
  <c r="F1480" i="29"/>
  <c r="L1481" i="29" a="1"/>
  <c r="L1481" i="29" s="1"/>
  <c r="N1482" i="29" a="1"/>
  <c r="N1482" i="29" s="1"/>
  <c r="Q1482" i="29" a="1"/>
  <c r="Q1482" i="29" s="1"/>
  <c r="I1483" i="29"/>
  <c r="K1484" i="29"/>
  <c r="P1479" i="29"/>
  <c r="O1450" i="29" l="1" a="1"/>
  <c r="O1450" i="29" s="1"/>
  <c r="R1450" i="29" s="1"/>
  <c r="S1450" i="29" s="1"/>
  <c r="C1481" i="29" a="1"/>
  <c r="C1481" i="29" s="1"/>
  <c r="M1481" i="29"/>
  <c r="F1481" i="29"/>
  <c r="L1482" i="29" a="1"/>
  <c r="L1482" i="29" s="1"/>
  <c r="B1483" i="29" s="1"/>
  <c r="K1485" i="29"/>
  <c r="I1484" i="29"/>
  <c r="P1480" i="29"/>
  <c r="Q1483" i="29" a="1"/>
  <c r="Q1483" i="29" s="1"/>
  <c r="N1483" i="29" a="1"/>
  <c r="N1483" i="29" s="1"/>
  <c r="B1482" i="29"/>
  <c r="G1482" i="29"/>
  <c r="O1451" i="29" l="1" a="1"/>
  <c r="O1451" i="29" s="1"/>
  <c r="R1451" i="29" s="1"/>
  <c r="S1451" i="29" s="1"/>
  <c r="N1484" i="29" a="1"/>
  <c r="N1484" i="29" s="1"/>
  <c r="Q1484" i="29" a="1"/>
  <c r="Q1484" i="29" s="1"/>
  <c r="I1485" i="29"/>
  <c r="K1486" i="29"/>
  <c r="G1483" i="29"/>
  <c r="C1482" i="29" a="1"/>
  <c r="C1482" i="29" s="1"/>
  <c r="M1482" i="29"/>
  <c r="F1482" i="29"/>
  <c r="L1483" i="29" a="1"/>
  <c r="L1483" i="29" s="1"/>
  <c r="P1481" i="29"/>
  <c r="O1452" i="29" l="1" a="1"/>
  <c r="O1452" i="29" s="1"/>
  <c r="R1452" i="29" s="1"/>
  <c r="S1452" i="29" s="1"/>
  <c r="K1487" i="29"/>
  <c r="I1486" i="29"/>
  <c r="Q1485" i="29" a="1"/>
  <c r="Q1485" i="29" s="1"/>
  <c r="N1485" i="29" a="1"/>
  <c r="N1485" i="29" s="1"/>
  <c r="C1483" i="29" a="1"/>
  <c r="C1483" i="29" s="1"/>
  <c r="M1483" i="29"/>
  <c r="F1483" i="29"/>
  <c r="L1484" i="29" a="1"/>
  <c r="L1484" i="29" s="1"/>
  <c r="B1485" i="29" s="1"/>
  <c r="B1484" i="29"/>
  <c r="P1482" i="29"/>
  <c r="G1484" i="29"/>
  <c r="O1453" i="29" l="1" a="1"/>
  <c r="O1453" i="29" s="1"/>
  <c r="R1453" i="29" s="1"/>
  <c r="S1453" i="29" s="1"/>
  <c r="I1487" i="29"/>
  <c r="K1488" i="29"/>
  <c r="G1485" i="29"/>
  <c r="C1484" i="29" a="1"/>
  <c r="C1484" i="29" s="1"/>
  <c r="M1484" i="29"/>
  <c r="F1484" i="29"/>
  <c r="L1485" i="29" a="1"/>
  <c r="L1485" i="29" s="1"/>
  <c r="B1486" i="29" s="1"/>
  <c r="N1486" i="29" a="1"/>
  <c r="N1486" i="29" s="1"/>
  <c r="Q1486" i="29" a="1"/>
  <c r="Q1486" i="29" s="1"/>
  <c r="P1483" i="29"/>
  <c r="O1454" i="29" l="1" a="1"/>
  <c r="O1454" i="29" s="1"/>
  <c r="R1454" i="29" s="1"/>
  <c r="S1454" i="29" s="1"/>
  <c r="K1489" i="29"/>
  <c r="I1488" i="29"/>
  <c r="G1486" i="29"/>
  <c r="Q1487" i="29" a="1"/>
  <c r="Q1487" i="29" s="1"/>
  <c r="N1487" i="29" a="1"/>
  <c r="N1487" i="29" s="1"/>
  <c r="P1484" i="29"/>
  <c r="C1485" i="29" a="1"/>
  <c r="C1485" i="29" s="1"/>
  <c r="M1485" i="29"/>
  <c r="F1485" i="29"/>
  <c r="L1486" i="29" a="1"/>
  <c r="L1486" i="29" s="1"/>
  <c r="O1455" i="29" l="1" a="1"/>
  <c r="O1455" i="29" s="1"/>
  <c r="R1455" i="29" s="1"/>
  <c r="S1455" i="29" s="1"/>
  <c r="P1485" i="29"/>
  <c r="C1486" i="29" a="1"/>
  <c r="C1486" i="29" s="1"/>
  <c r="M1486" i="29"/>
  <c r="F1486" i="29"/>
  <c r="L1487" i="29" a="1"/>
  <c r="L1487" i="29" s="1"/>
  <c r="B1487" i="29"/>
  <c r="N1488" i="29" a="1"/>
  <c r="N1488" i="29" s="1"/>
  <c r="Q1488" i="29" a="1"/>
  <c r="Q1488" i="29" s="1"/>
  <c r="I1489" i="29"/>
  <c r="K1490" i="29"/>
  <c r="G1487" i="29"/>
  <c r="O1456" i="29" l="1" a="1"/>
  <c r="O1456" i="29" s="1"/>
  <c r="R1456" i="29" s="1"/>
  <c r="S1456" i="29" s="1"/>
  <c r="C1487" i="29" a="1"/>
  <c r="C1487" i="29" s="1"/>
  <c r="M1487" i="29"/>
  <c r="F1487" i="29"/>
  <c r="L1488" i="29" a="1"/>
  <c r="L1488" i="29" s="1"/>
  <c r="Q1489" i="29" a="1"/>
  <c r="Q1489" i="29" s="1"/>
  <c r="N1489" i="29" a="1"/>
  <c r="N1489" i="29" s="1"/>
  <c r="K1491" i="29"/>
  <c r="I1490" i="29"/>
  <c r="P1486" i="29"/>
  <c r="G1488" i="29"/>
  <c r="B1488" i="29"/>
  <c r="O1457" i="29" l="1" a="1"/>
  <c r="O1457" i="29" s="1"/>
  <c r="R1457" i="29" s="1"/>
  <c r="S1457" i="29" s="1"/>
  <c r="C1488" i="29" a="1"/>
  <c r="C1488" i="29" s="1"/>
  <c r="M1488" i="29"/>
  <c r="F1488" i="29"/>
  <c r="L1489" i="29" a="1"/>
  <c r="L1489" i="29" s="1"/>
  <c r="B1489" i="29"/>
  <c r="N1490" i="29" a="1"/>
  <c r="N1490" i="29" s="1"/>
  <c r="Q1490" i="29" a="1"/>
  <c r="Q1490" i="29" s="1"/>
  <c r="P1487" i="29"/>
  <c r="I1491" i="29"/>
  <c r="K1492" i="29"/>
  <c r="G1489" i="29"/>
  <c r="O1458" i="29" l="1" a="1"/>
  <c r="O1458" i="29" s="1"/>
  <c r="R1458" i="29" s="1"/>
  <c r="S1458" i="29" s="1"/>
  <c r="K1493" i="29"/>
  <c r="I1492" i="29"/>
  <c r="C1489" i="29" a="1"/>
  <c r="C1489" i="29" s="1"/>
  <c r="M1489" i="29"/>
  <c r="F1489" i="29"/>
  <c r="L1490" i="29" a="1"/>
  <c r="L1490" i="29" s="1"/>
  <c r="G1490" i="29"/>
  <c r="Q1491" i="29" a="1"/>
  <c r="Q1491" i="29" s="1"/>
  <c r="N1491" i="29" a="1"/>
  <c r="N1491" i="29" s="1"/>
  <c r="P1488" i="29"/>
  <c r="B1490" i="29"/>
  <c r="O1459" i="29" l="1" a="1"/>
  <c r="O1459" i="29" s="1"/>
  <c r="R1459" i="29" s="1"/>
  <c r="S1459" i="29" s="1"/>
  <c r="C1490" i="29" a="1"/>
  <c r="C1490" i="29" s="1"/>
  <c r="M1490" i="29"/>
  <c r="F1490" i="29"/>
  <c r="L1491" i="29" a="1"/>
  <c r="L1491" i="29" s="1"/>
  <c r="B1492" i="29" s="1"/>
  <c r="G1491" i="29"/>
  <c r="N1492" i="29" a="1"/>
  <c r="N1492" i="29" s="1"/>
  <c r="Q1492" i="29" a="1"/>
  <c r="Q1492" i="29" s="1"/>
  <c r="P1489" i="29"/>
  <c r="B1491" i="29"/>
  <c r="I1493" i="29"/>
  <c r="K1494" i="29"/>
  <c r="O1460" i="29" l="1" a="1"/>
  <c r="O1460" i="29" s="1"/>
  <c r="R1460" i="29" s="1"/>
  <c r="S1460" i="29" s="1"/>
  <c r="Q1493" i="29" a="1"/>
  <c r="Q1493" i="29" s="1"/>
  <c r="N1493" i="29" a="1"/>
  <c r="N1493" i="29" s="1"/>
  <c r="P1490" i="29"/>
  <c r="C1491" i="29" a="1"/>
  <c r="C1491" i="29" s="1"/>
  <c r="M1491" i="29"/>
  <c r="F1491" i="29"/>
  <c r="L1492" i="29" a="1"/>
  <c r="L1492" i="29" s="1"/>
  <c r="K1495" i="29"/>
  <c r="I1494" i="29"/>
  <c r="G1492" i="29"/>
  <c r="O1461" i="29" l="1" a="1"/>
  <c r="O1461" i="29" s="1"/>
  <c r="R1461" i="29" s="1"/>
  <c r="S1461" i="29" s="1"/>
  <c r="N1494" i="29" a="1"/>
  <c r="N1494" i="29" s="1"/>
  <c r="Q1494" i="29" a="1"/>
  <c r="Q1494" i="29" s="1"/>
  <c r="I1495" i="29"/>
  <c r="K1496" i="29"/>
  <c r="G1493" i="29"/>
  <c r="C1492" i="29" a="1"/>
  <c r="C1492" i="29" s="1"/>
  <c r="M1492" i="29"/>
  <c r="F1492" i="29"/>
  <c r="L1493" i="29" a="1"/>
  <c r="L1493" i="29" s="1"/>
  <c r="B1494" i="29" s="1"/>
  <c r="B1493" i="29"/>
  <c r="P1491" i="29"/>
  <c r="O1462" i="29" l="1" a="1"/>
  <c r="O1462" i="29" s="1"/>
  <c r="R1462" i="29" s="1"/>
  <c r="S1462" i="29" s="1"/>
  <c r="K1497" i="29"/>
  <c r="I1496" i="29"/>
  <c r="Q1495" i="29" a="1"/>
  <c r="Q1495" i="29" s="1"/>
  <c r="N1495" i="29" a="1"/>
  <c r="N1495" i="29" s="1"/>
  <c r="P1492" i="29"/>
  <c r="G1494" i="29"/>
  <c r="C1493" i="29" a="1"/>
  <c r="C1493" i="29" s="1"/>
  <c r="M1493" i="29"/>
  <c r="F1493" i="29"/>
  <c r="L1494" i="29" a="1"/>
  <c r="L1494" i="29" s="1"/>
  <c r="O1463" i="29" l="1" a="1"/>
  <c r="O1463" i="29" s="1"/>
  <c r="R1463" i="29" s="1"/>
  <c r="S1463" i="29" s="1"/>
  <c r="C1494" i="29" a="1"/>
  <c r="C1494" i="29" s="1"/>
  <c r="M1494" i="29"/>
  <c r="F1494" i="29"/>
  <c r="L1495" i="29" a="1"/>
  <c r="L1495" i="29" s="1"/>
  <c r="G1495" i="29"/>
  <c r="P1493" i="29"/>
  <c r="B1495" i="29"/>
  <c r="N1496" i="29" a="1"/>
  <c r="N1496" i="29" s="1"/>
  <c r="Q1496" i="29" a="1"/>
  <c r="Q1496" i="29" s="1"/>
  <c r="I1497" i="29"/>
  <c r="K1498" i="29"/>
  <c r="P1494" i="29" l="1"/>
  <c r="C1495" i="29" a="1"/>
  <c r="C1495" i="29" s="1"/>
  <c r="M1495" i="29"/>
  <c r="F1495" i="29"/>
  <c r="L1496" i="29" a="1"/>
  <c r="L1496" i="29" s="1"/>
  <c r="Q1497" i="29" a="1"/>
  <c r="Q1497" i="29" s="1"/>
  <c r="N1497" i="29" a="1"/>
  <c r="N1497" i="29" s="1"/>
  <c r="B1496" i="29"/>
  <c r="G1496" i="29"/>
  <c r="K1499" i="29"/>
  <c r="I1498" i="29"/>
  <c r="O1464" i="29" a="1"/>
  <c r="O1464" i="29" s="1"/>
  <c r="R1464" i="29" s="1"/>
  <c r="S1464" i="29" s="1"/>
  <c r="C1496" i="29" l="1" a="1"/>
  <c r="C1496" i="29" s="1"/>
  <c r="M1496" i="29"/>
  <c r="F1496" i="29"/>
  <c r="L1497" i="29" a="1"/>
  <c r="L1497" i="29" s="1"/>
  <c r="B1498" i="29" s="1"/>
  <c r="P1495" i="29"/>
  <c r="I1499" i="29"/>
  <c r="K1500" i="29"/>
  <c r="O1465" i="29" a="1"/>
  <c r="O1465" i="29" s="1"/>
  <c r="R1465" i="29" s="1"/>
  <c r="S1465" i="29" s="1"/>
  <c r="B1497" i="29"/>
  <c r="N1498" i="29" a="1"/>
  <c r="N1498" i="29" s="1"/>
  <c r="Q1498" i="29" a="1"/>
  <c r="Q1498" i="29" s="1"/>
  <c r="G1497" i="29"/>
  <c r="O1466" i="29" l="1" a="1"/>
  <c r="O1466" i="29" s="1"/>
  <c r="R1466" i="29" s="1"/>
  <c r="S1466" i="29" s="1"/>
  <c r="K1501" i="29"/>
  <c r="I1500" i="29"/>
  <c r="Q1499" i="29" a="1"/>
  <c r="Q1499" i="29" s="1"/>
  <c r="N1499" i="29" a="1"/>
  <c r="N1499" i="29" s="1"/>
  <c r="G1498" i="29"/>
  <c r="P1496" i="29"/>
  <c r="C1497" i="29" a="1"/>
  <c r="C1497" i="29" s="1"/>
  <c r="M1497" i="29"/>
  <c r="F1497" i="29"/>
  <c r="L1498" i="29" a="1"/>
  <c r="L1498" i="29" s="1"/>
  <c r="O1467" i="29" l="1" a="1"/>
  <c r="O1467" i="29" s="1"/>
  <c r="R1467" i="29" s="1"/>
  <c r="S1467" i="29" s="1"/>
  <c r="C1498" i="29" a="1"/>
  <c r="C1498" i="29" s="1"/>
  <c r="M1498" i="29"/>
  <c r="F1498" i="29"/>
  <c r="L1499" i="29" a="1"/>
  <c r="L1499" i="29" s="1"/>
  <c r="G1499" i="29"/>
  <c r="P1497" i="29"/>
  <c r="B1499" i="29"/>
  <c r="N1500" i="29" a="1"/>
  <c r="N1500" i="29" s="1"/>
  <c r="Q1500" i="29" a="1"/>
  <c r="Q1500" i="29" s="1"/>
  <c r="I1501" i="29"/>
  <c r="K1502" i="29"/>
  <c r="O1468" i="29" l="1" a="1"/>
  <c r="O1468" i="29" s="1"/>
  <c r="R1468" i="29" s="1"/>
  <c r="S1468" i="29" s="1"/>
  <c r="C1499" i="29" a="1"/>
  <c r="C1499" i="29" s="1"/>
  <c r="F1499" i="29"/>
  <c r="M1499" i="29"/>
  <c r="L1500" i="29" a="1"/>
  <c r="L1500" i="29" s="1"/>
  <c r="B1501" i="29" s="1"/>
  <c r="Q1501" i="29" a="1"/>
  <c r="Q1501" i="29" s="1"/>
  <c r="N1501" i="29" a="1"/>
  <c r="N1501" i="29" s="1"/>
  <c r="B1500" i="29"/>
  <c r="G1500" i="29"/>
  <c r="P1498" i="29"/>
  <c r="K1503" i="29"/>
  <c r="I1502" i="29"/>
  <c r="O1469" i="29" l="1" a="1"/>
  <c r="O1469" i="29" s="1"/>
  <c r="R1469" i="29" s="1"/>
  <c r="S1469" i="29" s="1"/>
  <c r="I1503" i="29"/>
  <c r="K1504" i="29"/>
  <c r="P1499" i="29"/>
  <c r="C1500" i="29" a="1"/>
  <c r="C1500" i="29" s="1"/>
  <c r="M1500" i="29"/>
  <c r="F1500" i="29"/>
  <c r="L1501" i="29" a="1"/>
  <c r="L1501" i="29" s="1"/>
  <c r="B1502" i="29" s="1"/>
  <c r="N1502" i="29" a="1"/>
  <c r="N1502" i="29" s="1"/>
  <c r="Q1502" i="29" a="1"/>
  <c r="Q1502" i="29" s="1"/>
  <c r="G1501" i="29"/>
  <c r="O1470" i="29" l="1" a="1"/>
  <c r="O1470" i="29" s="1"/>
  <c r="R1470" i="29" s="1"/>
  <c r="S1470" i="29" s="1"/>
  <c r="P1500" i="29"/>
  <c r="G1502" i="29"/>
  <c r="Q1503" i="29" a="1"/>
  <c r="Q1503" i="29" s="1"/>
  <c r="N1503" i="29" a="1"/>
  <c r="N1503" i="29" s="1"/>
  <c r="K1505" i="29"/>
  <c r="I1504" i="29"/>
  <c r="C1501" i="29" a="1"/>
  <c r="C1501" i="29" s="1"/>
  <c r="F1501" i="29"/>
  <c r="M1501" i="29"/>
  <c r="L1502" i="29" a="1"/>
  <c r="L1502" i="29" s="1"/>
  <c r="O1471" i="29" l="1" a="1"/>
  <c r="O1471" i="29" s="1"/>
  <c r="R1471" i="29" s="1"/>
  <c r="S1471" i="29" s="1"/>
  <c r="C1502" i="29" a="1"/>
  <c r="C1502" i="29" s="1"/>
  <c r="M1502" i="29"/>
  <c r="F1502" i="29"/>
  <c r="L1503" i="29" a="1"/>
  <c r="L1503" i="29" s="1"/>
  <c r="B1503" i="29"/>
  <c r="P1501" i="29"/>
  <c r="N1504" i="29" a="1"/>
  <c r="N1504" i="29" s="1"/>
  <c r="Q1504" i="29" a="1"/>
  <c r="Q1504" i="29" s="1"/>
  <c r="I1505" i="29"/>
  <c r="K1506" i="29"/>
  <c r="G1503" i="29"/>
  <c r="O1472" i="29" l="1" a="1"/>
  <c r="O1472" i="29" s="1"/>
  <c r="R1472" i="29" s="1"/>
  <c r="S1472" i="29" s="1"/>
  <c r="F1503" i="29"/>
  <c r="M1503" i="29"/>
  <c r="C1503" i="29" a="1"/>
  <c r="C1503" i="29" s="1"/>
  <c r="L1504" i="29" a="1"/>
  <c r="L1504" i="29" s="1"/>
  <c r="K1507" i="29"/>
  <c r="I1506" i="29"/>
  <c r="Q1505" i="29" a="1"/>
  <c r="Q1505" i="29" s="1"/>
  <c r="N1505" i="29" a="1"/>
  <c r="N1505" i="29" s="1"/>
  <c r="B1504" i="29"/>
  <c r="P1502" i="29"/>
  <c r="G1504" i="29"/>
  <c r="O1473" i="29" l="1" a="1"/>
  <c r="O1473" i="29" s="1"/>
  <c r="R1473" i="29" s="1"/>
  <c r="S1473" i="29" s="1"/>
  <c r="N1506" i="29" a="1"/>
  <c r="N1506" i="29" s="1"/>
  <c r="Q1506" i="29" a="1"/>
  <c r="Q1506" i="29" s="1"/>
  <c r="C1504" i="29" a="1"/>
  <c r="C1504" i="29" s="1"/>
  <c r="M1504" i="29"/>
  <c r="F1504" i="29"/>
  <c r="L1505" i="29" a="1"/>
  <c r="L1505" i="29" s="1"/>
  <c r="B1506" i="29" s="1"/>
  <c r="I1507" i="29"/>
  <c r="K1508" i="29"/>
  <c r="P1503" i="29"/>
  <c r="G1505" i="29"/>
  <c r="B1505" i="29"/>
  <c r="O1474" i="29" l="1" a="1"/>
  <c r="O1474" i="29" s="1"/>
  <c r="R1474" i="29" s="1"/>
  <c r="S1474" i="29" s="1"/>
  <c r="K1509" i="29"/>
  <c r="I1508" i="29"/>
  <c r="Q1507" i="29" a="1"/>
  <c r="Q1507" i="29" s="1"/>
  <c r="N1507" i="29" a="1"/>
  <c r="N1507" i="29" s="1"/>
  <c r="G1506" i="29"/>
  <c r="P1504" i="29"/>
  <c r="M1505" i="29"/>
  <c r="C1505" i="29" a="1"/>
  <c r="C1505" i="29" s="1"/>
  <c r="F1505" i="29"/>
  <c r="L1506" i="29" a="1"/>
  <c r="L1506" i="29" s="1"/>
  <c r="O1475" i="29" l="1" a="1"/>
  <c r="O1475" i="29" s="1"/>
  <c r="R1475" i="29" s="1"/>
  <c r="S1475" i="29" s="1"/>
  <c r="C1506" i="29" a="1"/>
  <c r="C1506" i="29" s="1"/>
  <c r="M1506" i="29"/>
  <c r="F1506" i="29"/>
  <c r="L1507" i="29" a="1"/>
  <c r="L1507" i="29" s="1"/>
  <c r="B1508" i="29" s="1"/>
  <c r="G1507" i="29"/>
  <c r="P1505" i="29"/>
  <c r="B1507" i="29"/>
  <c r="N1508" i="29" a="1"/>
  <c r="N1508" i="29" s="1"/>
  <c r="Q1508" i="29" a="1"/>
  <c r="Q1508" i="29" s="1"/>
  <c r="I1509" i="29"/>
  <c r="K1510" i="29"/>
  <c r="O1476" i="29" l="1" a="1"/>
  <c r="O1476" i="29" s="1"/>
  <c r="R1476" i="29" s="1"/>
  <c r="S1476" i="29" s="1"/>
  <c r="N1509" i="29" a="1"/>
  <c r="N1509" i="29" s="1"/>
  <c r="Q1509" i="29" a="1"/>
  <c r="Q1509" i="29" s="1"/>
  <c r="G1508" i="29"/>
  <c r="M1507" i="29"/>
  <c r="C1507" i="29" a="1"/>
  <c r="C1507" i="29" s="1"/>
  <c r="F1507" i="29"/>
  <c r="L1508" i="29" a="1"/>
  <c r="L1508" i="29" s="1"/>
  <c r="P1506" i="29"/>
  <c r="K1511" i="29"/>
  <c r="I1510" i="29"/>
  <c r="O1477" i="29" l="1" a="1"/>
  <c r="O1477" i="29" s="1"/>
  <c r="R1477" i="29" s="1"/>
  <c r="S1477" i="29" s="1"/>
  <c r="C1508" i="29" a="1"/>
  <c r="C1508" i="29" s="1"/>
  <c r="M1508" i="29"/>
  <c r="F1508" i="29"/>
  <c r="L1509" i="29" a="1"/>
  <c r="L1509" i="29" s="1"/>
  <c r="B1510" i="29" s="1"/>
  <c r="B1509" i="29"/>
  <c r="N1510" i="29" a="1"/>
  <c r="N1510" i="29" s="1"/>
  <c r="Q1510" i="29" a="1"/>
  <c r="Q1510" i="29" s="1"/>
  <c r="I1511" i="29"/>
  <c r="K1512" i="29"/>
  <c r="G1509" i="29"/>
  <c r="P1507" i="29"/>
  <c r="O1478" i="29" l="1" a="1"/>
  <c r="O1478" i="29" s="1"/>
  <c r="R1478" i="29" s="1"/>
  <c r="S1478" i="29" s="1"/>
  <c r="G1510" i="29"/>
  <c r="P1508" i="29"/>
  <c r="M1509" i="29"/>
  <c r="C1509" i="29" a="1"/>
  <c r="C1509" i="29" s="1"/>
  <c r="F1509" i="29"/>
  <c r="L1510" i="29" a="1"/>
  <c r="L1510" i="29" s="1"/>
  <c r="B1511" i="29" s="1"/>
  <c r="K1513" i="29"/>
  <c r="I1512" i="29"/>
  <c r="Q1511" i="29" a="1"/>
  <c r="Q1511" i="29" s="1"/>
  <c r="N1511" i="29" a="1"/>
  <c r="N1511" i="29" s="1"/>
  <c r="O1479" i="29" l="1" a="1"/>
  <c r="O1479" i="29" s="1"/>
  <c r="R1479" i="29" s="1"/>
  <c r="S1479" i="29" s="1"/>
  <c r="P1509" i="29"/>
  <c r="Q1512" i="29" a="1"/>
  <c r="Q1512" i="29" s="1"/>
  <c r="N1512" i="29" a="1"/>
  <c r="N1512" i="29" s="1"/>
  <c r="I1513" i="29"/>
  <c r="K1514" i="29"/>
  <c r="G1511" i="29"/>
  <c r="M1510" i="29"/>
  <c r="C1510" i="29" a="1"/>
  <c r="C1510" i="29" s="1"/>
  <c r="F1510" i="29"/>
  <c r="L1511" i="29" a="1"/>
  <c r="L1511" i="29" s="1"/>
  <c r="O1480" i="29" l="1" a="1"/>
  <c r="O1480" i="29" s="1"/>
  <c r="R1480" i="29" s="1"/>
  <c r="S1480" i="29" s="1"/>
  <c r="F1511" i="29"/>
  <c r="M1511" i="29"/>
  <c r="C1511" i="29" a="1"/>
  <c r="C1511" i="29" s="1"/>
  <c r="L1512" i="29" a="1"/>
  <c r="L1512" i="29" s="1"/>
  <c r="B1513" i="29" s="1"/>
  <c r="G1512" i="29"/>
  <c r="P1510" i="29"/>
  <c r="B1512" i="29"/>
  <c r="K1515" i="29"/>
  <c r="I1514" i="29"/>
  <c r="Q1513" i="29" a="1"/>
  <c r="Q1513" i="29" s="1"/>
  <c r="N1513" i="29" a="1"/>
  <c r="N1513" i="29" s="1"/>
  <c r="O1481" i="29" l="1" a="1"/>
  <c r="O1481" i="29" s="1"/>
  <c r="R1481" i="29" s="1"/>
  <c r="S1481" i="29" s="1"/>
  <c r="I1515" i="29"/>
  <c r="K1516" i="29"/>
  <c r="C1512" i="29" a="1"/>
  <c r="C1512" i="29" s="1"/>
  <c r="M1512" i="29"/>
  <c r="F1512" i="29"/>
  <c r="L1513" i="29" a="1"/>
  <c r="L1513" i="29" s="1"/>
  <c r="Q1514" i="29" a="1"/>
  <c r="Q1514" i="29" s="1"/>
  <c r="N1514" i="29" a="1"/>
  <c r="N1514" i="29" s="1"/>
  <c r="P1511" i="29"/>
  <c r="G1513" i="29"/>
  <c r="O1482" i="29" l="1" a="1"/>
  <c r="O1482" i="29" s="1"/>
  <c r="R1482" i="29" s="1"/>
  <c r="S1482" i="29" s="1"/>
  <c r="F1513" i="29"/>
  <c r="C1513" i="29" a="1"/>
  <c r="C1513" i="29" s="1"/>
  <c r="M1513" i="29"/>
  <c r="L1514" i="29" a="1"/>
  <c r="L1514" i="29" s="1"/>
  <c r="B1515" i="29" s="1"/>
  <c r="P1512" i="29"/>
  <c r="K1517" i="29"/>
  <c r="I1516" i="29"/>
  <c r="G1514" i="29"/>
  <c r="Q1515" i="29" a="1"/>
  <c r="Q1515" i="29" s="1"/>
  <c r="N1515" i="29" a="1"/>
  <c r="N1515" i="29" s="1"/>
  <c r="B1514" i="29"/>
  <c r="O1483" i="29" l="1" a="1"/>
  <c r="O1483" i="29" s="1"/>
  <c r="R1483" i="29" s="1"/>
  <c r="S1483" i="29" s="1"/>
  <c r="G1515" i="29"/>
  <c r="P1513" i="29"/>
  <c r="C1514" i="29" a="1"/>
  <c r="C1514" i="29" s="1"/>
  <c r="M1514" i="29"/>
  <c r="F1514" i="29"/>
  <c r="L1515" i="29" a="1"/>
  <c r="L1515" i="29" s="1"/>
  <c r="B1516" i="29" s="1"/>
  <c r="Q1516" i="29" a="1"/>
  <c r="Q1516" i="29" s="1"/>
  <c r="N1516" i="29" a="1"/>
  <c r="N1516" i="29" s="1"/>
  <c r="I1517" i="29"/>
  <c r="K1518" i="29"/>
  <c r="O1484" i="29" l="1" a="1"/>
  <c r="O1484" i="29" s="1"/>
  <c r="R1484" i="29" s="1"/>
  <c r="S1484" i="29" s="1"/>
  <c r="K1519" i="29"/>
  <c r="I1518" i="29"/>
  <c r="G1516" i="29"/>
  <c r="P1514" i="29"/>
  <c r="Q1517" i="29" a="1"/>
  <c r="Q1517" i="29" s="1"/>
  <c r="N1517" i="29" a="1"/>
  <c r="N1517" i="29" s="1"/>
  <c r="F1515" i="29"/>
  <c r="C1515" i="29" a="1"/>
  <c r="C1515" i="29" s="1"/>
  <c r="M1515" i="29"/>
  <c r="L1516" i="29" a="1"/>
  <c r="L1516" i="29" s="1"/>
  <c r="O1485" i="29" l="1" a="1"/>
  <c r="O1485" i="29" s="1"/>
  <c r="R1485" i="29" s="1"/>
  <c r="S1485" i="29" s="1"/>
  <c r="C1516" i="29" a="1"/>
  <c r="C1516" i="29" s="1"/>
  <c r="M1516" i="29"/>
  <c r="F1516" i="29"/>
  <c r="L1517" i="29" a="1"/>
  <c r="L1517" i="29" s="1"/>
  <c r="P1515" i="29"/>
  <c r="G1517" i="29"/>
  <c r="Q1518" i="29" a="1"/>
  <c r="Q1518" i="29" s="1"/>
  <c r="N1518" i="29" a="1"/>
  <c r="N1518" i="29" s="1"/>
  <c r="B1517" i="29"/>
  <c r="I1519" i="29"/>
  <c r="K1520" i="29"/>
  <c r="O1486" i="29" l="1" a="1"/>
  <c r="O1486" i="29" s="1"/>
  <c r="R1486" i="29" s="1"/>
  <c r="S1486" i="29" s="1"/>
  <c r="F1517" i="29"/>
  <c r="C1517" i="29" a="1"/>
  <c r="C1517" i="29" s="1"/>
  <c r="M1517" i="29"/>
  <c r="L1518" i="29" a="1"/>
  <c r="L1518" i="29" s="1"/>
  <c r="Q1519" i="29" a="1"/>
  <c r="Q1519" i="29" s="1"/>
  <c r="N1519" i="29" a="1"/>
  <c r="N1519" i="29" s="1"/>
  <c r="G1518" i="29"/>
  <c r="B1518" i="29"/>
  <c r="P1516" i="29"/>
  <c r="K1521" i="29"/>
  <c r="I1520" i="29"/>
  <c r="O1487" i="29" l="1" a="1"/>
  <c r="O1487" i="29" s="1"/>
  <c r="R1487" i="29" s="1"/>
  <c r="S1487" i="29" s="1"/>
  <c r="I1521" i="29"/>
  <c r="K1522" i="29"/>
  <c r="P1517" i="29"/>
  <c r="C1518" i="29" a="1"/>
  <c r="C1518" i="29" s="1"/>
  <c r="M1518" i="29"/>
  <c r="F1518" i="29"/>
  <c r="L1519" i="29" a="1"/>
  <c r="L1519" i="29" s="1"/>
  <c r="B1520" i="29" s="1"/>
  <c r="G1519" i="29"/>
  <c r="Q1520" i="29" a="1"/>
  <c r="Q1520" i="29" s="1"/>
  <c r="N1520" i="29" a="1"/>
  <c r="N1520" i="29" s="1"/>
  <c r="B1519" i="29"/>
  <c r="O1488" i="29" l="1" a="1"/>
  <c r="O1488" i="29" s="1"/>
  <c r="R1488" i="29" s="1"/>
  <c r="S1488" i="29" s="1"/>
  <c r="G1520" i="29"/>
  <c r="K1523" i="29"/>
  <c r="I1522" i="29"/>
  <c r="Q1521" i="29" a="1"/>
  <c r="Q1521" i="29" s="1"/>
  <c r="N1521" i="29" a="1"/>
  <c r="N1521" i="29" s="1"/>
  <c r="P1518" i="29"/>
  <c r="F1519" i="29"/>
  <c r="C1519" i="29" a="1"/>
  <c r="C1519" i="29" s="1"/>
  <c r="M1519" i="29"/>
  <c r="L1520" i="29" a="1"/>
  <c r="L1520" i="29" s="1"/>
  <c r="O1489" i="29" l="1" a="1"/>
  <c r="O1489" i="29" s="1"/>
  <c r="R1489" i="29" s="1"/>
  <c r="S1489" i="29" s="1"/>
  <c r="C1520" i="29" a="1"/>
  <c r="C1520" i="29" s="1"/>
  <c r="M1520" i="29"/>
  <c r="F1520" i="29"/>
  <c r="L1521" i="29" a="1"/>
  <c r="L1521" i="29" s="1"/>
  <c r="P1519" i="29"/>
  <c r="Q1522" i="29" a="1"/>
  <c r="Q1522" i="29" s="1"/>
  <c r="N1522" i="29" a="1"/>
  <c r="N1522" i="29" s="1"/>
  <c r="I1523" i="29"/>
  <c r="K1524" i="29"/>
  <c r="G1521" i="29"/>
  <c r="B1521" i="29"/>
  <c r="O1490" i="29" l="1" a="1"/>
  <c r="O1490" i="29" s="1"/>
  <c r="R1490" i="29" s="1"/>
  <c r="S1490" i="29" s="1"/>
  <c r="K1525" i="29"/>
  <c r="I1524" i="29"/>
  <c r="Q1523" i="29" a="1"/>
  <c r="Q1523" i="29" s="1"/>
  <c r="N1523" i="29" a="1"/>
  <c r="N1523" i="29" s="1"/>
  <c r="G1522" i="29"/>
  <c r="F1521" i="29"/>
  <c r="C1521" i="29" a="1"/>
  <c r="C1521" i="29" s="1"/>
  <c r="M1521" i="29"/>
  <c r="L1522" i="29" a="1"/>
  <c r="L1522" i="29" s="1"/>
  <c r="B1523" i="29" s="1"/>
  <c r="P1520" i="29"/>
  <c r="B1522" i="29"/>
  <c r="O1491" i="29" l="1" a="1"/>
  <c r="O1491" i="29" s="1"/>
  <c r="R1491" i="29" s="1"/>
  <c r="S1491" i="29" s="1"/>
  <c r="G1523" i="29"/>
  <c r="C1522" i="29" a="1"/>
  <c r="C1522" i="29" s="1"/>
  <c r="M1522" i="29"/>
  <c r="F1522" i="29"/>
  <c r="L1523" i="29" a="1"/>
  <c r="L1523" i="29" s="1"/>
  <c r="P1521" i="29"/>
  <c r="Q1524" i="29" a="1"/>
  <c r="Q1524" i="29" s="1"/>
  <c r="N1524" i="29" a="1"/>
  <c r="N1524" i="29" s="1"/>
  <c r="I1525" i="29"/>
  <c r="K1526" i="29"/>
  <c r="O1492" i="29" l="1" a="1"/>
  <c r="O1492" i="29" s="1"/>
  <c r="R1492" i="29" s="1"/>
  <c r="S1492" i="29" s="1"/>
  <c r="F1523" i="29"/>
  <c r="C1523" i="29" a="1"/>
  <c r="C1523" i="29" s="1"/>
  <c r="M1523" i="29"/>
  <c r="L1524" i="29" a="1"/>
  <c r="L1524" i="29" s="1"/>
  <c r="K1527" i="29"/>
  <c r="I1526" i="29"/>
  <c r="Q1525" i="29" a="1"/>
  <c r="Q1525" i="29" s="1"/>
  <c r="N1525" i="29" a="1"/>
  <c r="N1525" i="29" s="1"/>
  <c r="P1522" i="29"/>
  <c r="G1524" i="29"/>
  <c r="B1524" i="29"/>
  <c r="O1493" i="29" l="1" a="1"/>
  <c r="O1493" i="29" s="1"/>
  <c r="R1493" i="29" s="1"/>
  <c r="S1493" i="29" s="1"/>
  <c r="Q1526" i="29" a="1"/>
  <c r="Q1526" i="29" s="1"/>
  <c r="N1526" i="29" a="1"/>
  <c r="N1526" i="29" s="1"/>
  <c r="I1527" i="29"/>
  <c r="K1528" i="29"/>
  <c r="P1523" i="29"/>
  <c r="G1525" i="29"/>
  <c r="C1524" i="29" a="1"/>
  <c r="C1524" i="29" s="1"/>
  <c r="M1524" i="29"/>
  <c r="F1524" i="29"/>
  <c r="L1525" i="29" a="1"/>
  <c r="L1525" i="29" s="1"/>
  <c r="B1525" i="29"/>
  <c r="O1494" i="29" l="1" a="1"/>
  <c r="O1494" i="29" s="1"/>
  <c r="R1494" i="29" s="1"/>
  <c r="S1494" i="29" s="1"/>
  <c r="F1525" i="29"/>
  <c r="C1525" i="29" a="1"/>
  <c r="C1525" i="29" s="1"/>
  <c r="M1525" i="29"/>
  <c r="L1526" i="29" a="1"/>
  <c r="L1526" i="29" s="1"/>
  <c r="B1527" i="29" s="1"/>
  <c r="K1529" i="29"/>
  <c r="I1528" i="29"/>
  <c r="Q1527" i="29" a="1"/>
  <c r="Q1527" i="29" s="1"/>
  <c r="N1527" i="29" a="1"/>
  <c r="N1527" i="29" s="1"/>
  <c r="P1524" i="29"/>
  <c r="G1526" i="29"/>
  <c r="B1526" i="29"/>
  <c r="O1495" i="29" l="1" a="1"/>
  <c r="O1495" i="29" s="1"/>
  <c r="R1495" i="29" s="1"/>
  <c r="S1495" i="29" s="1"/>
  <c r="Q1528" i="29" a="1"/>
  <c r="Q1528" i="29" s="1"/>
  <c r="N1528" i="29" a="1"/>
  <c r="N1528" i="29" s="1"/>
  <c r="I1529" i="29"/>
  <c r="K1530" i="29"/>
  <c r="P1525" i="29"/>
  <c r="G1527" i="29"/>
  <c r="C1526" i="29" a="1"/>
  <c r="C1526" i="29" s="1"/>
  <c r="M1526" i="29"/>
  <c r="F1526" i="29"/>
  <c r="L1527" i="29" a="1"/>
  <c r="L1527" i="29" s="1"/>
  <c r="O1496" i="29" l="1" a="1"/>
  <c r="O1496" i="29" s="1"/>
  <c r="R1496" i="29" s="1"/>
  <c r="S1496" i="29" s="1"/>
  <c r="F1527" i="29"/>
  <c r="C1527" i="29" a="1"/>
  <c r="C1527" i="29" s="1"/>
  <c r="M1527" i="29"/>
  <c r="L1528" i="29" a="1"/>
  <c r="L1528" i="29" s="1"/>
  <c r="B1529" i="29" s="1"/>
  <c r="K1531" i="29"/>
  <c r="I1530" i="29"/>
  <c r="Q1529" i="29" a="1"/>
  <c r="Q1529" i="29" s="1"/>
  <c r="N1529" i="29" a="1"/>
  <c r="N1529" i="29" s="1"/>
  <c r="P1526" i="29"/>
  <c r="G1528" i="29"/>
  <c r="B1528" i="29"/>
  <c r="O1497" i="29" l="1" a="1"/>
  <c r="O1497" i="29" s="1"/>
  <c r="R1497" i="29" s="1"/>
  <c r="S1497" i="29" s="1"/>
  <c r="Q1530" i="29" a="1"/>
  <c r="Q1530" i="29" s="1"/>
  <c r="N1530" i="29" a="1"/>
  <c r="N1530" i="29" s="1"/>
  <c r="I1531" i="29"/>
  <c r="K1532" i="29"/>
  <c r="P1527" i="29"/>
  <c r="G1529" i="29"/>
  <c r="C1528" i="29" a="1"/>
  <c r="C1528" i="29" s="1"/>
  <c r="M1528" i="29"/>
  <c r="F1528" i="29"/>
  <c r="L1529" i="29" a="1"/>
  <c r="L1529" i="29" s="1"/>
  <c r="O1498" i="29" l="1" a="1"/>
  <c r="O1498" i="29" s="1"/>
  <c r="R1498" i="29" s="1"/>
  <c r="S1498" i="29" s="1"/>
  <c r="F1529" i="29"/>
  <c r="C1529" i="29" a="1"/>
  <c r="C1529" i="29" s="1"/>
  <c r="M1529" i="29"/>
  <c r="L1530" i="29" a="1"/>
  <c r="L1530" i="29" s="1"/>
  <c r="K1533" i="29"/>
  <c r="I1532" i="29"/>
  <c r="Q1531" i="29" a="1"/>
  <c r="Q1531" i="29" s="1"/>
  <c r="N1531" i="29" a="1"/>
  <c r="N1531" i="29" s="1"/>
  <c r="P1528" i="29"/>
  <c r="G1530" i="29"/>
  <c r="B1530" i="29"/>
  <c r="O1499" i="29" l="1" a="1"/>
  <c r="O1499" i="29" s="1"/>
  <c r="R1499" i="29" s="1"/>
  <c r="S1499" i="29" s="1"/>
  <c r="Q1532" i="29" a="1"/>
  <c r="Q1532" i="29" s="1"/>
  <c r="N1532" i="29" a="1"/>
  <c r="N1532" i="29" s="1"/>
  <c r="I1533" i="29"/>
  <c r="K1534" i="29"/>
  <c r="C1530" i="29" a="1"/>
  <c r="C1530" i="29" s="1"/>
  <c r="M1530" i="29"/>
  <c r="F1530" i="29"/>
  <c r="L1531" i="29" a="1"/>
  <c r="L1531" i="29" s="1"/>
  <c r="P1529" i="29"/>
  <c r="G1531" i="29"/>
  <c r="B1531" i="29"/>
  <c r="O1500" i="29" l="1" a="1"/>
  <c r="O1500" i="29" s="1"/>
  <c r="R1500" i="29" s="1"/>
  <c r="S1500" i="29" s="1"/>
  <c r="K1535" i="29"/>
  <c r="I1534" i="29"/>
  <c r="Q1533" i="29" a="1"/>
  <c r="Q1533" i="29" s="1"/>
  <c r="N1533" i="29" a="1"/>
  <c r="N1533" i="29" s="1"/>
  <c r="G1532" i="29"/>
  <c r="F1531" i="29"/>
  <c r="C1531" i="29" a="1"/>
  <c r="C1531" i="29" s="1"/>
  <c r="M1531" i="29"/>
  <c r="L1532" i="29" a="1"/>
  <c r="L1532" i="29" s="1"/>
  <c r="B1532" i="29"/>
  <c r="P1530" i="29"/>
  <c r="G1533" i="29" l="1"/>
  <c r="C1532" i="29" a="1"/>
  <c r="C1532" i="29" s="1"/>
  <c r="M1532" i="29"/>
  <c r="F1532" i="29"/>
  <c r="L1533" i="29" a="1"/>
  <c r="L1533" i="29" s="1"/>
  <c r="P1531" i="29"/>
  <c r="Q1534" i="29" a="1"/>
  <c r="Q1534" i="29" s="1"/>
  <c r="N1534" i="29" a="1"/>
  <c r="N1534" i="29" s="1"/>
  <c r="I1535" i="29"/>
  <c r="K1536" i="29"/>
  <c r="B1533" i="29"/>
  <c r="O1501" i="29" a="1"/>
  <c r="O1501" i="29" s="1"/>
  <c r="R1501" i="29" s="1"/>
  <c r="S1501" i="29" s="1"/>
  <c r="O1502" i="29" l="1" a="1"/>
  <c r="O1502" i="29" s="1"/>
  <c r="R1502" i="29" s="1"/>
  <c r="S1502" i="29" s="1"/>
  <c r="K1537" i="29"/>
  <c r="I1536" i="29"/>
  <c r="Q1535" i="29" a="1"/>
  <c r="Q1535" i="29" s="1"/>
  <c r="N1535" i="29" a="1"/>
  <c r="N1535" i="29" s="1"/>
  <c r="P1532" i="29"/>
  <c r="G1534" i="29"/>
  <c r="F1533" i="29"/>
  <c r="C1533" i="29" a="1"/>
  <c r="C1533" i="29" s="1"/>
  <c r="M1533" i="29"/>
  <c r="L1534" i="29" a="1"/>
  <c r="L1534" i="29" s="1"/>
  <c r="B1534" i="29"/>
  <c r="O1503" i="29" l="1" a="1"/>
  <c r="O1503" i="29" s="1"/>
  <c r="R1503" i="29" s="1"/>
  <c r="S1503" i="29" s="1"/>
  <c r="C1534" i="29" a="1"/>
  <c r="C1534" i="29" s="1"/>
  <c r="M1534" i="29"/>
  <c r="F1534" i="29"/>
  <c r="L1535" i="29" a="1"/>
  <c r="L1535" i="29" s="1"/>
  <c r="B1536" i="29" s="1"/>
  <c r="G1535" i="29"/>
  <c r="P1533" i="29"/>
  <c r="B1535" i="29"/>
  <c r="Q1536" i="29" a="1"/>
  <c r="Q1536" i="29" s="1"/>
  <c r="N1536" i="29" a="1"/>
  <c r="N1536" i="29" s="1"/>
  <c r="I1537" i="29"/>
  <c r="K1538" i="29"/>
  <c r="O1504" i="29" l="1" a="1"/>
  <c r="O1504" i="29" s="1"/>
  <c r="R1504" i="29" s="1"/>
  <c r="S1504" i="29" s="1"/>
  <c r="Q1537" i="29" a="1"/>
  <c r="Q1537" i="29" s="1"/>
  <c r="N1537" i="29" a="1"/>
  <c r="N1537" i="29" s="1"/>
  <c r="G1536" i="29"/>
  <c r="P1534" i="29"/>
  <c r="F1535" i="29"/>
  <c r="C1535" i="29" a="1"/>
  <c r="C1535" i="29" s="1"/>
  <c r="M1535" i="29"/>
  <c r="L1536" i="29" a="1"/>
  <c r="L1536" i="29" s="1"/>
  <c r="B1537" i="29" s="1"/>
  <c r="K1539" i="29"/>
  <c r="I1538" i="29"/>
  <c r="O1505" i="29" l="1" a="1"/>
  <c r="O1505" i="29" s="1"/>
  <c r="R1505" i="29" s="1"/>
  <c r="S1505" i="29" s="1"/>
  <c r="Q1538" i="29" a="1"/>
  <c r="Q1538" i="29" s="1"/>
  <c r="N1538" i="29" a="1"/>
  <c r="N1538" i="29" s="1"/>
  <c r="I1539" i="29"/>
  <c r="K1540" i="29"/>
  <c r="G1537" i="29"/>
  <c r="C1536" i="29" a="1"/>
  <c r="C1536" i="29" s="1"/>
  <c r="M1536" i="29"/>
  <c r="F1536" i="29"/>
  <c r="L1537" i="29" a="1"/>
  <c r="L1537" i="29" s="1"/>
  <c r="B1538" i="29" s="1"/>
  <c r="P1535" i="29"/>
  <c r="O1506" i="29" l="1" a="1"/>
  <c r="O1506" i="29" s="1"/>
  <c r="R1506" i="29" s="1"/>
  <c r="S1506" i="29" s="1"/>
  <c r="K1541" i="29"/>
  <c r="I1540" i="29"/>
  <c r="Q1539" i="29" a="1"/>
  <c r="Q1539" i="29" s="1"/>
  <c r="N1539" i="29" a="1"/>
  <c r="N1539" i="29" s="1"/>
  <c r="G1538" i="29"/>
  <c r="P1536" i="29"/>
  <c r="F1537" i="29"/>
  <c r="C1537" i="29" a="1"/>
  <c r="C1537" i="29" s="1"/>
  <c r="M1537" i="29"/>
  <c r="L1538" i="29" a="1"/>
  <c r="L1538" i="29" s="1"/>
  <c r="B1539" i="29" s="1"/>
  <c r="O1507" i="29" l="1" a="1"/>
  <c r="O1507" i="29" s="1"/>
  <c r="R1507" i="29" s="1"/>
  <c r="S1507" i="29" s="1"/>
  <c r="G1539" i="29"/>
  <c r="P1537" i="29"/>
  <c r="C1538" i="29" a="1"/>
  <c r="C1538" i="29" s="1"/>
  <c r="M1538" i="29"/>
  <c r="F1538" i="29"/>
  <c r="L1539" i="29" a="1"/>
  <c r="L1539" i="29" s="1"/>
  <c r="B1540" i="29" s="1"/>
  <c r="Q1540" i="29" a="1"/>
  <c r="Q1540" i="29" s="1"/>
  <c r="N1540" i="29" a="1"/>
  <c r="N1540" i="29" s="1"/>
  <c r="I1541" i="29"/>
  <c r="K1542" i="29"/>
  <c r="O1508" i="29" l="1" a="1"/>
  <c r="O1508" i="29" s="1"/>
  <c r="R1508" i="29" s="1"/>
  <c r="S1508" i="29" s="1"/>
  <c r="Q1541" i="29" a="1"/>
  <c r="Q1541" i="29" s="1"/>
  <c r="N1541" i="29" a="1"/>
  <c r="N1541" i="29" s="1"/>
  <c r="G1540" i="29"/>
  <c r="K1543" i="29"/>
  <c r="I1542" i="29"/>
  <c r="P1538" i="29"/>
  <c r="F1539" i="29"/>
  <c r="C1539" i="29" a="1"/>
  <c r="C1539" i="29" s="1"/>
  <c r="M1539" i="29"/>
  <c r="L1540" i="29" a="1"/>
  <c r="L1540" i="29" s="1"/>
  <c r="B1541" i="29" s="1"/>
  <c r="O1509" i="29" l="1" a="1"/>
  <c r="O1509" i="29" s="1"/>
  <c r="R1509" i="29" s="1"/>
  <c r="S1509" i="29" s="1"/>
  <c r="C1540" i="29" a="1"/>
  <c r="C1540" i="29" s="1"/>
  <c r="M1540" i="29"/>
  <c r="F1540" i="29"/>
  <c r="L1541" i="29" a="1"/>
  <c r="L1541" i="29" s="1"/>
  <c r="P1539" i="29"/>
  <c r="G1541" i="29"/>
  <c r="Q1542" i="29" a="1"/>
  <c r="Q1542" i="29" s="1"/>
  <c r="N1542" i="29" a="1"/>
  <c r="N1542" i="29" s="1"/>
  <c r="I1543" i="29"/>
  <c r="K1544" i="29"/>
  <c r="O1510" i="29" l="1" a="1"/>
  <c r="O1510" i="29" s="1"/>
  <c r="R1510" i="29" s="1"/>
  <c r="S1510" i="29" s="1"/>
  <c r="K1545" i="29"/>
  <c r="I1544" i="29"/>
  <c r="Q1543" i="29" a="1"/>
  <c r="Q1543" i="29" s="1"/>
  <c r="N1543" i="29" a="1"/>
  <c r="N1543" i="29" s="1"/>
  <c r="F1541" i="29"/>
  <c r="C1541" i="29" a="1"/>
  <c r="C1541" i="29" s="1"/>
  <c r="M1541" i="29"/>
  <c r="L1542" i="29" a="1"/>
  <c r="L1542" i="29" s="1"/>
  <c r="B1543" i="29" s="1"/>
  <c r="G1542" i="29"/>
  <c r="B1542" i="29"/>
  <c r="P1540" i="29"/>
  <c r="O1511" i="29" l="1" a="1"/>
  <c r="O1511" i="29" s="1"/>
  <c r="R1511" i="29" s="1"/>
  <c r="S1511" i="29" s="1"/>
  <c r="P1541" i="29"/>
  <c r="I1545" i="29"/>
  <c r="K1546" i="29"/>
  <c r="G1543" i="29"/>
  <c r="C1542" i="29" a="1"/>
  <c r="C1542" i="29" s="1"/>
  <c r="M1542" i="29"/>
  <c r="F1542" i="29"/>
  <c r="L1543" i="29" a="1"/>
  <c r="L1543" i="29" s="1"/>
  <c r="B1544" i="29" s="1"/>
  <c r="Q1544" i="29" a="1"/>
  <c r="Q1544" i="29" s="1"/>
  <c r="N1544" i="29" a="1"/>
  <c r="N1544" i="29" s="1"/>
  <c r="O1512" i="29" l="1" a="1"/>
  <c r="O1512" i="29" s="1"/>
  <c r="R1512" i="29" s="1"/>
  <c r="S1512" i="29" s="1"/>
  <c r="G1544" i="29"/>
  <c r="K1547" i="29"/>
  <c r="I1546" i="29"/>
  <c r="Q1545" i="29" a="1"/>
  <c r="Q1545" i="29" s="1"/>
  <c r="N1545" i="29" a="1"/>
  <c r="N1545" i="29" s="1"/>
  <c r="P1542" i="29"/>
  <c r="F1543" i="29"/>
  <c r="C1543" i="29" a="1"/>
  <c r="C1543" i="29" s="1"/>
  <c r="M1543" i="29"/>
  <c r="L1544" i="29" a="1"/>
  <c r="L1544" i="29" s="1"/>
  <c r="O1513" i="29" l="1" a="1"/>
  <c r="O1513" i="29" s="1"/>
  <c r="R1513" i="29" s="1"/>
  <c r="S1513" i="29" s="1"/>
  <c r="C1544" i="29" a="1"/>
  <c r="C1544" i="29" s="1"/>
  <c r="M1544" i="29"/>
  <c r="F1544" i="29"/>
  <c r="L1545" i="29" a="1"/>
  <c r="L1545" i="29" s="1"/>
  <c r="P1543" i="29"/>
  <c r="G1545" i="29"/>
  <c r="Q1546" i="29" a="1"/>
  <c r="Q1546" i="29" s="1"/>
  <c r="N1546" i="29" a="1"/>
  <c r="N1546" i="29" s="1"/>
  <c r="I1547" i="29"/>
  <c r="K1548" i="29"/>
  <c r="B1545" i="29"/>
  <c r="O1514" i="29" l="1" a="1"/>
  <c r="O1514" i="29" s="1"/>
  <c r="R1514" i="29" s="1"/>
  <c r="S1514" i="29" s="1"/>
  <c r="F1545" i="29"/>
  <c r="C1545" i="29" a="1"/>
  <c r="C1545" i="29" s="1"/>
  <c r="M1545" i="29"/>
  <c r="L1546" i="29" a="1"/>
  <c r="L1546" i="29" s="1"/>
  <c r="K1549" i="29"/>
  <c r="I1548" i="29"/>
  <c r="Q1547" i="29" a="1"/>
  <c r="Q1547" i="29" s="1"/>
  <c r="N1547" i="29" a="1"/>
  <c r="N1547" i="29" s="1"/>
  <c r="G1546" i="29"/>
  <c r="B1546" i="29"/>
  <c r="P1544" i="29"/>
  <c r="O1515" i="29" l="1" a="1"/>
  <c r="O1515" i="29" s="1"/>
  <c r="R1515" i="29" s="1"/>
  <c r="S1515" i="29" s="1"/>
  <c r="G1547" i="29"/>
  <c r="Q1548" i="29" a="1"/>
  <c r="Q1548" i="29" s="1"/>
  <c r="N1548" i="29" a="1"/>
  <c r="N1548" i="29" s="1"/>
  <c r="I1549" i="29"/>
  <c r="K1550" i="29"/>
  <c r="C1546" i="29" a="1"/>
  <c r="C1546" i="29" s="1"/>
  <c r="M1546" i="29"/>
  <c r="F1546" i="29"/>
  <c r="L1547" i="29" a="1"/>
  <c r="L1547" i="29" s="1"/>
  <c r="P1545" i="29"/>
  <c r="B1547" i="29"/>
  <c r="O1516" i="29" l="1" a="1"/>
  <c r="O1516" i="29" s="1"/>
  <c r="R1516" i="29" s="1"/>
  <c r="S1516" i="29" s="1"/>
  <c r="G1548" i="29"/>
  <c r="P1546" i="29"/>
  <c r="F1547" i="29"/>
  <c r="C1547" i="29" a="1"/>
  <c r="C1547" i="29" s="1"/>
  <c r="M1547" i="29"/>
  <c r="L1548" i="29" a="1"/>
  <c r="L1548" i="29" s="1"/>
  <c r="B1549" i="29" s="1"/>
  <c r="B1548" i="29"/>
  <c r="K1551" i="29"/>
  <c r="I1550" i="29"/>
  <c r="Q1549" i="29" a="1"/>
  <c r="Q1549" i="29" s="1"/>
  <c r="N1549" i="29" a="1"/>
  <c r="N1549" i="29" s="1"/>
  <c r="O1517" i="29" l="1" a="1"/>
  <c r="O1517" i="29" s="1"/>
  <c r="R1517" i="29" s="1"/>
  <c r="S1517" i="29" s="1"/>
  <c r="C1548" i="29" a="1"/>
  <c r="C1548" i="29" s="1"/>
  <c r="M1548" i="29"/>
  <c r="F1548" i="29"/>
  <c r="L1549" i="29" a="1"/>
  <c r="L1549" i="29" s="1"/>
  <c r="B1550" i="29" s="1"/>
  <c r="Q1550" i="29" a="1"/>
  <c r="Q1550" i="29" s="1"/>
  <c r="N1550" i="29" a="1"/>
  <c r="N1550" i="29" s="1"/>
  <c r="I1551" i="29"/>
  <c r="K1552" i="29"/>
  <c r="G1549" i="29"/>
  <c r="P1547" i="29"/>
  <c r="O1518" i="29" l="1" a="1"/>
  <c r="O1518" i="29" s="1"/>
  <c r="R1518" i="29" s="1"/>
  <c r="S1518" i="29" s="1"/>
  <c r="P1548" i="29"/>
  <c r="Q1551" i="29" a="1"/>
  <c r="Q1551" i="29" s="1"/>
  <c r="N1551" i="29" a="1"/>
  <c r="N1551" i="29" s="1"/>
  <c r="F1549" i="29"/>
  <c r="C1549" i="29" a="1"/>
  <c r="C1549" i="29" s="1"/>
  <c r="M1549" i="29"/>
  <c r="L1550" i="29" a="1"/>
  <c r="L1550" i="29" s="1"/>
  <c r="K1553" i="29"/>
  <c r="I1552" i="29"/>
  <c r="G1550" i="29"/>
  <c r="O1519" i="29" l="1" a="1"/>
  <c r="O1519" i="29" s="1"/>
  <c r="R1519" i="29" s="1"/>
  <c r="S1519" i="29" s="1"/>
  <c r="C1550" i="29" a="1"/>
  <c r="C1550" i="29" s="1"/>
  <c r="M1550" i="29"/>
  <c r="F1550" i="29"/>
  <c r="L1551" i="29" a="1"/>
  <c r="L1551" i="29" s="1"/>
  <c r="B1552" i="29" s="1"/>
  <c r="G1551" i="29"/>
  <c r="B1551" i="29"/>
  <c r="Q1552" i="29" a="1"/>
  <c r="Q1552" i="29" s="1"/>
  <c r="N1552" i="29" a="1"/>
  <c r="N1552" i="29" s="1"/>
  <c r="I1553" i="29"/>
  <c r="K1554" i="29"/>
  <c r="P1549" i="29"/>
  <c r="O1520" i="29" l="1" a="1"/>
  <c r="O1520" i="29" s="1"/>
  <c r="R1520" i="29" s="1"/>
  <c r="S1520" i="29" s="1"/>
  <c r="Q1553" i="29" a="1"/>
  <c r="Q1553" i="29" s="1"/>
  <c r="N1553" i="29" a="1"/>
  <c r="N1553" i="29" s="1"/>
  <c r="K1555" i="29"/>
  <c r="I1554" i="29"/>
  <c r="P1550" i="29"/>
  <c r="F1551" i="29"/>
  <c r="C1551" i="29" a="1"/>
  <c r="C1551" i="29" s="1"/>
  <c r="M1551" i="29"/>
  <c r="L1552" i="29" a="1"/>
  <c r="L1552" i="29" s="1"/>
  <c r="G1552" i="29"/>
  <c r="O1521" i="29" l="1" a="1"/>
  <c r="O1521" i="29" s="1"/>
  <c r="R1521" i="29" s="1"/>
  <c r="S1521" i="29" s="1"/>
  <c r="C1552" i="29" a="1"/>
  <c r="C1552" i="29" s="1"/>
  <c r="M1552" i="29"/>
  <c r="F1552" i="29"/>
  <c r="L1553" i="29" a="1"/>
  <c r="L1553" i="29" s="1"/>
  <c r="P1551" i="29"/>
  <c r="B1553" i="29"/>
  <c r="Q1554" i="29" a="1"/>
  <c r="Q1554" i="29" s="1"/>
  <c r="N1554" i="29" a="1"/>
  <c r="N1554" i="29" s="1"/>
  <c r="I1555" i="29"/>
  <c r="K1556" i="29"/>
  <c r="G1553" i="29"/>
  <c r="O1522" i="29" l="1" a="1"/>
  <c r="O1522" i="29" s="1"/>
  <c r="R1522" i="29" s="1"/>
  <c r="S1522" i="29" s="1"/>
  <c r="F1553" i="29"/>
  <c r="C1553" i="29" a="1"/>
  <c r="C1553" i="29" s="1"/>
  <c r="M1553" i="29"/>
  <c r="L1554" i="29" a="1"/>
  <c r="L1554" i="29" s="1"/>
  <c r="P1552" i="29"/>
  <c r="B1554" i="29"/>
  <c r="K1557" i="29"/>
  <c r="I1556" i="29"/>
  <c r="Q1555" i="29" a="1"/>
  <c r="Q1555" i="29" s="1"/>
  <c r="N1555" i="29" a="1"/>
  <c r="N1555" i="29" s="1"/>
  <c r="G1554" i="29"/>
  <c r="O1523" i="29" l="1" a="1"/>
  <c r="O1523" i="29" s="1"/>
  <c r="R1523" i="29" s="1"/>
  <c r="S1523" i="29" s="1"/>
  <c r="C1554" i="29" a="1"/>
  <c r="C1554" i="29" s="1"/>
  <c r="M1554" i="29"/>
  <c r="F1554" i="29"/>
  <c r="L1555" i="29" a="1"/>
  <c r="L1555" i="29" s="1"/>
  <c r="B1556" i="29" s="1"/>
  <c r="G1555" i="29"/>
  <c r="B1555" i="29"/>
  <c r="P1553" i="29"/>
  <c r="Q1556" i="29" a="1"/>
  <c r="Q1556" i="29" s="1"/>
  <c r="N1556" i="29" a="1"/>
  <c r="N1556" i="29" s="1"/>
  <c r="I1557" i="29"/>
  <c r="K1558" i="29"/>
  <c r="O1524" i="29" l="1" a="1"/>
  <c r="O1524" i="29" s="1"/>
  <c r="R1524" i="29" s="1"/>
  <c r="S1524" i="29" s="1"/>
  <c r="Q1557" i="29" a="1"/>
  <c r="Q1557" i="29" s="1"/>
  <c r="N1557" i="29" a="1"/>
  <c r="N1557" i="29" s="1"/>
  <c r="G1556" i="29"/>
  <c r="P1554" i="29"/>
  <c r="F1555" i="29"/>
  <c r="C1555" i="29" a="1"/>
  <c r="C1555" i="29" s="1"/>
  <c r="M1555" i="29"/>
  <c r="L1556" i="29" a="1"/>
  <c r="L1556" i="29" s="1"/>
  <c r="K1559" i="29"/>
  <c r="I1558" i="29"/>
  <c r="O1525" i="29" l="1" a="1"/>
  <c r="O1525" i="29" s="1"/>
  <c r="R1525" i="29" s="1"/>
  <c r="S1525" i="29" s="1"/>
  <c r="C1556" i="29" a="1"/>
  <c r="C1556" i="29" s="1"/>
  <c r="M1556" i="29"/>
  <c r="F1556" i="29"/>
  <c r="L1557" i="29" a="1"/>
  <c r="L1557" i="29" s="1"/>
  <c r="B1558" i="29" s="1"/>
  <c r="P1555" i="29"/>
  <c r="B1557" i="29"/>
  <c r="Q1558" i="29" a="1"/>
  <c r="Q1558" i="29" s="1"/>
  <c r="N1558" i="29" a="1"/>
  <c r="N1558" i="29" s="1"/>
  <c r="I1559" i="29"/>
  <c r="K1560" i="29"/>
  <c r="G1557" i="29"/>
  <c r="O1526" i="29" l="1" a="1"/>
  <c r="O1526" i="29" s="1"/>
  <c r="R1526" i="29" s="1"/>
  <c r="S1526" i="29" s="1"/>
  <c r="K1561" i="29"/>
  <c r="I1560" i="29"/>
  <c r="Q1559" i="29" a="1"/>
  <c r="Q1559" i="29" s="1"/>
  <c r="N1559" i="29" a="1"/>
  <c r="N1559" i="29" s="1"/>
  <c r="P1556" i="29"/>
  <c r="F1557" i="29"/>
  <c r="C1557" i="29" a="1"/>
  <c r="C1557" i="29" s="1"/>
  <c r="M1557" i="29"/>
  <c r="L1558" i="29" a="1"/>
  <c r="L1558" i="29" s="1"/>
  <c r="G1558" i="29"/>
  <c r="O1527" i="29" l="1" a="1"/>
  <c r="O1527" i="29" s="1"/>
  <c r="R1527" i="29" s="1"/>
  <c r="S1527" i="29" s="1"/>
  <c r="C1558" i="29" a="1"/>
  <c r="C1558" i="29" s="1"/>
  <c r="M1558" i="29"/>
  <c r="F1558" i="29"/>
  <c r="L1559" i="29" a="1"/>
  <c r="L1559" i="29" s="1"/>
  <c r="B1560" i="29" s="1"/>
  <c r="P1557" i="29"/>
  <c r="G1559" i="29"/>
  <c r="B1559" i="29"/>
  <c r="Q1560" i="29" a="1"/>
  <c r="Q1560" i="29" s="1"/>
  <c r="N1560" i="29" a="1"/>
  <c r="N1560" i="29" s="1"/>
  <c r="I1561" i="29"/>
  <c r="K1562" i="29"/>
  <c r="O1528" i="29" l="1" a="1"/>
  <c r="O1528" i="29" s="1"/>
  <c r="R1528" i="29" s="1"/>
  <c r="S1528" i="29" s="1"/>
  <c r="Q1561" i="29" a="1"/>
  <c r="Q1561" i="29" s="1"/>
  <c r="N1561" i="29" a="1"/>
  <c r="N1561" i="29" s="1"/>
  <c r="G1560" i="29"/>
  <c r="F1559" i="29"/>
  <c r="C1559" i="29" a="1"/>
  <c r="C1559" i="29" s="1"/>
  <c r="M1559" i="29"/>
  <c r="L1560" i="29" a="1"/>
  <c r="L1560" i="29" s="1"/>
  <c r="P1558" i="29"/>
  <c r="K1563" i="29"/>
  <c r="I1562" i="29"/>
  <c r="O1529" i="29" l="1" a="1"/>
  <c r="O1529" i="29" s="1"/>
  <c r="R1529" i="29" s="1"/>
  <c r="S1529" i="29" s="1"/>
  <c r="I1563" i="29"/>
  <c r="K1564" i="29"/>
  <c r="C1560" i="29" a="1"/>
  <c r="C1560" i="29" s="1"/>
  <c r="M1560" i="29"/>
  <c r="F1560" i="29"/>
  <c r="L1561" i="29" a="1"/>
  <c r="L1561" i="29" s="1"/>
  <c r="Q1562" i="29" a="1"/>
  <c r="Q1562" i="29" s="1"/>
  <c r="N1562" i="29" a="1"/>
  <c r="N1562" i="29" s="1"/>
  <c r="G1561" i="29"/>
  <c r="B1561" i="29"/>
  <c r="P1559" i="29"/>
  <c r="O1530" i="29" l="1" a="1"/>
  <c r="O1530" i="29" s="1"/>
  <c r="R1530" i="29" s="1"/>
  <c r="S1530" i="29" s="1"/>
  <c r="K1565" i="29"/>
  <c r="I1564" i="29"/>
  <c r="F1561" i="29"/>
  <c r="C1561" i="29" a="1"/>
  <c r="C1561" i="29" s="1"/>
  <c r="M1561" i="29"/>
  <c r="L1562" i="29" a="1"/>
  <c r="L1562" i="29" s="1"/>
  <c r="P1560" i="29"/>
  <c r="G1562" i="29"/>
  <c r="Q1563" i="29" a="1"/>
  <c r="Q1563" i="29" s="1"/>
  <c r="N1563" i="29" a="1"/>
  <c r="N1563" i="29" s="1"/>
  <c r="B1562" i="29"/>
  <c r="O1531" i="29" l="1" a="1"/>
  <c r="O1531" i="29" s="1"/>
  <c r="R1531" i="29" s="1"/>
  <c r="S1531" i="29" s="1"/>
  <c r="G1563" i="29"/>
  <c r="C1562" i="29" a="1"/>
  <c r="C1562" i="29" s="1"/>
  <c r="M1562" i="29"/>
  <c r="F1562" i="29"/>
  <c r="L1563" i="29" a="1"/>
  <c r="L1563" i="29" s="1"/>
  <c r="B1563" i="29"/>
  <c r="P1561" i="29"/>
  <c r="Q1564" i="29" a="1"/>
  <c r="Q1564" i="29" s="1"/>
  <c r="N1564" i="29" a="1"/>
  <c r="N1564" i="29" s="1"/>
  <c r="I1565" i="29"/>
  <c r="K1566" i="29"/>
  <c r="O1532" i="29" l="1" a="1"/>
  <c r="O1532" i="29" s="1"/>
  <c r="R1532" i="29" s="1"/>
  <c r="S1532" i="29" s="1"/>
  <c r="Q1565" i="29" a="1"/>
  <c r="Q1565" i="29" s="1"/>
  <c r="N1565" i="29" a="1"/>
  <c r="N1565" i="29" s="1"/>
  <c r="F1563" i="29"/>
  <c r="C1563" i="29" a="1"/>
  <c r="C1563" i="29" s="1"/>
  <c r="M1563" i="29"/>
  <c r="L1564" i="29" a="1"/>
  <c r="L1564" i="29" s="1"/>
  <c r="B1565" i="29" s="1"/>
  <c r="G1564" i="29"/>
  <c r="P1562" i="29"/>
  <c r="B1564" i="29"/>
  <c r="K1567" i="29"/>
  <c r="I1566" i="29"/>
  <c r="O1533" i="29" l="1" a="1"/>
  <c r="O1533" i="29" s="1"/>
  <c r="R1533" i="29" s="1"/>
  <c r="S1533" i="29" s="1"/>
  <c r="I1567" i="29"/>
  <c r="K1568" i="29"/>
  <c r="G1565" i="29"/>
  <c r="C1564" i="29" a="1"/>
  <c r="C1564" i="29" s="1"/>
  <c r="M1564" i="29"/>
  <c r="F1564" i="29"/>
  <c r="L1565" i="29" a="1"/>
  <c r="L1565" i="29" s="1"/>
  <c r="B1566" i="29" s="1"/>
  <c r="Q1566" i="29" a="1"/>
  <c r="Q1566" i="29" s="1"/>
  <c r="N1566" i="29" a="1"/>
  <c r="N1566" i="29" s="1"/>
  <c r="P1563" i="29"/>
  <c r="O1534" i="29" l="1" a="1"/>
  <c r="O1534" i="29" s="1"/>
  <c r="R1534" i="29" s="1"/>
  <c r="S1534" i="29" s="1"/>
  <c r="P1564" i="29"/>
  <c r="G1566" i="29"/>
  <c r="K1569" i="29"/>
  <c r="I1568" i="29"/>
  <c r="Q1567" i="29" a="1"/>
  <c r="Q1567" i="29" s="1"/>
  <c r="N1567" i="29" a="1"/>
  <c r="N1567" i="29" s="1"/>
  <c r="F1565" i="29"/>
  <c r="C1565" i="29" a="1"/>
  <c r="C1565" i="29" s="1"/>
  <c r="M1565" i="29"/>
  <c r="L1566" i="29" a="1"/>
  <c r="L1566" i="29" s="1"/>
  <c r="O1535" i="29" l="1" a="1"/>
  <c r="O1535" i="29" s="1"/>
  <c r="R1535" i="29" s="1"/>
  <c r="S1535" i="29" s="1"/>
  <c r="C1566" i="29" a="1"/>
  <c r="C1566" i="29" s="1"/>
  <c r="M1566" i="29"/>
  <c r="F1566" i="29"/>
  <c r="L1567" i="29" a="1"/>
  <c r="L1567" i="29" s="1"/>
  <c r="B1568" i="29" s="1"/>
  <c r="Q1568" i="29" a="1"/>
  <c r="Q1568" i="29" s="1"/>
  <c r="N1568" i="29" a="1"/>
  <c r="N1568" i="29" s="1"/>
  <c r="P1565" i="29"/>
  <c r="I1569" i="29"/>
  <c r="K1570" i="29"/>
  <c r="G1567" i="29"/>
  <c r="B1567" i="29"/>
  <c r="O1536" i="29" l="1" a="1"/>
  <c r="O1536" i="29" s="1"/>
  <c r="R1536" i="29" s="1"/>
  <c r="S1536" i="29" s="1"/>
  <c r="K1571" i="29"/>
  <c r="I1570" i="29"/>
  <c r="Q1569" i="29" a="1"/>
  <c r="Q1569" i="29" s="1"/>
  <c r="N1569" i="29" a="1"/>
  <c r="N1569" i="29" s="1"/>
  <c r="P1566" i="29"/>
  <c r="F1567" i="29"/>
  <c r="C1567" i="29" a="1"/>
  <c r="C1567" i="29" s="1"/>
  <c r="M1567" i="29"/>
  <c r="L1568" i="29" a="1"/>
  <c r="L1568" i="29" s="1"/>
  <c r="G1568" i="29"/>
  <c r="O1537" i="29" l="1" a="1"/>
  <c r="O1537" i="29" s="1"/>
  <c r="R1537" i="29" s="1"/>
  <c r="S1537" i="29" s="1"/>
  <c r="C1568" i="29" a="1"/>
  <c r="C1568" i="29" s="1"/>
  <c r="M1568" i="29"/>
  <c r="F1568" i="29"/>
  <c r="L1569" i="29" a="1"/>
  <c r="L1569" i="29" s="1"/>
  <c r="P1567" i="29"/>
  <c r="G1569" i="29"/>
  <c r="B1569" i="29"/>
  <c r="Q1570" i="29" a="1"/>
  <c r="Q1570" i="29" s="1"/>
  <c r="N1570" i="29" a="1"/>
  <c r="N1570" i="29" s="1"/>
  <c r="I1571" i="29"/>
  <c r="K1572" i="29"/>
  <c r="O1538" i="29" l="1" a="1"/>
  <c r="O1538" i="29" s="1"/>
  <c r="R1538" i="29" s="1"/>
  <c r="S1538" i="29" s="1"/>
  <c r="Q1571" i="29" a="1"/>
  <c r="Q1571" i="29" s="1"/>
  <c r="N1571" i="29" a="1"/>
  <c r="N1571" i="29" s="1"/>
  <c r="G1570" i="29"/>
  <c r="F1569" i="29"/>
  <c r="C1569" i="29" a="1"/>
  <c r="C1569" i="29" s="1"/>
  <c r="M1569" i="29"/>
  <c r="L1570" i="29" a="1"/>
  <c r="L1570" i="29" s="1"/>
  <c r="B1570" i="29"/>
  <c r="P1568" i="29"/>
  <c r="K1573" i="29"/>
  <c r="I1572" i="29"/>
  <c r="O1539" i="29" l="1" a="1"/>
  <c r="O1539" i="29" s="1"/>
  <c r="R1539" i="29" s="1"/>
  <c r="S1539" i="29" s="1"/>
  <c r="C1570" i="29" a="1"/>
  <c r="C1570" i="29" s="1"/>
  <c r="M1570" i="29"/>
  <c r="F1570" i="29"/>
  <c r="L1571" i="29" a="1"/>
  <c r="L1571" i="29" s="1"/>
  <c r="P1569" i="29"/>
  <c r="I1573" i="29"/>
  <c r="K1574" i="29"/>
  <c r="G1571" i="29"/>
  <c r="B1571" i="29"/>
  <c r="Q1572" i="29" a="1"/>
  <c r="Q1572" i="29" s="1"/>
  <c r="N1572" i="29" a="1"/>
  <c r="N1572" i="29" s="1"/>
  <c r="O1540" i="29" l="1" a="1"/>
  <c r="O1540" i="29" s="1"/>
  <c r="R1540" i="29" s="1"/>
  <c r="S1540" i="29" s="1"/>
  <c r="F1571" i="29"/>
  <c r="C1571" i="29" a="1"/>
  <c r="C1571" i="29" s="1"/>
  <c r="M1571" i="29"/>
  <c r="L1572" i="29" a="1"/>
  <c r="L1572" i="29" s="1"/>
  <c r="B1573" i="29" s="1"/>
  <c r="P1570" i="29"/>
  <c r="G1572" i="29"/>
  <c r="B1572" i="29"/>
  <c r="K1575" i="29"/>
  <c r="I1574" i="29"/>
  <c r="Q1573" i="29" a="1"/>
  <c r="Q1573" i="29" s="1"/>
  <c r="N1573" i="29" a="1"/>
  <c r="N1573" i="29" s="1"/>
  <c r="O1541" i="29" l="1" a="1"/>
  <c r="O1541" i="29" s="1"/>
  <c r="R1541" i="29" s="1"/>
  <c r="S1541" i="29" s="1"/>
  <c r="Q1574" i="29" a="1"/>
  <c r="Q1574" i="29" s="1"/>
  <c r="N1574" i="29" a="1"/>
  <c r="N1574" i="29" s="1"/>
  <c r="P1571" i="29"/>
  <c r="I1575" i="29"/>
  <c r="K1576" i="29"/>
  <c r="C1572" i="29" a="1"/>
  <c r="C1572" i="29" s="1"/>
  <c r="M1572" i="29"/>
  <c r="F1572" i="29"/>
  <c r="L1573" i="29" a="1"/>
  <c r="L1573" i="29" s="1"/>
  <c r="B1574" i="29" s="1"/>
  <c r="G1573" i="29"/>
  <c r="O1542" i="29" l="1" a="1"/>
  <c r="O1542" i="29" s="1"/>
  <c r="R1542" i="29" s="1"/>
  <c r="S1542" i="29" s="1"/>
  <c r="G1574" i="29"/>
  <c r="P1572" i="29"/>
  <c r="F1573" i="29"/>
  <c r="C1573" i="29" a="1"/>
  <c r="C1573" i="29" s="1"/>
  <c r="M1573" i="29"/>
  <c r="L1574" i="29" a="1"/>
  <c r="L1574" i="29" s="1"/>
  <c r="K1577" i="29"/>
  <c r="I1576" i="29"/>
  <c r="Q1575" i="29" a="1"/>
  <c r="Q1575" i="29" s="1"/>
  <c r="N1575" i="29" a="1"/>
  <c r="N1575" i="29" s="1"/>
  <c r="O1543" i="29" l="1" a="1"/>
  <c r="O1543" i="29" s="1"/>
  <c r="R1543" i="29" s="1"/>
  <c r="S1543" i="29" s="1"/>
  <c r="G1575" i="29"/>
  <c r="C1574" i="29" a="1"/>
  <c r="C1574" i="29" s="1"/>
  <c r="M1574" i="29"/>
  <c r="F1574" i="29"/>
  <c r="L1575" i="29" a="1"/>
  <c r="L1575" i="29" s="1"/>
  <c r="B1575" i="29"/>
  <c r="Q1576" i="29" a="1"/>
  <c r="Q1576" i="29" s="1"/>
  <c r="N1576" i="29" a="1"/>
  <c r="N1576" i="29" s="1"/>
  <c r="I1577" i="29"/>
  <c r="K1578" i="29"/>
  <c r="P1573" i="29"/>
  <c r="O1544" i="29" l="1" a="1"/>
  <c r="O1544" i="29" s="1"/>
  <c r="R1544" i="29" s="1"/>
  <c r="S1544" i="29" s="1"/>
  <c r="F1575" i="29"/>
  <c r="C1575" i="29" a="1"/>
  <c r="C1575" i="29" s="1"/>
  <c r="M1575" i="29"/>
  <c r="L1576" i="29" a="1"/>
  <c r="L1576" i="29" s="1"/>
  <c r="G1576" i="29"/>
  <c r="K1579" i="29"/>
  <c r="I1578" i="29"/>
  <c r="Q1577" i="29" a="1"/>
  <c r="Q1577" i="29" s="1"/>
  <c r="N1577" i="29" a="1"/>
  <c r="N1577" i="29" s="1"/>
  <c r="P1574" i="29"/>
  <c r="B1576" i="29"/>
  <c r="O1545" i="29" l="1" a="1"/>
  <c r="O1545" i="29" s="1"/>
  <c r="R1545" i="29" s="1"/>
  <c r="S1545" i="29" s="1"/>
  <c r="G1577" i="29"/>
  <c r="P1575" i="29"/>
  <c r="C1576" i="29" a="1"/>
  <c r="C1576" i="29" s="1"/>
  <c r="M1576" i="29"/>
  <c r="F1576" i="29"/>
  <c r="L1577" i="29" a="1"/>
  <c r="L1577" i="29" s="1"/>
  <c r="B1578" i="29" s="1"/>
  <c r="B1577" i="29"/>
  <c r="Q1578" i="29" a="1"/>
  <c r="Q1578" i="29" s="1"/>
  <c r="N1578" i="29" a="1"/>
  <c r="N1578" i="29" s="1"/>
  <c r="I1579" i="29"/>
  <c r="K1580" i="29"/>
  <c r="O1546" i="29" l="1" a="1"/>
  <c r="O1546" i="29" s="1"/>
  <c r="R1546" i="29" s="1"/>
  <c r="S1546" i="29" s="1"/>
  <c r="Q1579" i="29" a="1"/>
  <c r="Q1579" i="29" s="1"/>
  <c r="N1579" i="29" a="1"/>
  <c r="N1579" i="29" s="1"/>
  <c r="P1576" i="29"/>
  <c r="G1578" i="29"/>
  <c r="F1577" i="29"/>
  <c r="C1577" i="29" a="1"/>
  <c r="C1577" i="29" s="1"/>
  <c r="M1577" i="29"/>
  <c r="L1578" i="29" a="1"/>
  <c r="L1578" i="29" s="1"/>
  <c r="B1579" i="29" s="1"/>
  <c r="K1581" i="29"/>
  <c r="I1580" i="29"/>
  <c r="O1547" i="29" l="1" a="1"/>
  <c r="O1547" i="29" s="1"/>
  <c r="R1547" i="29" s="1"/>
  <c r="S1547" i="29" s="1"/>
  <c r="Q1580" i="29" a="1"/>
  <c r="Q1580" i="29" s="1"/>
  <c r="N1580" i="29" a="1"/>
  <c r="N1580" i="29" s="1"/>
  <c r="I1581" i="29"/>
  <c r="K1582" i="29"/>
  <c r="G1579" i="29"/>
  <c r="P1577" i="29"/>
  <c r="C1578" i="29" a="1"/>
  <c r="C1578" i="29" s="1"/>
  <c r="M1578" i="29"/>
  <c r="F1578" i="29"/>
  <c r="L1579" i="29" a="1"/>
  <c r="L1579" i="29" s="1"/>
  <c r="O1548" i="29" l="1" a="1"/>
  <c r="O1548" i="29" s="1"/>
  <c r="R1548" i="29" s="1"/>
  <c r="S1548" i="29" s="1"/>
  <c r="F1579" i="29"/>
  <c r="C1579" i="29" a="1"/>
  <c r="C1579" i="29" s="1"/>
  <c r="M1579" i="29"/>
  <c r="L1580" i="29" a="1"/>
  <c r="L1580" i="29" s="1"/>
  <c r="K1583" i="29"/>
  <c r="I1582" i="29"/>
  <c r="Q1581" i="29" a="1"/>
  <c r="Q1581" i="29" s="1"/>
  <c r="N1581" i="29" a="1"/>
  <c r="N1581" i="29" s="1"/>
  <c r="P1578" i="29"/>
  <c r="G1580" i="29"/>
  <c r="B1580" i="29"/>
  <c r="O1549" i="29" l="1" a="1"/>
  <c r="O1549" i="29" s="1"/>
  <c r="R1549" i="29" s="1"/>
  <c r="S1549" i="29" s="1"/>
  <c r="Q1582" i="29" a="1"/>
  <c r="Q1582" i="29" s="1"/>
  <c r="N1582" i="29" a="1"/>
  <c r="N1582" i="29" s="1"/>
  <c r="I1583" i="29"/>
  <c r="K1584" i="29"/>
  <c r="G1581" i="29"/>
  <c r="C1580" i="29" a="1"/>
  <c r="C1580" i="29" s="1"/>
  <c r="M1580" i="29"/>
  <c r="F1580" i="29"/>
  <c r="L1581" i="29" a="1"/>
  <c r="L1581" i="29" s="1"/>
  <c r="P1579" i="29"/>
  <c r="B1581" i="29"/>
  <c r="O1550" i="29" l="1" a="1"/>
  <c r="O1550" i="29" s="1"/>
  <c r="R1550" i="29" s="1"/>
  <c r="S1550" i="29" s="1"/>
  <c r="F1581" i="29"/>
  <c r="C1581" i="29" a="1"/>
  <c r="C1581" i="29" s="1"/>
  <c r="M1581" i="29"/>
  <c r="L1582" i="29" a="1"/>
  <c r="L1582" i="29" s="1"/>
  <c r="P1580" i="29"/>
  <c r="B1582" i="29"/>
  <c r="K1585" i="29"/>
  <c r="I1584" i="29"/>
  <c r="Q1583" i="29" a="1"/>
  <c r="Q1583" i="29" s="1"/>
  <c r="N1583" i="29" a="1"/>
  <c r="N1583" i="29" s="1"/>
  <c r="G1582" i="29"/>
  <c r="O1551" i="29" l="1" a="1"/>
  <c r="O1551" i="29" s="1"/>
  <c r="R1551" i="29" s="1"/>
  <c r="S1551" i="29" s="1"/>
  <c r="C1582" i="29" a="1"/>
  <c r="C1582" i="29" s="1"/>
  <c r="M1582" i="29"/>
  <c r="F1582" i="29"/>
  <c r="L1583" i="29" a="1"/>
  <c r="L1583" i="29" s="1"/>
  <c r="B1584" i="29" s="1"/>
  <c r="G1583" i="29"/>
  <c r="B1583" i="29"/>
  <c r="P1581" i="29"/>
  <c r="Q1584" i="29" a="1"/>
  <c r="Q1584" i="29" s="1"/>
  <c r="N1584" i="29" a="1"/>
  <c r="N1584" i="29" s="1"/>
  <c r="I1585" i="29"/>
  <c r="K1586" i="29"/>
  <c r="O1552" i="29" l="1" a="1"/>
  <c r="O1552" i="29" s="1"/>
  <c r="R1552" i="29" s="1"/>
  <c r="S1552" i="29" s="1"/>
  <c r="Q1585" i="29" a="1"/>
  <c r="Q1585" i="29" s="1"/>
  <c r="N1585" i="29" a="1"/>
  <c r="N1585" i="29" s="1"/>
  <c r="G1584" i="29"/>
  <c r="P1582" i="29"/>
  <c r="F1583" i="29"/>
  <c r="C1583" i="29" a="1"/>
  <c r="C1583" i="29" s="1"/>
  <c r="M1583" i="29"/>
  <c r="L1584" i="29" a="1"/>
  <c r="L1584" i="29" s="1"/>
  <c r="K1587" i="29"/>
  <c r="I1586" i="29"/>
  <c r="O1553" i="29" l="1" a="1"/>
  <c r="O1553" i="29" s="1"/>
  <c r="R1553" i="29" s="1"/>
  <c r="S1553" i="29" s="1"/>
  <c r="Q1586" i="29" a="1"/>
  <c r="Q1586" i="29" s="1"/>
  <c r="N1586" i="29" a="1"/>
  <c r="N1586" i="29" s="1"/>
  <c r="I1587" i="29"/>
  <c r="K1588" i="29"/>
  <c r="C1584" i="29" a="1"/>
  <c r="C1584" i="29" s="1"/>
  <c r="M1584" i="29"/>
  <c r="F1584" i="29"/>
  <c r="L1585" i="29" a="1"/>
  <c r="L1585" i="29" s="1"/>
  <c r="B1586" i="29" s="1"/>
  <c r="G1585" i="29"/>
  <c r="P1583" i="29"/>
  <c r="B1585" i="29"/>
  <c r="O1554" i="29" l="1" a="1"/>
  <c r="O1554" i="29" s="1"/>
  <c r="R1554" i="29" s="1"/>
  <c r="S1554" i="29" s="1"/>
  <c r="K1589" i="29"/>
  <c r="I1588" i="29"/>
  <c r="Q1587" i="29" a="1"/>
  <c r="Q1587" i="29" s="1"/>
  <c r="N1587" i="29" a="1"/>
  <c r="N1587" i="29" s="1"/>
  <c r="G1586" i="29"/>
  <c r="P1584" i="29"/>
  <c r="F1585" i="29"/>
  <c r="C1585" i="29" a="1"/>
  <c r="C1585" i="29" s="1"/>
  <c r="M1585" i="29"/>
  <c r="L1586" i="29" a="1"/>
  <c r="L1586" i="29" s="1"/>
  <c r="B1587" i="29" s="1"/>
  <c r="O1555" i="29" l="1" a="1"/>
  <c r="O1555" i="29" s="1"/>
  <c r="R1555" i="29" s="1"/>
  <c r="S1555" i="29" s="1"/>
  <c r="G1587" i="29"/>
  <c r="C1586" i="29" a="1"/>
  <c r="C1586" i="29" s="1"/>
  <c r="M1586" i="29"/>
  <c r="F1586" i="29"/>
  <c r="L1587" i="29" a="1"/>
  <c r="L1587" i="29" s="1"/>
  <c r="P1585" i="29"/>
  <c r="Q1588" i="29" a="1"/>
  <c r="Q1588" i="29" s="1"/>
  <c r="N1588" i="29" a="1"/>
  <c r="N1588" i="29" s="1"/>
  <c r="I1589" i="29"/>
  <c r="K1590" i="29"/>
  <c r="O1556" i="29" l="1" a="1"/>
  <c r="O1556" i="29" s="1"/>
  <c r="R1556" i="29" s="1"/>
  <c r="S1556" i="29" s="1"/>
  <c r="F1587" i="29"/>
  <c r="C1587" i="29" a="1"/>
  <c r="C1587" i="29" s="1"/>
  <c r="M1587" i="29"/>
  <c r="L1588" i="29" a="1"/>
  <c r="L1588" i="29" s="1"/>
  <c r="G1588" i="29"/>
  <c r="K1591" i="29"/>
  <c r="I1590" i="29"/>
  <c r="Q1589" i="29" a="1"/>
  <c r="Q1589" i="29" s="1"/>
  <c r="N1589" i="29" a="1"/>
  <c r="N1589" i="29" s="1"/>
  <c r="P1586" i="29"/>
  <c r="B1588" i="29"/>
  <c r="O1557" i="29" l="1" a="1"/>
  <c r="O1557" i="29" s="1"/>
  <c r="R1557" i="29" s="1"/>
  <c r="S1557" i="29" s="1"/>
  <c r="G1589" i="29"/>
  <c r="C1588" i="29" a="1"/>
  <c r="C1588" i="29" s="1"/>
  <c r="M1588" i="29"/>
  <c r="F1588" i="29"/>
  <c r="L1589" i="29" a="1"/>
  <c r="L1589" i="29" s="1"/>
  <c r="B1589" i="29"/>
  <c r="P1587" i="29"/>
  <c r="Q1590" i="29" a="1"/>
  <c r="Q1590" i="29" s="1"/>
  <c r="N1590" i="29" a="1"/>
  <c r="N1590" i="29" s="1"/>
  <c r="I1591" i="29"/>
  <c r="K1592" i="29"/>
  <c r="O1558" i="29" l="1" a="1"/>
  <c r="O1558" i="29" s="1"/>
  <c r="R1558" i="29" s="1"/>
  <c r="S1558" i="29" s="1"/>
  <c r="Q1591" i="29" a="1"/>
  <c r="Q1591" i="29" s="1"/>
  <c r="N1591" i="29" a="1"/>
  <c r="N1591" i="29" s="1"/>
  <c r="F1589" i="29"/>
  <c r="C1589" i="29" a="1"/>
  <c r="C1589" i="29" s="1"/>
  <c r="M1589" i="29"/>
  <c r="L1590" i="29" a="1"/>
  <c r="L1590" i="29" s="1"/>
  <c r="G1590" i="29"/>
  <c r="P1588" i="29"/>
  <c r="B1590" i="29"/>
  <c r="K1593" i="29"/>
  <c r="I1592" i="29"/>
  <c r="O1559" i="29" l="1" a="1"/>
  <c r="O1559" i="29" s="1"/>
  <c r="R1559" i="29" s="1"/>
  <c r="S1559" i="29" s="1"/>
  <c r="C1590" i="29" a="1"/>
  <c r="C1590" i="29" s="1"/>
  <c r="M1590" i="29"/>
  <c r="F1590" i="29"/>
  <c r="L1591" i="29" a="1"/>
  <c r="L1591" i="29" s="1"/>
  <c r="B1592" i="29" s="1"/>
  <c r="I1593" i="29"/>
  <c r="K1594" i="29"/>
  <c r="G1591" i="29"/>
  <c r="B1591" i="29"/>
  <c r="Q1592" i="29" a="1"/>
  <c r="Q1592" i="29" s="1"/>
  <c r="N1592" i="29" a="1"/>
  <c r="N1592" i="29" s="1"/>
  <c r="P1589" i="29"/>
  <c r="O1560" i="29" l="1" a="1"/>
  <c r="O1560" i="29" s="1"/>
  <c r="R1560" i="29" s="1"/>
  <c r="S1560" i="29" s="1"/>
  <c r="K1595" i="29"/>
  <c r="I1594" i="29"/>
  <c r="Q1593" i="29" a="1"/>
  <c r="Q1593" i="29" s="1"/>
  <c r="N1593" i="29" a="1"/>
  <c r="N1593" i="29" s="1"/>
  <c r="G1592" i="29"/>
  <c r="P1590" i="29"/>
  <c r="F1591" i="29"/>
  <c r="C1591" i="29" a="1"/>
  <c r="C1591" i="29" s="1"/>
  <c r="M1591" i="29"/>
  <c r="L1592" i="29" a="1"/>
  <c r="L1592" i="29" s="1"/>
  <c r="O1561" i="29" l="1" a="1"/>
  <c r="O1561" i="29" s="1"/>
  <c r="R1561" i="29" s="1"/>
  <c r="S1561" i="29" s="1"/>
  <c r="C1592" i="29" a="1"/>
  <c r="C1592" i="29" s="1"/>
  <c r="M1592" i="29"/>
  <c r="F1592" i="29"/>
  <c r="L1593" i="29" a="1"/>
  <c r="L1593" i="29" s="1"/>
  <c r="P1591" i="29"/>
  <c r="B1593" i="29"/>
  <c r="G1593" i="29"/>
  <c r="Q1594" i="29" a="1"/>
  <c r="Q1594" i="29" s="1"/>
  <c r="N1594" i="29" a="1"/>
  <c r="N1594" i="29" s="1"/>
  <c r="I1595" i="29"/>
  <c r="K1596" i="29"/>
  <c r="O1562" i="29" l="1" a="1"/>
  <c r="O1562" i="29" s="1"/>
  <c r="R1562" i="29" s="1"/>
  <c r="S1562" i="29" s="1"/>
  <c r="Q1595" i="29" a="1"/>
  <c r="Q1595" i="29" s="1"/>
  <c r="N1595" i="29" a="1"/>
  <c r="N1595" i="29" s="1"/>
  <c r="G1594" i="29"/>
  <c r="P1592" i="29"/>
  <c r="F1593" i="29"/>
  <c r="C1593" i="29" a="1"/>
  <c r="C1593" i="29" s="1"/>
  <c r="M1593" i="29"/>
  <c r="L1594" i="29" a="1"/>
  <c r="L1594" i="29" s="1"/>
  <c r="B1594" i="29"/>
  <c r="K1597" i="29"/>
  <c r="I1596" i="29"/>
  <c r="O1563" i="29" l="1" a="1"/>
  <c r="O1563" i="29" s="1"/>
  <c r="R1563" i="29" s="1"/>
  <c r="S1563" i="29" s="1"/>
  <c r="I1597" i="29"/>
  <c r="K1598" i="29"/>
  <c r="C1594" i="29" a="1"/>
  <c r="C1594" i="29" s="1"/>
  <c r="M1594" i="29"/>
  <c r="F1594" i="29"/>
  <c r="L1595" i="29" a="1"/>
  <c r="L1595" i="29" s="1"/>
  <c r="P1593" i="29"/>
  <c r="B1595" i="29"/>
  <c r="G1595" i="29"/>
  <c r="Q1596" i="29" a="1"/>
  <c r="Q1596" i="29" s="1"/>
  <c r="N1596" i="29" a="1"/>
  <c r="N1596" i="29" s="1"/>
  <c r="O1564" i="29" l="1" a="1"/>
  <c r="O1564" i="29" s="1"/>
  <c r="R1564" i="29" s="1"/>
  <c r="S1564" i="29" s="1"/>
  <c r="G1596" i="29"/>
  <c r="F1595" i="29"/>
  <c r="C1595" i="29" a="1"/>
  <c r="C1595" i="29" s="1"/>
  <c r="M1595" i="29"/>
  <c r="L1596" i="29" a="1"/>
  <c r="L1596" i="29" s="1"/>
  <c r="B1596" i="29"/>
  <c r="P1594" i="29"/>
  <c r="K1599" i="29"/>
  <c r="I1598" i="29"/>
  <c r="Q1597" i="29" a="1"/>
  <c r="Q1597" i="29" s="1"/>
  <c r="N1597" i="29" a="1"/>
  <c r="N1597" i="29" s="1"/>
  <c r="O1565" i="29" l="1" a="1"/>
  <c r="O1565" i="29" s="1"/>
  <c r="R1565" i="29" s="1"/>
  <c r="S1565" i="29" s="1"/>
  <c r="C1596" i="29" a="1"/>
  <c r="C1596" i="29" s="1"/>
  <c r="M1596" i="29"/>
  <c r="F1596" i="29"/>
  <c r="L1597" i="29" a="1"/>
  <c r="L1597" i="29" s="1"/>
  <c r="P1595" i="29"/>
  <c r="B1597" i="29"/>
  <c r="Q1598" i="29" a="1"/>
  <c r="Q1598" i="29" s="1"/>
  <c r="N1598" i="29" a="1"/>
  <c r="N1598" i="29" s="1"/>
  <c r="I1599" i="29"/>
  <c r="K1600" i="29"/>
  <c r="G1597" i="29"/>
  <c r="O1566" i="29" l="1" a="1"/>
  <c r="O1566" i="29" s="1"/>
  <c r="R1566" i="29" s="1"/>
  <c r="S1566" i="29" s="1"/>
  <c r="K1601" i="29"/>
  <c r="I1600" i="29"/>
  <c r="F1597" i="29"/>
  <c r="C1597" i="29" a="1"/>
  <c r="C1597" i="29" s="1"/>
  <c r="M1597" i="29"/>
  <c r="L1598" i="29" a="1"/>
  <c r="L1598" i="29" s="1"/>
  <c r="P1596" i="29"/>
  <c r="B1598" i="29"/>
  <c r="Q1599" i="29" a="1"/>
  <c r="Q1599" i="29" s="1"/>
  <c r="N1599" i="29" a="1"/>
  <c r="N1599" i="29" s="1"/>
  <c r="G1598" i="29"/>
  <c r="O1567" i="29" l="1" a="1"/>
  <c r="O1567" i="29" s="1"/>
  <c r="R1567" i="29" s="1"/>
  <c r="S1567" i="29" s="1"/>
  <c r="C1598" i="29" a="1"/>
  <c r="C1598" i="29" s="1"/>
  <c r="M1598" i="29"/>
  <c r="F1598" i="29"/>
  <c r="L1599" i="29" a="1"/>
  <c r="L1599" i="29" s="1"/>
  <c r="G1599" i="29"/>
  <c r="P1597" i="29"/>
  <c r="B1599" i="29"/>
  <c r="Q1600" i="29" a="1"/>
  <c r="Q1600" i="29" s="1"/>
  <c r="N1600" i="29" a="1"/>
  <c r="N1600" i="29" s="1"/>
  <c r="I1601" i="29"/>
  <c r="K1602" i="29"/>
  <c r="O1568" i="29" l="1" a="1"/>
  <c r="O1568" i="29" s="1"/>
  <c r="R1568" i="29" s="1"/>
  <c r="S1568" i="29" s="1"/>
  <c r="F1599" i="29"/>
  <c r="C1599" i="29" a="1"/>
  <c r="C1599" i="29" s="1"/>
  <c r="M1599" i="29"/>
  <c r="L1600" i="29" a="1"/>
  <c r="L1600" i="29" s="1"/>
  <c r="Q1601" i="29" a="1"/>
  <c r="Q1601" i="29" s="1"/>
  <c r="N1601" i="29" a="1"/>
  <c r="N1601" i="29" s="1"/>
  <c r="G1600" i="29"/>
  <c r="B1600" i="29"/>
  <c r="P1598" i="29"/>
  <c r="K1603" i="29"/>
  <c r="I1602" i="29"/>
  <c r="O1569" i="29" l="1" a="1"/>
  <c r="O1569" i="29" s="1"/>
  <c r="R1569" i="29" s="1"/>
  <c r="S1569" i="29" s="1"/>
  <c r="I1603" i="29"/>
  <c r="K1604" i="29"/>
  <c r="P1599" i="29"/>
  <c r="C1600" i="29" a="1"/>
  <c r="C1600" i="29" s="1"/>
  <c r="M1600" i="29"/>
  <c r="F1600" i="29"/>
  <c r="L1601" i="29" a="1"/>
  <c r="L1601" i="29" s="1"/>
  <c r="B1602" i="29" s="1"/>
  <c r="G1601" i="29"/>
  <c r="Q1602" i="29" a="1"/>
  <c r="Q1602" i="29" s="1"/>
  <c r="N1602" i="29" a="1"/>
  <c r="N1602" i="29" s="1"/>
  <c r="B1601" i="29"/>
  <c r="O1570" i="29" l="1" a="1"/>
  <c r="O1570" i="29" s="1"/>
  <c r="R1570" i="29" s="1"/>
  <c r="S1570" i="29" s="1"/>
  <c r="P1600" i="29"/>
  <c r="K1605" i="29"/>
  <c r="I1604" i="29"/>
  <c r="Q1603" i="29" a="1"/>
  <c r="Q1603" i="29" s="1"/>
  <c r="N1603" i="29" a="1"/>
  <c r="N1603" i="29" s="1"/>
  <c r="G1602" i="29"/>
  <c r="F1601" i="29"/>
  <c r="C1601" i="29" a="1"/>
  <c r="C1601" i="29" s="1"/>
  <c r="M1601" i="29"/>
  <c r="L1602" i="29" a="1"/>
  <c r="L1602" i="29" s="1"/>
  <c r="O1571" i="29" l="1" a="1"/>
  <c r="O1571" i="29" s="1"/>
  <c r="R1571" i="29" s="1"/>
  <c r="S1571" i="29" s="1"/>
  <c r="C1602" i="29" a="1"/>
  <c r="C1602" i="29" s="1"/>
  <c r="M1602" i="29"/>
  <c r="F1602" i="29"/>
  <c r="L1603" i="29" a="1"/>
  <c r="L1603" i="29" s="1"/>
  <c r="P1601" i="29"/>
  <c r="Q1604" i="29" a="1"/>
  <c r="Q1604" i="29" s="1"/>
  <c r="N1604" i="29" a="1"/>
  <c r="N1604" i="29" s="1"/>
  <c r="I1605" i="29"/>
  <c r="K1606" i="29"/>
  <c r="G1603" i="29"/>
  <c r="B1603" i="29"/>
  <c r="O1572" i="29" l="1" a="1"/>
  <c r="O1572" i="29" s="1"/>
  <c r="R1572" i="29" s="1"/>
  <c r="S1572" i="29" s="1"/>
  <c r="K1607" i="29"/>
  <c r="I1606" i="29"/>
  <c r="Q1605" i="29" a="1"/>
  <c r="Q1605" i="29" s="1"/>
  <c r="N1605" i="29" a="1"/>
  <c r="N1605" i="29" s="1"/>
  <c r="G1604" i="29"/>
  <c r="F1603" i="29"/>
  <c r="C1603" i="29" a="1"/>
  <c r="C1603" i="29" s="1"/>
  <c r="M1603" i="29"/>
  <c r="L1604" i="29" a="1"/>
  <c r="L1604" i="29" s="1"/>
  <c r="P1602" i="29"/>
  <c r="B1604" i="29"/>
  <c r="O1573" i="29" l="1" a="1"/>
  <c r="O1573" i="29" s="1"/>
  <c r="R1573" i="29" s="1"/>
  <c r="S1573" i="29" s="1"/>
  <c r="C1604" i="29" a="1"/>
  <c r="C1604" i="29" s="1"/>
  <c r="M1604" i="29"/>
  <c r="F1604" i="29"/>
  <c r="L1605" i="29" a="1"/>
  <c r="L1605" i="29" s="1"/>
  <c r="P1603" i="29"/>
  <c r="G1605" i="29"/>
  <c r="B1605" i="29"/>
  <c r="Q1606" i="29" a="1"/>
  <c r="Q1606" i="29" s="1"/>
  <c r="N1606" i="29" a="1"/>
  <c r="N1606" i="29" s="1"/>
  <c r="I1607" i="29"/>
  <c r="K1608" i="29"/>
  <c r="O1574" i="29" l="1" a="1"/>
  <c r="O1574" i="29" s="1"/>
  <c r="R1574" i="29" s="1"/>
  <c r="S1574" i="29" s="1"/>
  <c r="Q1607" i="29" a="1"/>
  <c r="Q1607" i="29" s="1"/>
  <c r="N1607" i="29" a="1"/>
  <c r="N1607" i="29" s="1"/>
  <c r="G1606" i="29"/>
  <c r="F1605" i="29"/>
  <c r="C1605" i="29" a="1"/>
  <c r="C1605" i="29" s="1"/>
  <c r="M1605" i="29"/>
  <c r="L1606" i="29" a="1"/>
  <c r="L1606" i="29" s="1"/>
  <c r="B1607" i="29" s="1"/>
  <c r="B1606" i="29"/>
  <c r="P1604" i="29"/>
  <c r="K1609" i="29"/>
  <c r="I1608" i="29"/>
  <c r="O1575" i="29" l="1" a="1"/>
  <c r="O1575" i="29" s="1"/>
  <c r="R1575" i="29" s="1"/>
  <c r="S1575" i="29" s="1"/>
  <c r="I1609" i="29"/>
  <c r="K1610" i="29"/>
  <c r="G1607" i="29"/>
  <c r="P1605" i="29"/>
  <c r="C1606" i="29" a="1"/>
  <c r="C1606" i="29" s="1"/>
  <c r="M1606" i="29"/>
  <c r="F1606" i="29"/>
  <c r="L1607" i="29" a="1"/>
  <c r="L1607" i="29" s="1"/>
  <c r="B1608" i="29" s="1"/>
  <c r="Q1608" i="29" a="1"/>
  <c r="Q1608" i="29" s="1"/>
  <c r="N1608" i="29" a="1"/>
  <c r="N1608" i="29" s="1"/>
  <c r="O1576" i="29" l="1" a="1"/>
  <c r="O1576" i="29" s="1"/>
  <c r="R1576" i="29" s="1"/>
  <c r="S1576" i="29" s="1"/>
  <c r="G1608" i="29"/>
  <c r="P1606" i="29"/>
  <c r="F1607" i="29"/>
  <c r="C1607" i="29" a="1"/>
  <c r="C1607" i="29" s="1"/>
  <c r="M1607" i="29"/>
  <c r="L1608" i="29" a="1"/>
  <c r="L1608" i="29" s="1"/>
  <c r="B1609" i="29" s="1"/>
  <c r="K1611" i="29"/>
  <c r="I1610" i="29"/>
  <c r="Q1609" i="29" a="1"/>
  <c r="Q1609" i="29" s="1"/>
  <c r="N1609" i="29" a="1"/>
  <c r="N1609" i="29" s="1"/>
  <c r="O1577" i="29" l="1" a="1"/>
  <c r="O1577" i="29" s="1"/>
  <c r="R1577" i="29" s="1"/>
  <c r="S1577" i="29" s="1"/>
  <c r="G1609" i="29"/>
  <c r="Q1610" i="29" a="1"/>
  <c r="Q1610" i="29" s="1"/>
  <c r="N1610" i="29" a="1"/>
  <c r="N1610" i="29" s="1"/>
  <c r="I1611" i="29"/>
  <c r="K1612" i="29"/>
  <c r="C1608" i="29" a="1"/>
  <c r="C1608" i="29" s="1"/>
  <c r="M1608" i="29"/>
  <c r="F1608" i="29"/>
  <c r="L1609" i="29" a="1"/>
  <c r="L1609" i="29" s="1"/>
  <c r="P1607" i="29"/>
  <c r="O1578" i="29" l="1" a="1"/>
  <c r="O1578" i="29" s="1"/>
  <c r="R1578" i="29" s="1"/>
  <c r="S1578" i="29" s="1"/>
  <c r="G1610" i="29"/>
  <c r="K1613" i="29"/>
  <c r="I1612" i="29"/>
  <c r="F1609" i="29"/>
  <c r="C1609" i="29" a="1"/>
  <c r="C1609" i="29" s="1"/>
  <c r="M1609" i="29"/>
  <c r="L1610" i="29" a="1"/>
  <c r="L1610" i="29" s="1"/>
  <c r="B1611" i="29" s="1"/>
  <c r="B1610" i="29"/>
  <c r="P1608" i="29"/>
  <c r="Q1611" i="29" a="1"/>
  <c r="Q1611" i="29" s="1"/>
  <c r="N1611" i="29" a="1"/>
  <c r="N1611" i="29" s="1"/>
  <c r="O1579" i="29" l="1" a="1"/>
  <c r="O1579" i="29" s="1"/>
  <c r="R1579" i="29" s="1"/>
  <c r="S1579" i="29" s="1"/>
  <c r="C1610" i="29" a="1"/>
  <c r="C1610" i="29" s="1"/>
  <c r="M1610" i="29"/>
  <c r="F1610" i="29"/>
  <c r="L1611" i="29" a="1"/>
  <c r="L1611" i="29" s="1"/>
  <c r="Q1612" i="29" a="1"/>
  <c r="Q1612" i="29" s="1"/>
  <c r="N1612" i="29" a="1"/>
  <c r="N1612" i="29" s="1"/>
  <c r="I1613" i="29"/>
  <c r="K1614" i="29"/>
  <c r="G1611" i="29"/>
  <c r="P1609" i="29"/>
  <c r="O1580" i="29" l="1" a="1"/>
  <c r="O1580" i="29" s="1"/>
  <c r="R1580" i="29" s="1"/>
  <c r="S1580" i="29" s="1"/>
  <c r="F1611" i="29"/>
  <c r="C1611" i="29" a="1"/>
  <c r="C1611" i="29" s="1"/>
  <c r="M1611" i="29"/>
  <c r="L1612" i="29" a="1"/>
  <c r="L1612" i="29" s="1"/>
  <c r="P1610" i="29"/>
  <c r="Q1613" i="29" a="1"/>
  <c r="Q1613" i="29" s="1"/>
  <c r="N1613" i="29" a="1"/>
  <c r="N1613" i="29" s="1"/>
  <c r="B1612" i="29"/>
  <c r="K1615" i="29"/>
  <c r="I1614" i="29"/>
  <c r="G1612" i="29"/>
  <c r="O1581" i="29" l="1" a="1"/>
  <c r="O1581" i="29" s="1"/>
  <c r="R1581" i="29" s="1"/>
  <c r="S1581" i="29" s="1"/>
  <c r="P1611" i="29"/>
  <c r="C1612" i="29" a="1"/>
  <c r="C1612" i="29" s="1"/>
  <c r="M1612" i="29"/>
  <c r="F1612" i="29"/>
  <c r="L1613" i="29" a="1"/>
  <c r="L1613" i="29" s="1"/>
  <c r="B1614" i="29" s="1"/>
  <c r="G1613" i="29"/>
  <c r="Q1614" i="29" a="1"/>
  <c r="Q1614" i="29" s="1"/>
  <c r="N1614" i="29" a="1"/>
  <c r="N1614" i="29" s="1"/>
  <c r="I1615" i="29"/>
  <c r="K1616" i="29"/>
  <c r="B1613" i="29"/>
  <c r="O1582" i="29" l="1" a="1"/>
  <c r="O1582" i="29" s="1"/>
  <c r="R1582" i="29" s="1"/>
  <c r="S1582" i="29" s="1"/>
  <c r="K1617" i="29"/>
  <c r="I1616" i="29"/>
  <c r="P1612" i="29"/>
  <c r="Q1615" i="29" a="1"/>
  <c r="Q1615" i="29" s="1"/>
  <c r="N1615" i="29" a="1"/>
  <c r="N1615" i="29" s="1"/>
  <c r="G1614" i="29"/>
  <c r="F1613" i="29"/>
  <c r="C1613" i="29" a="1"/>
  <c r="C1613" i="29" s="1"/>
  <c r="M1613" i="29"/>
  <c r="L1614" i="29" a="1"/>
  <c r="L1614" i="29" s="1"/>
  <c r="O1583" i="29" l="1" a="1"/>
  <c r="O1583" i="29" s="1"/>
  <c r="R1583" i="29" s="1"/>
  <c r="S1583" i="29" s="1"/>
  <c r="C1614" i="29" a="1"/>
  <c r="C1614" i="29" s="1"/>
  <c r="M1614" i="29"/>
  <c r="F1614" i="29"/>
  <c r="L1615" i="29" a="1"/>
  <c r="L1615" i="29" s="1"/>
  <c r="P1613" i="29"/>
  <c r="G1615" i="29"/>
  <c r="Q1616" i="29" a="1"/>
  <c r="Q1616" i="29" s="1"/>
  <c r="N1616" i="29" a="1"/>
  <c r="N1616" i="29" s="1"/>
  <c r="I1617" i="29"/>
  <c r="K1618" i="29"/>
  <c r="B1615" i="29"/>
  <c r="O1584" i="29" l="1" a="1"/>
  <c r="O1584" i="29" s="1"/>
  <c r="R1584" i="29" s="1"/>
  <c r="S1584" i="29" s="1"/>
  <c r="K1619" i="29"/>
  <c r="I1618" i="29"/>
  <c r="Q1617" i="29" a="1"/>
  <c r="Q1617" i="29" s="1"/>
  <c r="N1617" i="29" a="1"/>
  <c r="N1617" i="29" s="1"/>
  <c r="F1615" i="29"/>
  <c r="C1615" i="29" a="1"/>
  <c r="C1615" i="29" s="1"/>
  <c r="M1615" i="29"/>
  <c r="L1616" i="29" a="1"/>
  <c r="L1616" i="29" s="1"/>
  <c r="B1617" i="29" s="1"/>
  <c r="G1616" i="29"/>
  <c r="B1616" i="29"/>
  <c r="P1614" i="29"/>
  <c r="O1585" i="29" l="1" a="1"/>
  <c r="O1585" i="29" s="1"/>
  <c r="R1585" i="29" s="1"/>
  <c r="S1585" i="29" s="1"/>
  <c r="G1617" i="29"/>
  <c r="Q1618" i="29" a="1"/>
  <c r="Q1618" i="29" s="1"/>
  <c r="N1618" i="29" a="1"/>
  <c r="N1618" i="29" s="1"/>
  <c r="C1616" i="29" a="1"/>
  <c r="C1616" i="29" s="1"/>
  <c r="M1616" i="29"/>
  <c r="F1616" i="29"/>
  <c r="L1617" i="29" a="1"/>
  <c r="L1617" i="29" s="1"/>
  <c r="B1618" i="29" s="1"/>
  <c r="P1615" i="29"/>
  <c r="I1619" i="29"/>
  <c r="K1620" i="29"/>
  <c r="O1586" i="29" l="1" a="1"/>
  <c r="O1586" i="29" s="1"/>
  <c r="R1586" i="29" s="1"/>
  <c r="S1586" i="29" s="1"/>
  <c r="G1618" i="29"/>
  <c r="Q1619" i="29" a="1"/>
  <c r="Q1619" i="29" s="1"/>
  <c r="N1619" i="29" a="1"/>
  <c r="N1619" i="29" s="1"/>
  <c r="P1616" i="29"/>
  <c r="K1621" i="29"/>
  <c r="I1620" i="29"/>
  <c r="F1617" i="29"/>
  <c r="C1617" i="29" a="1"/>
  <c r="C1617" i="29" s="1"/>
  <c r="M1617" i="29"/>
  <c r="L1618" i="29" a="1"/>
  <c r="L1618" i="29" s="1"/>
  <c r="B1619" i="29" s="1"/>
  <c r="O1587" i="29" l="1" a="1"/>
  <c r="O1587" i="29" s="1"/>
  <c r="R1587" i="29" s="1"/>
  <c r="S1587" i="29" s="1"/>
  <c r="G1619" i="29"/>
  <c r="C1618" i="29" a="1"/>
  <c r="C1618" i="29" s="1"/>
  <c r="M1618" i="29"/>
  <c r="F1618" i="29"/>
  <c r="L1619" i="29" a="1"/>
  <c r="L1619" i="29" s="1"/>
  <c r="P1617" i="29"/>
  <c r="Q1620" i="29" a="1"/>
  <c r="Q1620" i="29" s="1"/>
  <c r="N1620" i="29" a="1"/>
  <c r="N1620" i="29" s="1"/>
  <c r="I1621" i="29"/>
  <c r="K1622" i="29"/>
  <c r="O1588" i="29" l="1" a="1"/>
  <c r="O1588" i="29" s="1"/>
  <c r="R1588" i="29" s="1"/>
  <c r="S1588" i="29" s="1"/>
  <c r="F1619" i="29"/>
  <c r="C1619" i="29" a="1"/>
  <c r="C1619" i="29" s="1"/>
  <c r="M1619" i="29"/>
  <c r="L1620" i="29" a="1"/>
  <c r="L1620" i="29" s="1"/>
  <c r="B1621" i="29" s="1"/>
  <c r="P1618" i="29"/>
  <c r="K1623" i="29"/>
  <c r="I1622" i="29"/>
  <c r="Q1621" i="29" a="1"/>
  <c r="Q1621" i="29" s="1"/>
  <c r="N1621" i="29" a="1"/>
  <c r="N1621" i="29" s="1"/>
  <c r="G1620" i="29"/>
  <c r="B1620" i="29"/>
  <c r="O1589" i="29" l="1" a="1"/>
  <c r="O1589" i="29" s="1"/>
  <c r="R1589" i="29" s="1"/>
  <c r="S1589" i="29" s="1"/>
  <c r="G1621" i="29"/>
  <c r="C1620" i="29" a="1"/>
  <c r="C1620" i="29" s="1"/>
  <c r="M1620" i="29"/>
  <c r="F1620" i="29"/>
  <c r="L1621" i="29" a="1"/>
  <c r="L1621" i="29" s="1"/>
  <c r="P1619" i="29"/>
  <c r="Q1622" i="29" a="1"/>
  <c r="Q1622" i="29" s="1"/>
  <c r="N1622" i="29" a="1"/>
  <c r="N1622" i="29" s="1"/>
  <c r="I1623" i="29"/>
  <c r="K1624" i="29"/>
  <c r="O1590" i="29" l="1" a="1"/>
  <c r="O1590" i="29" s="1"/>
  <c r="R1590" i="29" s="1"/>
  <c r="S1590" i="29" s="1"/>
  <c r="F1621" i="29"/>
  <c r="C1621" i="29" a="1"/>
  <c r="C1621" i="29" s="1"/>
  <c r="M1621" i="29"/>
  <c r="L1622" i="29" a="1"/>
  <c r="L1622" i="29" s="1"/>
  <c r="Q1623" i="29" a="1"/>
  <c r="Q1623" i="29" s="1"/>
  <c r="N1623" i="29" a="1"/>
  <c r="N1623" i="29" s="1"/>
  <c r="G1622" i="29"/>
  <c r="K1625" i="29"/>
  <c r="I1624" i="29"/>
  <c r="P1620" i="29"/>
  <c r="B1622" i="29"/>
  <c r="O1591" i="29" l="1" a="1"/>
  <c r="O1591" i="29" s="1"/>
  <c r="R1591" i="29" s="1"/>
  <c r="S1591" i="29" s="1"/>
  <c r="Q1624" i="29" a="1"/>
  <c r="Q1624" i="29" s="1"/>
  <c r="N1624" i="29" a="1"/>
  <c r="N1624" i="29" s="1"/>
  <c r="C1622" i="29" a="1"/>
  <c r="C1622" i="29" s="1"/>
  <c r="M1622" i="29"/>
  <c r="F1622" i="29"/>
  <c r="L1623" i="29" a="1"/>
  <c r="L1623" i="29" s="1"/>
  <c r="B1624" i="29" s="1"/>
  <c r="I1625" i="29"/>
  <c r="K1626" i="29"/>
  <c r="P1621" i="29"/>
  <c r="G1623" i="29"/>
  <c r="B1623" i="29"/>
  <c r="O1592" i="29" l="1" a="1"/>
  <c r="O1592" i="29" s="1"/>
  <c r="R1592" i="29" s="1"/>
  <c r="S1592" i="29" s="1"/>
  <c r="P1622" i="29"/>
  <c r="G1624" i="29"/>
  <c r="K1627" i="29"/>
  <c r="I1626" i="29"/>
  <c r="Q1625" i="29" a="1"/>
  <c r="Q1625" i="29" s="1"/>
  <c r="N1625" i="29" a="1"/>
  <c r="N1625" i="29" s="1"/>
  <c r="F1623" i="29"/>
  <c r="C1623" i="29" a="1"/>
  <c r="C1623" i="29" s="1"/>
  <c r="M1623" i="29"/>
  <c r="L1624" i="29" a="1"/>
  <c r="L1624" i="29" s="1"/>
  <c r="O1593" i="29" l="1" a="1"/>
  <c r="O1593" i="29" s="1"/>
  <c r="R1593" i="29" s="1"/>
  <c r="S1593" i="29" s="1"/>
  <c r="C1624" i="29" a="1"/>
  <c r="C1624" i="29" s="1"/>
  <c r="M1624" i="29"/>
  <c r="F1624" i="29"/>
  <c r="L1625" i="29" a="1"/>
  <c r="L1625" i="29" s="1"/>
  <c r="Q1626" i="29" a="1"/>
  <c r="Q1626" i="29" s="1"/>
  <c r="N1626" i="29" a="1"/>
  <c r="N1626" i="29" s="1"/>
  <c r="P1623" i="29"/>
  <c r="I1627" i="29"/>
  <c r="K1628" i="29"/>
  <c r="G1625" i="29"/>
  <c r="B1625" i="29"/>
  <c r="O1594" i="29" l="1" a="1"/>
  <c r="O1594" i="29" s="1"/>
  <c r="R1594" i="29" s="1"/>
  <c r="S1594" i="29" s="1"/>
  <c r="F1625" i="29"/>
  <c r="C1625" i="29" a="1"/>
  <c r="C1625" i="29" s="1"/>
  <c r="M1625" i="29"/>
  <c r="L1626" i="29" a="1"/>
  <c r="L1626" i="29" s="1"/>
  <c r="B1627" i="29" s="1"/>
  <c r="P1624" i="29"/>
  <c r="B1626" i="29"/>
  <c r="K1629" i="29"/>
  <c r="I1628" i="29"/>
  <c r="Q1627" i="29" a="1"/>
  <c r="Q1627" i="29" s="1"/>
  <c r="N1627" i="29" a="1"/>
  <c r="N1627" i="29" s="1"/>
  <c r="G1626" i="29"/>
  <c r="O1595" i="29" l="1" a="1"/>
  <c r="O1595" i="29" s="1"/>
  <c r="R1595" i="29" s="1"/>
  <c r="S1595" i="29" s="1"/>
  <c r="G1627" i="29"/>
  <c r="P1625" i="29"/>
  <c r="C1626" i="29" a="1"/>
  <c r="C1626" i="29" s="1"/>
  <c r="M1626" i="29"/>
  <c r="F1626" i="29"/>
  <c r="L1627" i="29" a="1"/>
  <c r="L1627" i="29" s="1"/>
  <c r="B1628" i="29" s="1"/>
  <c r="Q1628" i="29" a="1"/>
  <c r="Q1628" i="29" s="1"/>
  <c r="N1628" i="29" a="1"/>
  <c r="N1628" i="29" s="1"/>
  <c r="I1629" i="29"/>
  <c r="K1630" i="29"/>
  <c r="O1596" i="29" l="1" a="1"/>
  <c r="O1596" i="29" s="1"/>
  <c r="R1596" i="29" s="1"/>
  <c r="S1596" i="29" s="1"/>
  <c r="P1626" i="29"/>
  <c r="Q1629" i="29" a="1"/>
  <c r="Q1629" i="29" s="1"/>
  <c r="N1629" i="29" a="1"/>
  <c r="N1629" i="29" s="1"/>
  <c r="K1631" i="29"/>
  <c r="I1630" i="29"/>
  <c r="G1628" i="29"/>
  <c r="F1627" i="29"/>
  <c r="C1627" i="29" a="1"/>
  <c r="C1627" i="29" s="1"/>
  <c r="M1627" i="29"/>
  <c r="L1628" i="29" a="1"/>
  <c r="L1628" i="29" s="1"/>
  <c r="O1597" i="29" l="1" a="1"/>
  <c r="O1597" i="29" s="1"/>
  <c r="R1597" i="29" s="1"/>
  <c r="S1597" i="29" s="1"/>
  <c r="C1628" i="29" a="1"/>
  <c r="C1628" i="29" s="1"/>
  <c r="M1628" i="29"/>
  <c r="F1628" i="29"/>
  <c r="L1629" i="29" a="1"/>
  <c r="L1629" i="29" s="1"/>
  <c r="G1629" i="29"/>
  <c r="P1627" i="29"/>
  <c r="B1629" i="29"/>
  <c r="Q1630" i="29" a="1"/>
  <c r="Q1630" i="29" s="1"/>
  <c r="N1630" i="29" a="1"/>
  <c r="N1630" i="29" s="1"/>
  <c r="I1631" i="29"/>
  <c r="K1632" i="29"/>
  <c r="O1598" i="29" l="1" a="1"/>
  <c r="O1598" i="29" s="1"/>
  <c r="R1598" i="29" s="1"/>
  <c r="S1598" i="29" s="1"/>
  <c r="F1629" i="29"/>
  <c r="C1629" i="29" a="1"/>
  <c r="C1629" i="29" s="1"/>
  <c r="M1629" i="29"/>
  <c r="L1630" i="29" a="1"/>
  <c r="L1630" i="29" s="1"/>
  <c r="G1630" i="29"/>
  <c r="Q1631" i="29" a="1"/>
  <c r="Q1631" i="29" s="1"/>
  <c r="N1631" i="29" a="1"/>
  <c r="N1631" i="29" s="1"/>
  <c r="B1630" i="29"/>
  <c r="P1628" i="29"/>
  <c r="K1633" i="29"/>
  <c r="I1632" i="29"/>
  <c r="O1599" i="29" l="1" a="1"/>
  <c r="O1599" i="29" s="1"/>
  <c r="R1599" i="29" s="1"/>
  <c r="S1599" i="29" s="1"/>
  <c r="I1633" i="29"/>
  <c r="K1634" i="29"/>
  <c r="P1629" i="29"/>
  <c r="G1631" i="29"/>
  <c r="C1630" i="29" a="1"/>
  <c r="C1630" i="29" s="1"/>
  <c r="M1630" i="29"/>
  <c r="F1630" i="29"/>
  <c r="L1631" i="29" a="1"/>
  <c r="L1631" i="29" s="1"/>
  <c r="B1632" i="29" s="1"/>
  <c r="B1631" i="29"/>
  <c r="Q1632" i="29" a="1"/>
  <c r="Q1632" i="29" s="1"/>
  <c r="N1632" i="29" a="1"/>
  <c r="N1632" i="29" s="1"/>
  <c r="O1600" i="29" l="1" a="1"/>
  <c r="O1600" i="29" s="1"/>
  <c r="R1600" i="29" s="1"/>
  <c r="S1600" i="29" s="1"/>
  <c r="G1632" i="29"/>
  <c r="Q1633" i="29" a="1"/>
  <c r="Q1633" i="29" s="1"/>
  <c r="N1633" i="29" a="1"/>
  <c r="N1633" i="29" s="1"/>
  <c r="F1631" i="29"/>
  <c r="C1631" i="29" a="1"/>
  <c r="C1631" i="29" s="1"/>
  <c r="M1631" i="29"/>
  <c r="L1632" i="29" a="1"/>
  <c r="L1632" i="29" s="1"/>
  <c r="B1633" i="29" s="1"/>
  <c r="K1635" i="29"/>
  <c r="I1634" i="29"/>
  <c r="P1630" i="29"/>
  <c r="O1601" i="29" l="1" a="1"/>
  <c r="O1601" i="29" s="1"/>
  <c r="R1601" i="29" s="1"/>
  <c r="S1601" i="29" s="1"/>
  <c r="Q1634" i="29" a="1"/>
  <c r="Q1634" i="29" s="1"/>
  <c r="N1634" i="29" a="1"/>
  <c r="N1634" i="29" s="1"/>
  <c r="G1633" i="29"/>
  <c r="I1635" i="29"/>
  <c r="K1636" i="29"/>
  <c r="P1631" i="29"/>
  <c r="C1632" i="29" a="1"/>
  <c r="C1632" i="29" s="1"/>
  <c r="M1632" i="29"/>
  <c r="F1632" i="29"/>
  <c r="L1633" i="29" a="1"/>
  <c r="L1633" i="29" s="1"/>
  <c r="O1602" i="29" l="1" a="1"/>
  <c r="O1602" i="29" s="1"/>
  <c r="R1602" i="29" s="1"/>
  <c r="S1602" i="29" s="1"/>
  <c r="F1633" i="29"/>
  <c r="C1633" i="29" a="1"/>
  <c r="C1633" i="29" s="1"/>
  <c r="M1633" i="29"/>
  <c r="L1634" i="29" a="1"/>
  <c r="L1634" i="29" s="1"/>
  <c r="B1635" i="29" s="1"/>
  <c r="P1632" i="29"/>
  <c r="G1634" i="29"/>
  <c r="B1634" i="29"/>
  <c r="K1637" i="29"/>
  <c r="I1636" i="29"/>
  <c r="Q1635" i="29" a="1"/>
  <c r="Q1635" i="29" s="1"/>
  <c r="N1635" i="29" a="1"/>
  <c r="N1635" i="29" s="1"/>
  <c r="O1603" i="29" l="1" a="1"/>
  <c r="O1603" i="29" s="1"/>
  <c r="R1603" i="29" s="1"/>
  <c r="S1603" i="29" s="1"/>
  <c r="C1634" i="29" a="1"/>
  <c r="C1634" i="29" s="1"/>
  <c r="M1634" i="29"/>
  <c r="F1634" i="29"/>
  <c r="L1635" i="29" a="1"/>
  <c r="L1635" i="29" s="1"/>
  <c r="B1636" i="29" s="1"/>
  <c r="Q1636" i="29" a="1"/>
  <c r="Q1636" i="29" s="1"/>
  <c r="N1636" i="29" a="1"/>
  <c r="N1636" i="29" s="1"/>
  <c r="P1633" i="29"/>
  <c r="I1637" i="29"/>
  <c r="K1638" i="29"/>
  <c r="G1635" i="29"/>
  <c r="O1604" i="29" l="1" a="1"/>
  <c r="O1604" i="29" s="1"/>
  <c r="R1604" i="29" s="1"/>
  <c r="S1604" i="29" s="1"/>
  <c r="K1639" i="29"/>
  <c r="I1638" i="29"/>
  <c r="Q1637" i="29" a="1"/>
  <c r="Q1637" i="29" s="1"/>
  <c r="N1637" i="29" a="1"/>
  <c r="N1637" i="29" s="1"/>
  <c r="P1634" i="29"/>
  <c r="F1635" i="29"/>
  <c r="C1635" i="29" a="1"/>
  <c r="C1635" i="29" s="1"/>
  <c r="M1635" i="29"/>
  <c r="L1636" i="29" a="1"/>
  <c r="L1636" i="29" s="1"/>
  <c r="B1637" i="29" s="1"/>
  <c r="G1636" i="29"/>
  <c r="O1605" i="29" l="1" a="1"/>
  <c r="O1605" i="29" s="1"/>
  <c r="R1605" i="29" s="1"/>
  <c r="S1605" i="29" s="1"/>
  <c r="G1637" i="29"/>
  <c r="C1636" i="29" a="1"/>
  <c r="C1636" i="29" s="1"/>
  <c r="M1636" i="29"/>
  <c r="F1636" i="29"/>
  <c r="L1637" i="29" a="1"/>
  <c r="L1637" i="29" s="1"/>
  <c r="P1635" i="29"/>
  <c r="Q1638" i="29" a="1"/>
  <c r="Q1638" i="29" s="1"/>
  <c r="N1638" i="29" a="1"/>
  <c r="N1638" i="29" s="1"/>
  <c r="I1639" i="29"/>
  <c r="K1640" i="29"/>
  <c r="O1606" i="29" l="1" a="1"/>
  <c r="O1606" i="29" s="1"/>
  <c r="R1606" i="29" s="1"/>
  <c r="S1606" i="29" s="1"/>
  <c r="K1641" i="29"/>
  <c r="I1640" i="29"/>
  <c r="F1637" i="29"/>
  <c r="C1637" i="29" a="1"/>
  <c r="C1637" i="29" s="1"/>
  <c r="M1637" i="29"/>
  <c r="L1638" i="29" a="1"/>
  <c r="L1638" i="29" s="1"/>
  <c r="Q1639" i="29" a="1"/>
  <c r="Q1639" i="29" s="1"/>
  <c r="N1639" i="29" a="1"/>
  <c r="N1639" i="29" s="1"/>
  <c r="P1636" i="29"/>
  <c r="G1638" i="29"/>
  <c r="B1638" i="29"/>
  <c r="O1607" i="29" l="1" a="1"/>
  <c r="O1607" i="29" s="1"/>
  <c r="R1607" i="29" s="1"/>
  <c r="S1607" i="29" s="1"/>
  <c r="C1638" i="29" a="1"/>
  <c r="C1638" i="29" s="1"/>
  <c r="M1638" i="29"/>
  <c r="F1638" i="29"/>
  <c r="L1639" i="29" a="1"/>
  <c r="L1639" i="29" s="1"/>
  <c r="B1639" i="29"/>
  <c r="P1637" i="29"/>
  <c r="G1639" i="29"/>
  <c r="Q1640" i="29" a="1"/>
  <c r="Q1640" i="29" s="1"/>
  <c r="N1640" i="29" a="1"/>
  <c r="N1640" i="29" s="1"/>
  <c r="I1641" i="29"/>
  <c r="K1642" i="29"/>
  <c r="O1608" i="29" l="1" a="1"/>
  <c r="O1608" i="29" s="1"/>
  <c r="R1608" i="29" s="1"/>
  <c r="S1608" i="29" s="1"/>
  <c r="N1641" i="29" a="1"/>
  <c r="N1641" i="29" s="1"/>
  <c r="Q1641" i="29" a="1"/>
  <c r="Q1641" i="29" s="1"/>
  <c r="G1640" i="29"/>
  <c r="P1638" i="29"/>
  <c r="F1639" i="29"/>
  <c r="C1639" i="29" a="1"/>
  <c r="C1639" i="29" s="1"/>
  <c r="M1639" i="29"/>
  <c r="L1640" i="29" a="1"/>
  <c r="L1640" i="29" s="1"/>
  <c r="B1640" i="29"/>
  <c r="K1643" i="29"/>
  <c r="I1642" i="29"/>
  <c r="O1609" i="29" l="1" a="1"/>
  <c r="O1609" i="29" s="1"/>
  <c r="R1609" i="29" s="1"/>
  <c r="S1609" i="29" s="1"/>
  <c r="I1643" i="29"/>
  <c r="K1644" i="29"/>
  <c r="P1639" i="29"/>
  <c r="G1641" i="29"/>
  <c r="C1640" i="29" a="1"/>
  <c r="C1640" i="29" s="1"/>
  <c r="M1640" i="29"/>
  <c r="F1640" i="29"/>
  <c r="L1641" i="29" a="1"/>
  <c r="L1641" i="29" s="1"/>
  <c r="B1642" i="29" s="1"/>
  <c r="B1641" i="29"/>
  <c r="Q1642" i="29" a="1"/>
  <c r="Q1642" i="29" s="1"/>
  <c r="N1642" i="29" a="1"/>
  <c r="N1642" i="29" s="1"/>
  <c r="O1610" i="29" l="1" a="1"/>
  <c r="O1610" i="29" s="1"/>
  <c r="R1610" i="29" s="1"/>
  <c r="S1610" i="29" s="1"/>
  <c r="G1642" i="29"/>
  <c r="F1641" i="29"/>
  <c r="M1641" i="29"/>
  <c r="C1641" i="29" a="1"/>
  <c r="C1641" i="29" s="1"/>
  <c r="L1642" i="29" a="1"/>
  <c r="L1642" i="29" s="1"/>
  <c r="K1645" i="29"/>
  <c r="I1644" i="29"/>
  <c r="N1643" i="29" a="1"/>
  <c r="N1643" i="29" s="1"/>
  <c r="Q1643" i="29" a="1"/>
  <c r="Q1643" i="29" s="1"/>
  <c r="P1640" i="29"/>
  <c r="O1611" i="29" l="1" a="1"/>
  <c r="O1611" i="29" s="1"/>
  <c r="R1611" i="29" s="1"/>
  <c r="S1611" i="29" s="1"/>
  <c r="P1641" i="29"/>
  <c r="C1642" i="29" a="1"/>
  <c r="C1642" i="29" s="1"/>
  <c r="M1642" i="29"/>
  <c r="F1642" i="29"/>
  <c r="L1643" i="29" a="1"/>
  <c r="L1643" i="29" s="1"/>
  <c r="G1643" i="29"/>
  <c r="B1643" i="29"/>
  <c r="Q1644" i="29" a="1"/>
  <c r="Q1644" i="29" s="1"/>
  <c r="N1644" i="29" a="1"/>
  <c r="N1644" i="29" s="1"/>
  <c r="I1645" i="29"/>
  <c r="K1646" i="29"/>
  <c r="O1612" i="29" l="1" a="1"/>
  <c r="O1612" i="29" s="1"/>
  <c r="R1612" i="29" s="1"/>
  <c r="S1612" i="29" s="1"/>
  <c r="F1643" i="29"/>
  <c r="C1643" i="29" a="1"/>
  <c r="C1643" i="29" s="1"/>
  <c r="M1643" i="29"/>
  <c r="L1644" i="29" a="1"/>
  <c r="L1644" i="29" s="1"/>
  <c r="P1642" i="29"/>
  <c r="B1644" i="29"/>
  <c r="N1645" i="29" a="1"/>
  <c r="N1645" i="29" s="1"/>
  <c r="Q1645" i="29" a="1"/>
  <c r="Q1645" i="29" s="1"/>
  <c r="G1644" i="29"/>
  <c r="K1647" i="29"/>
  <c r="I1646" i="29"/>
  <c r="O1613" i="29" l="1" a="1"/>
  <c r="O1613" i="29" s="1"/>
  <c r="R1613" i="29" s="1"/>
  <c r="S1613" i="29" s="1"/>
  <c r="I1647" i="29"/>
  <c r="K1648" i="29"/>
  <c r="G1645" i="29"/>
  <c r="C1644" i="29" a="1"/>
  <c r="C1644" i="29" s="1"/>
  <c r="M1644" i="29"/>
  <c r="F1644" i="29"/>
  <c r="L1645" i="29" a="1"/>
  <c r="L1645" i="29" s="1"/>
  <c r="B1646" i="29" s="1"/>
  <c r="P1643" i="29"/>
  <c r="B1645" i="29"/>
  <c r="Q1646" i="29" a="1"/>
  <c r="Q1646" i="29" s="1"/>
  <c r="N1646" i="29" a="1"/>
  <c r="N1646" i="29" s="1"/>
  <c r="O1614" i="29" l="1" a="1"/>
  <c r="O1614" i="29" s="1"/>
  <c r="R1614" i="29" s="1"/>
  <c r="S1614" i="29" s="1"/>
  <c r="K1649" i="29"/>
  <c r="I1648" i="29"/>
  <c r="N1647" i="29" a="1"/>
  <c r="N1647" i="29" s="1"/>
  <c r="Q1647" i="29" a="1"/>
  <c r="Q1647" i="29" s="1"/>
  <c r="G1646" i="29"/>
  <c r="P1644" i="29"/>
  <c r="F1645" i="29"/>
  <c r="C1645" i="29" a="1"/>
  <c r="C1645" i="29" s="1"/>
  <c r="M1645" i="29"/>
  <c r="L1646" i="29" a="1"/>
  <c r="L1646" i="29" s="1"/>
  <c r="B1647" i="29" s="1"/>
  <c r="O1615" i="29" l="1" a="1"/>
  <c r="O1615" i="29" s="1"/>
  <c r="R1615" i="29" s="1"/>
  <c r="S1615" i="29" s="1"/>
  <c r="G1647" i="29"/>
  <c r="C1646" i="29" a="1"/>
  <c r="C1646" i="29" s="1"/>
  <c r="M1646" i="29"/>
  <c r="F1646" i="29"/>
  <c r="L1647" i="29" a="1"/>
  <c r="L1647" i="29" s="1"/>
  <c r="P1645" i="29"/>
  <c r="Q1648" i="29" a="1"/>
  <c r="Q1648" i="29" s="1"/>
  <c r="N1648" i="29" a="1"/>
  <c r="N1648" i="29" s="1"/>
  <c r="I1649" i="29"/>
  <c r="K1650" i="29"/>
  <c r="O1616" i="29" l="1" a="1"/>
  <c r="O1616" i="29" s="1"/>
  <c r="R1616" i="29" s="1"/>
  <c r="S1616" i="29" s="1"/>
  <c r="K1651" i="29"/>
  <c r="I1650" i="29"/>
  <c r="G1648" i="29"/>
  <c r="F1647" i="29"/>
  <c r="C1647" i="29" a="1"/>
  <c r="C1647" i="29" s="1"/>
  <c r="M1647" i="29"/>
  <c r="L1648" i="29" a="1"/>
  <c r="L1648" i="29" s="1"/>
  <c r="N1649" i="29" a="1"/>
  <c r="N1649" i="29" s="1"/>
  <c r="Q1649" i="29" a="1"/>
  <c r="Q1649" i="29" s="1"/>
  <c r="P1646" i="29"/>
  <c r="B1648" i="29"/>
  <c r="O1617" i="29" l="1" a="1"/>
  <c r="O1617" i="29" s="1"/>
  <c r="R1617" i="29" s="1"/>
  <c r="S1617" i="29" s="1"/>
  <c r="C1648" i="29" a="1"/>
  <c r="C1648" i="29" s="1"/>
  <c r="M1648" i="29"/>
  <c r="F1648" i="29"/>
  <c r="L1649" i="29" a="1"/>
  <c r="L1649" i="29" s="1"/>
  <c r="G1649" i="29"/>
  <c r="B1649" i="29"/>
  <c r="Q1650" i="29" a="1"/>
  <c r="Q1650" i="29" s="1"/>
  <c r="N1650" i="29" a="1"/>
  <c r="N1650" i="29" s="1"/>
  <c r="I1651" i="29"/>
  <c r="K1652" i="29"/>
  <c r="P1647" i="29"/>
  <c r="O1618" i="29" l="1" a="1"/>
  <c r="O1618" i="29" s="1"/>
  <c r="R1618" i="29" s="1"/>
  <c r="S1618" i="29" s="1"/>
  <c r="K1653" i="29"/>
  <c r="I1652" i="29"/>
  <c r="F1649" i="29"/>
  <c r="M1649" i="29"/>
  <c r="C1649" i="29" a="1"/>
  <c r="C1649" i="29" s="1"/>
  <c r="L1650" i="29" a="1"/>
  <c r="L1650" i="29" s="1"/>
  <c r="P1648" i="29"/>
  <c r="B1650" i="29"/>
  <c r="N1651" i="29" a="1"/>
  <c r="N1651" i="29" s="1"/>
  <c r="Q1651" i="29" a="1"/>
  <c r="Q1651" i="29" s="1"/>
  <c r="G1650" i="29"/>
  <c r="O1619" i="29" l="1" a="1"/>
  <c r="O1619" i="29" s="1"/>
  <c r="R1619" i="29" s="1"/>
  <c r="S1619" i="29" s="1"/>
  <c r="C1650" i="29" a="1"/>
  <c r="C1650" i="29" s="1"/>
  <c r="M1650" i="29"/>
  <c r="F1650" i="29"/>
  <c r="L1651" i="29" a="1"/>
  <c r="L1651" i="29" s="1"/>
  <c r="G1651" i="29"/>
  <c r="Q1652" i="29" a="1"/>
  <c r="Q1652" i="29" s="1"/>
  <c r="N1652" i="29" a="1"/>
  <c r="N1652" i="29" s="1"/>
  <c r="P1649" i="29"/>
  <c r="B1651" i="29"/>
  <c r="I1653" i="29"/>
  <c r="K1654" i="29"/>
  <c r="O1620" i="29" l="1" a="1"/>
  <c r="O1620" i="29" s="1"/>
  <c r="R1620" i="29" s="1"/>
  <c r="S1620" i="29" s="1"/>
  <c r="N1653" i="29" a="1"/>
  <c r="N1653" i="29" s="1"/>
  <c r="Q1653" i="29" a="1"/>
  <c r="Q1653" i="29" s="1"/>
  <c r="P1650" i="29"/>
  <c r="G1652" i="29"/>
  <c r="F1651" i="29"/>
  <c r="C1651" i="29" a="1"/>
  <c r="C1651" i="29" s="1"/>
  <c r="M1651" i="29"/>
  <c r="L1652" i="29" a="1"/>
  <c r="L1652" i="29" s="1"/>
  <c r="B1652" i="29"/>
  <c r="K1655" i="29"/>
  <c r="I1654" i="29"/>
  <c r="O1621" i="29" l="1" a="1"/>
  <c r="O1621" i="29" s="1"/>
  <c r="R1621" i="29" s="1"/>
  <c r="S1621" i="29" s="1"/>
  <c r="I1655" i="29"/>
  <c r="K1656" i="29"/>
  <c r="G1653" i="29"/>
  <c r="C1652" i="29" a="1"/>
  <c r="C1652" i="29" s="1"/>
  <c r="M1652" i="29"/>
  <c r="F1652" i="29"/>
  <c r="L1653" i="29" a="1"/>
  <c r="L1653" i="29" s="1"/>
  <c r="B1654" i="29" s="1"/>
  <c r="P1651" i="29"/>
  <c r="B1653" i="29"/>
  <c r="Q1654" i="29" a="1"/>
  <c r="Q1654" i="29" s="1"/>
  <c r="N1654" i="29" a="1"/>
  <c r="N1654" i="29" s="1"/>
  <c r="O1622" i="29" l="1" a="1"/>
  <c r="O1622" i="29" s="1"/>
  <c r="R1622" i="29" s="1"/>
  <c r="S1622" i="29" s="1"/>
  <c r="P1652" i="29"/>
  <c r="F1653" i="29"/>
  <c r="C1653" i="29" a="1"/>
  <c r="C1653" i="29" s="1"/>
  <c r="M1653" i="29"/>
  <c r="L1654" i="29" a="1"/>
  <c r="L1654" i="29" s="1"/>
  <c r="G1654" i="29"/>
  <c r="K1657" i="29"/>
  <c r="I1656" i="29"/>
  <c r="N1655" i="29" a="1"/>
  <c r="N1655" i="29" s="1"/>
  <c r="Q1655" i="29" a="1"/>
  <c r="Q1655" i="29" s="1"/>
  <c r="O1623" i="29" l="1" a="1"/>
  <c r="O1623" i="29" s="1"/>
  <c r="R1623" i="29" s="1"/>
  <c r="S1623" i="29" s="1"/>
  <c r="C1654" i="29" a="1"/>
  <c r="C1654" i="29" s="1"/>
  <c r="M1654" i="29"/>
  <c r="F1654" i="29"/>
  <c r="L1655" i="29" a="1"/>
  <c r="L1655" i="29" s="1"/>
  <c r="P1653" i="29"/>
  <c r="B1655" i="29"/>
  <c r="G1655" i="29"/>
  <c r="Q1656" i="29" a="1"/>
  <c r="Q1656" i="29" s="1"/>
  <c r="N1656" i="29" a="1"/>
  <c r="N1656" i="29" s="1"/>
  <c r="I1657" i="29"/>
  <c r="K1658" i="29"/>
  <c r="O1624" i="29" l="1" a="1"/>
  <c r="O1624" i="29" s="1"/>
  <c r="R1624" i="29" s="1"/>
  <c r="S1624" i="29" s="1"/>
  <c r="F1655" i="29"/>
  <c r="M1655" i="29"/>
  <c r="C1655" i="29" a="1"/>
  <c r="C1655" i="29" s="1"/>
  <c r="L1656" i="29" a="1"/>
  <c r="L1656" i="29" s="1"/>
  <c r="P1654" i="29"/>
  <c r="N1657" i="29" a="1"/>
  <c r="N1657" i="29" s="1"/>
  <c r="Q1657" i="29" a="1"/>
  <c r="Q1657" i="29" s="1"/>
  <c r="G1656" i="29"/>
  <c r="B1656" i="29"/>
  <c r="K1659" i="29"/>
  <c r="I1658" i="29"/>
  <c r="O1625" i="29" l="1" a="1"/>
  <c r="O1625" i="29" s="1"/>
  <c r="R1625" i="29" s="1"/>
  <c r="S1625" i="29" s="1"/>
  <c r="C1656" i="29" a="1"/>
  <c r="C1656" i="29" s="1"/>
  <c r="M1656" i="29"/>
  <c r="F1656" i="29"/>
  <c r="L1657" i="29" a="1"/>
  <c r="L1657" i="29" s="1"/>
  <c r="B1658" i="29" s="1"/>
  <c r="P1655" i="29"/>
  <c r="I1659" i="29"/>
  <c r="K1660" i="29"/>
  <c r="G1657" i="29"/>
  <c r="B1657" i="29"/>
  <c r="N1658" i="29" a="1"/>
  <c r="N1658" i="29" s="1"/>
  <c r="Q1658" i="29" a="1"/>
  <c r="Q1658" i="29" s="1"/>
  <c r="O1626" i="29" l="1" a="1"/>
  <c r="O1626" i="29" s="1"/>
  <c r="R1626" i="29" s="1"/>
  <c r="S1626" i="29" s="1"/>
  <c r="G1658" i="29"/>
  <c r="P1656" i="29"/>
  <c r="F1657" i="29"/>
  <c r="M1657" i="29"/>
  <c r="C1657" i="29" a="1"/>
  <c r="C1657" i="29" s="1"/>
  <c r="L1658" i="29" a="1"/>
  <c r="L1658" i="29" s="1"/>
  <c r="B1659" i="29" s="1"/>
  <c r="I1660" i="29"/>
  <c r="K1661" i="29"/>
  <c r="N1659" i="29" a="1"/>
  <c r="N1659" i="29" s="1"/>
  <c r="Q1659" i="29" a="1"/>
  <c r="Q1659" i="29" s="1"/>
  <c r="O1627" i="29" l="1" a="1"/>
  <c r="O1627" i="29" s="1"/>
  <c r="R1627" i="29" s="1"/>
  <c r="S1627" i="29" s="1"/>
  <c r="G1659" i="29"/>
  <c r="P1657" i="29"/>
  <c r="N1660" i="29" a="1"/>
  <c r="N1660" i="29" s="1"/>
  <c r="Q1660" i="29" a="1"/>
  <c r="Q1660" i="29" s="1"/>
  <c r="I1661" i="29"/>
  <c r="K1662" i="29"/>
  <c r="C1658" i="29" a="1"/>
  <c r="C1658" i="29" s="1"/>
  <c r="M1658" i="29"/>
  <c r="F1658" i="29"/>
  <c r="L1659" i="29" a="1"/>
  <c r="L1659" i="29" s="1"/>
  <c r="B1660" i="29" s="1"/>
  <c r="O1628" i="29" l="1" a="1"/>
  <c r="O1628" i="29" s="1"/>
  <c r="R1628" i="29" s="1"/>
  <c r="S1628" i="29" s="1"/>
  <c r="G1660" i="29"/>
  <c r="P1658" i="29"/>
  <c r="F1659" i="29"/>
  <c r="M1659" i="29"/>
  <c r="C1659" i="29" a="1"/>
  <c r="C1659" i="29" s="1"/>
  <c r="L1660" i="29" a="1"/>
  <c r="L1660" i="29" s="1"/>
  <c r="B1661" i="29" s="1"/>
  <c r="I1662" i="29"/>
  <c r="K1663" i="29"/>
  <c r="Q1661" i="29" a="1"/>
  <c r="Q1661" i="29" s="1"/>
  <c r="N1661" i="29" a="1"/>
  <c r="N1661" i="29" s="1"/>
  <c r="O1629" i="29" l="1" a="1"/>
  <c r="O1629" i="29" s="1"/>
  <c r="R1629" i="29" s="1"/>
  <c r="S1629" i="29" s="1"/>
  <c r="P1659" i="29"/>
  <c r="K1664" i="29"/>
  <c r="I1663" i="29"/>
  <c r="N1662" i="29" a="1"/>
  <c r="N1662" i="29" s="1"/>
  <c r="Q1662" i="29" a="1"/>
  <c r="Q1662" i="29" s="1"/>
  <c r="G1661" i="29"/>
  <c r="C1660" i="29" a="1"/>
  <c r="C1660" i="29" s="1"/>
  <c r="M1660" i="29"/>
  <c r="F1660" i="29"/>
  <c r="L1661" i="29" a="1"/>
  <c r="L1661" i="29" s="1"/>
  <c r="B1662" i="29" s="1"/>
  <c r="O1630" i="29" l="1" a="1"/>
  <c r="O1630" i="29" s="1"/>
  <c r="R1630" i="29" s="1"/>
  <c r="S1630" i="29" s="1"/>
  <c r="P1660" i="29"/>
  <c r="N1663" i="29" a="1"/>
  <c r="N1663" i="29" s="1"/>
  <c r="Q1663" i="29" a="1"/>
  <c r="Q1663" i="29" s="1"/>
  <c r="F1661" i="29"/>
  <c r="M1661" i="29"/>
  <c r="C1661" i="29" a="1"/>
  <c r="C1661" i="29" s="1"/>
  <c r="L1662" i="29" a="1"/>
  <c r="L1662" i="29" s="1"/>
  <c r="K1665" i="29"/>
  <c r="I1664" i="29"/>
  <c r="G1662" i="29"/>
  <c r="O1631" i="29" l="1" a="1"/>
  <c r="O1631" i="29" s="1"/>
  <c r="R1631" i="29" s="1"/>
  <c r="S1631" i="29" s="1"/>
  <c r="C1662" i="29" a="1"/>
  <c r="C1662" i="29" s="1"/>
  <c r="M1662" i="29"/>
  <c r="F1662" i="29"/>
  <c r="L1663" i="29" a="1"/>
  <c r="L1663" i="29" s="1"/>
  <c r="Q1664" i="29" a="1"/>
  <c r="Q1664" i="29" s="1"/>
  <c r="N1664" i="29" a="1"/>
  <c r="N1664" i="29" s="1"/>
  <c r="G1663" i="29"/>
  <c r="I1665" i="29"/>
  <c r="K1666" i="29"/>
  <c r="B1663" i="29"/>
  <c r="P1661" i="29"/>
  <c r="O1632" i="29" l="1" a="1"/>
  <c r="O1632" i="29" s="1"/>
  <c r="R1632" i="29" s="1"/>
  <c r="S1632" i="29" s="1"/>
  <c r="C1663" i="29" a="1"/>
  <c r="C1663" i="29" s="1"/>
  <c r="F1663" i="29"/>
  <c r="M1663" i="29"/>
  <c r="L1664" i="29" a="1"/>
  <c r="L1664" i="29" s="1"/>
  <c r="B1665" i="29" s="1"/>
  <c r="P1662" i="29"/>
  <c r="B1664" i="29"/>
  <c r="I1666" i="29"/>
  <c r="K1667" i="29"/>
  <c r="N1665" i="29" a="1"/>
  <c r="N1665" i="29" s="1"/>
  <c r="Q1665" i="29" a="1"/>
  <c r="Q1665" i="29" s="1"/>
  <c r="G1664" i="29"/>
  <c r="O1633" i="29" l="1" a="1"/>
  <c r="O1633" i="29" s="1"/>
  <c r="R1633" i="29" s="1"/>
  <c r="S1633" i="29" s="1"/>
  <c r="G1665" i="29"/>
  <c r="I1667" i="29"/>
  <c r="K1668" i="29"/>
  <c r="C1664" i="29" a="1"/>
  <c r="C1664" i="29" s="1"/>
  <c r="F1664" i="29"/>
  <c r="M1664" i="29"/>
  <c r="L1665" i="29" a="1"/>
  <c r="L1665" i="29" s="1"/>
  <c r="B1666" i="29" s="1"/>
  <c r="P1663" i="29"/>
  <c r="N1666" i="29" a="1"/>
  <c r="N1666" i="29" s="1"/>
  <c r="Q1666" i="29" a="1"/>
  <c r="Q1666" i="29" s="1"/>
  <c r="O1634" i="29" l="1" a="1"/>
  <c r="O1634" i="29" s="1"/>
  <c r="R1634" i="29" s="1"/>
  <c r="S1634" i="29" s="1"/>
  <c r="G1666" i="29"/>
  <c r="K1669" i="29"/>
  <c r="I1668" i="29"/>
  <c r="Q1667" i="29" a="1"/>
  <c r="Q1667" i="29" s="1"/>
  <c r="N1667" i="29" a="1"/>
  <c r="N1667" i="29" s="1"/>
  <c r="F1665" i="29"/>
  <c r="M1665" i="29"/>
  <c r="C1665" i="29" a="1"/>
  <c r="C1665" i="29" s="1"/>
  <c r="L1666" i="29" a="1"/>
  <c r="L1666" i="29" s="1"/>
  <c r="B1667" i="29" s="1"/>
  <c r="P1664" i="29"/>
  <c r="O1635" i="29" l="1" a="1"/>
  <c r="O1635" i="29" s="1"/>
  <c r="R1635" i="29" s="1"/>
  <c r="S1635" i="29" s="1"/>
  <c r="F1666" i="29"/>
  <c r="C1666" i="29" a="1"/>
  <c r="C1666" i="29" s="1"/>
  <c r="M1666" i="29"/>
  <c r="L1667" i="29" a="1"/>
  <c r="L1667" i="29" s="1"/>
  <c r="B1668" i="29" s="1"/>
  <c r="N1668" i="29" a="1"/>
  <c r="N1668" i="29" s="1"/>
  <c r="Q1668" i="29" a="1"/>
  <c r="Q1668" i="29" s="1"/>
  <c r="I1669" i="29"/>
  <c r="K1670" i="29"/>
  <c r="P1665" i="29"/>
  <c r="G1667" i="29"/>
  <c r="O1636" i="29" l="1" a="1"/>
  <c r="O1636" i="29" s="1"/>
  <c r="R1636" i="29" s="1"/>
  <c r="S1636" i="29" s="1"/>
  <c r="G1668" i="29"/>
  <c r="P1666" i="29"/>
  <c r="K1671" i="29"/>
  <c r="I1670" i="29"/>
  <c r="M1667" i="29"/>
  <c r="C1667" i="29" a="1"/>
  <c r="C1667" i="29" s="1"/>
  <c r="F1667" i="29"/>
  <c r="L1668" i="29" a="1"/>
  <c r="L1668" i="29" s="1"/>
  <c r="Q1669" i="29" a="1"/>
  <c r="Q1669" i="29" s="1"/>
  <c r="N1669" i="29" a="1"/>
  <c r="N1669" i="29" s="1"/>
  <c r="O1637" i="29" l="1" a="1"/>
  <c r="O1637" i="29" s="1"/>
  <c r="R1637" i="29" s="1"/>
  <c r="S1637" i="29" s="1"/>
  <c r="C1668" i="29" a="1"/>
  <c r="C1668" i="29" s="1"/>
  <c r="M1668" i="29"/>
  <c r="F1668" i="29"/>
  <c r="L1669" i="29" a="1"/>
  <c r="L1669" i="29" s="1"/>
  <c r="G1669" i="29"/>
  <c r="N1670" i="29" a="1"/>
  <c r="N1670" i="29" s="1"/>
  <c r="Q1670" i="29" a="1"/>
  <c r="Q1670" i="29" s="1"/>
  <c r="I1671" i="29"/>
  <c r="K1672" i="29"/>
  <c r="B1669" i="29"/>
  <c r="P1667" i="29"/>
  <c r="O1638" i="29" l="1" a="1"/>
  <c r="O1638" i="29" s="1"/>
  <c r="R1638" i="29" s="1"/>
  <c r="S1638" i="29" s="1"/>
  <c r="I1672" i="29"/>
  <c r="K1673" i="29"/>
  <c r="M1669" i="29"/>
  <c r="C1669" i="29" a="1"/>
  <c r="C1669" i="29" s="1"/>
  <c r="F1669" i="29"/>
  <c r="L1670" i="29" a="1"/>
  <c r="L1670" i="29" s="1"/>
  <c r="Q1671" i="29" a="1"/>
  <c r="Q1671" i="29" s="1"/>
  <c r="N1671" i="29" a="1"/>
  <c r="N1671" i="29" s="1"/>
  <c r="P1668" i="29"/>
  <c r="G1670" i="29"/>
  <c r="B1670" i="29"/>
  <c r="O1639" i="29" l="1" a="1"/>
  <c r="O1639" i="29" s="1"/>
  <c r="R1639" i="29" s="1"/>
  <c r="S1639" i="29" s="1"/>
  <c r="F1670" i="29"/>
  <c r="C1670" i="29" a="1"/>
  <c r="C1670" i="29" s="1"/>
  <c r="M1670" i="29"/>
  <c r="L1671" i="29" a="1"/>
  <c r="L1671" i="29" s="1"/>
  <c r="B1672" i="29" s="1"/>
  <c r="P1669" i="29"/>
  <c r="I1673" i="29"/>
  <c r="K1674" i="29"/>
  <c r="B1671" i="29"/>
  <c r="N1672" i="29" a="1"/>
  <c r="N1672" i="29" s="1"/>
  <c r="Q1672" i="29" a="1"/>
  <c r="Q1672" i="29" s="1"/>
  <c r="G1671" i="29"/>
  <c r="O1640" i="29" l="1" a="1"/>
  <c r="O1640" i="29" s="1"/>
  <c r="R1640" i="29" s="1"/>
  <c r="S1640" i="29" s="1"/>
  <c r="P1670" i="29"/>
  <c r="M1671" i="29"/>
  <c r="C1671" i="29" a="1"/>
  <c r="C1671" i="29" s="1"/>
  <c r="F1671" i="29"/>
  <c r="L1672" i="29" a="1"/>
  <c r="L1672" i="29" s="1"/>
  <c r="B1673" i="29" s="1"/>
  <c r="G1672" i="29"/>
  <c r="K1675" i="29"/>
  <c r="I1674" i="29"/>
  <c r="Q1673" i="29" a="1"/>
  <c r="Q1673" i="29" s="1"/>
  <c r="N1673" i="29" a="1"/>
  <c r="N1673" i="29" s="1"/>
  <c r="O1641" i="29" l="1" a="1"/>
  <c r="O1641" i="29" s="1"/>
  <c r="R1641" i="29" s="1"/>
  <c r="S1641" i="29" s="1"/>
  <c r="G1673" i="29"/>
  <c r="P1671" i="29"/>
  <c r="F1672" i="29"/>
  <c r="C1672" i="29" a="1"/>
  <c r="C1672" i="29" s="1"/>
  <c r="M1672" i="29"/>
  <c r="L1673" i="29" a="1"/>
  <c r="L1673" i="29" s="1"/>
  <c r="B1674" i="29" s="1"/>
  <c r="N1674" i="29" a="1"/>
  <c r="N1674" i="29" s="1"/>
  <c r="Q1674" i="29" a="1"/>
  <c r="Q1674" i="29" s="1"/>
  <c r="I1675" i="29"/>
  <c r="K1676" i="29"/>
  <c r="O1642" i="29" l="1" a="1"/>
  <c r="O1642" i="29" s="1"/>
  <c r="R1642" i="29" s="1"/>
  <c r="S1642" i="29" s="1"/>
  <c r="G1674" i="29"/>
  <c r="K1677" i="29"/>
  <c r="I1676" i="29"/>
  <c r="N1675" i="29" a="1"/>
  <c r="N1675" i="29" s="1"/>
  <c r="Q1675" i="29" a="1"/>
  <c r="Q1675" i="29" s="1"/>
  <c r="M1673" i="29"/>
  <c r="C1673" i="29" a="1"/>
  <c r="C1673" i="29" s="1"/>
  <c r="F1673" i="29"/>
  <c r="L1674" i="29" a="1"/>
  <c r="L1674" i="29" s="1"/>
  <c r="B1675" i="29" s="1"/>
  <c r="P1672" i="29"/>
  <c r="O1643" i="29" l="1" a="1"/>
  <c r="O1643" i="29" s="1"/>
  <c r="R1643" i="29" s="1"/>
  <c r="S1643" i="29" s="1"/>
  <c r="G1675" i="29"/>
  <c r="C1674" i="29" a="1"/>
  <c r="C1674" i="29" s="1"/>
  <c r="M1674" i="29"/>
  <c r="F1674" i="29"/>
  <c r="L1675" i="29" a="1"/>
  <c r="L1675" i="29" s="1"/>
  <c r="N1676" i="29" a="1"/>
  <c r="N1676" i="29" s="1"/>
  <c r="Q1676" i="29" a="1"/>
  <c r="Q1676" i="29" s="1"/>
  <c r="I1677" i="29"/>
  <c r="K1678" i="29"/>
  <c r="P1673" i="29"/>
  <c r="O1644" i="29" l="1" a="1"/>
  <c r="O1644" i="29" s="1"/>
  <c r="R1644" i="29" s="1"/>
  <c r="S1644" i="29" s="1"/>
  <c r="P1674" i="29"/>
  <c r="Q1677" i="29" a="1"/>
  <c r="Q1677" i="29" s="1"/>
  <c r="N1677" i="29" a="1"/>
  <c r="N1677" i="29" s="1"/>
  <c r="M1675" i="29"/>
  <c r="F1675" i="29"/>
  <c r="C1675" i="29" a="1"/>
  <c r="C1675" i="29" s="1"/>
  <c r="L1676" i="29" a="1"/>
  <c r="L1676" i="29" s="1"/>
  <c r="B1677" i="29" s="1"/>
  <c r="K1679" i="29"/>
  <c r="I1678" i="29"/>
  <c r="G1676" i="29"/>
  <c r="B1676" i="29"/>
  <c r="O1645" i="29" l="1" a="1"/>
  <c r="O1645" i="29" s="1"/>
  <c r="R1645" i="29" s="1"/>
  <c r="S1645" i="29" s="1"/>
  <c r="G1677" i="29"/>
  <c r="N1678" i="29" a="1"/>
  <c r="N1678" i="29" s="1"/>
  <c r="Q1678" i="29" a="1"/>
  <c r="Q1678" i="29" s="1"/>
  <c r="I1679" i="29"/>
  <c r="K1680" i="29"/>
  <c r="C1676" i="29" a="1"/>
  <c r="C1676" i="29" s="1"/>
  <c r="M1676" i="29"/>
  <c r="F1676" i="29"/>
  <c r="L1677" i="29" a="1"/>
  <c r="L1677" i="29" s="1"/>
  <c r="P1675" i="29"/>
  <c r="O1646" i="29" l="1" a="1"/>
  <c r="O1646" i="29" s="1"/>
  <c r="R1646" i="29" s="1"/>
  <c r="S1646" i="29" s="1"/>
  <c r="C1677" i="29" a="1"/>
  <c r="C1677" i="29" s="1"/>
  <c r="F1677" i="29"/>
  <c r="M1677" i="29"/>
  <c r="L1678" i="29" a="1"/>
  <c r="L1678" i="29" s="1"/>
  <c r="B1678" i="29"/>
  <c r="G1678" i="29"/>
  <c r="P1676" i="29"/>
  <c r="K1681" i="29"/>
  <c r="I1680" i="29"/>
  <c r="Q1679" i="29" a="1"/>
  <c r="Q1679" i="29" s="1"/>
  <c r="N1679" i="29" a="1"/>
  <c r="N1679" i="29" s="1"/>
  <c r="O1647" i="29" l="1" a="1"/>
  <c r="O1647" i="29" s="1"/>
  <c r="R1647" i="29" s="1"/>
  <c r="S1647" i="29" s="1"/>
  <c r="G1679" i="29"/>
  <c r="P1677" i="29"/>
  <c r="C1678" i="29" a="1"/>
  <c r="C1678" i="29" s="1"/>
  <c r="M1678" i="29"/>
  <c r="F1678" i="29"/>
  <c r="L1679" i="29" a="1"/>
  <c r="L1679" i="29" s="1"/>
  <c r="B1680" i="29" s="1"/>
  <c r="N1680" i="29" a="1"/>
  <c r="N1680" i="29" s="1"/>
  <c r="Q1680" i="29" a="1"/>
  <c r="Q1680" i="29" s="1"/>
  <c r="I1681" i="29"/>
  <c r="K1682" i="29"/>
  <c r="B1679" i="29"/>
  <c r="O1648" i="29" l="1" a="1"/>
  <c r="O1648" i="29" s="1"/>
  <c r="R1648" i="29" s="1"/>
  <c r="S1648" i="29" s="1"/>
  <c r="G1680" i="29"/>
  <c r="I1682" i="29"/>
  <c r="K1683" i="29"/>
  <c r="P1678" i="29"/>
  <c r="Q1681" i="29" a="1"/>
  <c r="Q1681" i="29" s="1"/>
  <c r="N1681" i="29" a="1"/>
  <c r="N1681" i="29" s="1"/>
  <c r="M1679" i="29"/>
  <c r="F1679" i="29"/>
  <c r="C1679" i="29" a="1"/>
  <c r="C1679" i="29" s="1"/>
  <c r="L1680" i="29" a="1"/>
  <c r="L1680" i="29" s="1"/>
  <c r="O1649" i="29" l="1" a="1"/>
  <c r="O1649" i="29" s="1"/>
  <c r="R1649" i="29" s="1"/>
  <c r="S1649" i="29" s="1"/>
  <c r="M1680" i="29"/>
  <c r="C1680" i="29" a="1"/>
  <c r="C1680" i="29" s="1"/>
  <c r="F1680" i="29"/>
  <c r="L1681" i="29" a="1"/>
  <c r="L1681" i="29" s="1"/>
  <c r="P1679" i="29"/>
  <c r="N1682" i="29" a="1"/>
  <c r="N1682" i="29" s="1"/>
  <c r="Q1682" i="29" a="1"/>
  <c r="Q1682" i="29" s="1"/>
  <c r="I1683" i="29"/>
  <c r="K1684" i="29"/>
  <c r="G1681" i="29"/>
  <c r="B1681" i="29"/>
  <c r="O1650" i="29" l="1" a="1"/>
  <c r="O1650" i="29" s="1"/>
  <c r="R1650" i="29" s="1"/>
  <c r="S1650" i="29" s="1"/>
  <c r="M1681" i="29"/>
  <c r="C1681" i="29" a="1"/>
  <c r="C1681" i="29" s="1"/>
  <c r="F1681" i="29"/>
  <c r="L1682" i="29" a="1"/>
  <c r="L1682" i="29" s="1"/>
  <c r="K1685" i="29"/>
  <c r="I1684" i="29"/>
  <c r="N1683" i="29" a="1"/>
  <c r="N1683" i="29" s="1"/>
  <c r="Q1683" i="29" a="1"/>
  <c r="Q1683" i="29" s="1"/>
  <c r="P1680" i="29"/>
  <c r="G1682" i="29"/>
  <c r="B1682" i="29"/>
  <c r="O1651" i="29" l="1" a="1"/>
  <c r="O1651" i="29" s="1"/>
  <c r="R1651" i="29" s="1"/>
  <c r="S1651" i="29" s="1"/>
  <c r="I1685" i="29"/>
  <c r="K1686" i="29"/>
  <c r="I1686" i="29" s="1"/>
  <c r="N1684" i="29" a="1"/>
  <c r="N1684" i="29" s="1"/>
  <c r="Q1684" i="29" a="1"/>
  <c r="Q1684" i="29" s="1"/>
  <c r="C1682" i="29" a="1"/>
  <c r="C1682" i="29" s="1"/>
  <c r="M1682" i="29"/>
  <c r="F1682" i="29"/>
  <c r="L1683" i="29" a="1"/>
  <c r="L1683" i="29" s="1"/>
  <c r="B1684" i="29" s="1"/>
  <c r="P1681" i="29"/>
  <c r="G1683" i="29"/>
  <c r="B1683" i="29"/>
  <c r="O1652" i="29" l="1" a="1"/>
  <c r="O1652" i="29" s="1"/>
  <c r="R1652" i="29" s="1"/>
  <c r="S1652" i="29" s="1"/>
  <c r="G1684" i="29"/>
  <c r="P1682" i="29"/>
  <c r="C1683" i="29" a="1"/>
  <c r="C1683" i="29" s="1"/>
  <c r="M1683" i="29"/>
  <c r="F1683" i="29"/>
  <c r="L1684" i="29" a="1"/>
  <c r="L1684" i="29" s="1"/>
  <c r="B1685" i="29" s="1"/>
  <c r="N1686" i="29" a="1"/>
  <c r="N1686" i="29" s="1"/>
  <c r="Q1686" i="29" a="1"/>
  <c r="Q1686" i="29" s="1"/>
  <c r="S30" i="29" s="1"/>
  <c r="N41" i="29" s="1"/>
  <c r="Q1685" i="29" a="1"/>
  <c r="Q1685" i="29" s="1"/>
  <c r="N1685" i="29" a="1"/>
  <c r="N1685" i="29" s="1"/>
  <c r="O1653" i="29" l="1" a="1"/>
  <c r="O1653" i="29" s="1"/>
  <c r="R1653" i="29" s="1"/>
  <c r="S1653" i="29" s="1"/>
  <c r="G1686" i="29"/>
  <c r="T126" i="29"/>
  <c r="P1683" i="29"/>
  <c r="M1684" i="29"/>
  <c r="C1684" i="29" a="1"/>
  <c r="C1684" i="29" s="1"/>
  <c r="F1684" i="29"/>
  <c r="L1685" i="29" a="1"/>
  <c r="L1685" i="29" s="1"/>
  <c r="G1685" i="29"/>
  <c r="O1654" i="29" l="1" a="1"/>
  <c r="O1654" i="29" s="1"/>
  <c r="R1654" i="29" s="1"/>
  <c r="S1654" i="29" s="1"/>
  <c r="C1685" i="29" a="1"/>
  <c r="C1685" i="29" s="1"/>
  <c r="M1685" i="29"/>
  <c r="F1685" i="29"/>
  <c r="L1686" i="29" a="1"/>
  <c r="L1686" i="29" s="1"/>
  <c r="T127" i="29"/>
  <c r="T128" i="29" s="1"/>
  <c r="T129" i="29" s="1"/>
  <c r="T130" i="29" s="1"/>
  <c r="T131" i="29" s="1"/>
  <c r="T132" i="29" s="1"/>
  <c r="T133" i="29" s="1"/>
  <c r="T134" i="29" s="1"/>
  <c r="T135" i="29" s="1"/>
  <c r="T136" i="29" s="1"/>
  <c r="T137" i="29" s="1"/>
  <c r="T138" i="29" s="1"/>
  <c r="T139" i="29" s="1"/>
  <c r="T140" i="29" s="1"/>
  <c r="T141" i="29" s="1"/>
  <c r="T142" i="29" s="1"/>
  <c r="T143" i="29" s="1"/>
  <c r="T144" i="29" s="1"/>
  <c r="T145" i="29" s="1"/>
  <c r="T146" i="29" s="1"/>
  <c r="T147" i="29" s="1"/>
  <c r="T148" i="29" s="1"/>
  <c r="T149" i="29" s="1"/>
  <c r="T150" i="29" s="1"/>
  <c r="T151" i="29" s="1"/>
  <c r="T152" i="29" s="1"/>
  <c r="T153" i="29" s="1"/>
  <c r="T154" i="29" s="1"/>
  <c r="T155" i="29" s="1"/>
  <c r="T156" i="29" s="1"/>
  <c r="T157" i="29" s="1"/>
  <c r="T158" i="29" s="1"/>
  <c r="T159" i="29" s="1"/>
  <c r="T160" i="29" s="1"/>
  <c r="T161" i="29" s="1"/>
  <c r="T162" i="29" s="1"/>
  <c r="T163" i="29" s="1"/>
  <c r="T164" i="29" s="1"/>
  <c r="T165" i="29" s="1"/>
  <c r="T166" i="29" s="1"/>
  <c r="T167" i="29" s="1"/>
  <c r="T168" i="29" s="1"/>
  <c r="T169" i="29" s="1"/>
  <c r="T170" i="29" s="1"/>
  <c r="T171" i="29" s="1"/>
  <c r="T172" i="29" s="1"/>
  <c r="T173" i="29" s="1"/>
  <c r="T174" i="29" s="1"/>
  <c r="T175" i="29" s="1"/>
  <c r="T176" i="29" s="1"/>
  <c r="T177" i="29" s="1"/>
  <c r="T178" i="29" s="1"/>
  <c r="T179" i="29" s="1"/>
  <c r="T180" i="29" s="1"/>
  <c r="T181" i="29" s="1"/>
  <c r="T182" i="29" s="1"/>
  <c r="T183" i="29" s="1"/>
  <c r="T184" i="29" s="1"/>
  <c r="T185" i="29" s="1"/>
  <c r="T186" i="29" s="1"/>
  <c r="T187" i="29" s="1"/>
  <c r="T188" i="29" s="1"/>
  <c r="T189" i="29" s="1"/>
  <c r="T190" i="29" s="1"/>
  <c r="T191" i="29" s="1"/>
  <c r="T192" i="29" s="1"/>
  <c r="T193" i="29" s="1"/>
  <c r="T194" i="29" s="1"/>
  <c r="T195" i="29" s="1"/>
  <c r="T196" i="29" s="1"/>
  <c r="T197" i="29" s="1"/>
  <c r="T198" i="29" s="1"/>
  <c r="T199" i="29" s="1"/>
  <c r="T200" i="29" s="1"/>
  <c r="T201" i="29" s="1"/>
  <c r="T202" i="29" s="1"/>
  <c r="T203" i="29" s="1"/>
  <c r="T204" i="29" s="1"/>
  <c r="T205" i="29" s="1"/>
  <c r="T206" i="29" s="1"/>
  <c r="T207" i="29" s="1"/>
  <c r="T208" i="29" s="1"/>
  <c r="T209" i="29" s="1"/>
  <c r="T210" i="29" s="1"/>
  <c r="T211" i="29" s="1"/>
  <c r="T212" i="29" s="1"/>
  <c r="T213" i="29" s="1"/>
  <c r="T214" i="29" s="1"/>
  <c r="T215" i="29" s="1"/>
  <c r="T216" i="29" s="1"/>
  <c r="T217" i="29" s="1"/>
  <c r="T218" i="29" s="1"/>
  <c r="T219" i="29" s="1"/>
  <c r="T220" i="29" s="1"/>
  <c r="T221" i="29" s="1"/>
  <c r="T222" i="29" s="1"/>
  <c r="T223" i="29" s="1"/>
  <c r="T224" i="29" s="1"/>
  <c r="T225" i="29" s="1"/>
  <c r="T226" i="29" s="1"/>
  <c r="T227" i="29" s="1"/>
  <c r="T228" i="29" s="1"/>
  <c r="T229" i="29" s="1"/>
  <c r="T230" i="29" s="1"/>
  <c r="T231" i="29" s="1"/>
  <c r="T232" i="29" s="1"/>
  <c r="T233" i="29" s="1"/>
  <c r="T234" i="29" s="1"/>
  <c r="T235" i="29" s="1"/>
  <c r="T236" i="29" s="1"/>
  <c r="T237" i="29" s="1"/>
  <c r="T238" i="29" s="1"/>
  <c r="T239" i="29" s="1"/>
  <c r="T240" i="29" s="1"/>
  <c r="T241" i="29" s="1"/>
  <c r="T242" i="29" s="1"/>
  <c r="T243" i="29" s="1"/>
  <c r="T244" i="29" s="1"/>
  <c r="T245" i="29" s="1"/>
  <c r="T246" i="29" s="1"/>
  <c r="T247" i="29" s="1"/>
  <c r="T248" i="29" s="1"/>
  <c r="T249" i="29" s="1"/>
  <c r="T250" i="29" s="1"/>
  <c r="T251" i="29" s="1"/>
  <c r="T252" i="29" s="1"/>
  <c r="T253" i="29" s="1"/>
  <c r="T254" i="29" s="1"/>
  <c r="T255" i="29" s="1"/>
  <c r="T256" i="29" s="1"/>
  <c r="T257" i="29" s="1"/>
  <c r="T258" i="29" s="1"/>
  <c r="T259" i="29" s="1"/>
  <c r="T260" i="29" s="1"/>
  <c r="T261" i="29" s="1"/>
  <c r="T262" i="29" s="1"/>
  <c r="T263" i="29" s="1"/>
  <c r="T264" i="29" s="1"/>
  <c r="T265" i="29" s="1"/>
  <c r="T266" i="29" s="1"/>
  <c r="T267" i="29" s="1"/>
  <c r="T268" i="29" s="1"/>
  <c r="T269" i="29" s="1"/>
  <c r="T270" i="29" s="1"/>
  <c r="T271" i="29" s="1"/>
  <c r="T272" i="29" s="1"/>
  <c r="T273" i="29" s="1"/>
  <c r="T274" i="29" s="1"/>
  <c r="T275" i="29" s="1"/>
  <c r="T276" i="29" s="1"/>
  <c r="T277" i="29" s="1"/>
  <c r="T278" i="29" s="1"/>
  <c r="T279" i="29" s="1"/>
  <c r="T280" i="29" s="1"/>
  <c r="T281" i="29" s="1"/>
  <c r="T282" i="29" s="1"/>
  <c r="T283" i="29" s="1"/>
  <c r="T284" i="29" s="1"/>
  <c r="T285" i="29" s="1"/>
  <c r="T286" i="29" s="1"/>
  <c r="T287" i="29" s="1"/>
  <c r="T288" i="29" s="1"/>
  <c r="T289" i="29" s="1"/>
  <c r="T290" i="29" s="1"/>
  <c r="T291" i="29" s="1"/>
  <c r="T292" i="29" s="1"/>
  <c r="T293" i="29" s="1"/>
  <c r="T294" i="29" s="1"/>
  <c r="T295" i="29" s="1"/>
  <c r="T296" i="29" s="1"/>
  <c r="T297" i="29" s="1"/>
  <c r="T298" i="29" s="1"/>
  <c r="T299" i="29" s="1"/>
  <c r="T300" i="29" s="1"/>
  <c r="T301" i="29" s="1"/>
  <c r="T302" i="29" s="1"/>
  <c r="T303" i="29" s="1"/>
  <c r="T304" i="29" s="1"/>
  <c r="T305" i="29" s="1"/>
  <c r="T306" i="29" s="1"/>
  <c r="T307" i="29" s="1"/>
  <c r="T308" i="29" s="1"/>
  <c r="T309" i="29" s="1"/>
  <c r="T310" i="29" s="1"/>
  <c r="T311" i="29" s="1"/>
  <c r="T312" i="29" s="1"/>
  <c r="T313" i="29" s="1"/>
  <c r="T314" i="29" s="1"/>
  <c r="T315" i="29" s="1"/>
  <c r="T316" i="29" s="1"/>
  <c r="T317" i="29" s="1"/>
  <c r="T318" i="29" s="1"/>
  <c r="T319" i="29" s="1"/>
  <c r="T320" i="29" s="1"/>
  <c r="T321" i="29" s="1"/>
  <c r="T322" i="29" s="1"/>
  <c r="T323" i="29" s="1"/>
  <c r="T324" i="29" s="1"/>
  <c r="T325" i="29" s="1"/>
  <c r="T326" i="29" s="1"/>
  <c r="T327" i="29" s="1"/>
  <c r="T328" i="29" s="1"/>
  <c r="T329" i="29" s="1"/>
  <c r="T330" i="29" s="1"/>
  <c r="T331" i="29" s="1"/>
  <c r="T332" i="29" s="1"/>
  <c r="T333" i="29" s="1"/>
  <c r="T334" i="29" s="1"/>
  <c r="T335" i="29" s="1"/>
  <c r="T336" i="29" s="1"/>
  <c r="T337" i="29" s="1"/>
  <c r="T338" i="29" s="1"/>
  <c r="T339" i="29" s="1"/>
  <c r="T340" i="29" s="1"/>
  <c r="T341" i="29" s="1"/>
  <c r="T342" i="29" s="1"/>
  <c r="T343" i="29" s="1"/>
  <c r="T344" i="29" s="1"/>
  <c r="T345" i="29" s="1"/>
  <c r="T346" i="29" s="1"/>
  <c r="T347" i="29" s="1"/>
  <c r="T348" i="29" s="1"/>
  <c r="T349" i="29" s="1"/>
  <c r="T350" i="29" s="1"/>
  <c r="T351" i="29" s="1"/>
  <c r="T352" i="29" s="1"/>
  <c r="T353" i="29" s="1"/>
  <c r="T354" i="29" s="1"/>
  <c r="T355" i="29" s="1"/>
  <c r="T356" i="29" s="1"/>
  <c r="T357" i="29" s="1"/>
  <c r="T358" i="29" s="1"/>
  <c r="T359" i="29" s="1"/>
  <c r="T360" i="29" s="1"/>
  <c r="T361" i="29" s="1"/>
  <c r="T362" i="29" s="1"/>
  <c r="T363" i="29" s="1"/>
  <c r="T364" i="29" s="1"/>
  <c r="T365" i="29" s="1"/>
  <c r="T366" i="29" s="1"/>
  <c r="T367" i="29" s="1"/>
  <c r="T368" i="29" s="1"/>
  <c r="T369" i="29" s="1"/>
  <c r="T370" i="29" s="1"/>
  <c r="T371" i="29" s="1"/>
  <c r="T372" i="29" s="1"/>
  <c r="T373" i="29" s="1"/>
  <c r="T374" i="29" s="1"/>
  <c r="T375" i="29" s="1"/>
  <c r="T376" i="29" s="1"/>
  <c r="T377" i="29" s="1"/>
  <c r="T378" i="29" s="1"/>
  <c r="T379" i="29" s="1"/>
  <c r="T380" i="29" s="1"/>
  <c r="T381" i="29" s="1"/>
  <c r="T382" i="29" s="1"/>
  <c r="T383" i="29" s="1"/>
  <c r="T384" i="29" s="1"/>
  <c r="T385" i="29" s="1"/>
  <c r="T386" i="29" s="1"/>
  <c r="T387" i="29" s="1"/>
  <c r="T388" i="29" s="1"/>
  <c r="T389" i="29" s="1"/>
  <c r="T390" i="29" s="1"/>
  <c r="T391" i="29" s="1"/>
  <c r="T392" i="29" s="1"/>
  <c r="T393" i="29" s="1"/>
  <c r="T394" i="29" s="1"/>
  <c r="T395" i="29" s="1"/>
  <c r="T396" i="29" s="1"/>
  <c r="T397" i="29" s="1"/>
  <c r="T398" i="29" s="1"/>
  <c r="T399" i="29" s="1"/>
  <c r="T400" i="29" s="1"/>
  <c r="T401" i="29" s="1"/>
  <c r="T402" i="29" s="1"/>
  <c r="T403" i="29" s="1"/>
  <c r="T404" i="29" s="1"/>
  <c r="T405" i="29" s="1"/>
  <c r="T406" i="29" s="1"/>
  <c r="T407" i="29" s="1"/>
  <c r="T408" i="29" s="1"/>
  <c r="T409" i="29" s="1"/>
  <c r="T410" i="29" s="1"/>
  <c r="T411" i="29" s="1"/>
  <c r="T412" i="29" s="1"/>
  <c r="T413" i="29" s="1"/>
  <c r="T414" i="29" s="1"/>
  <c r="T415" i="29" s="1"/>
  <c r="T416" i="29" s="1"/>
  <c r="T417" i="29" s="1"/>
  <c r="T418" i="29" s="1"/>
  <c r="T419" i="29" s="1"/>
  <c r="T420" i="29" s="1"/>
  <c r="T421" i="29" s="1"/>
  <c r="T422" i="29" s="1"/>
  <c r="T423" i="29" s="1"/>
  <c r="T424" i="29" s="1"/>
  <c r="T425" i="29" s="1"/>
  <c r="T426" i="29" s="1"/>
  <c r="T427" i="29" s="1"/>
  <c r="T428" i="29" s="1"/>
  <c r="T429" i="29" s="1"/>
  <c r="T430" i="29" s="1"/>
  <c r="T431" i="29" s="1"/>
  <c r="T432" i="29" s="1"/>
  <c r="T433" i="29" s="1"/>
  <c r="T434" i="29" s="1"/>
  <c r="T435" i="29" s="1"/>
  <c r="T436" i="29" s="1"/>
  <c r="T437" i="29" s="1"/>
  <c r="T438" i="29" s="1"/>
  <c r="T439" i="29" s="1"/>
  <c r="T440" i="29" s="1"/>
  <c r="T441" i="29" s="1"/>
  <c r="T442" i="29" s="1"/>
  <c r="T443" i="29" s="1"/>
  <c r="T444" i="29" s="1"/>
  <c r="T445" i="29" s="1"/>
  <c r="T446" i="29" s="1"/>
  <c r="T447" i="29" s="1"/>
  <c r="T448" i="29" s="1"/>
  <c r="T449" i="29" s="1"/>
  <c r="T450" i="29" s="1"/>
  <c r="T451" i="29" s="1"/>
  <c r="T452" i="29" s="1"/>
  <c r="T453" i="29" s="1"/>
  <c r="T454" i="29" s="1"/>
  <c r="T455" i="29" s="1"/>
  <c r="T456" i="29" s="1"/>
  <c r="T457" i="29" s="1"/>
  <c r="T458" i="29" s="1"/>
  <c r="T459" i="29" s="1"/>
  <c r="T460" i="29" s="1"/>
  <c r="T461" i="29" s="1"/>
  <c r="T462" i="29" s="1"/>
  <c r="T463" i="29" s="1"/>
  <c r="T464" i="29" s="1"/>
  <c r="T465" i="29" s="1"/>
  <c r="T466" i="29" s="1"/>
  <c r="T467" i="29" s="1"/>
  <c r="T468" i="29" s="1"/>
  <c r="T469" i="29" s="1"/>
  <c r="T470" i="29" s="1"/>
  <c r="T471" i="29" s="1"/>
  <c r="T472" i="29" s="1"/>
  <c r="T473" i="29" s="1"/>
  <c r="T474" i="29" s="1"/>
  <c r="T475" i="29" s="1"/>
  <c r="T476" i="29" s="1"/>
  <c r="T477" i="29" s="1"/>
  <c r="T478" i="29" s="1"/>
  <c r="T479" i="29" s="1"/>
  <c r="T480" i="29" s="1"/>
  <c r="T481" i="29" s="1"/>
  <c r="T482" i="29" s="1"/>
  <c r="T483" i="29" s="1"/>
  <c r="T484" i="29" s="1"/>
  <c r="T485" i="29" s="1"/>
  <c r="T486" i="29" s="1"/>
  <c r="T487" i="29" s="1"/>
  <c r="T488" i="29" s="1"/>
  <c r="T489" i="29" s="1"/>
  <c r="T490" i="29" s="1"/>
  <c r="T491" i="29" s="1"/>
  <c r="T492" i="29" s="1"/>
  <c r="T493" i="29" s="1"/>
  <c r="T494" i="29" s="1"/>
  <c r="T495" i="29" s="1"/>
  <c r="T496" i="29" s="1"/>
  <c r="T497" i="29" s="1"/>
  <c r="T498" i="29" s="1"/>
  <c r="T499" i="29" s="1"/>
  <c r="T500" i="29" s="1"/>
  <c r="T501" i="29" s="1"/>
  <c r="T502" i="29" s="1"/>
  <c r="T503" i="29" s="1"/>
  <c r="T504" i="29" s="1"/>
  <c r="T505" i="29" s="1"/>
  <c r="T506" i="29" s="1"/>
  <c r="T507" i="29" s="1"/>
  <c r="T508" i="29" s="1"/>
  <c r="T509" i="29" s="1"/>
  <c r="T510" i="29" s="1"/>
  <c r="T511" i="29" s="1"/>
  <c r="T512" i="29" s="1"/>
  <c r="T513" i="29" s="1"/>
  <c r="T514" i="29" s="1"/>
  <c r="T515" i="29" s="1"/>
  <c r="T516" i="29" s="1"/>
  <c r="T517" i="29" s="1"/>
  <c r="T518" i="29" s="1"/>
  <c r="T519" i="29" s="1"/>
  <c r="T520" i="29" s="1"/>
  <c r="T521" i="29" s="1"/>
  <c r="T522" i="29" s="1"/>
  <c r="T523" i="29" s="1"/>
  <c r="T524" i="29" s="1"/>
  <c r="T525" i="29" s="1"/>
  <c r="T526" i="29" s="1"/>
  <c r="T527" i="29" s="1"/>
  <c r="T528" i="29" s="1"/>
  <c r="T529" i="29" s="1"/>
  <c r="T530" i="29" s="1"/>
  <c r="T531" i="29" s="1"/>
  <c r="T532" i="29" s="1"/>
  <c r="T533" i="29" s="1"/>
  <c r="T534" i="29" s="1"/>
  <c r="T535" i="29" s="1"/>
  <c r="T536" i="29" s="1"/>
  <c r="T537" i="29" s="1"/>
  <c r="T538" i="29" s="1"/>
  <c r="T539" i="29" s="1"/>
  <c r="T540" i="29" s="1"/>
  <c r="T541" i="29" s="1"/>
  <c r="T542" i="29" s="1"/>
  <c r="T543" i="29" s="1"/>
  <c r="T544" i="29" s="1"/>
  <c r="T545" i="29" s="1"/>
  <c r="T546" i="29" s="1"/>
  <c r="T547" i="29" s="1"/>
  <c r="T548" i="29" s="1"/>
  <c r="T549" i="29" s="1"/>
  <c r="T550" i="29" s="1"/>
  <c r="T551" i="29" s="1"/>
  <c r="T552" i="29" s="1"/>
  <c r="T553" i="29" s="1"/>
  <c r="T554" i="29" s="1"/>
  <c r="T555" i="29" s="1"/>
  <c r="T556" i="29" s="1"/>
  <c r="T557" i="29" s="1"/>
  <c r="T558" i="29" s="1"/>
  <c r="T559" i="29" s="1"/>
  <c r="T560" i="29" s="1"/>
  <c r="T561" i="29" s="1"/>
  <c r="T562" i="29" s="1"/>
  <c r="T563" i="29" s="1"/>
  <c r="T564" i="29" s="1"/>
  <c r="T565" i="29" s="1"/>
  <c r="T566" i="29" s="1"/>
  <c r="T567" i="29" s="1"/>
  <c r="T568" i="29" s="1"/>
  <c r="T569" i="29" s="1"/>
  <c r="T570" i="29" s="1"/>
  <c r="T571" i="29" s="1"/>
  <c r="T572" i="29" s="1"/>
  <c r="T573" i="29" s="1"/>
  <c r="T574" i="29" s="1"/>
  <c r="T575" i="29" s="1"/>
  <c r="T576" i="29" s="1"/>
  <c r="T577" i="29" s="1"/>
  <c r="T578" i="29" s="1"/>
  <c r="T579" i="29" s="1"/>
  <c r="T580" i="29" s="1"/>
  <c r="T581" i="29" s="1"/>
  <c r="T582" i="29" s="1"/>
  <c r="T583" i="29" s="1"/>
  <c r="T584" i="29" s="1"/>
  <c r="T585" i="29" s="1"/>
  <c r="T586" i="29" s="1"/>
  <c r="T587" i="29" s="1"/>
  <c r="T588" i="29" s="1"/>
  <c r="T589" i="29" s="1"/>
  <c r="T590" i="29" s="1"/>
  <c r="T591" i="29" s="1"/>
  <c r="T592" i="29" s="1"/>
  <c r="T593" i="29" s="1"/>
  <c r="T594" i="29" s="1"/>
  <c r="T595" i="29" s="1"/>
  <c r="T596" i="29" s="1"/>
  <c r="T597" i="29" s="1"/>
  <c r="T598" i="29" s="1"/>
  <c r="T599" i="29" s="1"/>
  <c r="T600" i="29" s="1"/>
  <c r="T601" i="29" s="1"/>
  <c r="T602" i="29" s="1"/>
  <c r="T603" i="29" s="1"/>
  <c r="T604" i="29" s="1"/>
  <c r="T605" i="29" s="1"/>
  <c r="T606" i="29" s="1"/>
  <c r="T607" i="29" s="1"/>
  <c r="T608" i="29" s="1"/>
  <c r="T609" i="29" s="1"/>
  <c r="T610" i="29" s="1"/>
  <c r="T611" i="29" s="1"/>
  <c r="T612" i="29" s="1"/>
  <c r="T613" i="29" s="1"/>
  <c r="T614" i="29" s="1"/>
  <c r="T615" i="29" s="1"/>
  <c r="T616" i="29" s="1"/>
  <c r="T617" i="29" s="1"/>
  <c r="T618" i="29" s="1"/>
  <c r="T619" i="29" s="1"/>
  <c r="T620" i="29" s="1"/>
  <c r="T621" i="29" s="1"/>
  <c r="T622" i="29" s="1"/>
  <c r="T623" i="29" s="1"/>
  <c r="T624" i="29" s="1"/>
  <c r="T625" i="29" s="1"/>
  <c r="T626" i="29" s="1"/>
  <c r="T627" i="29" s="1"/>
  <c r="T628" i="29" s="1"/>
  <c r="T629" i="29" s="1"/>
  <c r="T630" i="29" s="1"/>
  <c r="T631" i="29" s="1"/>
  <c r="T632" i="29" s="1"/>
  <c r="T633" i="29" s="1"/>
  <c r="T634" i="29" s="1"/>
  <c r="T635" i="29" s="1"/>
  <c r="T636" i="29" s="1"/>
  <c r="T637" i="29" s="1"/>
  <c r="T638" i="29" s="1"/>
  <c r="T639" i="29" s="1"/>
  <c r="T640" i="29" s="1"/>
  <c r="T641" i="29" s="1"/>
  <c r="T642" i="29" s="1"/>
  <c r="T643" i="29" s="1"/>
  <c r="T644" i="29" s="1"/>
  <c r="T645" i="29" s="1"/>
  <c r="T646" i="29" s="1"/>
  <c r="T647" i="29" s="1"/>
  <c r="T648" i="29" s="1"/>
  <c r="T649" i="29" s="1"/>
  <c r="T650" i="29" s="1"/>
  <c r="T651" i="29" s="1"/>
  <c r="T652" i="29" s="1"/>
  <c r="T653" i="29" s="1"/>
  <c r="T654" i="29" s="1"/>
  <c r="T655" i="29" s="1"/>
  <c r="T656" i="29" s="1"/>
  <c r="T657" i="29" s="1"/>
  <c r="T658" i="29" s="1"/>
  <c r="T659" i="29" s="1"/>
  <c r="T660" i="29" s="1"/>
  <c r="T661" i="29" s="1"/>
  <c r="T662" i="29" s="1"/>
  <c r="T663" i="29" s="1"/>
  <c r="T664" i="29" s="1"/>
  <c r="T665" i="29" s="1"/>
  <c r="T666" i="29" s="1"/>
  <c r="T667" i="29" s="1"/>
  <c r="T668" i="29" s="1"/>
  <c r="T669" i="29" s="1"/>
  <c r="T670" i="29" s="1"/>
  <c r="T671" i="29" s="1"/>
  <c r="T672" i="29" s="1"/>
  <c r="T673" i="29" s="1"/>
  <c r="T674" i="29" s="1"/>
  <c r="T675" i="29" s="1"/>
  <c r="T676" i="29" s="1"/>
  <c r="T677" i="29" s="1"/>
  <c r="T678" i="29" s="1"/>
  <c r="T679" i="29" s="1"/>
  <c r="T680" i="29" s="1"/>
  <c r="T681" i="29" s="1"/>
  <c r="T682" i="29" s="1"/>
  <c r="T683" i="29" s="1"/>
  <c r="T684" i="29" s="1"/>
  <c r="T685" i="29" s="1"/>
  <c r="T686" i="29" s="1"/>
  <c r="T687" i="29" s="1"/>
  <c r="T688" i="29" s="1"/>
  <c r="T689" i="29" s="1"/>
  <c r="T690" i="29" s="1"/>
  <c r="T691" i="29" s="1"/>
  <c r="T692" i="29" s="1"/>
  <c r="T693" i="29" s="1"/>
  <c r="T694" i="29" s="1"/>
  <c r="T695" i="29" s="1"/>
  <c r="T696" i="29" s="1"/>
  <c r="T697" i="29" s="1"/>
  <c r="T698" i="29" s="1"/>
  <c r="T699" i="29" s="1"/>
  <c r="T700" i="29" s="1"/>
  <c r="T701" i="29" s="1"/>
  <c r="T702" i="29" s="1"/>
  <c r="T703" i="29" s="1"/>
  <c r="T704" i="29" s="1"/>
  <c r="T705" i="29" s="1"/>
  <c r="T706" i="29" s="1"/>
  <c r="T707" i="29" s="1"/>
  <c r="T708" i="29" s="1"/>
  <c r="T709" i="29" s="1"/>
  <c r="T710" i="29" s="1"/>
  <c r="T711" i="29" s="1"/>
  <c r="T712" i="29" s="1"/>
  <c r="T713" i="29" s="1"/>
  <c r="T714" i="29" s="1"/>
  <c r="T715" i="29" s="1"/>
  <c r="T716" i="29" s="1"/>
  <c r="T717" i="29" s="1"/>
  <c r="T718" i="29" s="1"/>
  <c r="T719" i="29" s="1"/>
  <c r="T720" i="29" s="1"/>
  <c r="T721" i="29" s="1"/>
  <c r="T722" i="29" s="1"/>
  <c r="T723" i="29" s="1"/>
  <c r="T724" i="29" s="1"/>
  <c r="T725" i="29" s="1"/>
  <c r="T726" i="29" s="1"/>
  <c r="T727" i="29" s="1"/>
  <c r="T728" i="29" s="1"/>
  <c r="T729" i="29" s="1"/>
  <c r="T730" i="29" s="1"/>
  <c r="T731" i="29" s="1"/>
  <c r="T732" i="29" s="1"/>
  <c r="T733" i="29" s="1"/>
  <c r="T734" i="29" s="1"/>
  <c r="T735" i="29" s="1"/>
  <c r="T736" i="29" s="1"/>
  <c r="T737" i="29" s="1"/>
  <c r="T738" i="29" s="1"/>
  <c r="T739" i="29" s="1"/>
  <c r="T740" i="29" s="1"/>
  <c r="T741" i="29" s="1"/>
  <c r="T742" i="29" s="1"/>
  <c r="T743" i="29" s="1"/>
  <c r="T744" i="29" s="1"/>
  <c r="T745" i="29" s="1"/>
  <c r="T746" i="29" s="1"/>
  <c r="T747" i="29" s="1"/>
  <c r="T748" i="29" s="1"/>
  <c r="T749" i="29" s="1"/>
  <c r="T750" i="29" s="1"/>
  <c r="T751" i="29" s="1"/>
  <c r="T752" i="29" s="1"/>
  <c r="T753" i="29" s="1"/>
  <c r="T754" i="29" s="1"/>
  <c r="T755" i="29" s="1"/>
  <c r="T756" i="29" s="1"/>
  <c r="T757" i="29" s="1"/>
  <c r="T758" i="29" s="1"/>
  <c r="T759" i="29" s="1"/>
  <c r="T760" i="29" s="1"/>
  <c r="T761" i="29" s="1"/>
  <c r="T762" i="29" s="1"/>
  <c r="T763" i="29" s="1"/>
  <c r="T764" i="29" s="1"/>
  <c r="T765" i="29" s="1"/>
  <c r="T766" i="29" s="1"/>
  <c r="T767" i="29" s="1"/>
  <c r="T768" i="29" s="1"/>
  <c r="T769" i="29" s="1"/>
  <c r="T770" i="29" s="1"/>
  <c r="T771" i="29" s="1"/>
  <c r="T772" i="29" s="1"/>
  <c r="T773" i="29" s="1"/>
  <c r="T774" i="29" s="1"/>
  <c r="T775" i="29" s="1"/>
  <c r="T776" i="29" s="1"/>
  <c r="T777" i="29" s="1"/>
  <c r="T778" i="29" s="1"/>
  <c r="T779" i="29" s="1"/>
  <c r="T780" i="29" s="1"/>
  <c r="T781" i="29" s="1"/>
  <c r="T782" i="29" s="1"/>
  <c r="T783" i="29" s="1"/>
  <c r="T784" i="29" s="1"/>
  <c r="T785" i="29" s="1"/>
  <c r="T786" i="29" s="1"/>
  <c r="T787" i="29" s="1"/>
  <c r="T788" i="29" s="1"/>
  <c r="T789" i="29" s="1"/>
  <c r="T790" i="29" s="1"/>
  <c r="T791" i="29" s="1"/>
  <c r="T792" i="29" s="1"/>
  <c r="T793" i="29" s="1"/>
  <c r="T794" i="29" s="1"/>
  <c r="T795" i="29" s="1"/>
  <c r="T796" i="29" s="1"/>
  <c r="T797" i="29" s="1"/>
  <c r="T798" i="29" s="1"/>
  <c r="T799" i="29" s="1"/>
  <c r="T800" i="29" s="1"/>
  <c r="T801" i="29" s="1"/>
  <c r="T802" i="29" s="1"/>
  <c r="T803" i="29" s="1"/>
  <c r="T804" i="29" s="1"/>
  <c r="T805" i="29" s="1"/>
  <c r="T806" i="29" s="1"/>
  <c r="T807" i="29" s="1"/>
  <c r="T808" i="29" s="1"/>
  <c r="T809" i="29" s="1"/>
  <c r="T810" i="29" s="1"/>
  <c r="T811" i="29" s="1"/>
  <c r="T812" i="29" s="1"/>
  <c r="T813" i="29" s="1"/>
  <c r="T814" i="29" s="1"/>
  <c r="T815" i="29" s="1"/>
  <c r="T816" i="29" s="1"/>
  <c r="T817" i="29" s="1"/>
  <c r="T818" i="29" s="1"/>
  <c r="T819" i="29" s="1"/>
  <c r="T820" i="29" s="1"/>
  <c r="T821" i="29" s="1"/>
  <c r="T822" i="29" s="1"/>
  <c r="T823" i="29" s="1"/>
  <c r="T824" i="29" s="1"/>
  <c r="T825" i="29" s="1"/>
  <c r="T826" i="29" s="1"/>
  <c r="T827" i="29" s="1"/>
  <c r="T828" i="29" s="1"/>
  <c r="T829" i="29" s="1"/>
  <c r="T830" i="29" s="1"/>
  <c r="T831" i="29" s="1"/>
  <c r="T832" i="29" s="1"/>
  <c r="T833" i="29" s="1"/>
  <c r="T834" i="29" s="1"/>
  <c r="T835" i="29" s="1"/>
  <c r="T836" i="29" s="1"/>
  <c r="T837" i="29" s="1"/>
  <c r="T838" i="29" s="1"/>
  <c r="T839" i="29" s="1"/>
  <c r="T840" i="29" s="1"/>
  <c r="T841" i="29" s="1"/>
  <c r="T842" i="29" s="1"/>
  <c r="T843" i="29" s="1"/>
  <c r="T844" i="29" s="1"/>
  <c r="T845" i="29" s="1"/>
  <c r="T846" i="29" s="1"/>
  <c r="T847" i="29" s="1"/>
  <c r="T848" i="29" s="1"/>
  <c r="T849" i="29" s="1"/>
  <c r="T850" i="29" s="1"/>
  <c r="T851" i="29" s="1"/>
  <c r="T852" i="29" s="1"/>
  <c r="T853" i="29" s="1"/>
  <c r="T854" i="29" s="1"/>
  <c r="T855" i="29" s="1"/>
  <c r="T856" i="29" s="1"/>
  <c r="T857" i="29" s="1"/>
  <c r="T858" i="29" s="1"/>
  <c r="T859" i="29" s="1"/>
  <c r="T860" i="29" s="1"/>
  <c r="T861" i="29" s="1"/>
  <c r="T862" i="29" s="1"/>
  <c r="T863" i="29" s="1"/>
  <c r="T864" i="29" s="1"/>
  <c r="T865" i="29" s="1"/>
  <c r="T866" i="29" s="1"/>
  <c r="T867" i="29" s="1"/>
  <c r="T868" i="29" s="1"/>
  <c r="T869" i="29" s="1"/>
  <c r="T870" i="29" s="1"/>
  <c r="T871" i="29" s="1"/>
  <c r="T872" i="29" s="1"/>
  <c r="T873" i="29" s="1"/>
  <c r="T874" i="29" s="1"/>
  <c r="T875" i="29" s="1"/>
  <c r="T876" i="29" s="1"/>
  <c r="T877" i="29" s="1"/>
  <c r="T878" i="29" s="1"/>
  <c r="T879" i="29" s="1"/>
  <c r="T880" i="29" s="1"/>
  <c r="T881" i="29" s="1"/>
  <c r="T882" i="29" s="1"/>
  <c r="T883" i="29" s="1"/>
  <c r="T884" i="29" s="1"/>
  <c r="T885" i="29" s="1"/>
  <c r="T886" i="29" s="1"/>
  <c r="T887" i="29" s="1"/>
  <c r="T888" i="29" s="1"/>
  <c r="T889" i="29" s="1"/>
  <c r="T890" i="29" s="1"/>
  <c r="T891" i="29" s="1"/>
  <c r="T892" i="29" s="1"/>
  <c r="T893" i="29" s="1"/>
  <c r="T894" i="29" s="1"/>
  <c r="T895" i="29" s="1"/>
  <c r="T896" i="29" s="1"/>
  <c r="T897" i="29" s="1"/>
  <c r="T898" i="29" s="1"/>
  <c r="T899" i="29" s="1"/>
  <c r="T900" i="29" s="1"/>
  <c r="T901" i="29" s="1"/>
  <c r="T902" i="29" s="1"/>
  <c r="T903" i="29" s="1"/>
  <c r="T904" i="29" s="1"/>
  <c r="T905" i="29" s="1"/>
  <c r="T906" i="29" s="1"/>
  <c r="T907" i="29" s="1"/>
  <c r="T908" i="29" s="1"/>
  <c r="T909" i="29" s="1"/>
  <c r="T910" i="29" s="1"/>
  <c r="T911" i="29" s="1"/>
  <c r="T912" i="29" s="1"/>
  <c r="T913" i="29" s="1"/>
  <c r="T914" i="29" s="1"/>
  <c r="T915" i="29" s="1"/>
  <c r="T916" i="29" s="1"/>
  <c r="T917" i="29" s="1"/>
  <c r="T918" i="29" s="1"/>
  <c r="T919" i="29" s="1"/>
  <c r="T920" i="29" s="1"/>
  <c r="T921" i="29" s="1"/>
  <c r="T922" i="29" s="1"/>
  <c r="T923" i="29" s="1"/>
  <c r="T924" i="29" s="1"/>
  <c r="T925" i="29" s="1"/>
  <c r="T926" i="29" s="1"/>
  <c r="T927" i="29" s="1"/>
  <c r="T928" i="29" s="1"/>
  <c r="T929" i="29" s="1"/>
  <c r="T930" i="29" s="1"/>
  <c r="T931" i="29" s="1"/>
  <c r="T932" i="29" s="1"/>
  <c r="T933" i="29" s="1"/>
  <c r="T934" i="29" s="1"/>
  <c r="T935" i="29" s="1"/>
  <c r="T936" i="29" s="1"/>
  <c r="T937" i="29" s="1"/>
  <c r="T938" i="29" s="1"/>
  <c r="T939" i="29" s="1"/>
  <c r="T940" i="29" s="1"/>
  <c r="T941" i="29" s="1"/>
  <c r="T942" i="29" s="1"/>
  <c r="T943" i="29" s="1"/>
  <c r="T944" i="29" s="1"/>
  <c r="T945" i="29" s="1"/>
  <c r="T946" i="29" s="1"/>
  <c r="T947" i="29" s="1"/>
  <c r="T948" i="29" s="1"/>
  <c r="T949" i="29" s="1"/>
  <c r="T950" i="29" s="1"/>
  <c r="T951" i="29" s="1"/>
  <c r="T952" i="29" s="1"/>
  <c r="T953" i="29" s="1"/>
  <c r="T954" i="29" s="1"/>
  <c r="T955" i="29" s="1"/>
  <c r="T956" i="29" s="1"/>
  <c r="T957" i="29" s="1"/>
  <c r="T958" i="29" s="1"/>
  <c r="T959" i="29" s="1"/>
  <c r="T960" i="29" s="1"/>
  <c r="T961" i="29" s="1"/>
  <c r="T962" i="29" s="1"/>
  <c r="T963" i="29" s="1"/>
  <c r="T964" i="29" s="1"/>
  <c r="T965" i="29" s="1"/>
  <c r="T966" i="29" s="1"/>
  <c r="T967" i="29" s="1"/>
  <c r="T968" i="29" s="1"/>
  <c r="T969" i="29" s="1"/>
  <c r="T970" i="29" s="1"/>
  <c r="T971" i="29" s="1"/>
  <c r="T972" i="29" s="1"/>
  <c r="T973" i="29" s="1"/>
  <c r="T974" i="29" s="1"/>
  <c r="T975" i="29" s="1"/>
  <c r="T976" i="29" s="1"/>
  <c r="T977" i="29" s="1"/>
  <c r="T978" i="29" s="1"/>
  <c r="T979" i="29" s="1"/>
  <c r="T980" i="29" s="1"/>
  <c r="T981" i="29" s="1"/>
  <c r="T982" i="29" s="1"/>
  <c r="T983" i="29" s="1"/>
  <c r="T984" i="29" s="1"/>
  <c r="T985" i="29" s="1"/>
  <c r="T986" i="29" s="1"/>
  <c r="T987" i="29" s="1"/>
  <c r="T988" i="29" s="1"/>
  <c r="T989" i="29" s="1"/>
  <c r="T990" i="29" s="1"/>
  <c r="T991" i="29" s="1"/>
  <c r="T992" i="29" s="1"/>
  <c r="T993" i="29" s="1"/>
  <c r="T994" i="29" s="1"/>
  <c r="T995" i="29" s="1"/>
  <c r="T996" i="29" s="1"/>
  <c r="T997" i="29" s="1"/>
  <c r="T998" i="29" s="1"/>
  <c r="T999" i="29" s="1"/>
  <c r="T1000" i="29" s="1"/>
  <c r="T1001" i="29" s="1"/>
  <c r="T1002" i="29" s="1"/>
  <c r="T1003" i="29" s="1"/>
  <c r="T1004" i="29" s="1"/>
  <c r="T1005" i="29" s="1"/>
  <c r="T1006" i="29" s="1"/>
  <c r="T1007" i="29" s="1"/>
  <c r="T1008" i="29" s="1"/>
  <c r="T1009" i="29" s="1"/>
  <c r="T1010" i="29" s="1"/>
  <c r="T1011" i="29" s="1"/>
  <c r="T1012" i="29" s="1"/>
  <c r="T1013" i="29" s="1"/>
  <c r="T1014" i="29" s="1"/>
  <c r="T1015" i="29" s="1"/>
  <c r="T1016" i="29" s="1"/>
  <c r="T1017" i="29" s="1"/>
  <c r="T1018" i="29" s="1"/>
  <c r="T1019" i="29" s="1"/>
  <c r="T1020" i="29" s="1"/>
  <c r="T1021" i="29" s="1"/>
  <c r="T1022" i="29" s="1"/>
  <c r="T1023" i="29" s="1"/>
  <c r="T1024" i="29" s="1"/>
  <c r="T1025" i="29" s="1"/>
  <c r="T1026" i="29" s="1"/>
  <c r="T1027" i="29" s="1"/>
  <c r="T1028" i="29" s="1"/>
  <c r="T1029" i="29" s="1"/>
  <c r="T1030" i="29" s="1"/>
  <c r="T1031" i="29" s="1"/>
  <c r="T1032" i="29" s="1"/>
  <c r="T1033" i="29" s="1"/>
  <c r="T1034" i="29" s="1"/>
  <c r="T1035" i="29" s="1"/>
  <c r="T1036" i="29" s="1"/>
  <c r="T1037" i="29" s="1"/>
  <c r="T1038" i="29" s="1"/>
  <c r="T1039" i="29" s="1"/>
  <c r="T1040" i="29" s="1"/>
  <c r="T1041" i="29" s="1"/>
  <c r="T1042" i="29" s="1"/>
  <c r="T1043" i="29" s="1"/>
  <c r="T1044" i="29" s="1"/>
  <c r="T1045" i="29" s="1"/>
  <c r="T1046" i="29" s="1"/>
  <c r="T1047" i="29" s="1"/>
  <c r="T1048" i="29" s="1"/>
  <c r="T1049" i="29" s="1"/>
  <c r="T1050" i="29" s="1"/>
  <c r="T1051" i="29" s="1"/>
  <c r="T1052" i="29" s="1"/>
  <c r="T1053" i="29" s="1"/>
  <c r="T1054" i="29" s="1"/>
  <c r="T1055" i="29" s="1"/>
  <c r="T1056" i="29" s="1"/>
  <c r="T1057" i="29" s="1"/>
  <c r="T1058" i="29" s="1"/>
  <c r="T1059" i="29" s="1"/>
  <c r="T1060" i="29" s="1"/>
  <c r="T1061" i="29" s="1"/>
  <c r="T1062" i="29" s="1"/>
  <c r="T1063" i="29" s="1"/>
  <c r="T1064" i="29" s="1"/>
  <c r="T1065" i="29" s="1"/>
  <c r="T1066" i="29" s="1"/>
  <c r="T1067" i="29" s="1"/>
  <c r="T1068" i="29" s="1"/>
  <c r="T1069" i="29" s="1"/>
  <c r="T1070" i="29" s="1"/>
  <c r="T1071" i="29" s="1"/>
  <c r="T1072" i="29" s="1"/>
  <c r="T1073" i="29" s="1"/>
  <c r="T1074" i="29" s="1"/>
  <c r="T1075" i="29" s="1"/>
  <c r="T1076" i="29" s="1"/>
  <c r="T1077" i="29" s="1"/>
  <c r="T1078" i="29" s="1"/>
  <c r="T1079" i="29" s="1"/>
  <c r="T1080" i="29" s="1"/>
  <c r="T1081" i="29" s="1"/>
  <c r="T1082" i="29" s="1"/>
  <c r="T1083" i="29" s="1"/>
  <c r="T1084" i="29" s="1"/>
  <c r="T1085" i="29" s="1"/>
  <c r="T1086" i="29" s="1"/>
  <c r="T1087" i="29" s="1"/>
  <c r="T1088" i="29" s="1"/>
  <c r="T1089" i="29" s="1"/>
  <c r="T1090" i="29" s="1"/>
  <c r="T1091" i="29" s="1"/>
  <c r="T1092" i="29" s="1"/>
  <c r="T1093" i="29" s="1"/>
  <c r="T1094" i="29" s="1"/>
  <c r="T1095" i="29" s="1"/>
  <c r="T1096" i="29" s="1"/>
  <c r="T1097" i="29" s="1"/>
  <c r="T1098" i="29" s="1"/>
  <c r="T1099" i="29" s="1"/>
  <c r="T1100" i="29" s="1"/>
  <c r="T1101" i="29" s="1"/>
  <c r="T1102" i="29" s="1"/>
  <c r="T1103" i="29" s="1"/>
  <c r="T1104" i="29" s="1"/>
  <c r="T1105" i="29" s="1"/>
  <c r="T1106" i="29" s="1"/>
  <c r="T1107" i="29" s="1"/>
  <c r="T1108" i="29" s="1"/>
  <c r="T1109" i="29" s="1"/>
  <c r="T1110" i="29" s="1"/>
  <c r="T1111" i="29" s="1"/>
  <c r="T1112" i="29" s="1"/>
  <c r="T1113" i="29" s="1"/>
  <c r="T1114" i="29" s="1"/>
  <c r="T1115" i="29" s="1"/>
  <c r="T1116" i="29" s="1"/>
  <c r="T1117" i="29" s="1"/>
  <c r="T1118" i="29" s="1"/>
  <c r="T1119" i="29" s="1"/>
  <c r="T1120" i="29" s="1"/>
  <c r="T1121" i="29" s="1"/>
  <c r="T1122" i="29" s="1"/>
  <c r="T1123" i="29" s="1"/>
  <c r="T1124" i="29" s="1"/>
  <c r="T1125" i="29" s="1"/>
  <c r="T1126" i="29" s="1"/>
  <c r="T1127" i="29" s="1"/>
  <c r="T1128" i="29" s="1"/>
  <c r="T1129" i="29" s="1"/>
  <c r="T1130" i="29" s="1"/>
  <c r="T1131" i="29" s="1"/>
  <c r="T1132" i="29" s="1"/>
  <c r="T1133" i="29" s="1"/>
  <c r="T1134" i="29" s="1"/>
  <c r="T1135" i="29" s="1"/>
  <c r="T1136" i="29" s="1"/>
  <c r="T1137" i="29" s="1"/>
  <c r="T1138" i="29" s="1"/>
  <c r="T1139" i="29" s="1"/>
  <c r="T1140" i="29" s="1"/>
  <c r="T1141" i="29" s="1"/>
  <c r="T1142" i="29" s="1"/>
  <c r="T1143" i="29" s="1"/>
  <c r="T1144" i="29" s="1"/>
  <c r="T1145" i="29" s="1"/>
  <c r="T1146" i="29" s="1"/>
  <c r="T1147" i="29" s="1"/>
  <c r="T1148" i="29" s="1"/>
  <c r="T1149" i="29" s="1"/>
  <c r="T1150" i="29" s="1"/>
  <c r="T1151" i="29" s="1"/>
  <c r="T1152" i="29" s="1"/>
  <c r="T1153" i="29" s="1"/>
  <c r="T1154" i="29" s="1"/>
  <c r="T1155" i="29" s="1"/>
  <c r="T1156" i="29" s="1"/>
  <c r="T1157" i="29" s="1"/>
  <c r="T1158" i="29" s="1"/>
  <c r="T1159" i="29" s="1"/>
  <c r="T1160" i="29" s="1"/>
  <c r="T1161" i="29" s="1"/>
  <c r="T1162" i="29" s="1"/>
  <c r="T1163" i="29" s="1"/>
  <c r="T1164" i="29" s="1"/>
  <c r="T1165" i="29" s="1"/>
  <c r="T1166" i="29" s="1"/>
  <c r="T1167" i="29" s="1"/>
  <c r="T1168" i="29" s="1"/>
  <c r="T1169" i="29" s="1"/>
  <c r="T1170" i="29" s="1"/>
  <c r="T1171" i="29" s="1"/>
  <c r="T1172" i="29" s="1"/>
  <c r="T1173" i="29" s="1"/>
  <c r="T1174" i="29" s="1"/>
  <c r="T1175" i="29" s="1"/>
  <c r="T1176" i="29" s="1"/>
  <c r="T1177" i="29" s="1"/>
  <c r="T1178" i="29" s="1"/>
  <c r="T1179" i="29" s="1"/>
  <c r="T1180" i="29" s="1"/>
  <c r="T1181" i="29" s="1"/>
  <c r="T1182" i="29" s="1"/>
  <c r="T1183" i="29" s="1"/>
  <c r="T1184" i="29" s="1"/>
  <c r="T1185" i="29" s="1"/>
  <c r="T1186" i="29" s="1"/>
  <c r="T1187" i="29" s="1"/>
  <c r="T1188" i="29" s="1"/>
  <c r="T1189" i="29" s="1"/>
  <c r="T1190" i="29" s="1"/>
  <c r="T1191" i="29" s="1"/>
  <c r="T1192" i="29" s="1"/>
  <c r="T1193" i="29" s="1"/>
  <c r="T1194" i="29" s="1"/>
  <c r="T1195" i="29" s="1"/>
  <c r="T1196" i="29" s="1"/>
  <c r="T1197" i="29" s="1"/>
  <c r="T1198" i="29" s="1"/>
  <c r="T1199" i="29" s="1"/>
  <c r="T1200" i="29" s="1"/>
  <c r="T1201" i="29" s="1"/>
  <c r="T1202" i="29" s="1"/>
  <c r="T1203" i="29" s="1"/>
  <c r="T1204" i="29" s="1"/>
  <c r="T1205" i="29" s="1"/>
  <c r="T1206" i="29" s="1"/>
  <c r="T1207" i="29" s="1"/>
  <c r="T1208" i="29" s="1"/>
  <c r="T1209" i="29" s="1"/>
  <c r="T1210" i="29" s="1"/>
  <c r="T1211" i="29" s="1"/>
  <c r="T1212" i="29" s="1"/>
  <c r="T1213" i="29" s="1"/>
  <c r="T1214" i="29" s="1"/>
  <c r="T1215" i="29" s="1"/>
  <c r="T1216" i="29" s="1"/>
  <c r="T1217" i="29" s="1"/>
  <c r="T1218" i="29" s="1"/>
  <c r="T1219" i="29" s="1"/>
  <c r="T1220" i="29" s="1"/>
  <c r="T1221" i="29" s="1"/>
  <c r="T1222" i="29" s="1"/>
  <c r="T1223" i="29" s="1"/>
  <c r="T1224" i="29" s="1"/>
  <c r="T1225" i="29" s="1"/>
  <c r="T1226" i="29" s="1"/>
  <c r="T1227" i="29" s="1"/>
  <c r="T1228" i="29" s="1"/>
  <c r="T1229" i="29" s="1"/>
  <c r="T1230" i="29" s="1"/>
  <c r="T1231" i="29" s="1"/>
  <c r="T1232" i="29" s="1"/>
  <c r="T1233" i="29" s="1"/>
  <c r="T1234" i="29" s="1"/>
  <c r="T1235" i="29" s="1"/>
  <c r="T1236" i="29" s="1"/>
  <c r="T1237" i="29" s="1"/>
  <c r="T1238" i="29" s="1"/>
  <c r="T1239" i="29" s="1"/>
  <c r="T1240" i="29" s="1"/>
  <c r="T1241" i="29" s="1"/>
  <c r="T1242" i="29" s="1"/>
  <c r="T1243" i="29" s="1"/>
  <c r="T1244" i="29" s="1"/>
  <c r="T1245" i="29" s="1"/>
  <c r="T1246" i="29" s="1"/>
  <c r="T1247" i="29" s="1"/>
  <c r="T1248" i="29" s="1"/>
  <c r="T1249" i="29" s="1"/>
  <c r="T1250" i="29" s="1"/>
  <c r="T1251" i="29" s="1"/>
  <c r="T1252" i="29" s="1"/>
  <c r="T1253" i="29" s="1"/>
  <c r="T1254" i="29" s="1"/>
  <c r="T1255" i="29" s="1"/>
  <c r="T1256" i="29" s="1"/>
  <c r="T1257" i="29" s="1"/>
  <c r="T1258" i="29" s="1"/>
  <c r="T1259" i="29" s="1"/>
  <c r="T1260" i="29" s="1"/>
  <c r="T1261" i="29" s="1"/>
  <c r="T1262" i="29" s="1"/>
  <c r="T1263" i="29" s="1"/>
  <c r="T1264" i="29" s="1"/>
  <c r="T1265" i="29" s="1"/>
  <c r="T1266" i="29" s="1"/>
  <c r="T1267" i="29" s="1"/>
  <c r="T1268" i="29" s="1"/>
  <c r="T1269" i="29" s="1"/>
  <c r="T1270" i="29" s="1"/>
  <c r="T1271" i="29" s="1"/>
  <c r="T1272" i="29" s="1"/>
  <c r="T1273" i="29" s="1"/>
  <c r="T1274" i="29" s="1"/>
  <c r="T1275" i="29" s="1"/>
  <c r="T1276" i="29" s="1"/>
  <c r="T1277" i="29" s="1"/>
  <c r="T1278" i="29" s="1"/>
  <c r="T1279" i="29" s="1"/>
  <c r="T1280" i="29" s="1"/>
  <c r="T1281" i="29" s="1"/>
  <c r="T1282" i="29" s="1"/>
  <c r="T1283" i="29" s="1"/>
  <c r="T1284" i="29" s="1"/>
  <c r="T1285" i="29" s="1"/>
  <c r="T1286" i="29" s="1"/>
  <c r="T1287" i="29" s="1"/>
  <c r="T1288" i="29" s="1"/>
  <c r="T1289" i="29" s="1"/>
  <c r="T1290" i="29" s="1"/>
  <c r="T1291" i="29" s="1"/>
  <c r="T1292" i="29" s="1"/>
  <c r="T1293" i="29" s="1"/>
  <c r="T1294" i="29" s="1"/>
  <c r="T1295" i="29" s="1"/>
  <c r="T1296" i="29" s="1"/>
  <c r="T1297" i="29" s="1"/>
  <c r="T1298" i="29" s="1"/>
  <c r="T1299" i="29" s="1"/>
  <c r="T1300" i="29" s="1"/>
  <c r="T1301" i="29" s="1"/>
  <c r="T1302" i="29" s="1"/>
  <c r="T1303" i="29" s="1"/>
  <c r="T1304" i="29" s="1"/>
  <c r="T1305" i="29" s="1"/>
  <c r="T1306" i="29" s="1"/>
  <c r="T1307" i="29" s="1"/>
  <c r="T1308" i="29" s="1"/>
  <c r="T1309" i="29" s="1"/>
  <c r="T1310" i="29" s="1"/>
  <c r="T1311" i="29" s="1"/>
  <c r="T1312" i="29" s="1"/>
  <c r="T1313" i="29" s="1"/>
  <c r="T1314" i="29" s="1"/>
  <c r="T1315" i="29" s="1"/>
  <c r="T1316" i="29" s="1"/>
  <c r="T1317" i="29" s="1"/>
  <c r="T1318" i="29" s="1"/>
  <c r="T1319" i="29" s="1"/>
  <c r="T1320" i="29" s="1"/>
  <c r="T1321" i="29" s="1"/>
  <c r="T1322" i="29" s="1"/>
  <c r="T1323" i="29" s="1"/>
  <c r="T1324" i="29" s="1"/>
  <c r="T1325" i="29" s="1"/>
  <c r="T1326" i="29" s="1"/>
  <c r="T1327" i="29" s="1"/>
  <c r="T1328" i="29" s="1"/>
  <c r="T1329" i="29" s="1"/>
  <c r="T1330" i="29" s="1"/>
  <c r="T1331" i="29" s="1"/>
  <c r="T1332" i="29" s="1"/>
  <c r="T1333" i="29" s="1"/>
  <c r="T1334" i="29" s="1"/>
  <c r="T1335" i="29" s="1"/>
  <c r="T1336" i="29" s="1"/>
  <c r="T1337" i="29" s="1"/>
  <c r="T1338" i="29" s="1"/>
  <c r="T1339" i="29" s="1"/>
  <c r="T1340" i="29" s="1"/>
  <c r="T1341" i="29" s="1"/>
  <c r="T1342" i="29" s="1"/>
  <c r="T1343" i="29" s="1"/>
  <c r="T1344" i="29" s="1"/>
  <c r="T1345" i="29" s="1"/>
  <c r="T1346" i="29" s="1"/>
  <c r="T1347" i="29" s="1"/>
  <c r="T1348" i="29" s="1"/>
  <c r="T1349" i="29" s="1"/>
  <c r="T1350" i="29" s="1"/>
  <c r="T1351" i="29" s="1"/>
  <c r="T1352" i="29" s="1"/>
  <c r="T1353" i="29" s="1"/>
  <c r="T1354" i="29" s="1"/>
  <c r="T1355" i="29" s="1"/>
  <c r="T1356" i="29" s="1"/>
  <c r="T1357" i="29" s="1"/>
  <c r="T1358" i="29" s="1"/>
  <c r="T1359" i="29" s="1"/>
  <c r="T1360" i="29" s="1"/>
  <c r="T1361" i="29" s="1"/>
  <c r="T1362" i="29" s="1"/>
  <c r="T1363" i="29" s="1"/>
  <c r="T1364" i="29" s="1"/>
  <c r="T1365" i="29" s="1"/>
  <c r="T1366" i="29" s="1"/>
  <c r="T1367" i="29" s="1"/>
  <c r="T1368" i="29" s="1"/>
  <c r="T1369" i="29" s="1"/>
  <c r="T1370" i="29" s="1"/>
  <c r="T1371" i="29" s="1"/>
  <c r="T1372" i="29" s="1"/>
  <c r="T1373" i="29" s="1"/>
  <c r="T1374" i="29" s="1"/>
  <c r="T1375" i="29" s="1"/>
  <c r="T1376" i="29" s="1"/>
  <c r="T1377" i="29" s="1"/>
  <c r="T1378" i="29" s="1"/>
  <c r="T1379" i="29" s="1"/>
  <c r="T1380" i="29" s="1"/>
  <c r="T1381" i="29" s="1"/>
  <c r="T1382" i="29" s="1"/>
  <c r="T1383" i="29" s="1"/>
  <c r="T1384" i="29" s="1"/>
  <c r="T1385" i="29" s="1"/>
  <c r="T1386" i="29" s="1"/>
  <c r="T1387" i="29" s="1"/>
  <c r="T1388" i="29" s="1"/>
  <c r="T1389" i="29" s="1"/>
  <c r="T1390" i="29" s="1"/>
  <c r="T1391" i="29" s="1"/>
  <c r="T1392" i="29" s="1"/>
  <c r="T1393" i="29" s="1"/>
  <c r="T1394" i="29" s="1"/>
  <c r="T1395" i="29" s="1"/>
  <c r="T1396" i="29" s="1"/>
  <c r="T1397" i="29" s="1"/>
  <c r="T1398" i="29" s="1"/>
  <c r="T1399" i="29" s="1"/>
  <c r="T1400" i="29" s="1"/>
  <c r="T1401" i="29" s="1"/>
  <c r="T1402" i="29" s="1"/>
  <c r="T1403" i="29" s="1"/>
  <c r="T1404" i="29" s="1"/>
  <c r="T1405" i="29" s="1"/>
  <c r="T1406" i="29" s="1"/>
  <c r="T1407" i="29" s="1"/>
  <c r="T1408" i="29" s="1"/>
  <c r="T1409" i="29" s="1"/>
  <c r="T1410" i="29" s="1"/>
  <c r="T1411" i="29" s="1"/>
  <c r="T1412" i="29" s="1"/>
  <c r="T1413" i="29" s="1"/>
  <c r="T1414" i="29" s="1"/>
  <c r="T1415" i="29" s="1"/>
  <c r="T1416" i="29" s="1"/>
  <c r="T1417" i="29" s="1"/>
  <c r="T1418" i="29" s="1"/>
  <c r="T1419" i="29" s="1"/>
  <c r="T1420" i="29" s="1"/>
  <c r="T1421" i="29" s="1"/>
  <c r="T1422" i="29" s="1"/>
  <c r="T1423" i="29" s="1"/>
  <c r="T1424" i="29" s="1"/>
  <c r="T1425" i="29" s="1"/>
  <c r="T1426" i="29" s="1"/>
  <c r="T1427" i="29" s="1"/>
  <c r="T1428" i="29" s="1"/>
  <c r="T1429" i="29" s="1"/>
  <c r="T1430" i="29" s="1"/>
  <c r="T1431" i="29" s="1"/>
  <c r="T1432" i="29" s="1"/>
  <c r="T1433" i="29" s="1"/>
  <c r="T1434" i="29" s="1"/>
  <c r="T1435" i="29" s="1"/>
  <c r="T1436" i="29" s="1"/>
  <c r="T1437" i="29" s="1"/>
  <c r="T1438" i="29" s="1"/>
  <c r="T1439" i="29" s="1"/>
  <c r="T1440" i="29" s="1"/>
  <c r="T1441" i="29" s="1"/>
  <c r="T1442" i="29" s="1"/>
  <c r="T1443" i="29" s="1"/>
  <c r="T1444" i="29" s="1"/>
  <c r="T1445" i="29" s="1"/>
  <c r="T1446" i="29" s="1"/>
  <c r="T1447" i="29" s="1"/>
  <c r="T1448" i="29" s="1"/>
  <c r="T1449" i="29" s="1"/>
  <c r="T1450" i="29" s="1"/>
  <c r="T1451" i="29" s="1"/>
  <c r="T1452" i="29" s="1"/>
  <c r="T1453" i="29" s="1"/>
  <c r="T1454" i="29" s="1"/>
  <c r="T1455" i="29" s="1"/>
  <c r="T1456" i="29" s="1"/>
  <c r="T1457" i="29" s="1"/>
  <c r="T1458" i="29" s="1"/>
  <c r="T1459" i="29" s="1"/>
  <c r="T1460" i="29" s="1"/>
  <c r="T1461" i="29" s="1"/>
  <c r="T1462" i="29" s="1"/>
  <c r="T1463" i="29" s="1"/>
  <c r="T1464" i="29" s="1"/>
  <c r="T1465" i="29" s="1"/>
  <c r="T1466" i="29" s="1"/>
  <c r="T1467" i="29" s="1"/>
  <c r="T1468" i="29" s="1"/>
  <c r="T1469" i="29" s="1"/>
  <c r="T1470" i="29" s="1"/>
  <c r="T1471" i="29" s="1"/>
  <c r="T1472" i="29" s="1"/>
  <c r="T1473" i="29" s="1"/>
  <c r="T1474" i="29" s="1"/>
  <c r="T1475" i="29" s="1"/>
  <c r="T1476" i="29" s="1"/>
  <c r="T1477" i="29" s="1"/>
  <c r="T1478" i="29" s="1"/>
  <c r="T1479" i="29" s="1"/>
  <c r="T1480" i="29" s="1"/>
  <c r="T1481" i="29" s="1"/>
  <c r="T1482" i="29" s="1"/>
  <c r="T1483" i="29" s="1"/>
  <c r="T1484" i="29" s="1"/>
  <c r="T1485" i="29" s="1"/>
  <c r="T1486" i="29" s="1"/>
  <c r="T1487" i="29" s="1"/>
  <c r="T1488" i="29" s="1"/>
  <c r="T1489" i="29" s="1"/>
  <c r="T1490" i="29" s="1"/>
  <c r="T1491" i="29" s="1"/>
  <c r="T1492" i="29" s="1"/>
  <c r="T1493" i="29" s="1"/>
  <c r="T1494" i="29" s="1"/>
  <c r="T1495" i="29" s="1"/>
  <c r="T1496" i="29" s="1"/>
  <c r="T1497" i="29" s="1"/>
  <c r="T1498" i="29" s="1"/>
  <c r="T1499" i="29" s="1"/>
  <c r="T1500" i="29" s="1"/>
  <c r="T1501" i="29" s="1"/>
  <c r="T1502" i="29" s="1"/>
  <c r="T1503" i="29" s="1"/>
  <c r="T1504" i="29" s="1"/>
  <c r="T1505" i="29" s="1"/>
  <c r="T1506" i="29" s="1"/>
  <c r="T1507" i="29" s="1"/>
  <c r="T1508" i="29" s="1"/>
  <c r="T1509" i="29" s="1"/>
  <c r="T1510" i="29" s="1"/>
  <c r="T1511" i="29" s="1"/>
  <c r="T1512" i="29" s="1"/>
  <c r="T1513" i="29" s="1"/>
  <c r="T1514" i="29" s="1"/>
  <c r="T1515" i="29" s="1"/>
  <c r="T1516" i="29" s="1"/>
  <c r="T1517" i="29" s="1"/>
  <c r="T1518" i="29" s="1"/>
  <c r="T1519" i="29" s="1"/>
  <c r="T1520" i="29" s="1"/>
  <c r="T1521" i="29" s="1"/>
  <c r="T1522" i="29" s="1"/>
  <c r="T1523" i="29" s="1"/>
  <c r="T1524" i="29" s="1"/>
  <c r="T1525" i="29" s="1"/>
  <c r="T1526" i="29" s="1"/>
  <c r="T1527" i="29" s="1"/>
  <c r="T1528" i="29" s="1"/>
  <c r="T1529" i="29" s="1"/>
  <c r="T1530" i="29" s="1"/>
  <c r="T1531" i="29" s="1"/>
  <c r="T1532" i="29" s="1"/>
  <c r="T1533" i="29" s="1"/>
  <c r="T1534" i="29" s="1"/>
  <c r="T1535" i="29" s="1"/>
  <c r="T1536" i="29" s="1"/>
  <c r="T1537" i="29" s="1"/>
  <c r="T1538" i="29" s="1"/>
  <c r="T1539" i="29" s="1"/>
  <c r="T1540" i="29" s="1"/>
  <c r="T1541" i="29" s="1"/>
  <c r="T1542" i="29" s="1"/>
  <c r="T1543" i="29" s="1"/>
  <c r="T1544" i="29" s="1"/>
  <c r="T1545" i="29" s="1"/>
  <c r="T1546" i="29" s="1"/>
  <c r="T1547" i="29" s="1"/>
  <c r="T1548" i="29" s="1"/>
  <c r="T1549" i="29" s="1"/>
  <c r="T1550" i="29" s="1"/>
  <c r="T1551" i="29" s="1"/>
  <c r="T1552" i="29" s="1"/>
  <c r="T1553" i="29" s="1"/>
  <c r="T1554" i="29" s="1"/>
  <c r="T1555" i="29" s="1"/>
  <c r="T1556" i="29" s="1"/>
  <c r="T1557" i="29" s="1"/>
  <c r="T1558" i="29" s="1"/>
  <c r="T1559" i="29" s="1"/>
  <c r="T1560" i="29" s="1"/>
  <c r="T1561" i="29" s="1"/>
  <c r="T1562" i="29" s="1"/>
  <c r="T1563" i="29" s="1"/>
  <c r="T1564" i="29" s="1"/>
  <c r="T1565" i="29" s="1"/>
  <c r="T1566" i="29" s="1"/>
  <c r="T1567" i="29" s="1"/>
  <c r="T1568" i="29" s="1"/>
  <c r="T1569" i="29" s="1"/>
  <c r="T1570" i="29" s="1"/>
  <c r="T1571" i="29" s="1"/>
  <c r="T1572" i="29" s="1"/>
  <c r="T1573" i="29" s="1"/>
  <c r="T1574" i="29" s="1"/>
  <c r="T1575" i="29" s="1"/>
  <c r="T1576" i="29" s="1"/>
  <c r="T1577" i="29" s="1"/>
  <c r="T1578" i="29" s="1"/>
  <c r="T1579" i="29" s="1"/>
  <c r="T1580" i="29" s="1"/>
  <c r="T1581" i="29" s="1"/>
  <c r="T1582" i="29" s="1"/>
  <c r="T1583" i="29" s="1"/>
  <c r="T1584" i="29" s="1"/>
  <c r="T1585" i="29" s="1"/>
  <c r="T1586" i="29" s="1"/>
  <c r="T1587" i="29" s="1"/>
  <c r="T1588" i="29" s="1"/>
  <c r="T1589" i="29" s="1"/>
  <c r="T1590" i="29" s="1"/>
  <c r="T1591" i="29" s="1"/>
  <c r="T1592" i="29" s="1"/>
  <c r="T1593" i="29" s="1"/>
  <c r="T1594" i="29" s="1"/>
  <c r="T1595" i="29" s="1"/>
  <c r="T1596" i="29" s="1"/>
  <c r="T1597" i="29" s="1"/>
  <c r="T1598" i="29" s="1"/>
  <c r="T1599" i="29" s="1"/>
  <c r="T1600" i="29" s="1"/>
  <c r="T1601" i="29" s="1"/>
  <c r="T1602" i="29" s="1"/>
  <c r="T1603" i="29" s="1"/>
  <c r="T1604" i="29" s="1"/>
  <c r="T1605" i="29" s="1"/>
  <c r="T1606" i="29" s="1"/>
  <c r="T1607" i="29" s="1"/>
  <c r="T1608" i="29" s="1"/>
  <c r="T1609" i="29" s="1"/>
  <c r="T1610" i="29" s="1"/>
  <c r="T1611" i="29" s="1"/>
  <c r="T1612" i="29" s="1"/>
  <c r="T1613" i="29" s="1"/>
  <c r="T1614" i="29" s="1"/>
  <c r="T1615" i="29" s="1"/>
  <c r="T1616" i="29" s="1"/>
  <c r="T1617" i="29" s="1"/>
  <c r="T1618" i="29" s="1"/>
  <c r="T1619" i="29" s="1"/>
  <c r="T1620" i="29" s="1"/>
  <c r="T1621" i="29" s="1"/>
  <c r="T1622" i="29" s="1"/>
  <c r="T1623" i="29" s="1"/>
  <c r="T1624" i="29" s="1"/>
  <c r="T1625" i="29" s="1"/>
  <c r="T1626" i="29" s="1"/>
  <c r="T1627" i="29" s="1"/>
  <c r="T1628" i="29" s="1"/>
  <c r="T1629" i="29" s="1"/>
  <c r="T1630" i="29" s="1"/>
  <c r="T1631" i="29" s="1"/>
  <c r="T1632" i="29" s="1"/>
  <c r="T1633" i="29" s="1"/>
  <c r="T1634" i="29" s="1"/>
  <c r="T1635" i="29" s="1"/>
  <c r="T1636" i="29" s="1"/>
  <c r="T1637" i="29" s="1"/>
  <c r="T1638" i="29" s="1"/>
  <c r="T1639" i="29" s="1"/>
  <c r="T1640" i="29" s="1"/>
  <c r="T1641" i="29" s="1"/>
  <c r="T1642" i="29" s="1"/>
  <c r="T1643" i="29" s="1"/>
  <c r="T1644" i="29" s="1"/>
  <c r="T1645" i="29" s="1"/>
  <c r="T1646" i="29" s="1"/>
  <c r="T1647" i="29" s="1"/>
  <c r="T1648" i="29" s="1"/>
  <c r="T1649" i="29" s="1"/>
  <c r="T1650" i="29" s="1"/>
  <c r="T1651" i="29" s="1"/>
  <c r="T1652" i="29" s="1"/>
  <c r="T1653" i="29" s="1"/>
  <c r="T1654" i="29" s="1"/>
  <c r="T1655" i="29" s="1"/>
  <c r="T1656" i="29" s="1"/>
  <c r="T1657" i="29" s="1"/>
  <c r="T1658" i="29" s="1"/>
  <c r="T1659" i="29" s="1"/>
  <c r="T1660" i="29" s="1"/>
  <c r="T1661" i="29" s="1"/>
  <c r="T1662" i="29" s="1"/>
  <c r="T1663" i="29" s="1"/>
  <c r="T1664" i="29" s="1"/>
  <c r="T1665" i="29" s="1"/>
  <c r="T1666" i="29" s="1"/>
  <c r="T1667" i="29" s="1"/>
  <c r="T1668" i="29" s="1"/>
  <c r="T1669" i="29" s="1"/>
  <c r="T1670" i="29" s="1"/>
  <c r="T1671" i="29" s="1"/>
  <c r="T1672" i="29" s="1"/>
  <c r="T1673" i="29" s="1"/>
  <c r="T1674" i="29" s="1"/>
  <c r="T1675" i="29" s="1"/>
  <c r="T1676" i="29" s="1"/>
  <c r="T1677" i="29" s="1"/>
  <c r="T1678" i="29" s="1"/>
  <c r="T1679" i="29" s="1"/>
  <c r="T1680" i="29" s="1"/>
  <c r="T1681" i="29" s="1"/>
  <c r="T1682" i="29" s="1"/>
  <c r="T1683" i="29" s="1"/>
  <c r="T1684" i="29" s="1"/>
  <c r="T1685" i="29" s="1"/>
  <c r="T1686" i="29" s="1"/>
  <c r="T75" i="29"/>
  <c r="P1684" i="29"/>
  <c r="B1686" i="29"/>
  <c r="O1655" i="29" l="1" a="1"/>
  <c r="O1655" i="29" s="1"/>
  <c r="R1655" i="29" s="1"/>
  <c r="S1655" i="29" s="1"/>
  <c r="P1685" i="29"/>
  <c r="C1686" i="29" a="1"/>
  <c r="C1686" i="29" s="1"/>
  <c r="M1686" i="29"/>
  <c r="F1686" i="29"/>
  <c r="T35" i="29" l="1"/>
  <c r="M96" i="29"/>
  <c r="M82" i="29"/>
  <c r="M92" i="29"/>
  <c r="N92" i="29" s="1"/>
  <c r="B92" i="29" s="1"/>
  <c r="K92" i="29" s="1"/>
  <c r="M79" i="29"/>
  <c r="M108" i="29"/>
  <c r="M84" i="29"/>
  <c r="M95" i="29"/>
  <c r="N95" i="29" s="1"/>
  <c r="B95" i="29" s="1"/>
  <c r="K95" i="29" s="1"/>
  <c r="M100" i="29"/>
  <c r="N100" i="29" s="1"/>
  <c r="B100" i="29" s="1"/>
  <c r="K100" i="29" s="1"/>
  <c r="M94" i="29"/>
  <c r="M104" i="29"/>
  <c r="M86" i="29"/>
  <c r="N86" i="29" s="1"/>
  <c r="B86" i="29" s="1"/>
  <c r="K86" i="29" s="1"/>
  <c r="M102" i="29"/>
  <c r="M97" i="29"/>
  <c r="M105" i="29"/>
  <c r="M110" i="29"/>
  <c r="N110" i="29" s="1"/>
  <c r="B110" i="29" s="1"/>
  <c r="K110" i="29" s="1"/>
  <c r="M87" i="29"/>
  <c r="N87" i="29" s="1"/>
  <c r="B87" i="29" s="1"/>
  <c r="K87" i="29" s="1"/>
  <c r="M88" i="29"/>
  <c r="M77" i="29"/>
  <c r="M90" i="29"/>
  <c r="M78" i="29"/>
  <c r="M109" i="29"/>
  <c r="M80" i="29"/>
  <c r="M107" i="29"/>
  <c r="N107" i="29" s="1"/>
  <c r="B107" i="29" s="1"/>
  <c r="K107" i="29" s="1"/>
  <c r="M85" i="29"/>
  <c r="N85" i="29" s="1"/>
  <c r="B85" i="29" s="1"/>
  <c r="K85" i="29" s="1"/>
  <c r="M98" i="29"/>
  <c r="M106" i="29"/>
  <c r="M103" i="29"/>
  <c r="N103" i="29" s="1"/>
  <c r="B103" i="29" s="1"/>
  <c r="K103" i="29" s="1"/>
  <c r="M93" i="29"/>
  <c r="M91" i="29"/>
  <c r="M83" i="29"/>
  <c r="N83" i="29" s="1"/>
  <c r="B83" i="29" s="1"/>
  <c r="K83" i="29" s="1"/>
  <c r="M99" i="29"/>
  <c r="N99" i="29" s="1"/>
  <c r="B99" i="29" s="1"/>
  <c r="K99" i="29" s="1"/>
  <c r="M101" i="29"/>
  <c r="N101" i="29" s="1"/>
  <c r="B101" i="29" s="1"/>
  <c r="K101" i="29" s="1"/>
  <c r="M89" i="29"/>
  <c r="N89" i="29" s="1"/>
  <c r="B89" i="29" s="1"/>
  <c r="K89" i="29" s="1"/>
  <c r="M81" i="29"/>
  <c r="O1656" i="29" a="1"/>
  <c r="O1656" i="29" s="1"/>
  <c r="R1656" i="29" s="1"/>
  <c r="S1656" i="29" s="1"/>
  <c r="P1686" i="29"/>
  <c r="N77" i="29"/>
  <c r="B77" i="29" s="1"/>
  <c r="K77" i="29" s="1"/>
  <c r="N78" i="29"/>
  <c r="B78" i="29" s="1"/>
  <c r="K78" i="29" s="1"/>
  <c r="M76" i="29"/>
  <c r="N79" i="29"/>
  <c r="B79" i="29" s="1"/>
  <c r="K79" i="29" s="1"/>
  <c r="N80" i="29"/>
  <c r="B80" i="29" s="1"/>
  <c r="K80" i="29" s="1"/>
  <c r="N81" i="29"/>
  <c r="B81" i="29" s="1"/>
  <c r="K81" i="29" s="1"/>
  <c r="N82" i="29"/>
  <c r="B82" i="29" s="1"/>
  <c r="K82" i="29" s="1"/>
  <c r="N84" i="29"/>
  <c r="B84" i="29" s="1"/>
  <c r="K84" i="29" s="1"/>
  <c r="N88" i="29"/>
  <c r="B88" i="29" s="1"/>
  <c r="K88" i="29" s="1"/>
  <c r="N90" i="29"/>
  <c r="B90" i="29" s="1"/>
  <c r="K90" i="29" s="1"/>
  <c r="N94" i="29"/>
  <c r="B94" i="29" s="1"/>
  <c r="K94" i="29" s="1"/>
  <c r="N91" i="29"/>
  <c r="B91" i="29" s="1"/>
  <c r="K91" i="29" s="1"/>
  <c r="N93" i="29"/>
  <c r="B93" i="29" s="1"/>
  <c r="K93" i="29" s="1"/>
  <c r="N97" i="29"/>
  <c r="B97" i="29" s="1"/>
  <c r="K97" i="29" s="1"/>
  <c r="N96" i="29"/>
  <c r="B96" i="29" s="1"/>
  <c r="K96" i="29" s="1"/>
  <c r="N98" i="29"/>
  <c r="B98" i="29" s="1"/>
  <c r="K98" i="29" s="1"/>
  <c r="N102" i="29"/>
  <c r="B102" i="29" s="1"/>
  <c r="K102" i="29" s="1"/>
  <c r="N104" i="29"/>
  <c r="B104" i="29" s="1"/>
  <c r="K104" i="29" s="1"/>
  <c r="N106" i="29"/>
  <c r="B106" i="29" s="1"/>
  <c r="K106" i="29" s="1"/>
  <c r="N105" i="29"/>
  <c r="B105" i="29" s="1"/>
  <c r="K105" i="29" s="1"/>
  <c r="N109" i="29"/>
  <c r="B109" i="29" s="1"/>
  <c r="K109" i="29" s="1"/>
  <c r="N108" i="29"/>
  <c r="B108" i="29" s="1"/>
  <c r="K108" i="29" s="1"/>
  <c r="N76" i="29" l="1"/>
  <c r="S35" i="29"/>
  <c r="O1657" i="29" a="1"/>
  <c r="O1657" i="29" s="1"/>
  <c r="R1657" i="29" s="1"/>
  <c r="S1657" i="29" s="1"/>
  <c r="N113" i="29" l="1"/>
  <c r="O117" i="29" s="1"/>
  <c r="B76" i="29"/>
  <c r="K76" i="29" s="1"/>
  <c r="I32" i="29" a="1"/>
  <c r="I32" i="29" s="1"/>
  <c r="T76" i="29"/>
  <c r="T77" i="29" s="1"/>
  <c r="T78" i="29" s="1"/>
  <c r="T79" i="29" s="1"/>
  <c r="T80" i="29" s="1"/>
  <c r="T81" i="29" s="1"/>
  <c r="T82" i="29" s="1"/>
  <c r="T83" i="29" s="1"/>
  <c r="T84" i="29" s="1"/>
  <c r="T85" i="29" s="1"/>
  <c r="T86" i="29" s="1"/>
  <c r="T87" i="29" s="1"/>
  <c r="T88" i="29" s="1"/>
  <c r="T89" i="29" s="1"/>
  <c r="T90" i="29" s="1"/>
  <c r="T91" i="29" s="1"/>
  <c r="T92" i="29" s="1"/>
  <c r="T93" i="29" s="1"/>
  <c r="T94" i="29" s="1"/>
  <c r="T95" i="29" s="1"/>
  <c r="T96" i="29" s="1"/>
  <c r="T97" i="29" s="1"/>
  <c r="T98" i="29" s="1"/>
  <c r="T99" i="29" s="1"/>
  <c r="T100" i="29" s="1"/>
  <c r="T101" i="29" s="1"/>
  <c r="T102" i="29" s="1"/>
  <c r="T103" i="29" s="1"/>
  <c r="T104" i="29" s="1"/>
  <c r="T105" i="29" s="1"/>
  <c r="T106" i="29" s="1"/>
  <c r="T107" i="29" s="1"/>
  <c r="T108" i="29" s="1"/>
  <c r="T109" i="29" s="1"/>
  <c r="T110" i="29" s="1"/>
  <c r="L54" i="29"/>
  <c r="L57" i="29"/>
  <c r="L53" i="29"/>
  <c r="L58" i="29"/>
  <c r="O1658" i="29" a="1"/>
  <c r="O1658" i="29" s="1"/>
  <c r="R1658" i="29" s="1"/>
  <c r="S1658" i="29" s="1"/>
  <c r="H26" i="29" l="1"/>
  <c r="O1659" i="29" a="1"/>
  <c r="O1659" i="29" s="1"/>
  <c r="R1659" i="29" s="1"/>
  <c r="S1659" i="29" s="1"/>
  <c r="L59" i="29"/>
  <c r="G26" i="29"/>
  <c r="F26" i="29"/>
  <c r="L62" i="29"/>
  <c r="M68" i="29"/>
  <c r="L55" i="29"/>
  <c r="L61" i="29"/>
  <c r="E26" i="29"/>
  <c r="J72" i="31"/>
  <c r="J21" i="31"/>
  <c r="J25" i="31"/>
  <c r="J29" i="31"/>
  <c r="J33" i="31"/>
  <c r="J37" i="31"/>
  <c r="J41" i="31"/>
  <c r="J45" i="31"/>
  <c r="J49" i="31"/>
  <c r="J53" i="31"/>
  <c r="J57" i="31"/>
  <c r="J61" i="31"/>
  <c r="J65" i="31"/>
  <c r="J58" i="31"/>
  <c r="J31" i="31"/>
  <c r="J35" i="31"/>
  <c r="J39" i="31"/>
  <c r="J43" i="31"/>
  <c r="J62" i="31"/>
  <c r="J18" i="31"/>
  <c r="J22" i="31"/>
  <c r="J26" i="31"/>
  <c r="J30" i="31"/>
  <c r="J34" i="31"/>
  <c r="J38" i="31"/>
  <c r="J42" i="31"/>
  <c r="J46" i="31"/>
  <c r="J50" i="31"/>
  <c r="J54" i="31"/>
  <c r="J66" i="31"/>
  <c r="J51" i="31"/>
  <c r="J55" i="31"/>
  <c r="J59" i="31"/>
  <c r="J63" i="31"/>
  <c r="J19" i="31"/>
  <c r="J23" i="31"/>
  <c r="J27" i="31"/>
  <c r="J47" i="31"/>
  <c r="J20" i="31"/>
  <c r="J24" i="31"/>
  <c r="J28" i="31"/>
  <c r="J32" i="31"/>
  <c r="J36" i="31"/>
  <c r="J40" i="31"/>
  <c r="J44" i="31"/>
  <c r="J56" i="31"/>
  <c r="J64" i="31"/>
  <c r="J52" i="31"/>
  <c r="J48" i="31"/>
  <c r="J60" i="31"/>
  <c r="J17" i="31"/>
  <c r="H17" i="31"/>
  <c r="H53" i="31"/>
  <c r="H57" i="31"/>
  <c r="H65" i="31"/>
  <c r="H61" i="31"/>
  <c r="H49" i="31"/>
  <c r="H45" i="31"/>
  <c r="H41" i="31"/>
  <c r="H37" i="31"/>
  <c r="H33" i="31"/>
  <c r="H29" i="31"/>
  <c r="H25" i="31"/>
  <c r="H21" i="31"/>
  <c r="H52" i="31"/>
  <c r="H28" i="31"/>
  <c r="H24" i="31"/>
  <c r="H20" i="31"/>
  <c r="H32" i="31"/>
  <c r="H64" i="31"/>
  <c r="H48" i="31"/>
  <c r="H44" i="31"/>
  <c r="H40" i="31"/>
  <c r="H59" i="31"/>
  <c r="H55" i="31"/>
  <c r="H51" i="31"/>
  <c r="H47" i="31"/>
  <c r="H43" i="31"/>
  <c r="H39" i="31"/>
  <c r="H35" i="31"/>
  <c r="H31" i="31"/>
  <c r="H27" i="31"/>
  <c r="H23" i="31"/>
  <c r="H19" i="31"/>
  <c r="H56" i="31"/>
  <c r="H36" i="31"/>
  <c r="H60" i="31"/>
  <c r="H63" i="31"/>
  <c r="H66" i="31"/>
  <c r="H62" i="31"/>
  <c r="H58" i="31"/>
  <c r="H54" i="31"/>
  <c r="H50" i="31"/>
  <c r="H46" i="31"/>
  <c r="H42" i="31"/>
  <c r="H38" i="31"/>
  <c r="H34" i="31"/>
  <c r="H30" i="31"/>
  <c r="H26" i="31"/>
  <c r="H22" i="31"/>
  <c r="H18" i="31"/>
  <c r="H72" i="31"/>
  <c r="G17" i="31"/>
  <c r="G50" i="31"/>
  <c r="G62" i="31"/>
  <c r="G34" i="31"/>
  <c r="G54" i="31"/>
  <c r="G65" i="31"/>
  <c r="G58" i="31"/>
  <c r="G46" i="31"/>
  <c r="G42" i="31"/>
  <c r="G38" i="31"/>
  <c r="G30" i="31"/>
  <c r="G26" i="31"/>
  <c r="G22" i="31"/>
  <c r="G18" i="31"/>
  <c r="G66" i="31"/>
  <c r="G37" i="31"/>
  <c r="G29" i="31"/>
  <c r="G25" i="31"/>
  <c r="G21" i="31"/>
  <c r="G53" i="31"/>
  <c r="G64" i="31"/>
  <c r="G60" i="31"/>
  <c r="G44" i="31"/>
  <c r="G40" i="31"/>
  <c r="G36" i="31"/>
  <c r="G28" i="31"/>
  <c r="G24" i="31"/>
  <c r="G20" i="31"/>
  <c r="G49" i="31"/>
  <c r="G45" i="31"/>
  <c r="G48" i="31"/>
  <c r="G32" i="31"/>
  <c r="G61" i="31"/>
  <c r="G57" i="31"/>
  <c r="G41" i="31"/>
  <c r="G52" i="31"/>
  <c r="G63" i="31"/>
  <c r="G59" i="31"/>
  <c r="G47" i="31"/>
  <c r="G39" i="31"/>
  <c r="G35" i="31"/>
  <c r="G31" i="31"/>
  <c r="G27" i="31"/>
  <c r="G23" i="31"/>
  <c r="G19" i="31"/>
  <c r="G33" i="31"/>
  <c r="G56" i="31"/>
  <c r="G55" i="31"/>
  <c r="G51" i="31"/>
  <c r="G43" i="31"/>
  <c r="G72" i="31"/>
  <c r="I17" i="31"/>
  <c r="I41" i="31"/>
  <c r="I37" i="31"/>
  <c r="I29" i="31"/>
  <c r="I21" i="31"/>
  <c r="I45" i="31"/>
  <c r="I33" i="31"/>
  <c r="I25" i="31"/>
  <c r="I64" i="31"/>
  <c r="I57" i="31"/>
  <c r="I65" i="31"/>
  <c r="I61" i="31"/>
  <c r="I49" i="31"/>
  <c r="I53" i="31"/>
  <c r="I56" i="31"/>
  <c r="I32" i="31"/>
  <c r="I28" i="31"/>
  <c r="I24" i="31"/>
  <c r="I20" i="31"/>
  <c r="I48" i="31"/>
  <c r="I36" i="31"/>
  <c r="I60" i="31"/>
  <c r="I31" i="31"/>
  <c r="I27" i="31"/>
  <c r="I23" i="31"/>
  <c r="I19" i="31"/>
  <c r="I40" i="31"/>
  <c r="I59" i="31"/>
  <c r="I51" i="31"/>
  <c r="I43" i="31"/>
  <c r="I55" i="31"/>
  <c r="I39" i="31"/>
  <c r="I35" i="31"/>
  <c r="I66" i="31"/>
  <c r="I54" i="31"/>
  <c r="I50" i="31"/>
  <c r="I46" i="31"/>
  <c r="I42" i="31"/>
  <c r="I34" i="31"/>
  <c r="I30" i="31"/>
  <c r="I26" i="31"/>
  <c r="I22" i="31"/>
  <c r="I18" i="31"/>
  <c r="I52" i="31"/>
  <c r="I44" i="31"/>
  <c r="I63" i="31"/>
  <c r="I47" i="31"/>
  <c r="I62" i="31"/>
  <c r="I58" i="31"/>
  <c r="I38" i="31"/>
  <c r="I72" i="31"/>
  <c r="J74" i="31" l="1"/>
  <c r="K72" i="31"/>
  <c r="K74" i="31" s="1"/>
  <c r="I74" i="31"/>
  <c r="K38" i="31"/>
  <c r="K58" i="31"/>
  <c r="K62" i="31"/>
  <c r="K47" i="31"/>
  <c r="K63" i="31"/>
  <c r="K44" i="31"/>
  <c r="K52" i="31"/>
  <c r="K18" i="31"/>
  <c r="K22" i="31"/>
  <c r="K26" i="31"/>
  <c r="K30" i="31"/>
  <c r="K34" i="31"/>
  <c r="K42" i="31"/>
  <c r="K46" i="31"/>
  <c r="K50" i="31"/>
  <c r="K54" i="31"/>
  <c r="K66" i="31"/>
  <c r="K35" i="31"/>
  <c r="K39" i="31"/>
  <c r="K55" i="31"/>
  <c r="K43" i="31"/>
  <c r="K51" i="31"/>
  <c r="K59" i="31"/>
  <c r="K40" i="31"/>
  <c r="K19" i="31"/>
  <c r="K23" i="31"/>
  <c r="K27" i="31"/>
  <c r="K31" i="31"/>
  <c r="K60" i="31"/>
  <c r="K36" i="31"/>
  <c r="K48" i="31"/>
  <c r="K20" i="31"/>
  <c r="K24" i="31"/>
  <c r="K28" i="31"/>
  <c r="K32" i="31"/>
  <c r="K56" i="31"/>
  <c r="K53" i="31"/>
  <c r="K49" i="31"/>
  <c r="K61" i="31"/>
  <c r="K65" i="31"/>
  <c r="K57" i="31"/>
  <c r="K64" i="31"/>
  <c r="K25" i="31"/>
  <c r="K33" i="31"/>
  <c r="K45" i="31"/>
  <c r="K21" i="31"/>
  <c r="K29" i="31"/>
  <c r="K37" i="31"/>
  <c r="K41" i="31"/>
  <c r="K17" i="31"/>
  <c r="G74" i="31"/>
  <c r="H74" i="31"/>
  <c r="L72" i="31"/>
  <c r="L74" i="31" s="1"/>
  <c r="L18" i="31"/>
  <c r="L22" i="31"/>
  <c r="L26" i="31"/>
  <c r="L30" i="31"/>
  <c r="L34" i="31"/>
  <c r="L38" i="31"/>
  <c r="L42" i="31"/>
  <c r="L46" i="31"/>
  <c r="L50" i="31"/>
  <c r="L54" i="31"/>
  <c r="L58" i="31"/>
  <c r="L62" i="31"/>
  <c r="L66" i="31"/>
  <c r="L63" i="31"/>
  <c r="L60" i="31"/>
  <c r="L36" i="31"/>
  <c r="L56" i="31"/>
  <c r="L19" i="31"/>
  <c r="L23" i="31"/>
  <c r="L27" i="31"/>
  <c r="L31" i="31"/>
  <c r="L35" i="31"/>
  <c r="L39" i="31"/>
  <c r="L43" i="31"/>
  <c r="L47" i="31"/>
  <c r="L51" i="31"/>
  <c r="L55" i="31"/>
  <c r="L59" i="31"/>
  <c r="L40" i="31"/>
  <c r="L44" i="31"/>
  <c r="L48" i="31"/>
  <c r="L64" i="31"/>
  <c r="L32" i="31"/>
  <c r="L20" i="31"/>
  <c r="L24" i="31"/>
  <c r="L28" i="31"/>
  <c r="L52" i="31"/>
  <c r="L21" i="31"/>
  <c r="L25" i="31"/>
  <c r="L29" i="31"/>
  <c r="L33" i="31"/>
  <c r="L37" i="31"/>
  <c r="L41" i="31"/>
  <c r="L45" i="31"/>
  <c r="L49" i="31"/>
  <c r="L61" i="31"/>
  <c r="L65" i="31"/>
  <c r="L57" i="31"/>
  <c r="L53" i="31"/>
  <c r="L17" i="31"/>
  <c r="O1660" i="29" a="1"/>
  <c r="O1660" i="29" s="1"/>
  <c r="R1660" i="29" s="1"/>
  <c r="S1660" i="29" s="1"/>
  <c r="L63" i="29"/>
  <c r="O1661" i="29" l="1" a="1"/>
  <c r="O1661" i="29" s="1"/>
  <c r="R1661" i="29" s="1"/>
  <c r="S1661" i="29" s="1"/>
  <c r="O1662" i="29" l="1" a="1"/>
  <c r="O1662" i="29" s="1"/>
  <c r="R1662" i="29" s="1"/>
  <c r="S1662" i="29" s="1"/>
  <c r="O1663" i="29" l="1" a="1"/>
  <c r="O1663" i="29" s="1"/>
  <c r="R1663" i="29" s="1"/>
  <c r="S1663" i="29" s="1"/>
  <c r="O1664" i="29" l="1" a="1"/>
  <c r="O1664" i="29" s="1"/>
  <c r="R1664" i="29" s="1"/>
  <c r="S1664" i="29" s="1"/>
  <c r="O1665" i="29" l="1" a="1"/>
  <c r="O1665" i="29" s="1"/>
  <c r="R1665" i="29" s="1"/>
  <c r="S1665" i="29" s="1"/>
  <c r="O1666" i="29" l="1" a="1"/>
  <c r="O1666" i="29" s="1"/>
  <c r="R1666" i="29" s="1"/>
  <c r="S1666" i="29" s="1"/>
  <c r="O1667" i="29" l="1" a="1"/>
  <c r="O1667" i="29" s="1"/>
  <c r="R1667" i="29" s="1"/>
  <c r="S1667" i="29" s="1"/>
  <c r="O1668" i="29" l="1" a="1"/>
  <c r="O1668" i="29" s="1"/>
  <c r="R1668" i="29" s="1"/>
  <c r="S1668" i="29" s="1"/>
  <c r="O1669" i="29" l="1" a="1"/>
  <c r="O1669" i="29" s="1"/>
  <c r="R1669" i="29" s="1"/>
  <c r="S1669" i="29" s="1"/>
  <c r="O1670" i="29" l="1" a="1"/>
  <c r="O1670" i="29" s="1"/>
  <c r="R1670" i="29" s="1"/>
  <c r="S1670" i="29" s="1"/>
  <c r="O1671" i="29" l="1" a="1"/>
  <c r="O1671" i="29" s="1"/>
  <c r="R1671" i="29" s="1"/>
  <c r="S1671" i="29" s="1"/>
  <c r="O1672" i="29" l="1" a="1"/>
  <c r="O1672" i="29" s="1"/>
  <c r="R1672" i="29" s="1"/>
  <c r="S1672" i="29" s="1"/>
  <c r="O1673" i="29" l="1" a="1"/>
  <c r="O1673" i="29" s="1"/>
  <c r="R1673" i="29" s="1"/>
  <c r="S1673" i="29" s="1"/>
  <c r="O1674" i="29" l="1" a="1"/>
  <c r="O1674" i="29" s="1"/>
  <c r="R1674" i="29" s="1"/>
  <c r="S1674" i="29" s="1"/>
  <c r="O1675" i="29" l="1" a="1"/>
  <c r="O1675" i="29" s="1"/>
  <c r="R1675" i="29" s="1"/>
  <c r="S1675" i="29" s="1"/>
  <c r="O1676" i="29" l="1" a="1"/>
  <c r="O1676" i="29" s="1"/>
  <c r="R1676" i="29" s="1"/>
  <c r="S1676" i="29" s="1"/>
  <c r="O1677" i="29" l="1" a="1"/>
  <c r="O1677" i="29" s="1"/>
  <c r="R1677" i="29" s="1"/>
  <c r="S1677" i="29" s="1"/>
  <c r="O1678" i="29" l="1" a="1"/>
  <c r="O1678" i="29" s="1"/>
  <c r="R1678" i="29" s="1"/>
  <c r="S1678" i="29" s="1"/>
  <c r="O1679" i="29" l="1" a="1"/>
  <c r="O1679" i="29" s="1"/>
  <c r="R1679" i="29" s="1"/>
  <c r="S1679" i="29" s="1"/>
  <c r="O1680" i="29" l="1" a="1"/>
  <c r="O1680" i="29" s="1"/>
  <c r="R1680" i="29" s="1"/>
  <c r="S1680" i="29" s="1"/>
  <c r="O1681" i="29" l="1" a="1"/>
  <c r="O1681" i="29" s="1"/>
  <c r="R1681" i="29" s="1"/>
  <c r="S1681" i="29" s="1"/>
  <c r="O1682" i="29" l="1" a="1"/>
  <c r="O1682" i="29" s="1"/>
  <c r="R1682" i="29" s="1"/>
  <c r="S1682" i="29" s="1"/>
  <c r="O1683" i="29" l="1" a="1"/>
  <c r="O1683" i="29" s="1"/>
  <c r="R1683" i="29" s="1"/>
  <c r="S1683" i="29" s="1"/>
  <c r="O1684" i="29" l="1" a="1"/>
  <c r="O1684" i="29" s="1"/>
  <c r="R1684" i="29" s="1"/>
  <c r="S1684" i="29" s="1"/>
  <c r="O1685" i="29" l="1" a="1"/>
  <c r="O1685" i="29" s="1"/>
  <c r="R1685" i="29" s="1"/>
  <c r="S1685" i="29" s="1"/>
  <c r="O1686" i="29" l="1" a="1"/>
  <c r="O1686" i="29" s="1"/>
  <c r="O76" i="29" l="1"/>
  <c r="O77" i="29"/>
  <c r="S29" i="29"/>
  <c r="O79" i="29"/>
  <c r="O78" i="29"/>
  <c r="O81" i="29"/>
  <c r="O82" i="29"/>
  <c r="O80" i="29"/>
  <c r="O86" i="29"/>
  <c r="O89" i="29"/>
  <c r="O83" i="29"/>
  <c r="O84" i="29"/>
  <c r="O85" i="29"/>
  <c r="O87" i="29"/>
  <c r="O88" i="29"/>
  <c r="O90" i="29"/>
  <c r="O91" i="29"/>
  <c r="O92" i="29"/>
  <c r="O95" i="29"/>
  <c r="O94" i="29"/>
  <c r="O93" i="29"/>
  <c r="O96" i="29"/>
  <c r="O97" i="29"/>
  <c r="O99" i="29"/>
  <c r="O100" i="29"/>
  <c r="O101" i="29"/>
  <c r="O98" i="29"/>
  <c r="O103" i="29"/>
  <c r="O102" i="29"/>
  <c r="O105" i="29"/>
  <c r="O106" i="29"/>
  <c r="O104" i="29"/>
  <c r="O108" i="29"/>
  <c r="O109" i="29"/>
  <c r="O107" i="29"/>
  <c r="O110" i="29"/>
  <c r="R1686" i="29"/>
  <c r="R76" i="29" l="1"/>
  <c r="R77" i="29"/>
  <c r="R80" i="29"/>
  <c r="R84" i="29"/>
  <c r="R81" i="29"/>
  <c r="R78" i="29"/>
  <c r="R79" i="29"/>
  <c r="R83" i="29"/>
  <c r="R82" i="29"/>
  <c r="R85" i="29"/>
  <c r="R86" i="29"/>
  <c r="R89" i="29"/>
  <c r="R87" i="29"/>
  <c r="R88" i="29"/>
  <c r="R92" i="29"/>
  <c r="R91" i="29"/>
  <c r="R90" i="29"/>
  <c r="R94" i="29"/>
  <c r="R93" i="29"/>
  <c r="R95" i="29"/>
  <c r="R97" i="29"/>
  <c r="R98" i="29"/>
  <c r="R96" i="29"/>
  <c r="R99" i="29"/>
  <c r="R101" i="29"/>
  <c r="R100" i="29"/>
  <c r="R103" i="29"/>
  <c r="R105" i="29"/>
  <c r="R102" i="29"/>
  <c r="R104" i="29"/>
  <c r="R108" i="29"/>
  <c r="R107" i="29"/>
  <c r="R106" i="29"/>
  <c r="R110" i="29"/>
  <c r="R109" i="29"/>
  <c r="S1686" i="29"/>
  <c r="O75" i="29"/>
  <c r="Q76" i="29" s="1"/>
  <c r="Q77" i="29" s="1"/>
  <c r="Q78" i="29" s="1"/>
  <c r="Q79" i="29" s="1"/>
  <c r="Q80" i="29" s="1"/>
  <c r="Q81" i="29" s="1"/>
  <c r="Q82" i="29" s="1"/>
  <c r="Q83" i="29" s="1"/>
  <c r="Q84" i="29" s="1"/>
  <c r="Q85" i="29" s="1"/>
  <c r="Q86" i="29" s="1"/>
  <c r="Q87" i="29" s="1"/>
  <c r="Q88" i="29" s="1"/>
  <c r="Q89" i="29" s="1"/>
  <c r="Q90" i="29" s="1"/>
  <c r="Q91" i="29" s="1"/>
  <c r="Q92" i="29" s="1"/>
  <c r="Q93" i="29" s="1"/>
  <c r="Q94" i="29" s="1"/>
  <c r="Q95" i="29" s="1"/>
  <c r="Q96" i="29" s="1"/>
  <c r="Q97" i="29" s="1"/>
  <c r="Q98" i="29" s="1"/>
  <c r="Q99" i="29" s="1"/>
  <c r="Q100" i="29" s="1"/>
  <c r="Q101" i="29" s="1"/>
  <c r="Q102" i="29" s="1"/>
  <c r="Q103" i="29" s="1"/>
  <c r="Q104" i="29" s="1"/>
  <c r="Q105" i="29" s="1"/>
  <c r="Q106" i="29" s="1"/>
  <c r="Q107" i="29" s="1"/>
  <c r="Q108" i="29" s="1"/>
  <c r="Q109" i="29" s="1"/>
  <c r="Q110" i="29" s="1"/>
  <c r="S31" i="29"/>
  <c r="N40" i="29" s="1"/>
  <c r="N42" i="29"/>
  <c r="O113" i="29"/>
  <c r="O116" i="29" s="1"/>
  <c r="Q42" i="29" l="1"/>
  <c r="S76" i="29"/>
  <c r="S77" i="29" s="1"/>
  <c r="S78" i="29" s="1"/>
  <c r="S79" i="29" s="1"/>
  <c r="S80" i="29" s="1"/>
  <c r="S81" i="29" s="1"/>
  <c r="S82" i="29" s="1"/>
  <c r="S83" i="29" s="1"/>
  <c r="S84" i="29" s="1"/>
  <c r="S85" i="29" s="1"/>
  <c r="S86" i="29" s="1"/>
  <c r="S87" i="29" s="1"/>
  <c r="S88" i="29" s="1"/>
  <c r="S89" i="29" s="1"/>
  <c r="S90" i="29" s="1"/>
  <c r="S91" i="29" s="1"/>
  <c r="S92" i="29" s="1"/>
  <c r="S93" i="29" s="1"/>
  <c r="S94" i="29" s="1"/>
  <c r="S95" i="29" s="1"/>
  <c r="S96" i="29" s="1"/>
  <c r="S97" i="29" s="1"/>
  <c r="S98" i="29" s="1"/>
  <c r="S99" i="29" s="1"/>
  <c r="S100" i="29" s="1"/>
  <c r="S101" i="29" s="1"/>
  <c r="S102" i="29" s="1"/>
  <c r="S103" i="29" s="1"/>
  <c r="S104" i="29" s="1"/>
  <c r="S105" i="29" s="1"/>
  <c r="S106" i="29" s="1"/>
  <c r="S107" i="29" s="1"/>
  <c r="S108" i="29" s="1"/>
  <c r="S109" i="29" s="1"/>
  <c r="S110" i="29" s="1"/>
  <c r="R113" i="29"/>
  <c r="O115" i="2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<sst xmlns="http://schemas.openxmlformats.org/spreadsheetml/2006/main" count="4593" uniqueCount="2219">
  <si>
    <t>Reviewer</t>
  </si>
  <si>
    <t>Preparer</t>
  </si>
  <si>
    <t>Manager</t>
  </si>
  <si>
    <t>Partner</t>
  </si>
  <si>
    <t>Accounts and Tax</t>
  </si>
  <si>
    <t>Gap</t>
  </si>
  <si>
    <t>Insert</t>
  </si>
  <si>
    <t>SortId</t>
  </si>
  <si>
    <t>SortOrder</t>
  </si>
  <si>
    <t>AccountName</t>
  </si>
  <si>
    <t>Notes</t>
  </si>
  <si>
    <t>Flag</t>
  </si>
  <si>
    <t>Items</t>
  </si>
  <si>
    <t>Status</t>
  </si>
  <si>
    <t>StatusUpdatedBy</t>
  </si>
  <si>
    <t>StatusChangeDate</t>
  </si>
  <si>
    <t>RollOver</t>
  </si>
  <si>
    <t>End</t>
  </si>
  <si>
    <t>Tolerance</t>
  </si>
  <si>
    <t>Id</t>
  </si>
  <si>
    <t>Title</t>
  </si>
  <si>
    <t>Flagged</t>
  </si>
  <si>
    <t>Last Updated By</t>
  </si>
  <si>
    <t>Index sheet updated</t>
  </si>
  <si>
    <t>BinderId</t>
  </si>
  <si>
    <t>a1421db1-6873-4aca-b099-4ad386315a0c</t>
  </si>
  <si>
    <t>BinderVersion</t>
  </si>
  <si>
    <t>DataVersion</t>
  </si>
  <si>
    <t>HomeVersion</t>
  </si>
  <si>
    <t>Left</t>
  </si>
  <si>
    <t>Centre</t>
  </si>
  <si>
    <t>Right</t>
  </si>
  <si>
    <t>Entity Details</t>
  </si>
  <si>
    <t>Name of client</t>
  </si>
  <si>
    <t>Client code</t>
  </si>
  <si>
    <t>ABN/TFN</t>
  </si>
  <si>
    <t>Entity Type</t>
  </si>
  <si>
    <t>Jurisdiction</t>
  </si>
  <si>
    <t>Period start date</t>
  </si>
  <si>
    <t>Period end date</t>
  </si>
  <si>
    <t>Tax year</t>
  </si>
  <si>
    <t>Small business entity</t>
  </si>
  <si>
    <t>Base Rate entity</t>
  </si>
  <si>
    <t>Contact Details</t>
  </si>
  <si>
    <t>Contact name</t>
  </si>
  <si>
    <t>Telephone</t>
  </si>
  <si>
    <t>Email</t>
  </si>
  <si>
    <t>Software Details</t>
  </si>
  <si>
    <t>Client software</t>
  </si>
  <si>
    <t>Login name</t>
  </si>
  <si>
    <t>Password</t>
  </si>
  <si>
    <t>Firm Details</t>
  </si>
  <si>
    <t>Name of firm</t>
  </si>
  <si>
    <t>Preparer Date</t>
  </si>
  <si>
    <t>Reviewer Date</t>
  </si>
  <si>
    <t>Options</t>
  </si>
  <si>
    <t>Reconciliation Accuracy (Tolerance)</t>
  </si>
  <si>
    <t>MuM001</t>
  </si>
  <si>
    <t xml:space="preserve"> </t>
  </si>
  <si>
    <t>Company</t>
  </si>
  <si>
    <t>Springrange Holdings Pty Ltd</t>
  </si>
  <si>
    <t>Fleur Active Data</t>
  </si>
  <si>
    <t>Main Office</t>
  </si>
  <si>
    <t>AU</t>
  </si>
  <si>
    <t>No</t>
  </si>
  <si>
    <t>Yes</t>
  </si>
  <si>
    <t>Source Account Id</t>
  </si>
  <si>
    <t>Account No</t>
  </si>
  <si>
    <t>Account Name</t>
  </si>
  <si>
    <t>Row Type</t>
  </si>
  <si>
    <t>Taxonomy Id</t>
  </si>
  <si>
    <t>Taxonomy</t>
  </si>
  <si>
    <t>Is Primary Production</t>
  </si>
  <si>
    <t>Is Non Deductible</t>
  </si>
  <si>
    <t>Mapping Code</t>
  </si>
  <si>
    <t>Benchmark Code</t>
  </si>
  <si>
    <t>Ledger Side</t>
  </si>
  <si>
    <t>Balance</t>
  </si>
  <si>
    <t>Balance Dr/(Cr)</t>
  </si>
  <si>
    <t>Primary Dr/(Cr)</t>
  </si>
  <si>
    <t>CategoryName</t>
  </si>
  <si>
    <t>SheetName</t>
  </si>
  <si>
    <t>SheetId</t>
  </si>
  <si>
    <t>TemplateId</t>
  </si>
  <si>
    <t>SumCriteria</t>
  </si>
  <si>
    <t>Workpaper Record Id</t>
  </si>
  <si>
    <t>Worksheet Id</t>
  </si>
  <si>
    <t>Record Title</t>
  </si>
  <si>
    <t>Migration ID</t>
  </si>
  <si>
    <t>Time Stamp</t>
  </si>
  <si>
    <t>GetToleranceFromRecordInfo</t>
  </si>
  <si>
    <t>Success</t>
  </si>
  <si>
    <t>2024-11-26T06:00:38.080Z</t>
  </si>
  <si>
    <t>AddSourceAccountIdToLedgerFormula</t>
  </si>
  <si>
    <t>UpdateWorksheetTitleFormula</t>
  </si>
  <si>
    <t>ApplyLedgerSideToLedgerFormula</t>
  </si>
  <si>
    <t>ApplyLedgerSideToLedgerFormula.Rv1</t>
  </si>
  <si>
    <t>AddUnderscoreToTotalRowFormula</t>
  </si>
  <si>
    <t>Payment / (Refund)</t>
  </si>
  <si>
    <t>Fuel Tax
Credit</t>
  </si>
  <si>
    <t>Fuel Tax 
Credit</t>
  </si>
  <si>
    <t>Fuel Tax 
Credit Overclaim</t>
  </si>
  <si>
    <t>FBT Instalment</t>
  </si>
  <si>
    <t>Credit -FBT Instalment Variation</t>
  </si>
  <si>
    <t>Luxury Car Tax</t>
  </si>
  <si>
    <t>WET Tax</t>
  </si>
  <si>
    <t>PAYG Income Tax Instalment</t>
  </si>
  <si>
    <t>Credit from PAYGI Variation</t>
  </si>
  <si>
    <t>PAYG Tax Withheld</t>
  </si>
  <si>
    <t>Other Amounts Withheld</t>
  </si>
  <si>
    <t>Withheld where no ABN</t>
  </si>
  <si>
    <t>Withheld from W1</t>
  </si>
  <si>
    <t>Total Salary and Wages</t>
  </si>
  <si>
    <t>Net GST</t>
  </si>
  <si>
    <t>Deferred GST on Import Amounts</t>
  </si>
  <si>
    <t>GST on Purchases</t>
  </si>
  <si>
    <t>GST on Sales</t>
  </si>
  <si>
    <t>Non-Capital Purchases</t>
  </si>
  <si>
    <t>Capital Purchases</t>
  </si>
  <si>
    <t>Other GST-Free Sales</t>
  </si>
  <si>
    <t>Export Sales</t>
  </si>
  <si>
    <t>Total Sales</t>
  </si>
  <si>
    <t>Revision Indicator</t>
  </si>
  <si>
    <t>DIN</t>
  </si>
  <si>
    <t>End Date</t>
  </si>
  <si>
    <t>Start Date</t>
  </si>
  <si>
    <t>7C/7D</t>
  </si>
  <si>
    <t>7D</t>
  </si>
  <si>
    <t>7C</t>
  </si>
  <si>
    <t>6A/6B</t>
  </si>
  <si>
    <t>6B</t>
  </si>
  <si>
    <t>6A</t>
  </si>
  <si>
    <t>1E/1F</t>
  </si>
  <si>
    <t>1C/1D</t>
  </si>
  <si>
    <t>5A/5B</t>
  </si>
  <si>
    <t>5B</t>
  </si>
  <si>
    <t>5A</t>
  </si>
  <si>
    <t>W3</t>
  </si>
  <si>
    <t>W4</t>
  </si>
  <si>
    <t>W2</t>
  </si>
  <si>
    <t>W1</t>
  </si>
  <si>
    <t>7A</t>
  </si>
  <si>
    <t>1B</t>
  </si>
  <si>
    <t>1A</t>
  </si>
  <si>
    <t>G11</t>
  </si>
  <si>
    <t>G10</t>
  </si>
  <si>
    <t>G3</t>
  </si>
  <si>
    <t>G2</t>
  </si>
  <si>
    <t>G1</t>
  </si>
  <si>
    <r>
      <rPr>
        <b/>
        <sz val="11"/>
        <color rgb="FF27A9E1"/>
        <rFont val="Webdings"/>
        <family val="1"/>
        <charset val="2"/>
      </rPr>
      <t>i</t>
    </r>
    <r>
      <rPr>
        <b/>
        <sz val="11"/>
        <color rgb="FF27A9E1"/>
        <rFont val="Calibri"/>
        <family val="2"/>
        <scheme val="minor"/>
      </rPr>
      <t xml:space="preserve"> This data sheet is designed to be automatically fed from the ATO.</t>
    </r>
  </si>
  <si>
    <t>ATO Data Feed</t>
  </si>
  <si>
    <t>Total</t>
  </si>
  <si>
    <t>ATO Data Feed Row</t>
  </si>
  <si>
    <t>Is Month</t>
  </si>
  <si>
    <t>Credit PAYG Instalment Variation</t>
  </si>
  <si>
    <t>Notes/Hyperlinks</t>
  </si>
  <si>
    <t>1A/1B</t>
  </si>
  <si>
    <r>
      <t xml:space="preserve">Other Taxes / (Credits) </t>
    </r>
    <r>
      <rPr>
        <sz val="9"/>
        <color rgb="FFC00000"/>
        <rFont val="Webdings"/>
        <family val="1"/>
        <charset val="2"/>
      </rPr>
      <t>i</t>
    </r>
  </si>
  <si>
    <t>PAYGI</t>
  </si>
  <si>
    <t>PAYG Withholding</t>
  </si>
  <si>
    <t>GST</t>
  </si>
  <si>
    <r>
      <rPr>
        <b/>
        <sz val="11"/>
        <color rgb="FF27A9E1"/>
        <rFont val="Webdings"/>
        <family val="1"/>
        <charset val="2"/>
      </rPr>
      <t>i</t>
    </r>
    <r>
      <rPr>
        <b/>
        <sz val="11"/>
        <color rgb="FF27A9E1"/>
        <rFont val="Calibri"/>
        <family val="1"/>
        <charset val="2"/>
        <scheme val="minor"/>
      </rPr>
      <t xml:space="preserve"> This data automatically populates from the ATO. Feel free to override values in the shaded cells.</t>
    </r>
  </si>
  <si>
    <t>Lodged BAS</t>
  </si>
  <si>
    <r>
      <rPr>
        <b/>
        <sz val="11"/>
        <color theme="0"/>
        <rFont val="Wingdings 3"/>
        <family val="1"/>
        <charset val="2"/>
      </rPr>
      <t>P</t>
    </r>
    <r>
      <rPr>
        <b/>
        <sz val="11"/>
        <color theme="0"/>
        <rFont val="Calibri"/>
        <family val="2"/>
        <scheme val="minor"/>
      </rPr>
      <t xml:space="preserve"> Update Display</t>
    </r>
  </si>
  <si>
    <t>Monthly</t>
  </si>
  <si>
    <t>Reporting Frequency</t>
  </si>
  <si>
    <t>Tax Year End</t>
  </si>
  <si>
    <t>Settings</t>
  </si>
  <si>
    <t>C20 Tax Reconciliation</t>
  </si>
  <si>
    <t>N80 Wages</t>
  </si>
  <si>
    <t>H35 Provisions - Tax</t>
  </si>
  <si>
    <t>J51 GST Reconciliation</t>
  </si>
  <si>
    <t>This data sheet is used by the following workpapers:</t>
  </si>
  <si>
    <r>
      <rPr>
        <b/>
        <sz val="11"/>
        <color rgb="FF27A9E1"/>
        <rFont val="Webdings"/>
        <family val="1"/>
        <charset val="2"/>
      </rPr>
      <t>i</t>
    </r>
    <r>
      <rPr>
        <b/>
        <sz val="11"/>
        <color rgb="FF27A9E1"/>
        <rFont val="Calibri"/>
        <family val="2"/>
        <scheme val="minor"/>
      </rPr>
      <t xml:space="preserve"> This worksheet documents the lodged BAS amounts per the ATO for</t>
    </r>
    <r>
      <rPr>
        <b/>
        <sz val="11"/>
        <color rgb="FF27A9E1"/>
        <rFont val="Calibri"/>
        <family val="1"/>
        <charset val="2"/>
        <scheme val="minor"/>
      </rPr>
      <t xml:space="preserve"> the financial period.</t>
    </r>
  </si>
  <si>
    <t>Show Record</t>
  </si>
  <si>
    <t>BAS Lodgements</t>
  </si>
  <si>
    <t>BF_Hide</t>
  </si>
  <si>
    <t>Jurisdiction:</t>
  </si>
  <si>
    <t>AWP 5.24.3</t>
  </si>
  <si>
    <t>Version:</t>
  </si>
  <si>
    <t>7381be5b-6548-4c1f-b801-c430dc8863dc</t>
  </si>
  <si>
    <t>Workpaper ID:</t>
  </si>
  <si>
    <t>J50 BAS Lodgements</t>
  </si>
  <si>
    <t>ATO_PeriodNos</t>
  </si>
  <si>
    <t>J50_AprInst5A</t>
  </si>
  <si>
    <t>J50_AprInst5B</t>
  </si>
  <si>
    <t>J50_AugInst5A</t>
  </si>
  <si>
    <t>J50_AugInst5B</t>
  </si>
  <si>
    <t>J50_DecInst5A</t>
  </si>
  <si>
    <t>J50_DecInst5B</t>
  </si>
  <si>
    <t>J50_FebInst5A</t>
  </si>
  <si>
    <t>J50_FebInst5B</t>
  </si>
  <si>
    <t>J50_JanInst5A</t>
  </si>
  <si>
    <t>J50_JanInst5B</t>
  </si>
  <si>
    <t>J50_JulInst5A</t>
  </si>
  <si>
    <t>J50_JulInst5B</t>
  </si>
  <si>
    <t>J50_JunInst5A</t>
  </si>
  <si>
    <t>J50_JunInst5B</t>
  </si>
  <si>
    <t>J50_MarInst5A</t>
  </si>
  <si>
    <t>J50_MarInst5B</t>
  </si>
  <si>
    <t>J50_MayInst5A</t>
  </si>
  <si>
    <t>J50_MayInst5B</t>
  </si>
  <si>
    <t>J50_NetGST</t>
  </si>
  <si>
    <t>J50_NovInst5A</t>
  </si>
  <si>
    <t>J50_NovInst5B</t>
  </si>
  <si>
    <t>J50_OctInst5A</t>
  </si>
  <si>
    <t>J50_OctInst5B</t>
  </si>
  <si>
    <t>J50_PAYGI</t>
  </si>
  <si>
    <t>J50_PAYGW2</t>
  </si>
  <si>
    <t>J50_PreYrJun5A</t>
  </si>
  <si>
    <t>J50_PreYrJun5B</t>
  </si>
  <si>
    <t>J50_SepInst5A</t>
  </si>
  <si>
    <t>J50_SepInst5B</t>
  </si>
  <si>
    <t>Model_AS.LabelW3</t>
  </si>
  <si>
    <t>Model_AS.List.DocumentId</t>
  </si>
  <si>
    <t>Model_AS.List.EndDate</t>
  </si>
  <si>
    <t>Model_AS.List.Label1A</t>
  </si>
  <si>
    <t>Model_AS.List.Label1B</t>
  </si>
  <si>
    <t>Model_AS.List.Label1C1D</t>
  </si>
  <si>
    <t>Model_AS.List.Label1E1F</t>
  </si>
  <si>
    <t>Model_AS.List.Label4</t>
  </si>
  <si>
    <t>Model_AS.List.Label5A</t>
  </si>
  <si>
    <t>Model_AS.List.Label5A5B</t>
  </si>
  <si>
    <t>Model_AS.List.Label5B</t>
  </si>
  <si>
    <t>Model_AS.List.Label6A</t>
  </si>
  <si>
    <t>Model_AS.List.Label6A6B</t>
  </si>
  <si>
    <t>Model_AS.List.Label6B</t>
  </si>
  <si>
    <t>Model_AS.List.Label7A</t>
  </si>
  <si>
    <t>Model_AS.List.Label7C</t>
  </si>
  <si>
    <t>Model_AS.List.Label7C7D</t>
  </si>
  <si>
    <t>Model_AS.List.Label7D</t>
  </si>
  <si>
    <t>Model_AS.List.LabelG1</t>
  </si>
  <si>
    <t>Model_AS.List.LabelG10</t>
  </si>
  <si>
    <t>Model_AS.List.LabelG11</t>
  </si>
  <si>
    <t>Model_AS.List.LabelG2</t>
  </si>
  <si>
    <t>Model_AS.List.LabelG3</t>
  </si>
  <si>
    <t>Model_AS.List.LabelW1</t>
  </si>
  <si>
    <t>Model_AS.List.LabelW2</t>
  </si>
  <si>
    <t>Model_AS.List.LabelW4</t>
  </si>
  <si>
    <t>Model_AS.List.RevisionIndicator</t>
  </si>
  <si>
    <t>Model_AS.List.StartDate</t>
  </si>
  <si>
    <t>SelectedFrequency</t>
  </si>
  <si>
    <t>TaxYearEnd</t>
  </si>
  <si>
    <t>https://www.payrolltax.gov.au/registration#registration__thresholds</t>
  </si>
  <si>
    <t>Source of thresholds as of 29 August 2023:</t>
  </si>
  <si>
    <t>Victoria</t>
  </si>
  <si>
    <t>State</t>
  </si>
  <si>
    <t>Monthly Threshold</t>
  </si>
  <si>
    <t>Financial Year</t>
  </si>
  <si>
    <t>Lowest State &amp; Territory Payroll Tax Thresholds (Monthly)</t>
  </si>
  <si>
    <t>Model12_Wages</t>
  </si>
  <si>
    <t>Model11_Wages</t>
  </si>
  <si>
    <t>Model10_Wages</t>
  </si>
  <si>
    <t>Model9_Wages</t>
  </si>
  <si>
    <t>Model8_Wages</t>
  </si>
  <si>
    <t>Model7_Wages</t>
  </si>
  <si>
    <t>Model6_Wages</t>
  </si>
  <si>
    <t>Model5_Wages</t>
  </si>
  <si>
    <t>Model4_Wages</t>
  </si>
  <si>
    <t>Model3_Wages</t>
  </si>
  <si>
    <t>Model2_Wages</t>
  </si>
  <si>
    <t>Model1_Wages</t>
  </si>
  <si>
    <t>.Tax</t>
  </si>
  <si>
    <t>.Gross</t>
  </si>
  <si>
    <t>Xero Import Data</t>
  </si>
  <si>
    <t>Calculated</t>
  </si>
  <si>
    <t>J10 5B</t>
  </si>
  <si>
    <t>J50</t>
  </si>
  <si>
    <t>J10 5A</t>
  </si>
  <si>
    <t>Outstanding</t>
  </si>
  <si>
    <t>Paid/Cleared During Period</t>
  </si>
  <si>
    <t>Lodged</t>
  </si>
  <si>
    <t>PAYG</t>
  </si>
  <si>
    <t>Wages</t>
  </si>
  <si>
    <t>PAYG Withholding W2</t>
  </si>
  <si>
    <t>Wages and Salaries W1</t>
  </si>
  <si>
    <r>
      <rPr>
        <b/>
        <sz val="11"/>
        <color theme="0"/>
        <rFont val="Wingdings 3"/>
        <family val="1"/>
        <charset val="2"/>
      </rPr>
      <t>}</t>
    </r>
    <r>
      <rPr>
        <b/>
        <sz val="11"/>
        <color theme="0"/>
        <rFont val="Calibri"/>
        <family val="2"/>
        <scheme val="minor"/>
      </rPr>
      <t xml:space="preserve">  Open BAS Lodgements</t>
    </r>
  </si>
  <si>
    <r>
      <rPr>
        <b/>
        <sz val="11"/>
        <color rgb="FF27A9E1"/>
        <rFont val="Webdings"/>
        <family val="1"/>
        <charset val="2"/>
      </rPr>
      <t>i</t>
    </r>
    <r>
      <rPr>
        <b/>
        <sz val="11"/>
        <color rgb="FF27A9E1"/>
        <rFont val="Calibri"/>
        <family val="2"/>
        <scheme val="minor"/>
      </rPr>
      <t xml:space="preserve"> We recommend using our J50 BAS Lodgements workpaper to compile the below</t>
    </r>
    <r>
      <rPr>
        <b/>
        <sz val="11"/>
        <color rgb="FF27A9E1"/>
        <rFont val="Calibri"/>
        <family val="1"/>
        <charset val="2"/>
        <scheme val="minor"/>
      </rPr>
      <t xml:space="preserve"> information in one location</t>
    </r>
  </si>
  <si>
    <t>J50 - BAS Lodgements</t>
  </si>
  <si>
    <t>Lodged BAS - PAYG Withholding</t>
  </si>
  <si>
    <t>Variance</t>
  </si>
  <si>
    <t>Balance per ledger</t>
  </si>
  <si>
    <t>Closing balance</t>
  </si>
  <si>
    <t>Enter description…</t>
  </si>
  <si>
    <t>}</t>
  </si>
  <si>
    <t>PAYG Withholding Outstanding</t>
  </si>
  <si>
    <t>Open the 'Lodged BAS - PAYG Withholding' tab below to edit PAYG Withholding outstanding</t>
  </si>
  <si>
    <r>
      <rPr>
        <b/>
        <sz val="11"/>
        <color rgb="FF27A9E1"/>
        <rFont val="Webdings"/>
        <family val="1"/>
        <charset val="2"/>
      </rPr>
      <t>i</t>
    </r>
    <r>
      <rPr>
        <b/>
        <sz val="11"/>
        <color rgb="FF27A9E1"/>
        <rFont val="Calibri"/>
        <family val="2"/>
        <scheme val="minor"/>
      </rPr>
      <t xml:space="preserve"> Use this section to reconcile the PAYG Withholding owing at the end of the period</t>
    </r>
  </si>
  <si>
    <r>
      <rPr>
        <b/>
        <sz val="10"/>
        <color theme="0" tint="-0.499984740745262"/>
        <rFont val="Calibri"/>
        <family val="2"/>
      </rPr>
      <t>Step 3</t>
    </r>
    <r>
      <rPr>
        <b/>
        <sz val="11"/>
        <color rgb="FF333333"/>
        <rFont val="Calibri"/>
        <family val="2"/>
      </rPr>
      <t xml:space="preserve"> - PAYG Withholding</t>
    </r>
  </si>
  <si>
    <t>Per Payroll Reports</t>
  </si>
  <si>
    <t>Ledger Account Balances</t>
  </si>
  <si>
    <t>Per Payroll Summary</t>
  </si>
  <si>
    <t>Prior Period</t>
  </si>
  <si>
    <t>Per Lodged BAS</t>
  </si>
  <si>
    <t>Per Payroll</t>
  </si>
  <si>
    <r>
      <rPr>
        <b/>
        <sz val="11"/>
        <color rgb="FF27A9E1"/>
        <rFont val="Webdings"/>
        <family val="1"/>
        <charset val="2"/>
      </rPr>
      <t>i</t>
    </r>
    <r>
      <rPr>
        <b/>
        <sz val="11"/>
        <color rgb="FF27A9E1"/>
        <rFont val="Calibri"/>
        <family val="2"/>
        <scheme val="minor"/>
      </rPr>
      <t xml:space="preserve"> Use this section to company the payroll report balances with the ledger account balances</t>
    </r>
  </si>
  <si>
    <r>
      <rPr>
        <b/>
        <sz val="10"/>
        <color theme="0" tint="-0.499984740745262"/>
        <rFont val="Calibri"/>
        <family val="2"/>
      </rPr>
      <t>Step 2</t>
    </r>
    <r>
      <rPr>
        <b/>
        <sz val="11"/>
        <color rgb="FF333333"/>
        <rFont val="Calibri"/>
        <family val="2"/>
      </rPr>
      <t xml:space="preserve"> - Wages and Salaries</t>
    </r>
  </si>
  <si>
    <t>Variances</t>
  </si>
  <si>
    <t>Payroll to BAS</t>
  </si>
  <si>
    <t>STP to BAS</t>
  </si>
  <si>
    <t>Truncation</t>
  </si>
  <si>
    <t>Lodged Totals</t>
  </si>
  <si>
    <t>Income Statement (STP) / PAYG Summary Statement</t>
  </si>
  <si>
    <t>Explained Variances</t>
  </si>
  <si>
    <r>
      <rPr>
        <b/>
        <sz val="11"/>
        <color theme="0"/>
        <rFont val="Webdings"/>
        <family val="1"/>
        <charset val="2"/>
      </rPr>
      <t>i</t>
    </r>
    <r>
      <rPr>
        <b/>
        <sz val="11"/>
        <color theme="0"/>
        <rFont val="Calibri"/>
        <family val="2"/>
        <scheme val="minor"/>
      </rPr>
      <t xml:space="preserve"> Based on the payroll data above, your client may need to register for payroll tax.</t>
    </r>
  </si>
  <si>
    <t>For Xero connections, the payroll column information will be imported directly via the API.</t>
  </si>
  <si>
    <r>
      <rPr>
        <b/>
        <sz val="11"/>
        <color rgb="FF27A9E1"/>
        <rFont val="Webdings"/>
        <family val="1"/>
        <charset val="2"/>
      </rPr>
      <t>i</t>
    </r>
    <r>
      <rPr>
        <b/>
        <sz val="11"/>
        <color rgb="FF27A9E1"/>
        <rFont val="Calibri"/>
        <family val="2"/>
        <scheme val="minor"/>
      </rPr>
      <t xml:space="preserve"> Use this summary to compare the results in the payroll system with those lodged with the ATO</t>
    </r>
  </si>
  <si>
    <r>
      <rPr>
        <b/>
        <sz val="11"/>
        <color theme="0"/>
        <rFont val="Wingdings 3"/>
        <family val="1"/>
        <charset val="2"/>
      </rPr>
      <t>P</t>
    </r>
    <r>
      <rPr>
        <b/>
        <sz val="11"/>
        <color theme="0"/>
        <rFont val="Calibri"/>
        <family val="2"/>
        <scheme val="minor"/>
      </rPr>
      <t xml:space="preserve"> Refresh</t>
    </r>
  </si>
  <si>
    <r>
      <rPr>
        <b/>
        <sz val="10"/>
        <color theme="0" tint="-0.499984740745262"/>
        <rFont val="Calibri"/>
        <family val="2"/>
      </rPr>
      <t>Step 1</t>
    </r>
    <r>
      <rPr>
        <b/>
        <sz val="11"/>
        <color rgb="FF333333"/>
        <rFont val="Calibri"/>
        <family val="2"/>
      </rPr>
      <t xml:space="preserve"> - Payroll Summary</t>
    </r>
  </si>
  <si>
    <t>Registered for Payroll Tax?</t>
  </si>
  <si>
    <t>N20 Expenses</t>
  </si>
  <si>
    <r>
      <t xml:space="preserve">The salary totals will transfer to the </t>
    </r>
    <r>
      <rPr>
        <b/>
        <sz val="10"/>
        <color theme="0" tint="-0.499984740745262"/>
        <rFont val="Calibri"/>
        <family val="2"/>
        <scheme val="minor"/>
      </rPr>
      <t>N20 Expenses</t>
    </r>
    <r>
      <rPr>
        <sz val="10"/>
        <color theme="0" tint="-0.499984740745262"/>
        <rFont val="Calibri"/>
        <family val="2"/>
        <scheme val="minor"/>
      </rPr>
      <t xml:space="preserve"> and </t>
    </r>
    <r>
      <rPr>
        <b/>
        <sz val="10"/>
        <color theme="0" tint="-0.499984740745262"/>
        <rFont val="Calibri"/>
        <family val="2"/>
        <scheme val="minor"/>
      </rPr>
      <t>Tax Return</t>
    </r>
    <r>
      <rPr>
        <sz val="10"/>
        <color theme="0" tint="-0.499984740745262"/>
        <rFont val="Calibri"/>
        <family val="2"/>
        <scheme val="minor"/>
      </rPr>
      <t xml:space="preserve"> worksheets.</t>
    </r>
  </si>
  <si>
    <r>
      <t xml:space="preserve">Step 3 - Reconcile the amount of PAYGW Payable </t>
    </r>
    <r>
      <rPr>
        <u/>
        <sz val="10"/>
        <color theme="0" tint="-0.499984740745262"/>
        <rFont val="Calibri"/>
        <family val="2"/>
        <scheme val="minor"/>
      </rPr>
      <t>(click here)</t>
    </r>
  </si>
  <si>
    <r>
      <t xml:space="preserve">Step 2 - Reconcile payroll system with ledger balances </t>
    </r>
    <r>
      <rPr>
        <u/>
        <sz val="10"/>
        <color theme="0" tint="-0.499984740745262"/>
        <rFont val="Calibri"/>
        <family val="2"/>
        <scheme val="minor"/>
      </rPr>
      <t>(click here)</t>
    </r>
  </si>
  <si>
    <r>
      <t>Step 1 - Reconcile wages and PAYGW between the payroll system, single touch payroll and BAS lodgements</t>
    </r>
    <r>
      <rPr>
        <sz val="10"/>
        <color theme="0" tint="-0.499984740745262"/>
        <rFont val="Calibri"/>
        <family val="2"/>
        <scheme val="minor"/>
      </rPr>
      <t xml:space="preserve"> </t>
    </r>
    <r>
      <rPr>
        <u/>
        <sz val="10"/>
        <color theme="0" tint="-0.499984740745262"/>
        <rFont val="Calibri"/>
        <family val="2"/>
        <scheme val="minor"/>
      </rPr>
      <t>(click here)</t>
    </r>
  </si>
  <si>
    <r>
      <rPr>
        <b/>
        <sz val="11"/>
        <color rgb="FF27A9E1"/>
        <rFont val="Webdings"/>
        <family val="1"/>
        <charset val="2"/>
      </rPr>
      <t>i</t>
    </r>
    <r>
      <rPr>
        <b/>
        <sz val="11"/>
        <color rgb="FF27A9E1"/>
        <rFont val="Calibri"/>
        <family val="2"/>
        <scheme val="minor"/>
      </rPr>
      <t xml:space="preserve"> The purpose of this worksheet is to reconcile Wages and PAYG</t>
    </r>
    <r>
      <rPr>
        <b/>
        <sz val="11"/>
        <color rgb="FF27A9E1"/>
        <rFont val="Calibri"/>
        <family val="1"/>
        <charset val="2"/>
        <scheme val="minor"/>
      </rPr>
      <t xml:space="preserve"> Withholding payable</t>
    </r>
  </si>
  <si>
    <t>PAYGW</t>
  </si>
  <si>
    <t>Wages and PAYG Withholding</t>
  </si>
  <si>
    <t>5.24.0</t>
  </si>
  <si>
    <t>Version number:</t>
  </si>
  <si>
    <t>f9a0a8e6-dfdf-4b6a-8aa0-8a71b8d4704b</t>
  </si>
  <si>
    <t>477 Wages and Salaries</t>
  </si>
  <si>
    <t>N80 Wages  PAYGW</t>
  </si>
  <si>
    <t>CurrentPAYGOutstanding</t>
  </si>
  <si>
    <t>Frequency</t>
  </si>
  <si>
    <t>Model_WageAccounts.Accounts.AccountNoName</t>
  </si>
  <si>
    <t>Model_WageAccounts.Accounts.BalanceFormula</t>
  </si>
  <si>
    <t>Model1_Wages.Gross</t>
  </si>
  <si>
    <t>Model1_Wages.Tax</t>
  </si>
  <si>
    <t>Model10_Wages.Gross</t>
  </si>
  <si>
    <t>Model10_Wages.Tax</t>
  </si>
  <si>
    <t>Model11_Wages.Gross</t>
  </si>
  <si>
    <t>Model11_Wages.Tax</t>
  </si>
  <si>
    <t>Model12_Wages.Gross</t>
  </si>
  <si>
    <t>Model12_Wages.Tax</t>
  </si>
  <si>
    <t>Model2_Wages.Gross</t>
  </si>
  <si>
    <t>Model2_Wages.Tax</t>
  </si>
  <si>
    <t>Model3_Wages.Gross</t>
  </si>
  <si>
    <t>Model3_Wages.Tax</t>
  </si>
  <si>
    <t>Model4_Wages.Gross</t>
  </si>
  <si>
    <t>Model4_Wages.Tax</t>
  </si>
  <si>
    <t>Model5_Wages.Gross</t>
  </si>
  <si>
    <t>Model5_Wages.Tax</t>
  </si>
  <si>
    <t>Model6_Wages.Gross</t>
  </si>
  <si>
    <t>Model6_Wages.Tax</t>
  </si>
  <si>
    <t>Model7_Wages.Gross</t>
  </si>
  <si>
    <t>Model7_Wages.Tax</t>
  </si>
  <si>
    <t>Model8_Wages.Gross</t>
  </si>
  <si>
    <t>Model8_Wages.Tax</t>
  </si>
  <si>
    <t>Model9_Wages.Gross</t>
  </si>
  <si>
    <t>Model9_Wages.Tax</t>
  </si>
  <si>
    <t>Multiplier</t>
  </si>
  <si>
    <t>N80_PayrollWages</t>
  </si>
  <si>
    <t>N80_Salaries</t>
  </si>
  <si>
    <t>Payroll_Tax_Registration</t>
  </si>
  <si>
    <t>Payroll_Threshold_Lookup</t>
  </si>
  <si>
    <t>Balance per Ledger</t>
  </si>
  <si>
    <t>Workpaper Balance</t>
  </si>
  <si>
    <t>Amount</t>
  </si>
  <si>
    <t>Description</t>
  </si>
  <si>
    <t>Ref</t>
  </si>
  <si>
    <t>Date</t>
  </si>
  <si>
    <t>Add/Less: Other Adjustments</t>
  </si>
  <si>
    <t>Less: Outstanding Payments</t>
  </si>
  <si>
    <t>Subtotal</t>
  </si>
  <si>
    <t>Add: Outstanding Deposits</t>
  </si>
  <si>
    <t xml:space="preserve">Balance per Bank Statement </t>
  </si>
  <si>
    <t>Balance Date</t>
  </si>
  <si>
    <t>Account #</t>
  </si>
  <si>
    <t>Enter account name…</t>
  </si>
  <si>
    <t>Bank</t>
  </si>
  <si>
    <t>Bank Account Details</t>
  </si>
  <si>
    <t>Bank Reconciliation 6</t>
  </si>
  <si>
    <t>Bank Reconciliation 5</t>
  </si>
  <si>
    <t>Bank Reconciliation 4</t>
  </si>
  <si>
    <t>Bank Reconciliation 3</t>
  </si>
  <si>
    <t>Bank Reconciliation 2</t>
  </si>
  <si>
    <t>Bank Reconciliation 1</t>
  </si>
  <si>
    <t>N</t>
  </si>
  <si>
    <t>Ledger</t>
  </si>
  <si>
    <t>Workpaper</t>
  </si>
  <si>
    <t>Bank Accounts Summary</t>
  </si>
  <si>
    <r>
      <t xml:space="preserve">Please add additional </t>
    </r>
    <r>
      <rPr>
        <b/>
        <sz val="10"/>
        <color theme="1" tint="0.499984740745262"/>
        <rFont val="Calibri"/>
        <family val="2"/>
        <scheme val="minor"/>
      </rPr>
      <t>F10 Bank</t>
    </r>
    <r>
      <rPr>
        <sz val="10"/>
        <color theme="1" tint="0.499984740745262"/>
        <rFont val="Calibri"/>
        <family val="2"/>
        <scheme val="minor"/>
      </rPr>
      <t xml:space="preserve"> worksheets if you have more than six bank accounts.</t>
    </r>
  </si>
  <si>
    <r>
      <rPr>
        <b/>
        <sz val="11"/>
        <color rgb="FF27A9E1"/>
        <rFont val="Webdings"/>
        <family val="1"/>
        <charset val="2"/>
      </rPr>
      <t>i</t>
    </r>
    <r>
      <rPr>
        <b/>
        <sz val="11"/>
        <color rgb="FF27A9E1"/>
        <rFont val="Calibri"/>
        <family val="1"/>
        <charset val="2"/>
        <scheme val="minor"/>
      </rPr>
      <t xml:space="preserve"> The purpose of</t>
    </r>
    <r>
      <rPr>
        <b/>
        <sz val="11"/>
        <color rgb="FF27A9E1"/>
        <rFont val="Calibri"/>
        <family val="2"/>
        <scheme val="minor"/>
      </rPr>
      <t xml:space="preserve"> this worksheet is to reconcile up to 6 bank accounts.</t>
    </r>
  </si>
  <si>
    <t>Bank Reconciliation</t>
  </si>
  <si>
    <t>5.24.4</t>
  </si>
  <si>
    <t>d7094bf7-33e3-4f7c-bb21-dddca33e1beb</t>
  </si>
  <si>
    <t>600 Miss U Motel General Transaction</t>
  </si>
  <si>
    <t>SQ-000000 Square Balance</t>
  </si>
  <si>
    <t>SQ-600008 Square Cash Clearing</t>
  </si>
  <si>
    <t>Non-Current Liability</t>
  </si>
  <si>
    <t>Current Liability</t>
  </si>
  <si>
    <t>Represented by:</t>
  </si>
  <si>
    <t>Closing Balance per Accounts</t>
  </si>
  <si>
    <t>Payouts/Refinance Payouts</t>
  </si>
  <si>
    <t>Repayments</t>
  </si>
  <si>
    <t xml:space="preserve">Less: </t>
  </si>
  <si>
    <t>Accrued Liability</t>
  </si>
  <si>
    <t>Charges</t>
  </si>
  <si>
    <t>Interest</t>
  </si>
  <si>
    <t>Drawdown</t>
  </si>
  <si>
    <t>Add:</t>
  </si>
  <si>
    <t>Opening Balance per Accounts</t>
  </si>
  <si>
    <t>Ledger A/c No.</t>
  </si>
  <si>
    <t>Details</t>
  </si>
  <si>
    <t>Start Date of Loan</t>
  </si>
  <si>
    <r>
      <t xml:space="preserve">Financial Institution </t>
    </r>
    <r>
      <rPr>
        <sz val="10"/>
        <color theme="0" tint="-0.499984740745262"/>
        <rFont val="Calibri"/>
        <family val="2"/>
      </rPr>
      <t>(Optional)</t>
    </r>
  </si>
  <si>
    <r>
      <t>Link to Source Documents</t>
    </r>
    <r>
      <rPr>
        <i/>
        <sz val="10"/>
        <color theme="1" tint="0.14999847407452621"/>
        <rFont val="Calibri"/>
        <family val="2"/>
      </rPr>
      <t xml:space="preserve"> </t>
    </r>
    <r>
      <rPr>
        <sz val="10"/>
        <color theme="0" tint="-0.499984740745262"/>
        <rFont val="Calibri"/>
        <family val="2"/>
      </rPr>
      <t>(Optional)</t>
    </r>
  </si>
  <si>
    <t>Loan Description</t>
  </si>
  <si>
    <t>Notes / Hyperlinks</t>
  </si>
  <si>
    <t>Loan Details</t>
  </si>
  <si>
    <r>
      <t xml:space="preserve">If a full loan schedule is required, use the </t>
    </r>
    <r>
      <rPr>
        <b/>
        <sz val="10"/>
        <color theme="0" tint="-0.499984740745262"/>
        <rFont val="Calibri"/>
        <family val="2"/>
        <scheme val="minor"/>
      </rPr>
      <t>H11 Chattel Mortgage Schedule</t>
    </r>
    <r>
      <rPr>
        <sz val="10"/>
        <color theme="0" tint="-0.499984740745262"/>
        <rFont val="Calibri"/>
        <family val="2"/>
        <scheme val="minor"/>
      </rPr>
      <t xml:space="preserve"> worksheet.</t>
    </r>
  </si>
  <si>
    <r>
      <t xml:space="preserve">Enter loan details and all transactions for the period. Add additional </t>
    </r>
    <r>
      <rPr>
        <b/>
        <sz val="10"/>
        <color theme="0" tint="-0.499984740745262"/>
        <rFont val="Calibri"/>
        <family val="2"/>
        <scheme val="minor"/>
      </rPr>
      <t>H25 Bank Loans</t>
    </r>
    <r>
      <rPr>
        <sz val="10"/>
        <color theme="0" tint="-0.499984740745262"/>
        <rFont val="Calibri"/>
        <family val="2"/>
        <scheme val="minor"/>
      </rPr>
      <t xml:space="preserve"> worksheets for each loan.</t>
    </r>
  </si>
  <si>
    <r>
      <rPr>
        <b/>
        <sz val="11"/>
        <color rgb="FF27A9E1"/>
        <rFont val="Webdings"/>
        <family val="1"/>
        <charset val="2"/>
      </rPr>
      <t>i</t>
    </r>
    <r>
      <rPr>
        <b/>
        <sz val="11"/>
        <color rgb="FF27A9E1"/>
        <rFont val="Calibri"/>
        <family val="1"/>
        <charset val="2"/>
        <scheme val="minor"/>
      </rPr>
      <t xml:space="preserve"> The purpose of this worksheet is to reconcile the balance of a bank loan. </t>
    </r>
  </si>
  <si>
    <t>5730e787-abf1-4ec5-870a-8a8c16d86dc5</t>
  </si>
  <si>
    <t>900 Business Loan</t>
  </si>
  <si>
    <t>H25 Bank Loan</t>
  </si>
  <si>
    <t>H25_BankFees</t>
  </si>
  <si>
    <t>H25_InterestExpense</t>
  </si>
  <si>
    <t>H25_Loan_1</t>
  </si>
  <si>
    <t>H25_TotalLiability</t>
  </si>
  <si>
    <t>% of Total</t>
  </si>
  <si>
    <t>90+ Days</t>
  </si>
  <si>
    <t>60-90 Days</t>
  </si>
  <si>
    <t>30-60 Days</t>
  </si>
  <si>
    <t>0-30 Days</t>
  </si>
  <si>
    <t>Debtor</t>
  </si>
  <si>
    <t>RowNum</t>
  </si>
  <si>
    <t>Actual Debtor</t>
  </si>
  <si>
    <t>OffsetRows</t>
  </si>
  <si>
    <t>NewUnique</t>
  </si>
  <si>
    <t>Unique</t>
  </si>
  <si>
    <t>Counter</t>
  </si>
  <si>
    <t xml:space="preserve">Exclude "All Other Debtors"   </t>
  </si>
  <si>
    <t xml:space="preserve">Number of Creditors shown in Graph:   </t>
  </si>
  <si>
    <t>Trade Debtor Graphs</t>
  </si>
  <si>
    <t>Analytical Insights</t>
  </si>
  <si>
    <t>Days outstanding</t>
  </si>
  <si>
    <t>Debtors turnover ratio</t>
  </si>
  <si>
    <t>Total sales / Turnover</t>
  </si>
  <si>
    <t>Ledger Balance</t>
  </si>
  <si>
    <t>Trade Debtors Analysis</t>
  </si>
  <si>
    <t>Total Debt</t>
  </si>
  <si>
    <t>Autofill Provisions table</t>
  </si>
  <si>
    <t>%Over90Days</t>
  </si>
  <si>
    <t>ActualDebtor</t>
  </si>
  <si>
    <t>Debtors at risk table variables</t>
  </si>
  <si>
    <t>Bad debt expense</t>
  </si>
  <si>
    <t>Provision for doubtful debts</t>
  </si>
  <si>
    <t>CR</t>
  </si>
  <si>
    <t>DR</t>
  </si>
  <si>
    <t>Proposed Journal for Movement</t>
  </si>
  <si>
    <t>Provision for Doubtful Debts Balance</t>
  </si>
  <si>
    <t xml:space="preserve">Provision </t>
  </si>
  <si>
    <t>Estimate of Recoverable Amount</t>
  </si>
  <si>
    <t xml:space="preserve">Debtor </t>
  </si>
  <si>
    <t>Calculation by Review of Specific Accounts</t>
  </si>
  <si>
    <t>Estimated % of total debtors recoverable</t>
  </si>
  <si>
    <t>Estimate of recoverable %</t>
  </si>
  <si>
    <t>Calculation by % of Total Debtors Method</t>
  </si>
  <si>
    <t xml:space="preserve">Provision for Doubtful Debts Opening Balance </t>
  </si>
  <si>
    <t>Update Display</t>
  </si>
  <si>
    <t>Review of specific accounts</t>
  </si>
  <si>
    <t xml:space="preserve">Calculation Method   </t>
  </si>
  <si>
    <t>Bad Debt?</t>
  </si>
  <si>
    <t>% of Total Debt Over 90 Days</t>
  </si>
  <si>
    <t>Debt Over 
90 days</t>
  </si>
  <si>
    <t>Total Debt Outstanding</t>
  </si>
  <si>
    <t xml:space="preserve">Show Debtors with a % of Total Debt Over 90 days Greater than </t>
  </si>
  <si>
    <r>
      <rPr>
        <b/>
        <sz val="11"/>
        <color rgb="FF27AAE1"/>
        <rFont val="Webdings"/>
        <family val="1"/>
        <charset val="2"/>
      </rPr>
      <t>i</t>
    </r>
    <r>
      <rPr>
        <b/>
        <sz val="11"/>
        <color rgb="FF27AAE1"/>
        <rFont val="Calibri"/>
        <family val="1"/>
        <charset val="2"/>
        <scheme val="minor"/>
      </rPr>
      <t xml:space="preserve"> Please consider the rules relating to the timing for a tax deduction for bad debt expenses</t>
    </r>
  </si>
  <si>
    <t>Provision for Doubtful Debts</t>
  </si>
  <si>
    <t>Trade Debtors Balance</t>
  </si>
  <si>
    <t>Variance due to currency exchange differences</t>
  </si>
  <si>
    <t>90 +</t>
  </si>
  <si>
    <t>60 - 90</t>
  </si>
  <si>
    <t>30 - 60</t>
  </si>
  <si>
    <t>0 - 30</t>
  </si>
  <si>
    <t>91 +</t>
  </si>
  <si>
    <t>61 - 90</t>
  </si>
  <si>
    <t>31 - 60</t>
  </si>
  <si>
    <r>
      <t xml:space="preserve">(Calculated </t>
    </r>
    <r>
      <rPr>
        <sz val="10"/>
        <color rgb="FF333333"/>
        <rFont val="Webdings"/>
        <family val="1"/>
        <charset val="2"/>
      </rPr>
      <t>i</t>
    </r>
    <r>
      <rPr>
        <sz val="10"/>
        <color rgb="FF333333"/>
        <rFont val="Calibri"/>
        <family val="2"/>
      </rPr>
      <t>)</t>
    </r>
  </si>
  <si>
    <t>Ageing (Source Currency)</t>
  </si>
  <si>
    <t>Reconciliation Adjustment</t>
  </si>
  <si>
    <t>Foreign Currency Conversion Rate</t>
  </si>
  <si>
    <r>
      <t xml:space="preserve">Foreign Currency </t>
    </r>
    <r>
      <rPr>
        <sz val="10"/>
        <color rgb="FF333333"/>
        <rFont val="Webdings"/>
        <family val="1"/>
        <charset val="2"/>
      </rPr>
      <t>i</t>
    </r>
  </si>
  <si>
    <t>Schedule Ref.</t>
  </si>
  <si>
    <t>If a foreign currency code is shown, please input the applicable rate into the "Foreign Currency Conversion Rate" column.</t>
  </si>
  <si>
    <r>
      <rPr>
        <b/>
        <sz val="11"/>
        <color theme="0"/>
        <rFont val="Wingdings 3"/>
        <family val="1"/>
        <charset val="2"/>
      </rPr>
      <t>P</t>
    </r>
    <r>
      <rPr>
        <b/>
        <sz val="11"/>
        <color theme="0"/>
        <rFont val="Calibri"/>
        <family val="2"/>
        <scheme val="minor"/>
      </rPr>
      <t xml:space="preserve"> Refresh</t>
    </r>
    <r>
      <rPr>
        <b/>
        <sz val="11"/>
        <color theme="0"/>
        <rFont val="Calibri"/>
        <family val="1"/>
        <charset val="2"/>
        <scheme val="minor"/>
      </rPr>
      <t xml:space="preserve"> Data Feed</t>
    </r>
  </si>
  <si>
    <t>Reconciliation to Client's Trade Debtors Ledger</t>
  </si>
  <si>
    <r>
      <rPr>
        <b/>
        <sz val="10"/>
        <color theme="1" tint="0.499984740745262"/>
        <rFont val="Calibri"/>
        <family val="2"/>
      </rPr>
      <t xml:space="preserve">Note: </t>
    </r>
    <r>
      <rPr>
        <sz val="10"/>
        <color theme="1" tint="0.499984740745262"/>
        <rFont val="Calibri"/>
        <family val="2"/>
      </rPr>
      <t>VAT in column I has not been calculated.  Please overwrite formula to input VAT values in this column.</t>
    </r>
  </si>
  <si>
    <t>If connected to a Xero or QuickBooks Online file, the debtors listing section will automatically populate.</t>
  </si>
  <si>
    <r>
      <rPr>
        <b/>
        <sz val="11"/>
        <color rgb="FF27A9E1"/>
        <rFont val="Webdings"/>
        <family val="1"/>
        <charset val="2"/>
      </rPr>
      <t>i</t>
    </r>
    <r>
      <rPr>
        <b/>
        <sz val="11"/>
        <color rgb="FF27A9E1"/>
        <rFont val="Calibri"/>
        <family val="2"/>
      </rPr>
      <t xml:space="preserve"> Use this worksheet is to reconcile, adjust or analyse trade debtors, as well as calculate a provision for doubtful debts.</t>
    </r>
  </si>
  <si>
    <t>Trade Debtors</t>
  </si>
  <si>
    <t>Doubtful Debts</t>
  </si>
  <si>
    <t>5.24.4 - ALL</t>
  </si>
  <si>
    <t>84fd092c-15c7-42a0-8f57-708d9d2916cd</t>
  </si>
  <si>
    <t>F05 Trade Debtors</t>
  </si>
  <si>
    <t>AtRiskSensitivity</t>
  </si>
  <si>
    <t>DoubtfulDebts_SelectedMethod</t>
  </si>
  <si>
    <t>F05_GSTInDebtors</t>
  </si>
  <si>
    <t>F05_ProvDoubtfulDebts</t>
  </si>
  <si>
    <t>F05_TradeDebtors</t>
  </si>
  <si>
    <t>F05_TradeDebtors0to90Days</t>
  </si>
  <si>
    <t>Model_Creditors.Balances.Detail</t>
  </si>
  <si>
    <t>Model_Debtors.Balances.Balance</t>
  </si>
  <si>
    <t>Model_Debtors.Balances.Band30Days</t>
  </si>
  <si>
    <t>Model_Debtors.Balances.Band60Days</t>
  </si>
  <si>
    <t>Model_Debtors.Balances.Band90Days</t>
  </si>
  <si>
    <t>Model_Debtors.Balances.Band90PlusDays</t>
  </si>
  <si>
    <t>Model_Debtors.Balances.Detail</t>
  </si>
  <si>
    <t>Model_Debtors.Balances.ForeignCurrency</t>
  </si>
  <si>
    <t>Model_Debtors.Balances.ForeignCurrencyRate</t>
  </si>
  <si>
    <t>Model_Debtors.Balances.Reference</t>
  </si>
  <si>
    <t>1 Jul [YY] - 30 Jun [YY]</t>
  </si>
  <si>
    <t>Opening Balance</t>
  </si>
  <si>
    <t>Unfiled</t>
  </si>
  <si>
    <t>Filed</t>
  </si>
  <si>
    <t>Adjustments</t>
  </si>
  <si>
    <t>GST On Imports</t>
  </si>
  <si>
    <t>GST Paid</t>
  </si>
  <si>
    <t>GST Period</t>
  </si>
  <si>
    <t>GST Collected</t>
  </si>
  <si>
    <t>1 Ap [YY] - 30 Jun [YY]</t>
  </si>
  <si>
    <t>1 Jan [YY] - 31 Mar [YY]</t>
  </si>
  <si>
    <t>1 Oct [YY] - 31 Dec [YY]</t>
  </si>
  <si>
    <t>1 Jul [YY] - 30 Sep [YY]</t>
  </si>
  <si>
    <t>1 May [YY] - 31 May [YY]</t>
  </si>
  <si>
    <t>1 Apr [YY] - 30 Apr [YY]</t>
  </si>
  <si>
    <t>1 Feb [YY] - 28 Feb [YY]</t>
  </si>
  <si>
    <t>1 Jan [YY] - 31 Jan [YY]</t>
  </si>
  <si>
    <t>1 Nov [YY] - 30 Nov [YY]</t>
  </si>
  <si>
    <t>1 Oct [YY] - 31 Oct [YY]</t>
  </si>
  <si>
    <t>1 Aug [YY] - 31 Aug [YY}</t>
  </si>
  <si>
    <t>1 Jul [YY] - 31 Jul [YY]</t>
  </si>
  <si>
    <r>
      <rPr>
        <b/>
        <sz val="11"/>
        <color rgb="FF27A9E1"/>
        <rFont val="Webdings"/>
        <family val="1"/>
        <charset val="2"/>
      </rPr>
      <t>i</t>
    </r>
    <r>
      <rPr>
        <b/>
        <sz val="11"/>
        <color rgb="FF27A9E1"/>
        <rFont val="Calibri"/>
        <family val="2"/>
        <scheme val="minor"/>
      </rPr>
      <t xml:space="preserve"> Copy and paste the relevant excerpt from the GST Reconciliation report in Xero below to speed up data entry.</t>
    </r>
  </si>
  <si>
    <t>Quick Entry - Xero</t>
  </si>
  <si>
    <r>
      <t xml:space="preserve">} </t>
    </r>
    <r>
      <rPr>
        <b/>
        <sz val="11"/>
        <color rgb="FF27A9E1"/>
        <rFont val="Calibri"/>
        <family val="2"/>
        <scheme val="minor"/>
      </rPr>
      <t>J50</t>
    </r>
  </si>
  <si>
    <r>
      <rPr>
        <b/>
        <sz val="11"/>
        <color rgb="FF27A9E1"/>
        <rFont val="Webdings"/>
        <family val="1"/>
        <charset val="2"/>
      </rPr>
      <t>i</t>
    </r>
    <r>
      <rPr>
        <b/>
        <sz val="11"/>
        <color rgb="FF27A9E1"/>
        <rFont val="Calibri"/>
        <family val="2"/>
        <scheme val="minor"/>
      </rPr>
      <t xml:space="preserve"> Lodged BAS data will prepopulate from the 'J50 BAS Lodgements' worksheet and be displayed here.</t>
    </r>
  </si>
  <si>
    <t>Lodged BAS - GST Info</t>
  </si>
  <si>
    <t>Opening Balance per Ledger</t>
  </si>
  <si>
    <t>GST on Debtors/Creditors</t>
  </si>
  <si>
    <t>Unpaid GST</t>
  </si>
  <si>
    <t>Total GST Payable</t>
  </si>
  <si>
    <t>Confirm the opening balance of the GST account is accounted for. If this does not agree, you will need to make adjustments.</t>
  </si>
  <si>
    <t>3 - Confirm Opening Balances</t>
  </si>
  <si>
    <t>GST Recognised in Ledger</t>
  </si>
  <si>
    <t>Closing Balance</t>
  </si>
  <si>
    <t>GST on Closing Debtors/Creditors</t>
  </si>
  <si>
    <t>GST on Opening Debtors/Creditors</t>
  </si>
  <si>
    <t>GST from Adjustments</t>
  </si>
  <si>
    <t>Rounding Journals</t>
  </si>
  <si>
    <t>GST Per Reports</t>
  </si>
  <si>
    <t>If the following amounts do not reconcile, the GST recognised in the ledger differs to what the accounting system says are in the reports. It may be worth re-running the report totals to confirm they are still correct.</t>
  </si>
  <si>
    <t>2 - Confirm GST recognised in the Ledger agrees with the amounts in the GST Reports</t>
  </si>
  <si>
    <t>Add: GST Recognised</t>
  </si>
  <si>
    <t>This proves that the amount of GST in the reports, and the amount you have recorded as paid, explains ALL movements in the account.</t>
  </si>
  <si>
    <t>Demonstrate the closing balance of GST Payable by confirming you can reconcile every movement in the GST accounts.</t>
  </si>
  <si>
    <t>1 - Reconcile movements in GST Accounts</t>
  </si>
  <si>
    <t>Is your reconciliation not agreeing? All three of these steps should reconcile for your BAS Reconciliation to be valid.</t>
  </si>
  <si>
    <r>
      <rPr>
        <b/>
        <sz val="11"/>
        <color rgb="FF27A9E1"/>
        <rFont val="Webdings"/>
        <family val="1"/>
        <charset val="2"/>
      </rPr>
      <t>i</t>
    </r>
    <r>
      <rPr>
        <b/>
        <sz val="11"/>
        <color rgb="FF27A9E1"/>
        <rFont val="Calibri"/>
        <family val="2"/>
        <scheme val="minor"/>
      </rPr>
      <t xml:space="preserve"> Use this section to assist when reconciling GST Payable.</t>
    </r>
  </si>
  <si>
    <t>Troubleshooting</t>
  </si>
  <si>
    <t xml:space="preserve">Acceptable Sales Variance (%)   </t>
  </si>
  <si>
    <t>Total Sales Reported in G1</t>
  </si>
  <si>
    <r>
      <t xml:space="preserve">Total Sales </t>
    </r>
    <r>
      <rPr>
        <sz val="9"/>
        <color theme="0" tint="-0.499984740745262"/>
        <rFont val="Calibri"/>
        <family val="2"/>
      </rPr>
      <t>(including GST)</t>
    </r>
  </si>
  <si>
    <r>
      <t xml:space="preserve">Less: Exempted Sales </t>
    </r>
    <r>
      <rPr>
        <sz val="9"/>
        <color theme="0" tint="-0.499984740745262"/>
        <rFont val="Calibri"/>
        <family val="2"/>
        <scheme val="minor"/>
      </rPr>
      <t>(enter as negative)</t>
    </r>
  </si>
  <si>
    <t>Movement in Debtors</t>
  </si>
  <si>
    <t xml:space="preserve">GST-free Sales per Ledger   </t>
  </si>
  <si>
    <t>Total Net Sales per Ledger</t>
  </si>
  <si>
    <t>Reported Sales Reconciliation</t>
  </si>
  <si>
    <t>If the variance is within an acceptable range, enter a percentage in column J.</t>
  </si>
  <si>
    <r>
      <t xml:space="preserve">Enter the total sales amount by using the </t>
    </r>
    <r>
      <rPr>
        <b/>
        <sz val="10"/>
        <color theme="0" tint="-0.499984740745262"/>
        <rFont val="Calibri"/>
        <family val="2"/>
      </rPr>
      <t>Copy Ledger Formula</t>
    </r>
    <r>
      <rPr>
        <sz val="10"/>
        <color theme="0" tint="-0.499984740745262"/>
        <rFont val="Calibri"/>
        <family val="2"/>
      </rPr>
      <t xml:space="preserve"> function to paste below.</t>
    </r>
  </si>
  <si>
    <r>
      <rPr>
        <b/>
        <sz val="11"/>
        <color rgb="FF27A9E1"/>
        <rFont val="Webdings"/>
        <family val="1"/>
        <charset val="2"/>
      </rPr>
      <t>i</t>
    </r>
    <r>
      <rPr>
        <b/>
        <sz val="11"/>
        <color rgb="FF27A9E1"/>
        <rFont val="Calibri"/>
        <family val="2"/>
      </rPr>
      <t xml:space="preserve"> Identify variances between sales in the ledger and those lodged with the ATO.</t>
    </r>
  </si>
  <si>
    <t>Sales Sensibility Check</t>
  </si>
  <si>
    <r>
      <t>Variances</t>
    </r>
    <r>
      <rPr>
        <i/>
        <sz val="10"/>
        <color theme="1"/>
        <rFont val="Calibri"/>
        <family val="2"/>
        <scheme val="minor"/>
      </rPr>
      <t xml:space="preserve"> </t>
    </r>
    <r>
      <rPr>
        <sz val="9"/>
        <color theme="0" tint="-0.499984740745262"/>
        <rFont val="Calibri"/>
        <family val="2"/>
        <scheme val="minor"/>
      </rPr>
      <t>(refer to Step 1)</t>
    </r>
  </si>
  <si>
    <t>Unpaid Deferred GST Amount</t>
  </si>
  <si>
    <t>Net
 GST Payable</t>
  </si>
  <si>
    <r>
      <t xml:space="preserve">The </t>
    </r>
    <r>
      <rPr>
        <b/>
        <sz val="10"/>
        <color theme="0" tint="-0.499984740745262"/>
        <rFont val="Calibri"/>
        <family val="2"/>
      </rPr>
      <t>Net GST Payable - Balance per Ledger</t>
    </r>
    <r>
      <rPr>
        <sz val="10"/>
        <color theme="0" tint="-0.499984740745262"/>
        <rFont val="Calibri"/>
        <family val="2"/>
      </rPr>
      <t xml:space="preserve"> cell will prepopulate. If multiple GST accounts exist, manually enter the separate </t>
    </r>
    <r>
      <rPr>
        <b/>
        <sz val="10"/>
        <color theme="0" tint="-0.499984740745262"/>
        <rFont val="Calibri"/>
        <family val="2"/>
      </rPr>
      <t>Balance per Ledger</t>
    </r>
    <r>
      <rPr>
        <sz val="10"/>
        <color theme="0" tint="-0.499984740745262"/>
        <rFont val="Calibri"/>
        <family val="2"/>
      </rPr>
      <t xml:space="preserve"> amounts by using the </t>
    </r>
    <r>
      <rPr>
        <b/>
        <sz val="10"/>
        <color theme="0" tint="-0.499984740745262"/>
        <rFont val="Calibri"/>
        <family val="2"/>
      </rPr>
      <t>Copy Ledger Formula</t>
    </r>
    <r>
      <rPr>
        <sz val="10"/>
        <color theme="0" tint="-0.499984740745262"/>
        <rFont val="Calibri"/>
        <family val="2"/>
      </rPr>
      <t xml:space="preserve"> function to paste in columns G and H.
To link the Sales and Purchases balances to the Index manually add separate </t>
    </r>
    <r>
      <rPr>
        <b/>
        <sz val="10"/>
        <color theme="0" tint="-0.499984740745262"/>
        <rFont val="Calibri"/>
        <family val="2"/>
      </rPr>
      <t>Reconciliation Fields</t>
    </r>
    <r>
      <rPr>
        <sz val="10"/>
        <color theme="0" tint="-0.499984740745262"/>
        <rFont val="Calibri"/>
        <family val="2"/>
      </rPr>
      <t xml:space="preserve"> on the two </t>
    </r>
    <r>
      <rPr>
        <b/>
        <sz val="10"/>
        <color theme="0" tint="-0.499984740745262"/>
        <rFont val="Calibri"/>
        <family val="2"/>
      </rPr>
      <t>Closing Balances</t>
    </r>
    <r>
      <rPr>
        <sz val="10"/>
        <color theme="0" tint="-0.499984740745262"/>
        <rFont val="Calibri"/>
        <family val="2"/>
      </rPr>
      <t>.</t>
    </r>
  </si>
  <si>
    <t>Pending Lodgements</t>
  </si>
  <si>
    <t>Deferred GST Imports Amounts</t>
  </si>
  <si>
    <t>Financial Year BAS</t>
  </si>
  <si>
    <t>Enter BAS Period...</t>
  </si>
  <si>
    <t>Previous BAS</t>
  </si>
  <si>
    <r>
      <t xml:space="preserve">Paid/Cleared During Period </t>
    </r>
    <r>
      <rPr>
        <b/>
        <sz val="10"/>
        <color rgb="FFFF0000"/>
        <rFont val="Calibri"/>
        <family val="2"/>
        <scheme val="minor"/>
      </rPr>
      <t>*</t>
    </r>
  </si>
  <si>
    <t>GST on Purchases (1B)</t>
  </si>
  <si>
    <t>GST on Sales (1A)</t>
  </si>
  <si>
    <r>
      <t>Enter known adjustments in the bottom section. If the account is not reconciling use our troubleshooting steps (</t>
    </r>
    <r>
      <rPr>
        <u/>
        <sz val="10"/>
        <color theme="0" tint="-0.499984740745262"/>
        <rFont val="Calibri"/>
        <family val="2"/>
        <scheme val="minor"/>
      </rPr>
      <t>click here</t>
    </r>
    <r>
      <rPr>
        <sz val="10"/>
        <color theme="0" tint="-0.499984740745262"/>
        <rFont val="Calibri"/>
        <family val="2"/>
        <scheme val="minor"/>
      </rPr>
      <t>).</t>
    </r>
  </si>
  <si>
    <t>Check the amounts paid or cleared in columns H and L.</t>
  </si>
  <si>
    <r>
      <rPr>
        <b/>
        <sz val="10"/>
        <color theme="0" tint="-0.499984740745262"/>
        <rFont val="Calibri"/>
        <family val="2"/>
        <scheme val="minor"/>
      </rPr>
      <t>Lodged</t>
    </r>
    <r>
      <rPr>
        <sz val="10"/>
        <color theme="0" tint="-0.499984740745262"/>
        <rFont val="Calibri"/>
        <family val="2"/>
        <scheme val="minor"/>
      </rPr>
      <t xml:space="preserve"> data (columns G and K) prepopulate from the </t>
    </r>
    <r>
      <rPr>
        <b/>
        <sz val="10"/>
        <color theme="0" tint="-0.499984740745262"/>
        <rFont val="Calibri"/>
        <family val="2"/>
        <scheme val="minor"/>
      </rPr>
      <t>J50 BAS Lodgements</t>
    </r>
    <r>
      <rPr>
        <sz val="10"/>
        <color theme="0" tint="-0.499984740745262"/>
        <rFont val="Calibri"/>
        <family val="2"/>
        <scheme val="minor"/>
      </rPr>
      <t xml:space="preserve"> worksheet.</t>
    </r>
  </si>
  <si>
    <r>
      <rPr>
        <b/>
        <sz val="11"/>
        <color rgb="FF27A9E1"/>
        <rFont val="Webdings"/>
        <family val="1"/>
        <charset val="2"/>
      </rPr>
      <t>i</t>
    </r>
    <r>
      <rPr>
        <b/>
        <sz val="11"/>
        <color rgb="FF27A9E1"/>
        <rFont val="Calibri"/>
        <family val="2"/>
        <scheme val="minor"/>
      </rPr>
      <t xml:space="preserve"> Reconcile GST accounts with the amounts lodged with the ATO.</t>
    </r>
  </si>
  <si>
    <r>
      <t xml:space="preserve">Step 2 - Reconcile GST Payable </t>
    </r>
    <r>
      <rPr>
        <b/>
        <sz val="11"/>
        <color rgb="FFC00000"/>
        <rFont val="Calibri"/>
        <family val="2"/>
        <scheme val="minor"/>
      </rPr>
      <t>*</t>
    </r>
  </si>
  <si>
    <r>
      <rPr>
        <b/>
        <sz val="11"/>
        <color rgb="FF27A9E1"/>
        <rFont val="Webdings"/>
        <family val="1"/>
        <charset val="2"/>
      </rPr>
      <t>i</t>
    </r>
    <r>
      <rPr>
        <b/>
        <sz val="11"/>
        <color rgb="FF27A9E1"/>
        <rFont val="Calibri"/>
        <family val="2"/>
        <scheme val="minor"/>
      </rPr>
      <t xml:space="preserve"> Future change to BAS required</t>
    </r>
  </si>
  <si>
    <t>Combined Variance</t>
  </si>
  <si>
    <t>Pending lodgements…</t>
  </si>
  <si>
    <t>BAS Listing</t>
  </si>
  <si>
    <t>C/F Variances from Prior Periods</t>
  </si>
  <si>
    <t>Rounding</t>
  </si>
  <si>
    <t>Per Accounting System</t>
  </si>
  <si>
    <t>Notes/hyperlinks</t>
  </si>
  <si>
    <r>
      <t xml:space="preserve">Enter values into columns H and M. If using Xero, </t>
    </r>
    <r>
      <rPr>
        <u/>
        <sz val="10"/>
        <color theme="0" tint="-0.499984740745262"/>
        <rFont val="Calibri"/>
        <family val="2"/>
        <scheme val="minor"/>
      </rPr>
      <t>click here</t>
    </r>
    <r>
      <rPr>
        <sz val="10"/>
        <color theme="0" tint="-0.499984740745262"/>
        <rFont val="Calibri"/>
        <family val="2"/>
        <scheme val="minor"/>
      </rPr>
      <t xml:space="preserve"> to automate this by using the </t>
    </r>
    <r>
      <rPr>
        <b/>
        <sz val="10"/>
        <color theme="0" tint="-0.499984740745262"/>
        <rFont val="Calibri"/>
        <family val="2"/>
        <scheme val="minor"/>
      </rPr>
      <t>Quick Entry - Xero</t>
    </r>
    <r>
      <rPr>
        <sz val="10"/>
        <color theme="0" tint="-0.499984740745262"/>
        <rFont val="Calibri"/>
        <family val="2"/>
        <scheme val="minor"/>
      </rPr>
      <t xml:space="preserve"> section.</t>
    </r>
  </si>
  <si>
    <r>
      <rPr>
        <b/>
        <sz val="10"/>
        <color theme="0" tint="-0.499984740745262"/>
        <rFont val="Calibri"/>
        <family val="2"/>
        <scheme val="minor"/>
      </rPr>
      <t>Lodged</t>
    </r>
    <r>
      <rPr>
        <sz val="10"/>
        <color theme="0" tint="-0.499984740745262"/>
        <rFont val="Calibri"/>
        <family val="2"/>
        <scheme val="minor"/>
      </rPr>
      <t xml:space="preserve"> data (columns G and L) prepopulates from </t>
    </r>
    <r>
      <rPr>
        <b/>
        <sz val="10"/>
        <color theme="0" tint="-0.499984740745262"/>
        <rFont val="Calibri"/>
        <family val="2"/>
        <scheme val="minor"/>
      </rPr>
      <t>J50 BAS Lodgements</t>
    </r>
    <r>
      <rPr>
        <sz val="10"/>
        <color theme="0" tint="-0.499984740745262"/>
        <rFont val="Calibri"/>
        <family val="2"/>
        <scheme val="minor"/>
      </rPr>
      <t>.</t>
    </r>
  </si>
  <si>
    <r>
      <rPr>
        <b/>
        <sz val="11"/>
        <color rgb="FF27A9E1"/>
        <rFont val="Webdings"/>
        <family val="1"/>
        <charset val="2"/>
      </rPr>
      <t>i</t>
    </r>
    <r>
      <rPr>
        <b/>
        <sz val="11"/>
        <color rgb="FF27A9E1"/>
        <rFont val="Calibri"/>
        <family val="2"/>
        <scheme val="minor"/>
      </rPr>
      <t xml:space="preserve"> Identify variances between GST recorded in the ledger and GST lodged in the BAS.</t>
    </r>
  </si>
  <si>
    <r>
      <t xml:space="preserve">Step 1 - Reconcile GST Lodgements </t>
    </r>
    <r>
      <rPr>
        <b/>
        <sz val="11"/>
        <color rgb="FFC00000"/>
        <rFont val="Calibri"/>
        <family val="2"/>
        <scheme val="minor"/>
      </rPr>
      <t>*</t>
    </r>
  </si>
  <si>
    <t xml:space="preserve">Reporting Frequency   </t>
  </si>
  <si>
    <t xml:space="preserve">GST Accounting Basis   </t>
  </si>
  <si>
    <t xml:space="preserve">Tax Year End   </t>
  </si>
  <si>
    <r>
      <t xml:space="preserve">Lodged BAS data will prepopulate from the </t>
    </r>
    <r>
      <rPr>
        <b/>
        <sz val="10"/>
        <color theme="0" tint="-0.499984740745262"/>
        <rFont val="Calibri"/>
        <family val="2"/>
        <scheme val="minor"/>
      </rPr>
      <t>J50 BAS Lodgements</t>
    </r>
    <r>
      <rPr>
        <sz val="10"/>
        <color theme="0" tint="-0.499984740745262"/>
        <rFont val="Calibri"/>
        <family val="2"/>
        <scheme val="minor"/>
      </rPr>
      <t xml:space="preserve"> template. Insert this template before continuing.</t>
    </r>
  </si>
  <si>
    <r>
      <t>Step 2 - Reconcile the amount of GST Payable (</t>
    </r>
    <r>
      <rPr>
        <b/>
        <u/>
        <sz val="10"/>
        <color theme="0" tint="-0.499984740745262"/>
        <rFont val="Calibri"/>
        <family val="2"/>
        <scheme val="minor"/>
      </rPr>
      <t>click here</t>
    </r>
    <r>
      <rPr>
        <b/>
        <sz val="10"/>
        <color theme="0" tint="-0.499984740745262"/>
        <rFont val="Calibri"/>
        <family val="2"/>
        <scheme val="minor"/>
      </rPr>
      <t xml:space="preserve">) </t>
    </r>
    <r>
      <rPr>
        <b/>
        <sz val="10"/>
        <color rgb="FFC00000"/>
        <rFont val="Calibri"/>
        <family val="2"/>
        <scheme val="minor"/>
      </rPr>
      <t>*</t>
    </r>
  </si>
  <si>
    <r>
      <t>Step 1 - Reconcile GST between the ledger and the ATO (</t>
    </r>
    <r>
      <rPr>
        <b/>
        <u/>
        <sz val="10"/>
        <color theme="0" tint="-0.499984740745262"/>
        <rFont val="Calibri"/>
        <family val="2"/>
        <scheme val="minor"/>
      </rPr>
      <t>click here</t>
    </r>
    <r>
      <rPr>
        <b/>
        <sz val="10"/>
        <color theme="0" tint="-0.499984740745262"/>
        <rFont val="Calibri"/>
        <family val="2"/>
        <scheme val="minor"/>
      </rPr>
      <t xml:space="preserve">) </t>
    </r>
    <r>
      <rPr>
        <b/>
        <sz val="10"/>
        <color rgb="FFC00000"/>
        <rFont val="Calibri"/>
        <family val="2"/>
        <scheme val="minor"/>
      </rPr>
      <t>*</t>
    </r>
  </si>
  <si>
    <r>
      <rPr>
        <b/>
        <sz val="11"/>
        <color rgb="FF27A9E1"/>
        <rFont val="Webdings"/>
        <family val="1"/>
        <charset val="2"/>
      </rPr>
      <t>i</t>
    </r>
    <r>
      <rPr>
        <b/>
        <sz val="11"/>
        <color rgb="FF27A9E1"/>
        <rFont val="Calibri"/>
        <family val="2"/>
        <scheme val="minor"/>
      </rPr>
      <t xml:space="preserve"> The purpose of this sheet is to do the following two reconciliations:</t>
    </r>
  </si>
  <si>
    <t xml:space="preserve">GST Reconciliation   </t>
  </si>
  <si>
    <t>5.24.1</t>
  </si>
  <si>
    <t>820 GST</t>
  </si>
  <si>
    <t>J51 GST Rec</t>
  </si>
  <si>
    <t>GST_TotalSales</t>
  </si>
  <si>
    <t>Creditor</t>
  </si>
  <si>
    <t>Actual Creditor</t>
  </si>
  <si>
    <t xml:space="preserve">Exclude "All Other Creditors"   </t>
  </si>
  <si>
    <t>Trade Creditor Graphs</t>
  </si>
  <si>
    <t>Cost of sales</t>
  </si>
  <si>
    <t>Trade Creditors Analysis</t>
  </si>
  <si>
    <t>Trade Creditors Balance</t>
  </si>
  <si>
    <t>Ageing (Source)</t>
  </si>
  <si>
    <r>
      <rPr>
        <b/>
        <sz val="11"/>
        <color theme="0"/>
        <rFont val="Wingdings 3"/>
        <family val="1"/>
        <charset val="2"/>
      </rPr>
      <t>P</t>
    </r>
    <r>
      <rPr>
        <b/>
        <sz val="11"/>
        <color theme="0"/>
        <rFont val="Calibri"/>
        <family val="2"/>
        <scheme val="minor"/>
      </rPr>
      <t xml:space="preserve"> Refresh Data Feed</t>
    </r>
  </si>
  <si>
    <t>Reconciliation to Client's Trade Creditor Ledger</t>
  </si>
  <si>
    <r>
      <rPr>
        <b/>
        <sz val="10"/>
        <color theme="1" tint="0.499984740745262"/>
        <rFont val="Calibri"/>
        <family val="2"/>
      </rPr>
      <t xml:space="preserve">Note: </t>
    </r>
    <r>
      <rPr>
        <sz val="10"/>
        <color theme="1" tint="0.499984740745262"/>
        <rFont val="Calibri"/>
        <family val="2"/>
      </rPr>
      <t xml:space="preserve">VAT in </t>
    </r>
    <r>
      <rPr>
        <b/>
        <sz val="10"/>
        <color theme="1" tint="0.499984740745262"/>
        <rFont val="Calibri"/>
        <family val="2"/>
      </rPr>
      <t>column I</t>
    </r>
    <r>
      <rPr>
        <sz val="10"/>
        <color theme="1" tint="0.499984740745262"/>
        <rFont val="Calibri"/>
        <family val="2"/>
      </rPr>
      <t xml:space="preserve"> has not been calculated.  Please overwrite formula to input VAT values in this column.</t>
    </r>
  </si>
  <si>
    <t>If connected to a Xero or Quickbooks Online file, the creditors listing section will automatically populate.</t>
  </si>
  <si>
    <r>
      <rPr>
        <b/>
        <sz val="11"/>
        <color rgb="FF27A9E1"/>
        <rFont val="Webdings"/>
        <family val="1"/>
        <charset val="2"/>
      </rPr>
      <t>i</t>
    </r>
    <r>
      <rPr>
        <b/>
        <sz val="11"/>
        <color rgb="FF27A9E1"/>
        <rFont val="Calibri"/>
        <family val="2"/>
      </rPr>
      <t xml:space="preserve"> Use this worksheet is to reconcile, adjust or analyse trade creditors.</t>
    </r>
  </si>
  <si>
    <t>Trade Creditors</t>
  </si>
  <si>
    <t>abf281d3-da01-45ed-862d-6cbe17019916</t>
  </si>
  <si>
    <t>850 Suspense</t>
  </si>
  <si>
    <t>H05 Trade Creditors</t>
  </si>
  <si>
    <t>H05_GSTInCreditors</t>
  </si>
  <si>
    <t>H05_TradeCreditors</t>
  </si>
  <si>
    <t>Model_Creditors.Balances.Balance</t>
  </si>
  <si>
    <t>Model_Creditors.Balances.Band30Days</t>
  </si>
  <si>
    <t>Model_Creditors.Balances.Band60Days</t>
  </si>
  <si>
    <t>Model_Creditors.Balances.Band90Days</t>
  </si>
  <si>
    <t>Model_Creditors.Balances.Band90PlusDays</t>
  </si>
  <si>
    <t>Model_Creditors.Balances.ForeignCurrency</t>
  </si>
  <si>
    <t>Model_Creditors.Balances.ForeignCurrencyRate</t>
  </si>
  <si>
    <t>Model_Creditors.Balances.Reference</t>
  </si>
  <si>
    <t>Z_F06FA0EF_5DFC_4395_A5DD_F477E9A4FEF3_.wvu.Rows</t>
  </si>
  <si>
    <t>Balance per Payroll Reports</t>
  </si>
  <si>
    <t>Total per Individual Accounts</t>
  </si>
  <si>
    <t xml:space="preserve">  </t>
  </si>
  <si>
    <t>Reconcile Multiple Accounts</t>
  </si>
  <si>
    <t>Total Deductible Superannuation</t>
  </si>
  <si>
    <r>
      <t xml:space="preserve">Less: SGC </t>
    </r>
    <r>
      <rPr>
        <sz val="9"/>
        <color theme="0" tint="-0.499984740745262"/>
        <rFont val="Calibri"/>
        <family val="2"/>
      </rPr>
      <t>(late payments)</t>
    </r>
  </si>
  <si>
    <t>Less: Closing Super Balance</t>
  </si>
  <si>
    <t>Add: Opening Super Balance</t>
  </si>
  <si>
    <t>Tax Adjustments</t>
  </si>
  <si>
    <t>Superannuation Expense</t>
  </si>
  <si>
    <r>
      <t xml:space="preserve">The below values will be exported into </t>
    </r>
    <r>
      <rPr>
        <b/>
        <sz val="10"/>
        <color theme="1" tint="0.499984740745262"/>
        <rFont val="Calibri"/>
        <family val="2"/>
        <scheme val="minor"/>
      </rPr>
      <t>C20 Tax Reconciliation</t>
    </r>
    <r>
      <rPr>
        <sz val="10"/>
        <color theme="1" tint="0.499984740745262"/>
        <rFont val="Calibri"/>
        <family val="2"/>
        <scheme val="minor"/>
      </rPr>
      <t xml:space="preserve"> worksheet.</t>
    </r>
  </si>
  <si>
    <t>Income Tax Summary</t>
  </si>
  <si>
    <t>SGC Rates</t>
  </si>
  <si>
    <t>Acceptable Superannuation Variance ($)</t>
  </si>
  <si>
    <t>Less: Salary Sacrificed Amounts</t>
  </si>
  <si>
    <t>Total Superannuation</t>
  </si>
  <si>
    <t>SGC Superannuation</t>
  </si>
  <si>
    <t>Expected Super</t>
  </si>
  <si>
    <t>Superannuation Guarantee Rate</t>
  </si>
  <si>
    <t>Salary Sacrifice Superannuation</t>
  </si>
  <si>
    <t>Wages not subject to Superannuation</t>
  </si>
  <si>
    <t>Gross Wages</t>
  </si>
  <si>
    <r>
      <rPr>
        <b/>
        <sz val="11"/>
        <color rgb="FF27A9E1"/>
        <rFont val="Webdings"/>
        <family val="1"/>
        <charset val="2"/>
      </rPr>
      <t>i</t>
    </r>
    <r>
      <rPr>
        <b/>
        <sz val="11"/>
        <color rgb="FF27A9E1"/>
        <rFont val="Calibri"/>
        <family val="2"/>
        <scheme val="minor"/>
      </rPr>
      <t xml:space="preserve"> Compare the super balances with the total wages expense,</t>
    </r>
    <r>
      <rPr>
        <b/>
        <sz val="11"/>
        <color rgb="FF27A9E1"/>
        <rFont val="Calibri"/>
        <family val="1"/>
        <charset val="2"/>
        <scheme val="minor"/>
      </rPr>
      <t xml:space="preserve"> multiplied by SGC, to prove the reasonableness of the superannuation expense.</t>
    </r>
  </si>
  <si>
    <t>Sensibility Check</t>
  </si>
  <si>
    <t>Global State</t>
  </si>
  <si>
    <t>Less: Payments</t>
  </si>
  <si>
    <t>Add: Super</t>
  </si>
  <si>
    <t>Superannuation Payable Summary</t>
  </si>
  <si>
    <r>
      <rPr>
        <sz val="10"/>
        <color theme="0"/>
        <rFont val="Webdings"/>
        <family val="1"/>
        <charset val="2"/>
      </rPr>
      <t>i</t>
    </r>
    <r>
      <rPr>
        <sz val="10"/>
        <color theme="0"/>
        <rFont val="Calibri"/>
        <family val="2"/>
        <scheme val="minor"/>
      </rPr>
      <t xml:space="preserve"> There are potential late super payments. Please refer to the </t>
    </r>
    <r>
      <rPr>
        <u/>
        <sz val="10"/>
        <color theme="0"/>
        <rFont val="Calibri"/>
        <family val="2"/>
        <scheme val="minor"/>
      </rPr>
      <t>Superannuation Guarantee Charge</t>
    </r>
    <r>
      <rPr>
        <sz val="10"/>
        <color theme="0"/>
        <rFont val="Calibri"/>
        <family val="2"/>
        <scheme val="minor"/>
      </rPr>
      <t xml:space="preserve"> calculator provided by the ATO</t>
    </r>
    <r>
      <rPr>
        <sz val="10"/>
        <color theme="0"/>
        <rFont val="Calibri"/>
        <family val="1"/>
        <charset val="2"/>
        <scheme val="minor"/>
      </rPr>
      <t>.</t>
    </r>
  </si>
  <si>
    <t>Total Superannuation per Payroll Reports</t>
  </si>
  <si>
    <t>June Qtr</t>
  </si>
  <si>
    <t>March Qtr</t>
  </si>
  <si>
    <t>December Qtr</t>
  </si>
  <si>
    <t>September Qtr</t>
  </si>
  <si>
    <t>Outstanding from prior year</t>
  </si>
  <si>
    <t>Paid Date</t>
  </si>
  <si>
    <t>Paid Amount</t>
  </si>
  <si>
    <t>Adjustment</t>
  </si>
  <si>
    <t>Payroll</t>
  </si>
  <si>
    <t>Superannuation Payable</t>
  </si>
  <si>
    <t>Superannuation</t>
  </si>
  <si>
    <r>
      <t xml:space="preserve">Use the </t>
    </r>
    <r>
      <rPr>
        <b/>
        <sz val="10"/>
        <color theme="1" tint="0.499984740745262"/>
        <rFont val="Calibri"/>
        <family val="2"/>
        <scheme val="minor"/>
      </rPr>
      <t>Adjustments</t>
    </r>
    <r>
      <rPr>
        <sz val="10"/>
        <color theme="1" tint="0.499984740745262"/>
        <rFont val="Calibri"/>
        <family val="2"/>
        <scheme val="minor"/>
      </rPr>
      <t xml:space="preserve"> column for Salary Sacrifice Payments</t>
    </r>
  </si>
  <si>
    <t xml:space="preserve">For Xero connections, the payroll column information will be prefilled. </t>
  </si>
  <si>
    <r>
      <rPr>
        <b/>
        <sz val="11"/>
        <color rgb="FF27A9E1"/>
        <rFont val="Webdings"/>
        <family val="1"/>
        <charset val="2"/>
      </rPr>
      <t>i</t>
    </r>
    <r>
      <rPr>
        <b/>
        <sz val="11"/>
        <color rgb="FF27A9E1"/>
        <rFont val="Calibri"/>
        <family val="2"/>
        <scheme val="minor"/>
      </rPr>
      <t xml:space="preserve"> This section compares the results from the payroll system with those lodged with the ATO</t>
    </r>
  </si>
  <si>
    <r>
      <t xml:space="preserve">If the Profit and Loss contains multiple Super Expense accounts, use the </t>
    </r>
    <r>
      <rPr>
        <b/>
        <sz val="10"/>
        <color theme="1" tint="0.499984740745262"/>
        <rFont val="Calibri"/>
        <family val="2"/>
        <scheme val="minor"/>
      </rPr>
      <t>Reconcile Multiple Accounts</t>
    </r>
    <r>
      <rPr>
        <sz val="10"/>
        <color theme="1" tint="0.499984740745262"/>
        <rFont val="Calibri"/>
        <family val="2"/>
        <scheme val="minor"/>
      </rPr>
      <t xml:space="preserve"> section to confirm the overall balance.</t>
    </r>
  </si>
  <si>
    <r>
      <t xml:space="preserve">Data from the </t>
    </r>
    <r>
      <rPr>
        <b/>
        <sz val="10"/>
        <color theme="1" tint="0.499984740745262"/>
        <rFont val="Calibri"/>
        <family val="2"/>
        <scheme val="minor"/>
      </rPr>
      <t>N80 Wages</t>
    </r>
    <r>
      <rPr>
        <sz val="10"/>
        <color theme="1" tint="0.499984740745262"/>
        <rFont val="Calibri"/>
        <family val="2"/>
        <scheme val="minor"/>
      </rPr>
      <t xml:space="preserve"> worksheet will prefill into the </t>
    </r>
    <r>
      <rPr>
        <b/>
        <sz val="10"/>
        <color theme="1" tint="0.499984740745262"/>
        <rFont val="Calibri"/>
        <family val="2"/>
        <scheme val="minor"/>
      </rPr>
      <t>Sensibility Check</t>
    </r>
    <r>
      <rPr>
        <sz val="10"/>
        <color theme="1" tint="0.499984740745262"/>
        <rFont val="Calibri"/>
        <family val="2"/>
        <scheme val="minor"/>
      </rPr>
      <t xml:space="preserve"> section.</t>
    </r>
  </si>
  <si>
    <r>
      <rPr>
        <b/>
        <sz val="11"/>
        <color rgb="FF27A9E1"/>
        <rFont val="Webdings"/>
        <family val="1"/>
        <charset val="2"/>
      </rPr>
      <t>i</t>
    </r>
    <r>
      <rPr>
        <b/>
        <sz val="11"/>
        <color rgb="FF27A9E1"/>
        <rFont val="Calibri"/>
        <family val="2"/>
        <scheme val="minor"/>
      </rPr>
      <t xml:space="preserve"> The purpose of this worksheet is to reconcile the superannuation expense and superannuation payable accounts.</t>
    </r>
  </si>
  <si>
    <t>Super Payable</t>
  </si>
  <si>
    <t>Super Expense</t>
  </si>
  <si>
    <t>5.24.2</t>
  </si>
  <si>
    <t>N75 Super</t>
  </si>
  <si>
    <t>Model1_Wages.Super</t>
  </si>
  <si>
    <t>Model10_Wages.Super</t>
  </si>
  <si>
    <t>Model11_Wages.Super</t>
  </si>
  <si>
    <t>Model12_Wages.Super</t>
  </si>
  <si>
    <t>Model2_Wages.Super</t>
  </si>
  <si>
    <t>Model3_Wages.Super</t>
  </si>
  <si>
    <t>Model4_Wages.Super</t>
  </si>
  <si>
    <t>Model5_Wages.Super</t>
  </si>
  <si>
    <t>Model6_Wages.Super</t>
  </si>
  <si>
    <t>Model7_Wages.Super</t>
  </si>
  <si>
    <t>Model8_Wages.Super</t>
  </si>
  <si>
    <t>Model9_Wages.Super</t>
  </si>
  <si>
    <t>N75_ClosingSuperPayable</t>
  </si>
  <si>
    <t>N75_DeductibleSuperExpense</t>
  </si>
  <si>
    <t>N75_NonDeductibleSGC</t>
  </si>
  <si>
    <t>N75_OpeningSuperPayable</t>
  </si>
  <si>
    <t>N75_SuperExpense</t>
  </si>
  <si>
    <t>N75_SuperPaid</t>
  </si>
  <si>
    <t>VIC</t>
  </si>
  <si>
    <t>WA</t>
  </si>
  <si>
    <t>TAS</t>
  </si>
  <si>
    <t>SA</t>
  </si>
  <si>
    <t>QLD</t>
  </si>
  <si>
    <t>NT</t>
  </si>
  <si>
    <t>NSW</t>
  </si>
  <si>
    <t>ACT</t>
  </si>
  <si>
    <t>Indexation factors for valuing non-remote housing</t>
  </si>
  <si>
    <t>Additional adult</t>
  </si>
  <si>
    <t>Additional child</t>
  </si>
  <si>
    <t>4 adults</t>
  </si>
  <si>
    <t>3 adults and 2 children</t>
  </si>
  <si>
    <t>3 adults and 1 child</t>
  </si>
  <si>
    <t>2 adults and 3 children</t>
  </si>
  <si>
    <t>2 adults and 2 children</t>
  </si>
  <si>
    <t>2 adults and 1 child</t>
  </si>
  <si>
    <t>1 adult and 1 child</t>
  </si>
  <si>
    <t>3 adults</t>
  </si>
  <si>
    <t>2 adults</t>
  </si>
  <si>
    <t>1 adult</t>
  </si>
  <si>
    <t>Reasonable food component of living away from home allowance for expatriate employees in Australia (per week)</t>
  </si>
  <si>
    <t>Living away from home allowance</t>
  </si>
  <si>
    <t>Carparking</t>
  </si>
  <si>
    <t>Motorcycles</t>
  </si>
  <si>
    <t>&gt;2500cc</t>
  </si>
  <si>
    <t xml:space="preserve">Over </t>
  </si>
  <si>
    <t>Engine capacity</t>
  </si>
  <si>
    <t>&lt;2500cc</t>
  </si>
  <si>
    <t xml:space="preserve">- </t>
  </si>
  <si>
    <t>Other than car - rates per km</t>
  </si>
  <si>
    <t>Car purchased before</t>
  </si>
  <si>
    <t>and</t>
  </si>
  <si>
    <t>Car purchased between</t>
  </si>
  <si>
    <t>Car purchased after</t>
  </si>
  <si>
    <t>Deemed depreciation</t>
  </si>
  <si>
    <t>-</t>
  </si>
  <si>
    <t>Kms</t>
  </si>
  <si>
    <t>Statutory percentage - new rates</t>
  </si>
  <si>
    <t>Statutory percentage - old rates</t>
  </si>
  <si>
    <t>Car limit</t>
  </si>
  <si>
    <t>Cents per kilometre</t>
  </si>
  <si>
    <t xml:space="preserve">Motor vehicle </t>
  </si>
  <si>
    <t>Grossed-up value</t>
  </si>
  <si>
    <t>Taxable value exceeds</t>
  </si>
  <si>
    <t>Reportable fringe benefits for reporting on payment summaries threshold</t>
  </si>
  <si>
    <t>Record keeping exemption</t>
  </si>
  <si>
    <t>Other FBT Rates</t>
  </si>
  <si>
    <t>Type 2 benefit</t>
  </si>
  <si>
    <t>Type 1 benefit</t>
  </si>
  <si>
    <t>Gross-up rates</t>
  </si>
  <si>
    <t>FBT rebate</t>
  </si>
  <si>
    <t>Benchmark interest rate</t>
  </si>
  <si>
    <t>Fringe benefits tax rate</t>
  </si>
  <si>
    <t xml:space="preserve">FBT </t>
  </si>
  <si>
    <t>Fringe Benefits Tax</t>
  </si>
  <si>
    <t>Superannuation guarantee charge percentage</t>
  </si>
  <si>
    <t>Quarterly maximum converted to annualised amount</t>
  </si>
  <si>
    <t xml:space="preserve">Superannuation guarantee rates &amp; thresholds </t>
  </si>
  <si>
    <t>All ages</t>
  </si>
  <si>
    <t xml:space="preserve">Superannuation contributions cap </t>
  </si>
  <si>
    <t>Super fund tax rate</t>
  </si>
  <si>
    <t xml:space="preserve">Superannuation </t>
  </si>
  <si>
    <t>* Income between $671 and $45,000 is taxed at a flat rate of 19%.</t>
  </si>
  <si>
    <t>Income over</t>
  </si>
  <si>
    <t>Income between</t>
  </si>
  <si>
    <t>*</t>
  </si>
  <si>
    <t>Income less than</t>
  </si>
  <si>
    <t xml:space="preserve">Trustee Assessed under s99 </t>
  </si>
  <si>
    <t>Trusts</t>
  </si>
  <si>
    <t>Maximum turnover to be eligible for the small business income tax offset</t>
  </si>
  <si>
    <t>Maximum small business income tax offset</t>
  </si>
  <si>
    <t>Small business income tax offset</t>
  </si>
  <si>
    <t xml:space="preserve">Small business income tax offset </t>
  </si>
  <si>
    <t>Maximum turnover to be eligible for the base rate entity company tax rate</t>
  </si>
  <si>
    <t>Base rate entities</t>
  </si>
  <si>
    <t>Company tax rate</t>
  </si>
  <si>
    <t xml:space="preserve">Company tax </t>
  </si>
  <si>
    <t>Companies</t>
  </si>
  <si>
    <t xml:space="preserve">Income over </t>
  </si>
  <si>
    <t xml:space="preserve">Income less than </t>
  </si>
  <si>
    <t>Repayment Rate</t>
  </si>
  <si>
    <t>Repayment Income</t>
  </si>
  <si>
    <t>Study and training support loans repayment</t>
  </si>
  <si>
    <t xml:space="preserve">Maximum adjusted taxable income </t>
  </si>
  <si>
    <t>Daily rate for part year dependant</t>
  </si>
  <si>
    <t>Maximum offset</t>
  </si>
  <si>
    <t>Dependant (invalid &amp; carer) tax offset</t>
  </si>
  <si>
    <t>The total tax offset is made of:
- a fixed amount, based on taxpayer's circumstances,
- a percentage of base amount if the taxpayer maintained a dependent child or student, or was entitled to claim the Invalid and invalid carer offset.</t>
  </si>
  <si>
    <t>% of base amount</t>
  </si>
  <si>
    <t>Single</t>
  </si>
  <si>
    <t>Overseas forces</t>
  </si>
  <si>
    <t>Special area</t>
  </si>
  <si>
    <t>Zone B</t>
  </si>
  <si>
    <t>Zone A</t>
  </si>
  <si>
    <t xml:space="preserve">Zone tax offset </t>
  </si>
  <si>
    <t>Low and middle income tax offset</t>
  </si>
  <si>
    <t xml:space="preserve">Income between </t>
  </si>
  <si>
    <t xml:space="preserve">Low income tax offset </t>
  </si>
  <si>
    <t xml:space="preserve">Medicare </t>
  </si>
  <si>
    <t xml:space="preserve">Working Holiday Makers </t>
  </si>
  <si>
    <r>
      <t xml:space="preserve">Income over $663 is taxed at 45% of the </t>
    </r>
    <r>
      <rPr>
        <b/>
        <sz val="10"/>
        <color rgb="FF333333"/>
        <rFont val="Calibri"/>
        <family val="2"/>
        <scheme val="minor"/>
      </rPr>
      <t>entire</t>
    </r>
    <r>
      <rPr>
        <sz val="10"/>
        <color rgb="FF333333"/>
        <rFont val="Calibri"/>
        <family val="2"/>
        <scheme val="minor"/>
      </rPr>
      <t xml:space="preserve"> taxable income amount</t>
    </r>
  </si>
  <si>
    <t xml:space="preserve">Income over  </t>
  </si>
  <si>
    <t xml:space="preserve">Non-Resident Minors </t>
  </si>
  <si>
    <t xml:space="preserve">Non-Residents Individual </t>
  </si>
  <si>
    <t xml:space="preserve">Resident Minors </t>
  </si>
  <si>
    <t xml:space="preserve">Resident Individual </t>
  </si>
  <si>
    <t>Individuals</t>
  </si>
  <si>
    <t>2024 Tax Rates</t>
  </si>
  <si>
    <t>3.24.0</t>
  </si>
  <si>
    <t>34c6b9e1-8086-477d-95bf-38199f397617</t>
  </si>
  <si>
    <t>S</t>
  </si>
  <si>
    <t>AmountDueRefund</t>
  </si>
  <si>
    <t>AMOUNT DUE OR REFUNDABLE</t>
  </si>
  <si>
    <t>K</t>
  </si>
  <si>
    <t>PAYGIRaised</t>
  </si>
  <si>
    <t>PAYG instalments raised</t>
  </si>
  <si>
    <t>Tx_CTR.PAYGI</t>
  </si>
  <si>
    <t>I</t>
  </si>
  <si>
    <t>TaxOffsetRefunds</t>
  </si>
  <si>
    <r>
      <t xml:space="preserve">Tax offset refunds </t>
    </r>
    <r>
      <rPr>
        <b/>
        <sz val="10"/>
        <color rgb="FFC00000"/>
        <rFont val="Calibri"/>
        <family val="2"/>
        <scheme val="minor"/>
      </rPr>
      <t>*</t>
    </r>
  </si>
  <si>
    <t>Tx_CTR.TaxOffsetRef</t>
  </si>
  <si>
    <t>H8</t>
  </si>
  <si>
    <t>CreditsForResCapitalGains</t>
  </si>
  <si>
    <t>Credits for foreign resident capital gains withholding amounts</t>
  </si>
  <si>
    <t>Tx_CTR.CreditH8</t>
  </si>
  <si>
    <t>H7</t>
  </si>
  <si>
    <t>OtherCredits</t>
  </si>
  <si>
    <t>Other credits</t>
  </si>
  <si>
    <t>Tx_CTR.CreditH7</t>
  </si>
  <si>
    <t>H5</t>
  </si>
  <si>
    <t>CreditTFNWHPaymentsTrusts</t>
  </si>
  <si>
    <t>Credit for TFN amounts withheld from payments from closely held trusts</t>
  </si>
  <si>
    <t>Tx_CTR.CreditH5</t>
  </si>
  <si>
    <t>H4</t>
  </si>
  <si>
    <t>TaxWHInterestInvestments</t>
  </si>
  <si>
    <t>Tax withheld from interest or investments</t>
  </si>
  <si>
    <t>Tx_CTR.CreditH4</t>
  </si>
  <si>
    <t>H3</t>
  </si>
  <si>
    <t>CreditTaxWHABNNotQuoted</t>
  </si>
  <si>
    <t>Credit for tax withheld where ABN is not quoted</t>
  </si>
  <si>
    <t>Tx_CTR.CreditH3</t>
  </si>
  <si>
    <t>H2</t>
  </si>
  <si>
    <t>CreditTaxWHForResWHold</t>
  </si>
  <si>
    <r>
      <t xml:space="preserve">Credit for tax withheld - foreign resident withholding </t>
    </r>
    <r>
      <rPr>
        <sz val="9"/>
        <color theme="0" tint="-0.499984740745262"/>
        <rFont val="Calibri"/>
        <family val="2"/>
        <scheme val="minor"/>
      </rPr>
      <t>(excluding capital gains)</t>
    </r>
  </si>
  <si>
    <t>Tx_CTR.CreditH2</t>
  </si>
  <si>
    <t>H</t>
  </si>
  <si>
    <t>TotalEligibleCredits</t>
  </si>
  <si>
    <t>Eligible Credits</t>
  </si>
  <si>
    <t>G</t>
  </si>
  <si>
    <t>Section102AAMInterest</t>
  </si>
  <si>
    <t>Section 102AAM interest charge</t>
  </si>
  <si>
    <t>Tx_CTR.Sec102AAM</t>
  </si>
  <si>
    <t>T5</t>
  </si>
  <si>
    <t>Value cannot be below zero</t>
  </si>
  <si>
    <t>TaxPayable</t>
  </si>
  <si>
    <r>
      <t xml:space="preserve">Tax payable </t>
    </r>
    <r>
      <rPr>
        <b/>
        <sz val="10"/>
        <color rgb="FFC00000"/>
        <rFont val="Calibri"/>
        <family val="2"/>
        <scheme val="minor"/>
      </rPr>
      <t>*</t>
    </r>
  </si>
  <si>
    <t>F</t>
  </si>
  <si>
    <t>FrankingDeficitTaxOffset</t>
  </si>
  <si>
    <t>Franking deficit tax offset</t>
  </si>
  <si>
    <t>Tx_CTR.FrankingDefTaxOffset</t>
  </si>
  <si>
    <t>T4</t>
  </si>
  <si>
    <t>Subtotal3</t>
  </si>
  <si>
    <t>Subtotal 3</t>
  </si>
  <si>
    <t>E</t>
  </si>
  <si>
    <t>RefundTaxOffsets</t>
  </si>
  <si>
    <t>Refundable tax offsets</t>
  </si>
  <si>
    <t>Tx_CTR.RefTaxOffsets</t>
  </si>
  <si>
    <t>T3</t>
  </si>
  <si>
    <t>Subtotal2</t>
  </si>
  <si>
    <t>Subtotal 2</t>
  </si>
  <si>
    <t>D</t>
  </si>
  <si>
    <t>NonRefundCarryFwdTaxOffsets</t>
  </si>
  <si>
    <t>Non-refundable carry forward tax offsets</t>
  </si>
  <si>
    <t>Tx_CTR.NonRefCFTaxOffsets</t>
  </si>
  <si>
    <t>T2</t>
  </si>
  <si>
    <t>Subtotal1</t>
  </si>
  <si>
    <t>Subtotal 1</t>
  </si>
  <si>
    <t>C</t>
  </si>
  <si>
    <t>NonRefundNonCarryFwdTaxOffsets</t>
  </si>
  <si>
    <t>Non-refundable non-carry forward tax offsets</t>
  </si>
  <si>
    <t>Tx_CTR.NonRefNonCFTaxOffsets</t>
  </si>
  <si>
    <t>B</t>
  </si>
  <si>
    <t>GrossTax</t>
  </si>
  <si>
    <t>Gross tax</t>
  </si>
  <si>
    <t>T1</t>
  </si>
  <si>
    <t>TaxTaxableIncome</t>
  </si>
  <si>
    <r>
      <t xml:space="preserve">Tax on taxable or net income </t>
    </r>
    <r>
      <rPr>
        <b/>
        <sz val="10"/>
        <color rgb="FFC00000"/>
        <rFont val="Calibri"/>
        <family val="2"/>
        <scheme val="minor"/>
      </rPr>
      <t>*</t>
    </r>
  </si>
  <si>
    <t>A</t>
  </si>
  <si>
    <t>TaxableIncome</t>
  </si>
  <si>
    <r>
      <t xml:space="preserve">Taxable or net income </t>
    </r>
    <r>
      <rPr>
        <b/>
        <sz val="10"/>
        <color rgb="FFC00000"/>
        <rFont val="Calibri"/>
        <family val="2"/>
        <scheme val="minor"/>
      </rPr>
      <t>*</t>
    </r>
  </si>
  <si>
    <r>
      <t xml:space="preserve">Go to 'C20 Tax Rec'  </t>
    </r>
    <r>
      <rPr>
        <b/>
        <sz val="10"/>
        <color rgb="FF27A9E1"/>
        <rFont val="Wingdings 3"/>
        <family val="1"/>
        <charset val="2"/>
      </rPr>
      <t>}</t>
    </r>
  </si>
  <si>
    <t>Calculation Statement</t>
  </si>
  <si>
    <t>V</t>
  </si>
  <si>
    <t>NetCapitalLossesCarryFwd</t>
  </si>
  <si>
    <t>Net capital losses carried forward to later income years</t>
  </si>
  <si>
    <t>Tx_AllRet.CapitalLossesCF</t>
  </si>
  <si>
    <t>U</t>
  </si>
  <si>
    <t>TaxLossesCarryFwd</t>
  </si>
  <si>
    <t>Tax losses carried forward to later income years</t>
  </si>
  <si>
    <t>Tx_AllRet.TaxLossesCF</t>
  </si>
  <si>
    <t>13   Losses Information</t>
  </si>
  <si>
    <t>DeductionSBPool</t>
  </si>
  <si>
    <t>Deduction for general small business pool</t>
  </si>
  <si>
    <t>Tx_AllRet.DedGeneralPool</t>
  </si>
  <si>
    <t>DeductionCertainAssets</t>
  </si>
  <si>
    <t>Deduction for certain assets</t>
  </si>
  <si>
    <t>Tx_AllRet.DedAssets</t>
  </si>
  <si>
    <t>10   Small Business Entity Simplified Depreciation</t>
  </si>
  <si>
    <t>L</t>
  </si>
  <si>
    <t>TotalDeductOtherAssetsProspecting</t>
  </si>
  <si>
    <t>Total deduction for decline in value of other depreciating assets used in exploration or prospecting</t>
  </si>
  <si>
    <t>Tx_CTR.MiningAssetDepn</t>
  </si>
  <si>
    <t>TotalDeductIntangibleAssetsProspecting</t>
  </si>
  <si>
    <t>Total deduction for decline in value of intangible depreciating assets used in exploration or prospecting</t>
  </si>
  <si>
    <t>Tx_CTR.MiningIntangibleDepn</t>
  </si>
  <si>
    <t>J</t>
  </si>
  <si>
    <t>MiningCapitalExpenditure</t>
  </si>
  <si>
    <t>Total mining capital expenditure and/or transport capital that you allocated to a project pool and for which you can claim a deduction this income year</t>
  </si>
  <si>
    <t>Tx_CTR.MiningCapExp</t>
  </si>
  <si>
    <t>For entities connected with mining operations, exploration or prospecting</t>
  </si>
  <si>
    <t>SubYearAcceleratedDepnAssets</t>
  </si>
  <si>
    <t>Subsequent year accelerated depreciation deductions for assets using Backing business investment</t>
  </si>
  <si>
    <t>Tx_AllRet.SubsYrAcceleratedDepn</t>
  </si>
  <si>
    <t>TerminationValueOtherAssets</t>
  </si>
  <si>
    <t>Termination value of other depreciating assets</t>
  </si>
  <si>
    <t>Tx_AllRet.TermValueAssets</t>
  </si>
  <si>
    <t>TerminationValueIntangibleAssets</t>
  </si>
  <si>
    <t>Termination value of intangible depreciating assets</t>
  </si>
  <si>
    <t>Tx_AllRet.TermValueIntangibles</t>
  </si>
  <si>
    <t>DeductAdjustDisposalIntangibleAssets</t>
  </si>
  <si>
    <t>Deductible balancing adjustments on the disposal of intangible depreciating assets</t>
  </si>
  <si>
    <t>Tx_AllRet.DedBalAdj</t>
  </si>
  <si>
    <t>AssessAdjustDisposalIntangibleAssets</t>
  </si>
  <si>
    <t>Assessable balancing adjustments on the disposal of intangible depreciating assets</t>
  </si>
  <si>
    <t>Tx_AllRet.AssesBalAdj</t>
  </si>
  <si>
    <t>TotalAdjustableValues</t>
  </si>
  <si>
    <t>Total adjustable values at end of income year</t>
  </si>
  <si>
    <t>Tx_AllRet.AdjustValues</t>
  </si>
  <si>
    <t>RecalculateEffectiveLifeAssets</t>
  </si>
  <si>
    <t xml:space="preserve">Did you recalculate the effective life for any of your assets this income year? </t>
  </si>
  <si>
    <t>Tx_AllRet.RecalcEffectLife</t>
  </si>
  <si>
    <t>For all depreciating assets</t>
  </si>
  <si>
    <t>SelfAssessedEffectiveLife</t>
  </si>
  <si>
    <t>Have you self-assessed the effective life of any of these assets?</t>
  </si>
  <si>
    <t>Tx_AllRet.SelfAssEffectLife</t>
  </si>
  <si>
    <t>OtherDepnAssetsFirstDeducted</t>
  </si>
  <si>
    <t>Other depreciating assets first deducted</t>
  </si>
  <si>
    <t>Tx_AllRet.AssetsFirstDed</t>
  </si>
  <si>
    <t>IntangibleDepnAssetsFirstDeducted</t>
  </si>
  <si>
    <t>Intangible depreciating assets first deducted</t>
  </si>
  <si>
    <t>Tx_AllRet.IntangibleFirstDed</t>
  </si>
  <si>
    <t>Depreciating assets first deducted in this income year</t>
  </si>
  <si>
    <t>9     Capital Allowances</t>
  </si>
  <si>
    <t>TOFAGainsUnrealisedMovements</t>
  </si>
  <si>
    <t>TOFA gains from unrealised movements in the value of financial arrangements</t>
  </si>
  <si>
    <t>Tx_CTR.TOFAGainsFinancialArrang</t>
  </si>
  <si>
    <t>TOFALosses</t>
  </si>
  <si>
    <t>Total TOFA losses</t>
  </si>
  <si>
    <t>Tx_CTR.TOFALosses</t>
  </si>
  <si>
    <t>T</t>
  </si>
  <si>
    <t>TOFAGains</t>
  </si>
  <si>
    <t>Total TOFA gains</t>
  </si>
  <si>
    <t>Tx_CTR.TOFAGains</t>
  </si>
  <si>
    <t>AttributedForeignIncomeTrust</t>
  </si>
  <si>
    <t>Attributed foreign income - Transferor trust</t>
  </si>
  <si>
    <t>Tx_CTR.AttForIncomeTrust</t>
  </si>
  <si>
    <t>AttributedForeignIncomeUnlisted</t>
  </si>
  <si>
    <t>Attributed foreign income - Unlisted country</t>
  </si>
  <si>
    <t>Tx_CTR.AttForIncomeUnlisted</t>
  </si>
  <si>
    <t>AttributedForeignIncomeListed</t>
  </si>
  <si>
    <t>Attributed foreign income - Listed country</t>
  </si>
  <si>
    <t>Tx_CTR.AttForIncomeListed</t>
  </si>
  <si>
    <t>R</t>
  </si>
  <si>
    <t>NetForeignIncome</t>
  </si>
  <si>
    <t>Net foreign income</t>
  </si>
  <si>
    <t>Tx_CTR.ForIncome</t>
  </si>
  <si>
    <t>GrossForeignIncome</t>
  </si>
  <si>
    <t>Gross foreign income</t>
  </si>
  <si>
    <t>Tx_CTR.ForIncomeGross</t>
  </si>
  <si>
    <t>Q</t>
  </si>
  <si>
    <t>PaymentsAssociatedPersons</t>
  </si>
  <si>
    <t>Payments to associated persons</t>
  </si>
  <si>
    <t>Tx_AllRet.AssocPersons</t>
  </si>
  <si>
    <t>Bus.Exp.SalaryAndWages</t>
  </si>
  <si>
    <t>TotalSalaryWageExpenses</t>
  </si>
  <si>
    <t>Total salary and wage expenses</t>
  </si>
  <si>
    <t>Tx_AllRet.Wages</t>
  </si>
  <si>
    <t>LoansToAssociates</t>
  </si>
  <si>
    <t>Loans to shareholders and their associates</t>
  </si>
  <si>
    <t>Tx_CTR.LoansToShareholders</t>
  </si>
  <si>
    <t>ExcessFranking Offsets</t>
  </si>
  <si>
    <t>Excess franking offsets</t>
  </si>
  <si>
    <t>Tx_CTR.ExcessFrankingOffsets</t>
  </si>
  <si>
    <t>Y</t>
  </si>
  <si>
    <t>AggregatedTurnover</t>
  </si>
  <si>
    <t>Aggregated turnover</t>
  </si>
  <si>
    <t>Tx_AllRet.AggTurnover</t>
  </si>
  <si>
    <t>X</t>
  </si>
  <si>
    <t>AggregatedTurnoverRange</t>
  </si>
  <si>
    <r>
      <t>Select your aggregated turnover range</t>
    </r>
    <r>
      <rPr>
        <i/>
        <sz val="10"/>
        <color theme="1"/>
        <rFont val="Calibri"/>
        <family val="2"/>
        <scheme val="minor"/>
      </rPr>
      <t xml:space="preserve"> </t>
    </r>
    <r>
      <rPr>
        <sz val="9"/>
        <color theme="0" tint="-0.499984740745262"/>
        <rFont val="Calibri"/>
        <family val="2"/>
        <scheme val="minor"/>
      </rPr>
      <t>(A to P)</t>
    </r>
  </si>
  <si>
    <t>Tx_AllRet.AggTurnoverRange</t>
  </si>
  <si>
    <t>M</t>
  </si>
  <si>
    <t>ClosingFrankingAccountBalance</t>
  </si>
  <si>
    <t>Closing franking account balance</t>
  </si>
  <si>
    <t>Tx_CTR.CBFrankingAcct</t>
  </si>
  <si>
    <t>P</t>
  </si>
  <si>
    <t>OpeningFrankingAccountBalance</t>
  </si>
  <si>
    <t>Opening franking account balance</t>
  </si>
  <si>
    <t>Tx_CTR.OBFrankingAcct</t>
  </si>
  <si>
    <t>UnfrankedDividendsPaid</t>
  </si>
  <si>
    <t>Unfranked dividends paid</t>
  </si>
  <si>
    <t>Tx_CTR.UnfrankedDividendsPaid</t>
  </si>
  <si>
    <t>FrankedDividendsPaid</t>
  </si>
  <si>
    <t>Franked dividends paid</t>
  </si>
  <si>
    <t>Tx_CTR.FrankedDividendsPaid</t>
  </si>
  <si>
    <t>CommercialDebtForgiveness</t>
  </si>
  <si>
    <t>Commercial debt forgiveness</t>
  </si>
  <si>
    <t>Tx_CTR.CommDebtForgive</t>
  </si>
  <si>
    <t>TotalDebt</t>
  </si>
  <si>
    <t>Total debt</t>
  </si>
  <si>
    <t>Tx_CTR.Debt</t>
  </si>
  <si>
    <t>Liab.*</t>
  </si>
  <si>
    <t>TotalLiabilities</t>
  </si>
  <si>
    <t>Total liabilities</t>
  </si>
  <si>
    <t>Tx_AllRet.Liab</t>
  </si>
  <si>
    <t>Liab.CL*</t>
  </si>
  <si>
    <t>CurrentLiabilities</t>
  </si>
  <si>
    <t>All current liabilities</t>
  </si>
  <si>
    <t>Tx_AllRet.CurrentLiab</t>
  </si>
  <si>
    <t>Liab.CL.TradeCreditors</t>
  </si>
  <si>
    <t>TradeCreditors</t>
  </si>
  <si>
    <t>Trade creditors</t>
  </si>
  <si>
    <t>Tx_AllRet.TradeCreditors</t>
  </si>
  <si>
    <t>Asset.*</t>
  </si>
  <si>
    <t>TotalAssets</t>
  </si>
  <si>
    <t>Total assets</t>
  </si>
  <si>
    <t>Tx_AllRet.Assets</t>
  </si>
  <si>
    <t>Asset.CA*</t>
  </si>
  <si>
    <t>CurrentAssets</t>
  </si>
  <si>
    <t>All current assets</t>
  </si>
  <si>
    <t>Tx_AllRet.CurrentAssets</t>
  </si>
  <si>
    <t>Asset.CA.TradeDebtors</t>
  </si>
  <si>
    <t>TradeDebtors</t>
  </si>
  <si>
    <t>Trade debtors</t>
  </si>
  <si>
    <t>Tx_AllRet.TradeDebtors</t>
  </si>
  <si>
    <t>TradingStockElection</t>
  </si>
  <si>
    <t>Trading stock election</t>
  </si>
  <si>
    <t>Tx_AllRet.StockElection</t>
  </si>
  <si>
    <t>Bus.Exp.COS.ClosingStock</t>
  </si>
  <si>
    <t>ClosingStock</t>
  </si>
  <si>
    <t>Closing stock</t>
  </si>
  <si>
    <t>Tx_AllRet.CS</t>
  </si>
  <si>
    <t>PurchasesOtherCosts</t>
  </si>
  <si>
    <t>Purchases and other costs</t>
  </si>
  <si>
    <t>Tx_AllRet.Purchases</t>
  </si>
  <si>
    <t>Bus.Exp.COS.OpeningStock</t>
  </si>
  <si>
    <t>OpeningStock</t>
  </si>
  <si>
    <t>Opening stock</t>
  </si>
  <si>
    <t>Tx_AllRet.OS</t>
  </si>
  <si>
    <t>O</t>
  </si>
  <si>
    <t>FunctionalCurrencyChosen</t>
  </si>
  <si>
    <t>Functional currency chosen</t>
  </si>
  <si>
    <t>Tx_CTR.Currency</t>
  </si>
  <si>
    <t>FunctionalCurrencyRate</t>
  </si>
  <si>
    <t>Functional currency translation rate</t>
  </si>
  <si>
    <t>Tx_CTR.CurrTranslationRate</t>
  </si>
  <si>
    <t>8     Financial and Other Information</t>
  </si>
  <si>
    <t>7TaxableIncomeLoss</t>
  </si>
  <si>
    <r>
      <t xml:space="preserve">Taxable/Net Income or Loss </t>
    </r>
    <r>
      <rPr>
        <b/>
        <sz val="11"/>
        <color rgb="FFC00000"/>
        <rFont val="Calibri"/>
        <family val="2"/>
        <scheme val="minor"/>
      </rPr>
      <t>*</t>
    </r>
  </si>
  <si>
    <t>7Subtotal2</t>
  </si>
  <si>
    <t>TaxLossesTransferredIn</t>
  </si>
  <si>
    <r>
      <t xml:space="preserve">Tax losses transferred in </t>
    </r>
    <r>
      <rPr>
        <sz val="9"/>
        <color theme="0" tint="-0.499984740745262"/>
        <rFont val="Calibri"/>
        <family val="2"/>
        <scheme val="minor"/>
      </rPr>
      <t>(from or to a foreign bank branch or a PE of a foreign financial entity)</t>
    </r>
  </si>
  <si>
    <t>Tx_CTR.TaxLossesTransferIn</t>
  </si>
  <si>
    <t>TaxLossesDeducted</t>
  </si>
  <si>
    <t>Tax losses deducted</t>
  </si>
  <si>
    <t>Tx_CTR.TaxLosses</t>
  </si>
  <si>
    <t>SmallBusEnergyIncentive</t>
  </si>
  <si>
    <t>Small business energy incentive</t>
  </si>
  <si>
    <t>Tx_CTR.EnergyIncentive</t>
  </si>
  <si>
    <t>SmallBusSkillsTrainingBoost</t>
  </si>
  <si>
    <t>Small business skills and training boost</t>
  </si>
  <si>
    <t>Tx_CTR.TrainBoost</t>
  </si>
  <si>
    <t>Other deductible expenses</t>
  </si>
  <si>
    <t>Tx_CTR.OtherDedExp</t>
  </si>
  <si>
    <t>W</t>
  </si>
  <si>
    <t>TOFADeductions</t>
  </si>
  <si>
    <r>
      <t xml:space="preserve">TOFA deductions from financial arrangements not included in item </t>
    </r>
    <r>
      <rPr>
        <b/>
        <sz val="10"/>
        <color theme="1"/>
        <rFont val="Calibri"/>
        <family val="2"/>
        <scheme val="minor"/>
      </rPr>
      <t>6</t>
    </r>
  </si>
  <si>
    <t>Tx_CTR.TOFAExp</t>
  </si>
  <si>
    <t>OtherIncomeNotInAssessableIncome</t>
  </si>
  <si>
    <t>Other income not included in assessable income</t>
  </si>
  <si>
    <t>Tx_CTR.OtherIncomeAssIncome</t>
  </si>
  <si>
    <t>ExemptIncome</t>
  </si>
  <si>
    <t>Exempt income</t>
  </si>
  <si>
    <t>Tx_CTR.ExemptIncome</t>
  </si>
  <si>
    <t>DeductionEnvironProtectExpenses</t>
  </si>
  <si>
    <t>Deduction for environmental protection expenses</t>
  </si>
  <si>
    <t>Tx_CTR.EnvProtectExp</t>
  </si>
  <si>
    <t>LandcareOperations</t>
  </si>
  <si>
    <t>Landcare operations and deduction for decline in value of water facility, fencing asset and fodder storage asset</t>
  </si>
  <si>
    <t>Tx_AllRet.LandcareDed</t>
  </si>
  <si>
    <t>Bus.Exp.Sec40880</t>
  </si>
  <si>
    <t>Z</t>
  </si>
  <si>
    <t>Section40-880Deduction</t>
  </si>
  <si>
    <t>Section 40-880 deduction</t>
  </si>
  <si>
    <t>Tx_AllRet.Sec40880</t>
  </si>
  <si>
    <t>CapitalWorksDeductions</t>
  </si>
  <si>
    <t>Capital works deductions</t>
  </si>
  <si>
    <t>Tx_CTR.CapWorksDed</t>
  </si>
  <si>
    <t>DeductionProjectPool</t>
  </si>
  <si>
    <t>Deduction for project pool</t>
  </si>
  <si>
    <t>Tx_AllRet.ProjectPoolDed</t>
  </si>
  <si>
    <t>Bus.Exp.ImmediateWriteOff</t>
  </si>
  <si>
    <t>ImmDeductionCapitalExpend</t>
  </si>
  <si>
    <t>Immediate deduction for capital expenditure</t>
  </si>
  <si>
    <t>Tx_CTR.ImmWriteOff</t>
  </si>
  <si>
    <t>Inv.Exp.MIS</t>
  </si>
  <si>
    <t>ForestryMISDeduction</t>
  </si>
  <si>
    <t>Forestry managed investment scheme deduction</t>
  </si>
  <si>
    <t>Tx_CTR.MISExp</t>
  </si>
  <si>
    <t>DeductionDepreciatingAssets</t>
  </si>
  <si>
    <t>Deduction for decline in value of depreciating assets</t>
  </si>
  <si>
    <t>Tx_CTR.DepreciationTax</t>
  </si>
  <si>
    <t>Section46FADeduct</t>
  </si>
  <si>
    <t>Section 46FA deductions for flow-on dividends</t>
  </si>
  <si>
    <t>Tx_CTR.Sec46FA</t>
  </si>
  <si>
    <t>Less:</t>
  </si>
  <si>
    <t>7Subtotal1</t>
  </si>
  <si>
    <t>AccountExpenditureR&amp;DIncentive</t>
  </si>
  <si>
    <r>
      <t xml:space="preserve">Accounting expenditure in item </t>
    </r>
    <r>
      <rPr>
        <b/>
        <sz val="10"/>
        <color theme="1"/>
        <rFont val="Calibri"/>
        <family val="2"/>
        <scheme val="minor"/>
      </rPr>
      <t>6</t>
    </r>
    <r>
      <rPr>
        <sz val="10"/>
        <color theme="1"/>
        <rFont val="Calibri"/>
        <family val="2"/>
        <scheme val="minor"/>
      </rPr>
      <t xml:space="preserve"> subject to R&amp;D tax incentive</t>
    </r>
  </si>
  <si>
    <t>Tx_CTR.RDExpAccounting</t>
  </si>
  <si>
    <t>NonDeductibleExpenses</t>
  </si>
  <si>
    <t>Non-deductible expenses</t>
  </si>
  <si>
    <t>Tx_CTR.NDExp</t>
  </si>
  <si>
    <t>OtherAssessableIncome</t>
  </si>
  <si>
    <t>Other assessable income</t>
  </si>
  <si>
    <t>Tx_CTR.OTherAssIncome</t>
  </si>
  <si>
    <t>TOFAIncome</t>
  </si>
  <si>
    <r>
      <t xml:space="preserve">TOFA income from financial arrangements not included in item </t>
    </r>
    <r>
      <rPr>
        <b/>
        <sz val="10"/>
        <color theme="1"/>
        <rFont val="Calibri"/>
        <family val="2"/>
        <scheme val="minor"/>
      </rPr>
      <t>6</t>
    </r>
  </si>
  <si>
    <t>Tx_CTR.TOFAIncome</t>
  </si>
  <si>
    <t>AusFrankingCreditsNZCompany</t>
  </si>
  <si>
    <t>Australian franking credits from a New Zealand company</t>
  </si>
  <si>
    <t>Tx_CTR.AUSFrankingCreditNZ</t>
  </si>
  <si>
    <t>FrankingCredits</t>
  </si>
  <si>
    <t>Franking credits</t>
  </si>
  <si>
    <t>Tx_AllRet.FrankingCredits</t>
  </si>
  <si>
    <t>NonDeductibleExemptIncomeExpend</t>
  </si>
  <si>
    <t>Non-deductible exempt income expenditure</t>
  </si>
  <si>
    <t>Tx_CTR.NonDedExempIncomeExp</t>
  </si>
  <si>
    <t>NetCapitalGain</t>
  </si>
  <si>
    <t>Net capital gain</t>
  </si>
  <si>
    <t>Tx_AllRet.NetCapGain</t>
  </si>
  <si>
    <t>ExemptOrRollover</t>
  </si>
  <si>
    <t>Have you applied an exemption or rollover?</t>
  </si>
  <si>
    <t>Tx_AllRet.CGTExempRollover</t>
  </si>
  <si>
    <t>CGTEvent</t>
  </si>
  <si>
    <t>Did you have a CGT event during the year?</t>
  </si>
  <si>
    <t>Tx_AllRet.CGTEvent</t>
  </si>
  <si>
    <t>7TotalProfitLoss</t>
  </si>
  <si>
    <r>
      <t xml:space="preserve">Total profit or loss amount shown at </t>
    </r>
    <r>
      <rPr>
        <b/>
        <sz val="10"/>
        <color theme="1"/>
        <rFont val="Calibri"/>
        <family val="2"/>
        <scheme val="minor"/>
      </rPr>
      <t xml:space="preserve">T </t>
    </r>
    <r>
      <rPr>
        <sz val="10"/>
        <color theme="1"/>
        <rFont val="Calibri"/>
        <family val="2"/>
        <scheme val="minor"/>
      </rPr>
      <t xml:space="preserve">item </t>
    </r>
    <r>
      <rPr>
        <b/>
        <sz val="10"/>
        <color theme="1"/>
        <rFont val="Calibri"/>
        <family val="2"/>
        <scheme val="minor"/>
      </rPr>
      <t>6</t>
    </r>
  </si>
  <si>
    <r>
      <rPr>
        <b/>
        <sz val="10"/>
        <color rgb="FF27A9E1"/>
        <rFont val="Calibri"/>
        <family val="2"/>
        <scheme val="minor"/>
      </rPr>
      <t xml:space="preserve">Go to 'C20 Tax Rec'  </t>
    </r>
    <r>
      <rPr>
        <b/>
        <sz val="11"/>
        <color rgb="FF27A9E1"/>
        <rFont val="Wingdings 3"/>
        <family val="1"/>
        <charset val="2"/>
      </rPr>
      <t>}</t>
    </r>
  </si>
  <si>
    <t>7     Reconciliation to Taxable Income or Loss</t>
  </si>
  <si>
    <t>6TotalProfitLoss</t>
  </si>
  <si>
    <t>Total Profit or Loss</t>
  </si>
  <si>
    <t>6TotalExpenses</t>
  </si>
  <si>
    <t>Total Expenses</t>
  </si>
  <si>
    <t>AllOtherExpenses</t>
  </si>
  <si>
    <t>All other expenses</t>
  </si>
  <si>
    <t>Tx_AllRet.OtherExpenses</t>
  </si>
  <si>
    <t>Bus.Exp.Other.UnrealisedLosses*</t>
  </si>
  <si>
    <t>UnrealisedLossesRevalAssets</t>
  </si>
  <si>
    <t>Unrealised losses on revaluation of assets to fair value</t>
  </si>
  <si>
    <t>Tx_CTR.UnrealisedLosses</t>
  </si>
  <si>
    <t>Bus.Exp.RepairsAndMaintenance*</t>
  </si>
  <si>
    <t>RepairsMaintenance</t>
  </si>
  <si>
    <t>Repairs and maintenance</t>
  </si>
  <si>
    <t>Tx_AllRet.RMExp</t>
  </si>
  <si>
    <t>Bus.Exp.MotorVehicle*</t>
  </si>
  <si>
    <t>MotorVehicleExpenses</t>
  </si>
  <si>
    <t>Motor vehicle expenses</t>
  </si>
  <si>
    <t>Tx_AllRet.MVExp</t>
  </si>
  <si>
    <t>Bus.Exp.Depreciation*</t>
  </si>
  <si>
    <t>DepreciationExpenses</t>
  </si>
  <si>
    <t>Depreciation expenses</t>
  </si>
  <si>
    <t>Tx_AllRet.Depreciation</t>
  </si>
  <si>
    <t>Bus.Exp.Royalty.Overseas*</t>
  </si>
  <si>
    <t>RoyaltyExpensesAus</t>
  </si>
  <si>
    <t>Royalty expenses within Australia</t>
  </si>
  <si>
    <t>Tx_CTR.RoyaltyExpOverseas</t>
  </si>
  <si>
    <t>Bus.Exp.Royalty.Aus*</t>
  </si>
  <si>
    <t>RoyaltyExpensesOverseas</t>
  </si>
  <si>
    <t>Royalty expenses overseas</t>
  </si>
  <si>
    <t>Tx_CTR.RoyaltyExpAUS</t>
  </si>
  <si>
    <t>Bus.Exp.Interest.Overseas*</t>
  </si>
  <si>
    <t>InterestExpensesOverseas</t>
  </si>
  <si>
    <t>Interest expenses overseas</t>
  </si>
  <si>
    <t>Tx_CTR.InterestExpOverseas</t>
  </si>
  <si>
    <t>Bus.Exp.Interest.Aus*</t>
  </si>
  <si>
    <t>InterestExpensesAus</t>
  </si>
  <si>
    <t>Interest expenses within Australia</t>
  </si>
  <si>
    <t>Tx_CTR.InterestExpAUS</t>
  </si>
  <si>
    <t>Bus.Exp.Rent*</t>
  </si>
  <si>
    <t>RentExpenses</t>
  </si>
  <si>
    <t>Rent expenses</t>
  </si>
  <si>
    <t>Tx_AllRet.RentExp</t>
  </si>
  <si>
    <t>Bus.Exp.Lease.Overseas*</t>
  </si>
  <si>
    <t>LeaseExpensesOverseas</t>
  </si>
  <si>
    <t>Lease expenses overseas</t>
  </si>
  <si>
    <t>Tx_CTR.LeaseExpOverseas</t>
  </si>
  <si>
    <t>Bus.Exp.Lease.Aus*</t>
  </si>
  <si>
    <t>LeaseExpensesAus</t>
  </si>
  <si>
    <t>Lease expenses within Australia</t>
  </si>
  <si>
    <t>Tx_CTR.LeaseExpAUS</t>
  </si>
  <si>
    <t>Bus.Exp.BadDebts*</t>
  </si>
  <si>
    <t>BadDebts</t>
  </si>
  <si>
    <t>Bad debts</t>
  </si>
  <si>
    <t>Tx_AllRet.BadDebt</t>
  </si>
  <si>
    <t>Bus.Exp.Superannuation</t>
  </si>
  <si>
    <t>SuperExpenses</t>
  </si>
  <si>
    <t>Superannuation expenses</t>
  </si>
  <si>
    <t>Tx_AllRet.SuperExp</t>
  </si>
  <si>
    <t>Bus.Exp.Contractors*</t>
  </si>
  <si>
    <t>ContractorExpenses</t>
  </si>
  <si>
    <t>Contractor, sub-contractor and commission expenses</t>
  </si>
  <si>
    <t>Tx_AllRet.Contractor</t>
  </si>
  <si>
    <t>Bus.Exp.COS*</t>
  </si>
  <si>
    <t>CostOfSales</t>
  </si>
  <si>
    <t>Tx_AllRet.COS</t>
  </si>
  <si>
    <t>Bus.Exp.ForeignResidentWithholding*</t>
  </si>
  <si>
    <t>ForResWHoldExpenses</t>
  </si>
  <si>
    <r>
      <t xml:space="preserve">Foreign resident withholding expenses </t>
    </r>
    <r>
      <rPr>
        <sz val="10"/>
        <color theme="0" tint="-0.499984740745262"/>
        <rFont val="Calibri"/>
        <family val="2"/>
        <scheme val="minor"/>
      </rPr>
      <t>(</t>
    </r>
    <r>
      <rPr>
        <sz val="9"/>
        <color theme="0" tint="-0.499984740745262"/>
        <rFont val="Calibri"/>
        <family val="2"/>
        <scheme val="minor"/>
      </rPr>
      <t>excluding capital gains)</t>
    </r>
  </si>
  <si>
    <t>Tx_AllRet.ExpenseForResWithholding</t>
  </si>
  <si>
    <t>Expenses</t>
  </si>
  <si>
    <t>6TotalIncome</t>
  </si>
  <si>
    <t>Total Income</t>
  </si>
  <si>
    <t>OtherGrossIncome</t>
  </si>
  <si>
    <t>Other gross income</t>
  </si>
  <si>
    <t>Tx_CTR.OtherIncome</t>
  </si>
  <si>
    <t>Bus.Rev.Other.UnrealisedGains*</t>
  </si>
  <si>
    <t>UnrealisedGainsRevalAssets</t>
  </si>
  <si>
    <t>Unrealised gains on revaluation of assets to fair value</t>
  </si>
  <si>
    <t>Tx_CTR.UnrealisedGains</t>
  </si>
  <si>
    <t>Bus.Rev.GovernmentPayments*</t>
  </si>
  <si>
    <t>AssessableGovtIndustryPayments</t>
  </si>
  <si>
    <t>Assessable government industry payments</t>
  </si>
  <si>
    <t>Tx_AllRet.GovtIndustryPaym</t>
  </si>
  <si>
    <t>Bus.Rev.EmployeeContributions*</t>
  </si>
  <si>
    <t>FringeBenefitEmployeeCont</t>
  </si>
  <si>
    <t>Fringe benefit employee contributions</t>
  </si>
  <si>
    <t>Tx_AllRet.EmployeeCont</t>
  </si>
  <si>
    <t>DividendIncome</t>
  </si>
  <si>
    <t>Total dividends</t>
  </si>
  <si>
    <t>Tx_CTR.DividendIncome</t>
  </si>
  <si>
    <t>Rental.Rev*</t>
  </si>
  <si>
    <t>RentIncome</t>
  </si>
  <si>
    <t>Gross rent and other leasing and hiring income</t>
  </si>
  <si>
    <t>Tx_CTR.RentIncome</t>
  </si>
  <si>
    <t>Bus.Rev.Interest*</t>
  </si>
  <si>
    <t>InterestIncome</t>
  </si>
  <si>
    <t>Gross interest</t>
  </si>
  <si>
    <t>Tx_CTR.InterestIncome</t>
  </si>
  <si>
    <t>Inv.Rev.MIS*</t>
  </si>
  <si>
    <t>ForestryMISIncome</t>
  </si>
  <si>
    <t>Forestry managed investment scheme income</t>
  </si>
  <si>
    <t>Tx_CTR.MISIncome</t>
  </si>
  <si>
    <t>Inv.Rev.Distributions.Trust</t>
  </si>
  <si>
    <t>DistTrusts</t>
  </si>
  <si>
    <t>Gross distribution from trusts</t>
  </si>
  <si>
    <t>Tx_CTR.TrustIncome</t>
  </si>
  <si>
    <t>Inv.Rev.Distributions.Partnership</t>
  </si>
  <si>
    <t>DistPartnerships</t>
  </si>
  <si>
    <t>Gross distribution from partnerships</t>
  </si>
  <si>
    <t>Tx_CTR.PartnershipIncome</t>
  </si>
  <si>
    <t>Bus.Rev.Sales*</t>
  </si>
  <si>
    <t>OtherSales</t>
  </si>
  <si>
    <t>Other sales of goods and services</t>
  </si>
  <si>
    <t>Tx_AllRet.Sales</t>
  </si>
  <si>
    <t>Bus.Rev.PaymentsABNNotQuoted*</t>
  </si>
  <si>
    <t>GrossPaymentsABNNotQuoted</t>
  </si>
  <si>
    <t>Gross payments where ABN not quoted</t>
  </si>
  <si>
    <t>Tx_AllRet.ABNNotQuoted</t>
  </si>
  <si>
    <t>Bus.Rev.ForeignResidentWithholding*</t>
  </si>
  <si>
    <t>GrossPaymentsForResWHold</t>
  </si>
  <si>
    <r>
      <t xml:space="preserve">Gross payments subject to foreign resident withholding </t>
    </r>
    <r>
      <rPr>
        <sz val="9"/>
        <color theme="0" tint="-0.499984740745262"/>
        <rFont val="Calibri"/>
        <family val="2"/>
        <scheme val="minor"/>
      </rPr>
      <t>(excluding capital gains)</t>
    </r>
  </si>
  <si>
    <t>Tx_AllRet.IncomeForResWithholding</t>
  </si>
  <si>
    <t>Income</t>
  </si>
  <si>
    <t>6     Calculation of Total Profit / (Loss)</t>
  </si>
  <si>
    <t>Invert</t>
  </si>
  <si>
    <t>NDD</t>
  </si>
  <si>
    <t>PP</t>
  </si>
  <si>
    <t>Adjust</t>
  </si>
  <si>
    <t>Full Name (*wildcards)</t>
  </si>
  <si>
    <t>Custom</t>
  </si>
  <si>
    <t>Detail Named Range</t>
  </si>
  <si>
    <t>Summary Named Range</t>
  </si>
  <si>
    <t>Source</t>
  </si>
  <si>
    <t xml:space="preserve">Return Year   </t>
  </si>
  <si>
    <t xml:space="preserve">TFN   </t>
  </si>
  <si>
    <r>
      <t>All mandatory (</t>
    </r>
    <r>
      <rPr>
        <b/>
        <sz val="10"/>
        <color rgb="FFC00000"/>
        <rFont val="Calibri"/>
        <family val="2"/>
      </rPr>
      <t>*</t>
    </r>
    <r>
      <rPr>
        <sz val="10"/>
        <color theme="0" tint="-0.499984740745262"/>
        <rFont val="Calibri"/>
        <family val="2"/>
      </rPr>
      <t>) fields must be completed (even if zero) in the tax return.</t>
    </r>
  </si>
  <si>
    <r>
      <t xml:space="preserve">To override the source of data, select the relevant source from the dropdown menu in </t>
    </r>
    <r>
      <rPr>
        <b/>
        <sz val="10"/>
        <color theme="0" tint="-0.499984740745262"/>
        <rFont val="Calibri"/>
        <family val="2"/>
      </rPr>
      <t>column L</t>
    </r>
    <r>
      <rPr>
        <sz val="10"/>
        <color theme="0" tint="-0.499984740745262"/>
        <rFont val="Calibri"/>
        <family val="2"/>
      </rPr>
      <t>.</t>
    </r>
  </si>
  <si>
    <r>
      <t xml:space="preserve">Data will be pulled from summary worksheets (including the </t>
    </r>
    <r>
      <rPr>
        <b/>
        <sz val="10"/>
        <color theme="0" tint="-0.499984740745262"/>
        <rFont val="Calibri"/>
        <family val="2"/>
      </rPr>
      <t>C20 Income Tax Reconciliation</t>
    </r>
    <r>
      <rPr>
        <sz val="10"/>
        <color theme="0" tint="-0.499984740745262"/>
        <rFont val="Calibri"/>
        <family val="2"/>
      </rPr>
      <t xml:space="preserve"> worksheet), individual worksheets and the ledger, in that order of priority. If no data is available from those sources, figures can be entered manually in the white boxed cells.</t>
    </r>
  </si>
  <si>
    <r>
      <rPr>
        <b/>
        <sz val="11"/>
        <color rgb="FF27A9E1"/>
        <rFont val="Webdings"/>
        <family val="1"/>
        <charset val="2"/>
      </rPr>
      <t>i</t>
    </r>
    <r>
      <rPr>
        <b/>
        <sz val="11"/>
        <color rgb="FF27A9E1"/>
        <rFont val="Calibri"/>
        <family val="2"/>
      </rPr>
      <t xml:space="preserve"> The purpose of this worksheet is to create a tax return template that can be integrated into external tax return preparation software.</t>
    </r>
  </si>
  <si>
    <t>2024 Company Tax Return</t>
  </si>
  <si>
    <t>Worksheet ID:</t>
  </si>
  <si>
    <t>CTR Company Tax Return</t>
  </si>
  <si>
    <t>FixedList.1_4_6</t>
  </si>
  <si>
    <t>Tx_AllRet.ReturnYear</t>
  </si>
  <si>
    <t>Tx_AllRet.TFN</t>
  </si>
  <si>
    <t>Capital Losses Carried Forward</t>
  </si>
  <si>
    <t>Capital Losses Recouped in Current Period</t>
  </si>
  <si>
    <t>Total Available Capital Losses</t>
  </si>
  <si>
    <t>Losses to Carry Forward</t>
  </si>
  <si>
    <t>Losses Applied</t>
  </si>
  <si>
    <t>Capital Losses</t>
  </si>
  <si>
    <t>Losses Carried Forward</t>
  </si>
  <si>
    <t>Losses Recouped in Current Period</t>
  </si>
  <si>
    <t>Total Available Losses</t>
  </si>
  <si>
    <t>Non-Capital Losses</t>
  </si>
  <si>
    <r>
      <t xml:space="preserve">This worksheet relies on information from the </t>
    </r>
    <r>
      <rPr>
        <b/>
        <sz val="10"/>
        <color theme="0" tint="-0.499984740745262"/>
        <rFont val="Calibri"/>
        <family val="2"/>
        <scheme val="minor"/>
      </rPr>
      <t>C20 Tax Reconciliation</t>
    </r>
    <r>
      <rPr>
        <sz val="10"/>
        <color theme="0" tint="-0.499984740745262"/>
        <rFont val="Calibri"/>
        <family val="2"/>
        <scheme val="minor"/>
      </rPr>
      <t xml:space="preserve"> worksheet to ensure that losses recouped do not exceed available income.</t>
    </r>
  </si>
  <si>
    <r>
      <t xml:space="preserve">Amounts entered for losses recouped in the current period will transfer to the </t>
    </r>
    <r>
      <rPr>
        <b/>
        <sz val="10"/>
        <color theme="0" tint="-0.499984740745262"/>
        <rFont val="Calibri"/>
        <family val="2"/>
        <scheme val="minor"/>
      </rPr>
      <t>C20 Tax Reconciliation</t>
    </r>
    <r>
      <rPr>
        <sz val="10"/>
        <color theme="0" tint="-0.499984740745262"/>
        <rFont val="Calibri"/>
        <family val="2"/>
        <scheme val="minor"/>
      </rPr>
      <t xml:space="preserve"> worksheet.</t>
    </r>
  </si>
  <si>
    <r>
      <rPr>
        <b/>
        <sz val="11"/>
        <color rgb="FF27A9E1"/>
        <rFont val="Webdings"/>
        <family val="1"/>
        <charset val="2"/>
      </rPr>
      <t>i</t>
    </r>
    <r>
      <rPr>
        <b/>
        <sz val="11"/>
        <color rgb="FF27A9E1"/>
        <rFont val="Calibri"/>
        <family val="2"/>
        <scheme val="minor"/>
      </rPr>
      <t xml:space="preserve"> The purpose of this sheet is </t>
    </r>
    <r>
      <rPr>
        <b/>
        <sz val="11"/>
        <color rgb="FF27A9E1"/>
        <rFont val="Calibri"/>
        <family val="1"/>
        <charset val="2"/>
        <scheme val="minor"/>
      </rPr>
      <t>to record capital and non-capital tax losses.</t>
    </r>
  </si>
  <si>
    <t>Losses</t>
  </si>
  <si>
    <t>C15 Losses</t>
  </si>
  <si>
    <t>CC15_CapLoss</t>
  </si>
  <si>
    <t>CC15_CapLossCF</t>
  </si>
  <si>
    <t>CC15_LossCF</t>
  </si>
  <si>
    <t>CC15_Losses</t>
  </si>
  <si>
    <t>25be69b6-576a-4f29-87e8-5b6ad14682e1</t>
  </si>
  <si>
    <t>K04</t>
  </si>
  <si>
    <t>New template ID</t>
  </si>
  <si>
    <t>Worksheet</t>
  </si>
  <si>
    <t>Remaining Available</t>
  </si>
  <si>
    <t>Less: Dividends Declared</t>
  </si>
  <si>
    <r>
      <t>Franking Account Balance</t>
    </r>
    <r>
      <rPr>
        <b/>
        <sz val="9"/>
        <color rgb="FF333333"/>
        <rFont val="Calibri"/>
        <family val="2"/>
        <scheme val="minor"/>
      </rPr>
      <t xml:space="preserve"> </t>
    </r>
    <r>
      <rPr>
        <sz val="9"/>
        <color theme="0" tint="-0.499984740745262"/>
        <rFont val="Calibri"/>
        <family val="2"/>
        <scheme val="minor"/>
      </rPr>
      <t>(excluding dividends)</t>
    </r>
  </si>
  <si>
    <t>Franking
Credits</t>
  </si>
  <si>
    <t>Maximum 
Franked Dividends</t>
  </si>
  <si>
    <t>Corporate Tax Rate for Imputation Purposes</t>
  </si>
  <si>
    <t>Is the Company a BRE?</t>
  </si>
  <si>
    <t>The rate below may need to be modified if the previous year's BRE passive income was more than 80% of assessable income or aggregate turnover exceeded $50M.</t>
  </si>
  <si>
    <r>
      <rPr>
        <b/>
        <sz val="11"/>
        <color rgb="FF27A9E1"/>
        <rFont val="Webdings"/>
        <family val="1"/>
        <charset val="2"/>
      </rPr>
      <t>i</t>
    </r>
    <r>
      <rPr>
        <b/>
        <sz val="11"/>
        <color rgb="FF27A9E1"/>
        <rFont val="Calibri"/>
        <family val="2"/>
        <charset val="2"/>
        <scheme val="minor"/>
      </rPr>
      <t xml:space="preserve"> Refer to ATO </t>
    </r>
    <r>
      <rPr>
        <b/>
        <u/>
        <sz val="11"/>
        <color rgb="FF27A9E1"/>
        <rFont val="Calibri"/>
        <family val="2"/>
        <charset val="2"/>
        <scheme val="minor"/>
      </rPr>
      <t>LCR 2019/5</t>
    </r>
    <r>
      <rPr>
        <b/>
        <sz val="11"/>
        <color rgb="FF27A9E1"/>
        <rFont val="Calibri"/>
        <family val="2"/>
        <charset val="2"/>
        <scheme val="minor"/>
      </rPr>
      <t xml:space="preserve"> for information on base rate entities and base rate entity passive income.</t>
    </r>
    <r>
      <rPr>
        <b/>
        <sz val="11"/>
        <color rgb="FF27A9E1"/>
        <rFont val="Calibri"/>
        <family val="1"/>
        <charset val="2"/>
        <scheme val="minor"/>
      </rPr>
      <t xml:space="preserve"> </t>
    </r>
  </si>
  <si>
    <t>Summary</t>
  </si>
  <si>
    <t>Dividends Declared / Payable</t>
  </si>
  <si>
    <t>Franking Credits</t>
  </si>
  <si>
    <t>Unfranked</t>
  </si>
  <si>
    <t xml:space="preserve">Franked </t>
  </si>
  <si>
    <t>Contains Data?</t>
  </si>
  <si>
    <t>Payable</t>
  </si>
  <si>
    <t>Paid</t>
  </si>
  <si>
    <t>Declared</t>
  </si>
  <si>
    <t>Shareholder Name</t>
  </si>
  <si>
    <t>TotalDividends</t>
  </si>
  <si>
    <t>UnfrankedDividends</t>
  </si>
  <si>
    <t>FrankedDividends</t>
  </si>
  <si>
    <r>
      <rPr>
        <b/>
        <sz val="11"/>
        <color theme="0"/>
        <rFont val="Wingdings 3"/>
        <family val="1"/>
        <charset val="2"/>
      </rPr>
      <t>P</t>
    </r>
    <r>
      <rPr>
        <b/>
        <sz val="11"/>
        <color theme="0"/>
        <rFont val="Calibri"/>
        <family val="2"/>
        <scheme val="minor"/>
      </rPr>
      <t xml:space="preserve"> Update Summary Table</t>
    </r>
  </si>
  <si>
    <r>
      <t xml:space="preserve">Please Update </t>
    </r>
    <r>
      <rPr>
        <b/>
        <sz val="10"/>
        <color theme="0"/>
        <rFont val="Wingdings 3"/>
        <family val="1"/>
        <charset val="2"/>
      </rPr>
      <t>u</t>
    </r>
  </si>
  <si>
    <r>
      <rPr>
        <sz val="10"/>
        <color theme="0"/>
        <rFont val="Wingdings 3"/>
        <family val="1"/>
        <charset val="2"/>
      </rPr>
      <t>t</t>
    </r>
    <r>
      <rPr>
        <sz val="10"/>
        <color theme="0"/>
        <rFont val="Calibri"/>
        <family val="2"/>
        <charset val="2"/>
        <scheme val="minor"/>
      </rPr>
      <t xml:space="preserve">  K04 in use, please choose 'Worksheet' as source</t>
    </r>
    <r>
      <rPr>
        <sz val="10"/>
        <color theme="0"/>
        <rFont val="Calibri"/>
        <family val="1"/>
        <charset val="2"/>
        <scheme val="minor"/>
      </rPr>
      <t>, then Update Summary Table</t>
    </r>
  </si>
  <si>
    <t>Manual</t>
  </si>
  <si>
    <t>Source:</t>
  </si>
  <si>
    <r>
      <rPr>
        <b/>
        <sz val="11"/>
        <color theme="0"/>
        <rFont val="Wingdings 3"/>
        <family val="1"/>
        <charset val="2"/>
      </rPr>
      <t>P</t>
    </r>
    <r>
      <rPr>
        <b/>
        <sz val="11"/>
        <color theme="0"/>
        <rFont val="Calibri"/>
        <family val="2"/>
        <scheme val="minor"/>
      </rPr>
      <t xml:space="preserve">  Refresh Data</t>
    </r>
  </si>
  <si>
    <r>
      <t xml:space="preserve">If you use the </t>
    </r>
    <r>
      <rPr>
        <b/>
        <sz val="10"/>
        <color theme="1" tint="0.499984740745262"/>
        <rFont val="Calibri"/>
        <family val="2"/>
        <scheme val="minor"/>
      </rPr>
      <t xml:space="preserve">K04 Dividends Calculator </t>
    </r>
    <r>
      <rPr>
        <sz val="10"/>
        <color theme="1" tint="0.499984740745262"/>
        <rFont val="Calibri"/>
        <family val="2"/>
        <scheme val="minor"/>
      </rPr>
      <t xml:space="preserve">worksheet, you must do so for all dividends declared during the year. You </t>
    </r>
    <r>
      <rPr>
        <b/>
        <u/>
        <sz val="10"/>
        <color theme="1" tint="0.499984740745262"/>
        <rFont val="Calibri"/>
        <family val="2"/>
        <scheme val="minor"/>
      </rPr>
      <t xml:space="preserve">CANNOT </t>
    </r>
    <r>
      <rPr>
        <sz val="10"/>
        <color theme="1" tint="0.499984740745262"/>
        <rFont val="Calibri"/>
        <family val="2"/>
        <scheme val="minor"/>
      </rPr>
      <t xml:space="preserve">use both manual and worksheet data entry methods simultaneously.
To ensure data from </t>
    </r>
    <r>
      <rPr>
        <u/>
        <sz val="10"/>
        <color theme="1" tint="0.499984740745262"/>
        <rFont val="Calibri"/>
        <family val="2"/>
        <scheme val="minor"/>
      </rPr>
      <t>ALL</t>
    </r>
    <r>
      <rPr>
        <sz val="10"/>
        <color theme="1" tint="0.499984740745262"/>
        <rFont val="Calibri"/>
        <family val="2"/>
        <scheme val="minor"/>
      </rPr>
      <t xml:space="preserve"> </t>
    </r>
    <r>
      <rPr>
        <b/>
        <sz val="10"/>
        <color theme="1" tint="0.499984740745262"/>
        <rFont val="Calibri"/>
        <family val="2"/>
        <scheme val="minor"/>
      </rPr>
      <t>K04 Dividends Calculator</t>
    </r>
    <r>
      <rPr>
        <sz val="10"/>
        <color theme="1" tint="0.499984740745262"/>
        <rFont val="Calibri"/>
        <family val="2"/>
        <scheme val="minor"/>
      </rPr>
      <t xml:space="preserve"> worksheets updates, click on the </t>
    </r>
    <r>
      <rPr>
        <b/>
        <sz val="10"/>
        <color theme="1" tint="0.499984740745262"/>
        <rFont val="Calibri"/>
        <family val="2"/>
        <scheme val="minor"/>
      </rPr>
      <t>Refresh Data</t>
    </r>
    <r>
      <rPr>
        <sz val="10"/>
        <color theme="1" tint="0.499984740745262"/>
        <rFont val="Calibri"/>
        <family val="2"/>
        <scheme val="minor"/>
      </rPr>
      <t xml:space="preserve"> button.</t>
    </r>
  </si>
  <si>
    <r>
      <t xml:space="preserve">Should you elect not to use the </t>
    </r>
    <r>
      <rPr>
        <b/>
        <sz val="10"/>
        <color theme="1" tint="0.499984740745262"/>
        <rFont val="Calibri"/>
        <family val="2"/>
        <scheme val="minor"/>
      </rPr>
      <t xml:space="preserve">K04 Dividends Calculator </t>
    </r>
    <r>
      <rPr>
        <sz val="10"/>
        <color theme="1" tint="0.499984740745262"/>
        <rFont val="Calibri"/>
        <family val="2"/>
        <scheme val="minor"/>
      </rPr>
      <t>worksheets, you may choose to manually enter dividend and shareholder data below.</t>
    </r>
  </si>
  <si>
    <r>
      <t xml:space="preserve">Data from the </t>
    </r>
    <r>
      <rPr>
        <b/>
        <sz val="10"/>
        <color theme="1" tint="0.499984740745262"/>
        <rFont val="Calibri"/>
        <family val="2"/>
        <scheme val="minor"/>
      </rPr>
      <t xml:space="preserve">K04 Dividends Calculator </t>
    </r>
    <r>
      <rPr>
        <sz val="10"/>
        <color theme="1" tint="0.499984740745262"/>
        <rFont val="Calibri"/>
        <family val="2"/>
        <scheme val="minor"/>
      </rPr>
      <t xml:space="preserve">worksheets will prepopulate into this summary. Click </t>
    </r>
    <r>
      <rPr>
        <b/>
        <sz val="10"/>
        <color theme="1" tint="0.499984740745262"/>
        <rFont val="Calibri"/>
        <family val="2"/>
        <scheme val="minor"/>
      </rPr>
      <t>Update Summary Table</t>
    </r>
    <r>
      <rPr>
        <sz val="10"/>
        <color theme="1" tint="0.499984740745262"/>
        <rFont val="Calibri"/>
        <family val="2"/>
        <scheme val="minor"/>
      </rPr>
      <t xml:space="preserve"> to refresh the data.</t>
    </r>
  </si>
  <si>
    <r>
      <rPr>
        <sz val="11"/>
        <color rgb="FF27A9E1"/>
        <rFont val="Webdings"/>
        <family val="1"/>
        <charset val="2"/>
      </rPr>
      <t>i</t>
    </r>
    <r>
      <rPr>
        <sz val="11"/>
        <color rgb="FF27A9E1"/>
        <rFont val="Calibri"/>
        <family val="2"/>
        <charset val="2"/>
        <scheme val="minor"/>
      </rPr>
      <t xml:space="preserve"> </t>
    </r>
    <r>
      <rPr>
        <b/>
        <sz val="11"/>
        <color rgb="FF27A9E1"/>
        <rFont val="Calibri"/>
        <family val="2"/>
        <scheme val="minor"/>
      </rPr>
      <t>This section provides a summary of dividends declared during the period.</t>
    </r>
  </si>
  <si>
    <t>Dividends Declared</t>
  </si>
  <si>
    <t>CC20_TFNWithheldTrusts</t>
  </si>
  <si>
    <t>CC20_TFNWithheld</t>
  </si>
  <si>
    <t>CC20 Sheet Links</t>
  </si>
  <si>
    <t>M5a_FrankingCredits</t>
  </si>
  <si>
    <t>M5_NZFrankingCredits</t>
  </si>
  <si>
    <t>M5_FrankingCredits</t>
  </si>
  <si>
    <t>M5 Sheet Links</t>
  </si>
  <si>
    <t>Maximum 
Fully Franked
Dividend Payable</t>
  </si>
  <si>
    <t>Retained 
Earnings</t>
  </si>
  <si>
    <t>Maximum 
Franked Dividend</t>
  </si>
  <si>
    <t>Totals</t>
  </si>
  <si>
    <t>TFN Withholding Tax Received from Interest, Investments and Closely Held Trusts</t>
  </si>
  <si>
    <t>Franking Credits - Dividends Received via Distributions</t>
  </si>
  <si>
    <t>M10_FrankingCredits</t>
  </si>
  <si>
    <t>Franking Credits - Dividends Received from Direct Shareholdings</t>
  </si>
  <si>
    <r>
      <t>Franking Credits - Dividends Paid</t>
    </r>
    <r>
      <rPr>
        <i/>
        <sz val="8"/>
        <color rgb="FF333333"/>
        <rFont val="Calibri"/>
        <family val="2"/>
      </rPr>
      <t xml:space="preserve"> </t>
    </r>
    <r>
      <rPr>
        <sz val="9"/>
        <color theme="0" tint="-0.499984740745262"/>
        <rFont val="Calibri"/>
        <family val="2"/>
      </rPr>
      <t>(per schedule below)</t>
    </r>
  </si>
  <si>
    <t>Value</t>
  </si>
  <si>
    <t>Field</t>
  </si>
  <si>
    <t>Other Amounts</t>
  </si>
  <si>
    <t>May: PAYG Instalment</t>
  </si>
  <si>
    <t>Apr: PAYG Instalment</t>
  </si>
  <si>
    <t>Mar (3rd Qtr): PAYG Instalment</t>
  </si>
  <si>
    <t>Feb: PAYG Instalment</t>
  </si>
  <si>
    <t>Jan: PAYG Instalment</t>
  </si>
  <si>
    <t>Dec (2nd Qtr): PAYG Instalment</t>
  </si>
  <si>
    <t>Nov: PAYG Instalment</t>
  </si>
  <si>
    <t>Oct: PAYG Instalment</t>
  </si>
  <si>
    <t>Sep (1st Qtr): PAYG Instalment</t>
  </si>
  <si>
    <t xml:space="preserve">Aug: PAYG Instalment </t>
  </si>
  <si>
    <t xml:space="preserve">July: PAYG Instalment </t>
  </si>
  <si>
    <t>Amounts Relating to Current Year Assessment</t>
  </si>
  <si>
    <t xml:space="preserve">Prior Year Jun (4th Qtr): PAYG Instalment </t>
  </si>
  <si>
    <t>H35_PrevInstPaidCr</t>
  </si>
  <si>
    <t>Instalments Due Previous Years, Varied/Paid Late</t>
  </si>
  <si>
    <t>H35_TaxPrevYr</t>
  </si>
  <si>
    <t>Prior Year Tax Assessment</t>
  </si>
  <si>
    <t>Value (Dr)</t>
  </si>
  <si>
    <t>Amounts Relating to Prior Year Assessments</t>
  </si>
  <si>
    <t>Cr</t>
  </si>
  <si>
    <t>Dr</t>
  </si>
  <si>
    <t>Manual 
Dr/(Cr)</t>
  </si>
  <si>
    <t>Details and Calculations</t>
  </si>
  <si>
    <t>Franking Account</t>
  </si>
  <si>
    <t>Tax Year Start</t>
  </si>
  <si>
    <t>- M05 Distributions</t>
  </si>
  <si>
    <t>- K04 Dividends Calculator</t>
  </si>
  <si>
    <t>- M11 Dividends</t>
  </si>
  <si>
    <t>- C20 Tax Reconciliation</t>
  </si>
  <si>
    <t>- H35 Provisions - Tax</t>
  </si>
  <si>
    <t>This worksheet feeds data from the following worksheets, which, if relevant, should be present prior to introducing this sheet:</t>
  </si>
  <si>
    <r>
      <rPr>
        <b/>
        <sz val="11"/>
        <color rgb="FF27A9E1"/>
        <rFont val="Webdings"/>
        <family val="1"/>
        <charset val="2"/>
      </rPr>
      <t>i</t>
    </r>
    <r>
      <rPr>
        <b/>
        <sz val="11"/>
        <color rgb="FF27A9E1"/>
        <rFont val="Calibri"/>
        <family val="2"/>
        <scheme val="minor"/>
      </rPr>
      <t xml:space="preserve"> The purpose of this worksheet is to record dividends paid and reconcile the franking account</t>
    </r>
    <r>
      <rPr>
        <b/>
        <sz val="11"/>
        <color rgb="FF27A9E1"/>
        <rFont val="Calibri"/>
        <family val="1"/>
        <charset val="2"/>
        <scheme val="minor"/>
      </rPr>
      <t>.</t>
    </r>
  </si>
  <si>
    <t>Dividends Payable</t>
  </si>
  <si>
    <t>Dividends Paid and Franking Account</t>
  </si>
  <si>
    <t>AWP 5.24.1</t>
  </si>
  <si>
    <t>6f1ac5de-55d9-4435-b2a5-19a85345be3c</t>
  </si>
  <si>
    <t>C05 Divs and Franking</t>
  </si>
  <si>
    <t>_FilterDatabase</t>
  </si>
  <si>
    <t>CC5_FrankingAccBal</t>
  </si>
  <si>
    <t>CC5_OpeningFrankAcctBal</t>
  </si>
  <si>
    <t>Dividends_SelectedMethod</t>
  </si>
  <si>
    <t>ImputationRate</t>
  </si>
  <si>
    <t>TaxYearStart</t>
  </si>
  <si>
    <t>Net Transaction Amount</t>
  </si>
  <si>
    <t>Adjusted Role Code</t>
  </si>
  <si>
    <t>Role Code</t>
  </si>
  <si>
    <t>Transaction ID</t>
  </si>
  <si>
    <t>Grouping Code</t>
  </si>
  <si>
    <t>Running Balance</t>
  </si>
  <si>
    <t>Credit</t>
  </si>
  <si>
    <t>Debit</t>
  </si>
  <si>
    <r>
      <t xml:space="preserve">Manual Allocation
</t>
    </r>
    <r>
      <rPr>
        <sz val="8"/>
        <color rgb="FF333333"/>
        <rFont val="Calibri"/>
        <family val="2"/>
      </rPr>
      <t>(Interest/Transfers/
Penalties/Other)</t>
    </r>
  </si>
  <si>
    <t>Effective Date</t>
  </si>
  <si>
    <t>Processed Date</t>
  </si>
  <si>
    <t xml:space="preserve">Transfers to/(Transfers from) Income Tax Account </t>
  </si>
  <si>
    <r>
      <rPr>
        <b/>
        <sz val="11"/>
        <color rgb="FFFFFFFF"/>
        <rFont val="Wingdings 3"/>
        <family val="1"/>
        <charset val="2"/>
      </rPr>
      <t>P</t>
    </r>
    <r>
      <rPr>
        <b/>
        <sz val="11"/>
        <color rgb="FFFFFFFF"/>
        <rFont val="Calibri"/>
        <family val="2"/>
      </rPr>
      <t xml:space="preserve"> Refresh Data Feed</t>
    </r>
  </si>
  <si>
    <t xml:space="preserve">  Integrated Client Account Transactions</t>
  </si>
  <si>
    <t>Total per Integrated Client Account</t>
  </si>
  <si>
    <t>Total Net Transfers</t>
  </si>
  <si>
    <t>Other</t>
  </si>
  <si>
    <t>Super Guarantee Account</t>
  </si>
  <si>
    <t>Fringe Benefits Account</t>
  </si>
  <si>
    <t>Income Tax Account</t>
  </si>
  <si>
    <t>Enter transfers to and from other accounts in the respective white cells below.</t>
  </si>
  <si>
    <r>
      <t xml:space="preserve">Transfers to and from the Income Tax account prepopulates from the </t>
    </r>
    <r>
      <rPr>
        <b/>
        <sz val="10"/>
        <color theme="0" tint="-0.499984740745262"/>
        <rFont val="Calibri"/>
        <family val="2"/>
        <scheme val="minor"/>
      </rPr>
      <t>C50 Income Tax Account</t>
    </r>
    <r>
      <rPr>
        <sz val="10"/>
        <color theme="0" tint="-0.499984740745262"/>
        <rFont val="Calibri"/>
        <family val="2"/>
        <scheme val="minor"/>
      </rPr>
      <t xml:space="preserve"> worksheet.</t>
    </r>
  </si>
  <si>
    <r>
      <rPr>
        <b/>
        <sz val="11"/>
        <color rgb="FF27A9E1"/>
        <rFont val="Webdings"/>
        <family val="1"/>
        <charset val="2"/>
      </rPr>
      <t>i</t>
    </r>
    <r>
      <rPr>
        <b/>
        <sz val="11"/>
        <color rgb="FF27A9E1"/>
        <rFont val="Calibri"/>
        <family val="2"/>
        <scheme val="minor"/>
      </rPr>
      <t xml:space="preserve"> Reconcile the net transfers in this account with the other ATO accounts.</t>
    </r>
  </si>
  <si>
    <t>Net Transfers Reconciliation</t>
  </si>
  <si>
    <t>Balance to Liability Account</t>
  </si>
  <si>
    <t>Fines and Penalties</t>
  </si>
  <si>
    <t>Penalties</t>
  </si>
  <si>
    <t>Interest Income</t>
  </si>
  <si>
    <t>CGIC</t>
  </si>
  <si>
    <t>SIC</t>
  </si>
  <si>
    <t>GICA</t>
  </si>
  <si>
    <t>Interest Expense</t>
  </si>
  <si>
    <t>Recommended Journal</t>
  </si>
  <si>
    <t>Transfer</t>
  </si>
  <si>
    <r>
      <t xml:space="preserve">Net Transfers </t>
    </r>
    <r>
      <rPr>
        <sz val="10"/>
        <color rgb="FF27A9E1"/>
        <rFont val="Webdings"/>
        <family val="1"/>
        <charset val="2"/>
      </rPr>
      <t>i</t>
    </r>
  </si>
  <si>
    <t>RF</t>
  </si>
  <si>
    <t>Refunds</t>
  </si>
  <si>
    <t>PYDA</t>
  </si>
  <si>
    <t>PYR</t>
  </si>
  <si>
    <t>Payments</t>
  </si>
  <si>
    <t>Total Amounts Owing</t>
  </si>
  <si>
    <t>WET</t>
  </si>
  <si>
    <t>Wine Equalization Tax</t>
  </si>
  <si>
    <t>FTC</t>
  </si>
  <si>
    <t>Fuel Tax Credits</t>
  </si>
  <si>
    <t>FBTI</t>
  </si>
  <si>
    <t>FBT Instalments</t>
  </si>
  <si>
    <t>PAYG Instalments</t>
  </si>
  <si>
    <t>Tax Payables</t>
  </si>
  <si>
    <t>Current Year</t>
  </si>
  <si>
    <t>Transactions Relating to Prior Years</t>
  </si>
  <si>
    <t>ATO Codes</t>
  </si>
  <si>
    <r>
      <rPr>
        <b/>
        <sz val="11"/>
        <color rgb="FF27A9E1"/>
        <rFont val="Webdings"/>
        <family val="1"/>
        <charset val="2"/>
      </rPr>
      <t>i</t>
    </r>
    <r>
      <rPr>
        <b/>
        <sz val="11"/>
        <color rgb="FF27A9E1"/>
        <rFont val="Calibri"/>
        <family val="2"/>
        <scheme val="minor"/>
      </rPr>
      <t xml:space="preserve"> This worksheet documents the Integrated Client Account transactions per the ATO for the financial year</t>
    </r>
    <r>
      <rPr>
        <b/>
        <sz val="11"/>
        <color rgb="FF27A9E1"/>
        <rFont val="Calibri"/>
        <family val="1"/>
        <charset val="2"/>
        <scheme val="minor"/>
      </rPr>
      <t>.</t>
    </r>
  </si>
  <si>
    <t>Integrated Client Account</t>
  </si>
  <si>
    <t>5.24.3</t>
  </si>
  <si>
    <t>ad75aac2-7957-4bc0-a29f-3bf3f100b377</t>
  </si>
  <si>
    <t>Product Id:</t>
  </si>
  <si>
    <t>H50 ICA</t>
  </si>
  <si>
    <t>ICA_AllocationList</t>
  </si>
  <si>
    <t>ICA_NetTransactionAmount</t>
  </si>
  <si>
    <t>ICA_NetTransfers_ITA</t>
  </si>
  <si>
    <t>Model_CATS.List.AdjRoleCode</t>
  </si>
  <si>
    <t>Model_CATS.List.Credit</t>
  </si>
  <si>
    <t>Model_CATS.List.Debit</t>
  </si>
  <si>
    <t>Model_CATS.List.Description</t>
  </si>
  <si>
    <t>Model_CATS.List.EffectiveDate</t>
  </si>
  <si>
    <t>Model_CATS.List.GroupingCode</t>
  </si>
  <si>
    <t>Model_CATS.List.LinkedTransactionId</t>
  </si>
  <si>
    <t>Model_CATS.List.ProcessDate</t>
  </si>
  <si>
    <t>Model_CATS.List.RoleCode</t>
  </si>
  <si>
    <t>Model_CATS.List.RunningBalance</t>
  </si>
  <si>
    <t>Transfers to/(Transfers from) Integrated Client Account</t>
  </si>
  <si>
    <r>
      <rPr>
        <b/>
        <sz val="11"/>
        <color rgb="FFFFFFFF"/>
        <rFont val="Wingdings 3"/>
        <family val="1"/>
        <charset val="2"/>
      </rPr>
      <t>P</t>
    </r>
    <r>
      <rPr>
        <b/>
        <sz val="11"/>
        <color rgb="FFFFFFFF"/>
        <rFont val="Calibri"/>
        <family val="1"/>
        <charset val="2"/>
      </rPr>
      <t xml:space="preserve"> Refresh Data Feed</t>
    </r>
  </si>
  <si>
    <t xml:space="preserve">  Income Tax Account Transactions</t>
  </si>
  <si>
    <t>Total per Income Tax Account</t>
  </si>
  <si>
    <r>
      <t xml:space="preserve">Transfers to and from the Integrated Client Account prepopulates from the </t>
    </r>
    <r>
      <rPr>
        <b/>
        <sz val="10"/>
        <color theme="0" tint="-0.499984740745262"/>
        <rFont val="Calibri"/>
        <family val="2"/>
        <scheme val="minor"/>
      </rPr>
      <t>H50 Integrated Client Account</t>
    </r>
    <r>
      <rPr>
        <sz val="10"/>
        <color theme="0" tint="-0.499984740745262"/>
        <rFont val="Calibri"/>
        <family val="2"/>
        <scheme val="minor"/>
      </rPr>
      <t xml:space="preserve"> worksheet.</t>
    </r>
  </si>
  <si>
    <t>Income Tax</t>
  </si>
  <si>
    <r>
      <rPr>
        <b/>
        <sz val="11"/>
        <color rgb="FF27A9E1"/>
        <rFont val="Webdings"/>
        <family val="1"/>
        <charset val="2"/>
      </rPr>
      <t>i</t>
    </r>
    <r>
      <rPr>
        <b/>
        <sz val="11"/>
        <color rgb="FF27A9E1"/>
        <rFont val="Calibri"/>
        <family val="2"/>
        <scheme val="minor"/>
      </rPr>
      <t xml:space="preserve"> This worksheet documents the Income Tax Account transactions per the ATO for the financial year</t>
    </r>
    <r>
      <rPr>
        <b/>
        <sz val="11"/>
        <color rgb="FF27A9E1"/>
        <rFont val="Calibri"/>
        <family val="1"/>
        <charset val="2"/>
        <scheme val="minor"/>
      </rPr>
      <t>.</t>
    </r>
  </si>
  <si>
    <t>C50 ITA</t>
  </si>
  <si>
    <t>ITA_AllocationList</t>
  </si>
  <si>
    <t>ITA_NetTransactionAmount</t>
  </si>
  <si>
    <t>ITA_NetTransfers_ICA</t>
  </si>
  <si>
    <t>Days in Year</t>
  </si>
  <si>
    <t>INTEREST RATE</t>
  </si>
  <si>
    <t>Remaining Year</t>
  </si>
  <si>
    <t>YEAR</t>
  </si>
  <si>
    <t>MIN REPAYMENT CALCULATOR SECTION</t>
  </si>
  <si>
    <t>Minimum Repayment Required</t>
  </si>
  <si>
    <t xml:space="preserve">Over (Under) Minimum Repayment  </t>
  </si>
  <si>
    <t>Actual Payment Made</t>
  </si>
  <si>
    <t>Year</t>
  </si>
  <si>
    <t>Director</t>
  </si>
  <si>
    <r>
      <rPr>
        <b/>
        <sz val="11"/>
        <color rgb="FF27A9E1"/>
        <rFont val="Webdings"/>
        <family val="1"/>
        <charset val="2"/>
      </rPr>
      <t>i</t>
    </r>
    <r>
      <rPr>
        <b/>
        <sz val="11"/>
        <color rgb="FF27A9E1"/>
        <rFont val="Calibri"/>
        <family val="2"/>
        <scheme val="minor"/>
      </rPr>
      <t xml:space="preserve"> The minimum repayment and interest calculations for years after the current year are indicative values only, based on the current interest rate.
The actual minimum repayments will depend on the benchmark interest rate for each year.</t>
    </r>
  </si>
  <si>
    <t>Minimum Repayment Calculator</t>
  </si>
  <si>
    <t>Balance 
of Principal Outstanding</t>
  </si>
  <si>
    <t>Interest
at the Benchmark Interest Rate</t>
  </si>
  <si>
    <t>Drawdowns</t>
  </si>
  <si>
    <r>
      <t xml:space="preserve">Date </t>
    </r>
    <r>
      <rPr>
        <b/>
        <sz val="10"/>
        <color rgb="FFC00000"/>
        <rFont val="Calibri"/>
        <family val="2"/>
      </rPr>
      <t>*</t>
    </r>
  </si>
  <si>
    <t>Interest is calculated on the daily balance of principal outstanding, but only debited to the account on 30 June or the date the loan is repaid in full.
Total interest for the year is the amount appearing at the bottom of the table.</t>
  </si>
  <si>
    <r>
      <rPr>
        <b/>
        <sz val="11"/>
        <color rgb="FF27A9E1"/>
        <rFont val="Webdings"/>
        <family val="1"/>
        <charset val="2"/>
      </rPr>
      <t>i</t>
    </r>
    <r>
      <rPr>
        <b/>
        <sz val="11"/>
        <color rgb="FF27A9E1"/>
        <rFont val="Calibri"/>
        <family val="2"/>
        <scheme val="minor"/>
      </rPr>
      <t xml:space="preserve"> Enter transactions for the year. </t>
    </r>
  </si>
  <si>
    <t>Transactions for the Year</t>
  </si>
  <si>
    <t>Total Loan</t>
  </si>
  <si>
    <t>This is a separate loan - use a new worksheet</t>
  </si>
  <si>
    <t>Drawdowns During Year</t>
  </si>
  <si>
    <t>Balance of Loan Not Repaid by End of Year</t>
  </si>
  <si>
    <t>Balance of Loan Not Repaid by Lodgement Day</t>
  </si>
  <si>
    <t>Minimum Yearly Repayment for the Current Financial Year</t>
  </si>
  <si>
    <t>No interest is payable in respect of the year the loan is made.</t>
  </si>
  <si>
    <t>Current Year's Benchmark Interest Rate</t>
  </si>
  <si>
    <r>
      <t xml:space="preserve">Lodgement Date </t>
    </r>
    <r>
      <rPr>
        <sz val="9"/>
        <color theme="0" tint="-0.499984740745262"/>
        <rFont val="Calibri"/>
        <family val="2"/>
      </rPr>
      <t>(if applicable)</t>
    </r>
  </si>
  <si>
    <r>
      <t xml:space="preserve">Remaining Term </t>
    </r>
    <r>
      <rPr>
        <sz val="9"/>
        <color theme="0" tint="-0.499984740745262"/>
        <rFont val="Calibri"/>
        <family val="2"/>
      </rPr>
      <t>(years)</t>
    </r>
  </si>
  <si>
    <r>
      <t xml:space="preserve">Term of Loan </t>
    </r>
    <r>
      <rPr>
        <sz val="9"/>
        <color theme="0" tint="-0.499984740745262"/>
        <rFont val="Calibri"/>
        <family val="2"/>
      </rPr>
      <t>(years)</t>
    </r>
  </si>
  <si>
    <t>Income Year of Loan</t>
  </si>
  <si>
    <t>Is the Loan Secured or Unsecured?</t>
  </si>
  <si>
    <t xml:space="preserve">Director Name </t>
  </si>
  <si>
    <t>Loan Name</t>
  </si>
  <si>
    <t>Benchmark Interest Rates</t>
  </si>
  <si>
    <t>ATO Division 7A calculator and decision tool</t>
  </si>
  <si>
    <t>ATO Division 7A and trusts</t>
  </si>
  <si>
    <t>ATO Section 109R Some Payments Relating to Loans not Taken into Account</t>
  </si>
  <si>
    <t>Refer to:</t>
  </si>
  <si>
    <r>
      <rPr>
        <b/>
        <sz val="11"/>
        <color rgb="FF27A9E1"/>
        <rFont val="Webdings"/>
        <family val="1"/>
        <charset val="2"/>
      </rPr>
      <t>i</t>
    </r>
    <r>
      <rPr>
        <b/>
        <sz val="11"/>
        <color rgb="FF27A9E1"/>
        <rFont val="Calibri"/>
        <family val="1"/>
        <charset val="2"/>
        <scheme val="minor"/>
      </rPr>
      <t xml:space="preserve"> The purpose of this worksheet is to assist in determining the effect of Division 7A in relation to payments and loans and assist in meeting obligations on complying loans.</t>
    </r>
  </si>
  <si>
    <t>5.24.5</t>
  </si>
  <si>
    <t>Division 7A - Interest &amp; Minimum Repayment Calculator</t>
  </si>
  <si>
    <t>1c70b874-6606-4d9f-be68-5e1e16ae849a</t>
  </si>
  <si>
    <t>ClBalance</t>
  </si>
  <si>
    <t>MinRepayments</t>
  </si>
  <si>
    <t>UnderOver</t>
  </si>
  <si>
    <t>OpBalance</t>
  </si>
  <si>
    <t>G31 Div 7A Loan Calculator</t>
  </si>
  <si>
    <t>CategoryNamesList</t>
  </si>
  <si>
    <t>G31_LoanBalance</t>
  </si>
  <si>
    <t>Interest_Rate</t>
  </si>
  <si>
    <t>93591c80-2a0a-4edc-9b10-091fcaa4314c</t>
  </si>
  <si>
    <t>5843ca72-ff96-4333-a63b-a8c3ea30f161</t>
  </si>
  <si>
    <t>06a2118e-071c-491e-8f48-a32d75e01979</t>
  </si>
  <si>
    <t>Accounts &amp; Tax Checklist</t>
  </si>
  <si>
    <t>1be1eb80-ea39-4a32-9c69-c2fe5ce05412</t>
  </si>
  <si>
    <t>6bae9c77-58d1-4c91-953c-9f6ebf25f2a4</t>
  </si>
  <si>
    <t>41d18e58-1c5c-4ccf-9b30-0be03ce31a1e</t>
  </si>
  <si>
    <t>759697b5-8809-49d5-bde3-48023e91033b</t>
  </si>
  <si>
    <t>7b446d22-0b10-4223-8ea6-39780c80ca14</t>
  </si>
  <si>
    <t>Bank Loan</t>
  </si>
  <si>
    <t>8d3fe793-b6c4-4056-bc60-c954db5b2c99</t>
  </si>
  <si>
    <t>Franking Accounts</t>
  </si>
  <si>
    <t>905bc057-66e4-4536-957e-ef485e182cc5</t>
  </si>
  <si>
    <t>9263d4e7-43bd-4294-8f89-3ae50d02881e</t>
  </si>
  <si>
    <t>939b9d38-e3fb-4af0-89e6-1feb2af85407</t>
  </si>
  <si>
    <t>93d99588-e4fd-4387-9bb8-6386e7354e41</t>
  </si>
  <si>
    <t>1483c980-ee7f-4e04-90f3-e76b673050a9</t>
  </si>
  <si>
    <t>Company Tax Return</t>
  </si>
  <si>
    <t>a172f9ef-94ce-42b9-845b-b670d9d6cfe3</t>
  </si>
  <si>
    <t>Div 7A Calculator</t>
  </si>
  <si>
    <t>a444c914-52ca-4680-b0ff-5f1b9b0754bb</t>
  </si>
  <si>
    <t>GST Reconciliation</t>
  </si>
  <si>
    <t>aa617a54-b893-409a-883e-ed425692ce27</t>
  </si>
  <si>
    <t>3d231889-6a78-4a9c-854b-3edbd173b228</t>
  </si>
  <si>
    <t>Tax Rates</t>
  </si>
  <si>
    <t>ab8fff7d-873f-4ab0-a574-b7856162cedd</t>
  </si>
  <si>
    <t>b2ce20fb-fcf3-49d2-93d1-d8c61f20570d</t>
  </si>
  <si>
    <t>e4ade9f5-8114-417a-b81f-642497a81375</t>
  </si>
  <si>
    <t>e6ac3963-a9ca-4949-b6cc-9208f2bbc160</t>
  </si>
  <si>
    <t>f344fa4a-c004-479f-b292-0f5a8fa07223</t>
  </si>
  <si>
    <t>Wages and PAYG</t>
  </si>
  <si>
    <t>f444de83-a7aa-4b96-84d4-ccf4b30b6b9e</t>
  </si>
  <si>
    <t>f53b116e-17fa-4f2b-95ed-53355043d420</t>
  </si>
  <si>
    <t>2024 Dr/(Cr)</t>
  </si>
  <si>
    <t>2023 Dr/(Cr)</t>
  </si>
  <si>
    <t>Variance Dr/(Cr)</t>
  </si>
  <si>
    <t>e94464eb-e3c6-4413-8d09-6279ace2555d</t>
  </si>
  <si>
    <t>Assets</t>
  </si>
  <si>
    <t>Header</t>
  </si>
  <si>
    <t>AS</t>
  </si>
  <si>
    <t>7119d28d-2a88-43b0-a96e-d0fcb0396320</t>
  </si>
  <si>
    <t>Current Assets</t>
  </si>
  <si>
    <t>AS.CU</t>
  </si>
  <si>
    <t>a6bfd5c9-19b3-401d-b3ee-17542a00c6b3</t>
  </si>
  <si>
    <t>Miss U Motel General Transaction</t>
  </si>
  <si>
    <t>Account</t>
  </si>
  <si>
    <t>e94e98de-aa7b-4da1-a7aa-57c20b9bff8f</t>
  </si>
  <si>
    <t>Asset.CA.Cash</t>
  </si>
  <si>
    <t>79aef652-998a-48b7-a56b-5c8834983948</t>
  </si>
  <si>
    <t>601 PetManager Payments Clearing Account</t>
  </si>
  <si>
    <t>37a095a1-9cef-438e-9156-71dcdeee694d</t>
  </si>
  <si>
    <t>605 Miss U Motel Savings</t>
  </si>
  <si>
    <t>4eef5049-9660-44c0-b334-f33f4e3d978b</t>
  </si>
  <si>
    <t>Accounts Receivable</t>
  </si>
  <si>
    <t>1451a39b-0001-4471-814e-c881e5ca0b0b</t>
  </si>
  <si>
    <t>9b78ad05-6a33-485b-a06b-72442bdb23c5</t>
  </si>
  <si>
    <t>620 Prepayments</t>
  </si>
  <si>
    <t>fba2569e-b13a-40a6-a4c5-6763fbc5f57f</t>
  </si>
  <si>
    <t>630 Inventory</t>
  </si>
  <si>
    <t>7d9d344d-a148-4f95-a390-2b0d7fc957db</t>
  </si>
  <si>
    <t>Stripe Clearing Account</t>
  </si>
  <si>
    <t>8fce7746-598f-4bbd-b239-a2d95ff2186b</t>
  </si>
  <si>
    <t>Asset.CA.OtherAssets</t>
  </si>
  <si>
    <t>09513e16-0b9e-41c7-9a21-594b91f903e7</t>
  </si>
  <si>
    <t>720 Computer Equipment</t>
  </si>
  <si>
    <t>479471b7-28c1-4404-aace-778b3ee3e32d</t>
  </si>
  <si>
    <t>SQ-000000</t>
  </si>
  <si>
    <t>Square Balance</t>
  </si>
  <si>
    <t>4add7420-aa8e-4c15-abcd-48d5e02a2ff7</t>
  </si>
  <si>
    <t>SQ-600000 Square Balance Adjustments</t>
  </si>
  <si>
    <t>1357ac79-227d-4396-ab09-7bc1815f6a74</t>
  </si>
  <si>
    <t>SQ-600003 Square Held Funds</t>
  </si>
  <si>
    <t>5624d777-b77b-4db0-b74d-17f6ad11f2d9</t>
  </si>
  <si>
    <t>SQ-600008</t>
  </si>
  <si>
    <t>Square Cash Clearing</t>
  </si>
  <si>
    <t>9f37ea9b-01cd-4046-aa12-772a59fc4c2f</t>
  </si>
  <si>
    <t>SQ-600010 Square Other Payment Clearing</t>
  </si>
  <si>
    <t>3e50da86-ec62-4faf-81fb-634bd0cf8f9c</t>
  </si>
  <si>
    <t>642 Suspense Account</t>
  </si>
  <si>
    <t>8d7ec67e-d790-494e-a9be-71dc4fdc0801</t>
  </si>
  <si>
    <t>740 Employee Loan</t>
  </si>
  <si>
    <t>Total_7119d28d-2a88-43b0-a96e-d0fcb0396320</t>
  </si>
  <si>
    <t>Total Current Assets</t>
  </si>
  <si>
    <t>012588d8-33bf-46ab-a271-f5893f6bb1a1</t>
  </si>
  <si>
    <t>Non Current Assets</t>
  </si>
  <si>
    <t>AS.NC</t>
  </si>
  <si>
    <t>7d7e115b-d437-44c1-bf18-d60ca498f386</t>
  </si>
  <si>
    <t>Business Goodwill</t>
  </si>
  <si>
    <t>87233ad2-d161-4771-ae4e-11a4d2953e91</t>
  </si>
  <si>
    <t>Asset.NCA.OtherIntangibles</t>
  </si>
  <si>
    <t>e7e66be0-4381-46cf-8756-79d90a0c90b4</t>
  </si>
  <si>
    <t>Furniture &amp; Fixtures</t>
  </si>
  <si>
    <t>3dad48f6-2805-481c-97b1-b698e9ffe5a7</t>
  </si>
  <si>
    <t>Asset.NCA.FA.FixedAssets</t>
  </si>
  <si>
    <t>6f553ef6-ad0e-481b-adeb-1622a26c1afc</t>
  </si>
  <si>
    <t>711 Less Accumulated Depreciation on Office Equipment</t>
  </si>
  <si>
    <t>58790c74-6c0b-4173-bcd6-c3a99ca9bc59</t>
  </si>
  <si>
    <t>721 Less Accumulated Depreciation on Computer Equipment</t>
  </si>
  <si>
    <t>Total_012588d8-33bf-46ab-a271-f5893f6bb1a1</t>
  </si>
  <si>
    <t>Total Non Current Assets</t>
  </si>
  <si>
    <t>Total_e94464eb-e3c6-4413-8d09-6279ace2555d</t>
  </si>
  <si>
    <t>Total Assets</t>
  </si>
  <si>
    <t>e22187cb-fa7b-482b-8075-ed1f6086cd74</t>
  </si>
  <si>
    <t>Liabilities</t>
  </si>
  <si>
    <t>LB</t>
  </si>
  <si>
    <t>d60884d6-7531-4295-b070-9354ce7be482</t>
  </si>
  <si>
    <t>Current Liabilities</t>
  </si>
  <si>
    <t>LB.CU</t>
  </si>
  <si>
    <t>4a78cadb-d6d2-4681-b4b2-f7215ae998df</t>
  </si>
  <si>
    <t>Deposits Received</t>
  </si>
  <si>
    <t>7d1f6b1f-3a7e-4d6e-97b2-15560b7151fb</t>
  </si>
  <si>
    <t>Liab.CL.OtherLiabilities</t>
  </si>
  <si>
    <t>3112049a-1041-4678-8d10-29098f5b150b</t>
  </si>
  <si>
    <t>800 Accounts Payable</t>
  </si>
  <si>
    <t>13ba2caa-9f2b-4ae8-93fa-5bfbde524945</t>
  </si>
  <si>
    <t>801 Unpaid Expense Claims</t>
  </si>
  <si>
    <t>369bd383-996e-4df7-8ebb-ddcd5b85e2d6</t>
  </si>
  <si>
    <t>Client Credits</t>
  </si>
  <si>
    <t>57479818-fe66-4145-8598-c8bc6c7fb770</t>
  </si>
  <si>
    <t>Wages Payable - Payroll</t>
  </si>
  <si>
    <t>33096b58-2ca7-4d5b-8ea4-bc312420e202</t>
  </si>
  <si>
    <t>3d63c87c-cdf9-4a9d-b81b-82e22ae723f2</t>
  </si>
  <si>
    <t>Liab.CL.Payables.GST</t>
  </si>
  <si>
    <t>c301ddac-7ef3-4e4a-a28e-b0dd15ae94ed</t>
  </si>
  <si>
    <t>PAYG Withholdings Payable</t>
  </si>
  <si>
    <t>0377561f-7d29-4977-ac4e-1206e29e8f11</t>
  </si>
  <si>
    <t>Liab.CL.Payables.Other</t>
  </si>
  <si>
    <t>09fad9c0-476d-4701-b074-97b436f2a571</t>
  </si>
  <si>
    <t>b90d90b6-8892-4b9b-a9d7-a2ef2a3ad20b</t>
  </si>
  <si>
    <t>830 Income Tax Payable</t>
  </si>
  <si>
    <t>62f98fe4-95c2-4158-aa1e-6804cd06c455</t>
  </si>
  <si>
    <t>840 Historical Adjustment</t>
  </si>
  <si>
    <t>ff4df9c4-c69f-40c4-9682-be46371fef4e</t>
  </si>
  <si>
    <t>Suspense</t>
  </si>
  <si>
    <t>999cb981-9ca5-4cb6-aaac-cf70f28361a5</t>
  </si>
  <si>
    <t>d5e42b10-7d88-4cad-bf37-a2c8371f6d6c</t>
  </si>
  <si>
    <t>860 Rounding</t>
  </si>
  <si>
    <t>d3eb5899-9d2d-4724-a655-6abb0ec1e1fb</t>
  </si>
  <si>
    <t>877 Tracking Transfers</t>
  </si>
  <si>
    <t>1e790b34-3041-42cc-b669-508bc66dd6da</t>
  </si>
  <si>
    <t>Owner A Drawings</t>
  </si>
  <si>
    <t>02786fdf-3329-414d-b6a6-455818fe70b4</t>
  </si>
  <si>
    <t>Owner A Funds Introduced</t>
  </si>
  <si>
    <t>f55db5b9-1a03-4f23-80dd-94c9444fa9fd</t>
  </si>
  <si>
    <t>Business Loan</t>
  </si>
  <si>
    <t>a9d07f59-37fa-49cf-99d3-7daf11d33ff7</t>
  </si>
  <si>
    <t>Liab.CL.Loans.Unsecured</t>
  </si>
  <si>
    <t>652fa89e-9e27-4ba6-8a82-41decd3b2cd6</t>
  </si>
  <si>
    <t>SQ-800000 Square Loan Payments</t>
  </si>
  <si>
    <t>789e862b-9880-40ae-8e13-5e45c5031765</t>
  </si>
  <si>
    <t>SQ-800005 Square Tips</t>
  </si>
  <si>
    <t>afbb6c7a-7791-417e-8979-a6d494205db0</t>
  </si>
  <si>
    <t>SQ-800006 Square Gift Card</t>
  </si>
  <si>
    <t>01a1449f-7d6e-4ea7-b94a-248feda01bfe</t>
  </si>
  <si>
    <t>SQ-800007 Square Collected Taxes</t>
  </si>
  <si>
    <t>32483681-7908-44ef-ba88-524f60858bc0</t>
  </si>
  <si>
    <t>SQ-800009 Square Exchange Credit Clearing</t>
  </si>
  <si>
    <t>62edfd27-4229-45a7-a970-5a09fa004654</t>
  </si>
  <si>
    <t>900/01 Principal Borrowed</t>
  </si>
  <si>
    <t>4f90045f-b655-4f11-959a-d0488249d7f6</t>
  </si>
  <si>
    <t>900/02 Principal Payments</t>
  </si>
  <si>
    <t>Total_d60884d6-7531-4295-b070-9354ce7be482</t>
  </si>
  <si>
    <t>Total Current Liabilities</t>
  </si>
  <si>
    <t>ad776dcc-93f8-4893-aad5-a20c14b3e539</t>
  </si>
  <si>
    <t>Non Current Liabilities</t>
  </si>
  <si>
    <t>LB.NC</t>
  </si>
  <si>
    <t>Total_ad776dcc-93f8-4893-aad5-a20c14b3e539</t>
  </si>
  <si>
    <t>Total Non Current Liabilities</t>
  </si>
  <si>
    <t>Total_e22187cb-fa7b-482b-8075-ed1f6086cd74</t>
  </si>
  <si>
    <t>Total Liabilities</t>
  </si>
  <si>
    <t>Total_Net Assets</t>
  </si>
  <si>
    <t>Net Assets</t>
  </si>
  <si>
    <t>6ec74ec2-739c-4526-b919-ae4c6bd406f2</t>
  </si>
  <si>
    <t>Equity</t>
  </si>
  <si>
    <t>EQ</t>
  </si>
  <si>
    <t>4e228bc8-1ee4-4745-82e1-d0af1cb4e0ef</t>
  </si>
  <si>
    <t>Movements to Opening Retained Earnings</t>
  </si>
  <si>
    <t>EQ.RET.CYE.PVS</t>
  </si>
  <si>
    <t>a29d0ff4-603c-4356-9fef-c258d7fb7a4d</t>
  </si>
  <si>
    <t>Current Earnings</t>
  </si>
  <si>
    <t>EQ.RET.CYE</t>
  </si>
  <si>
    <t>83e72160-7bfd-4cae-8575-d8a77c7d5c06</t>
  </si>
  <si>
    <t>960 Retained Earnings</t>
  </si>
  <si>
    <t>4b189729-3da0-4a84-abcc-67e72f72b0f5</t>
  </si>
  <si>
    <t>970 Owner A Share Capital</t>
  </si>
  <si>
    <t>Total_6ec74ec2-739c-4526-b919-ae4c6bd406f2</t>
  </si>
  <si>
    <t>Total Equity</t>
  </si>
  <si>
    <t>292b9a93-8dc7-4494-98ba-678f92a6e110</t>
  </si>
  <si>
    <t>RV</t>
  </si>
  <si>
    <t>c54c23a3-5e20-4d90-a00f-ed4527380321</t>
  </si>
  <si>
    <t>Sales</t>
  </si>
  <si>
    <t>e5cbc2a9-9a49-4827-8975-a15b627ce29a</t>
  </si>
  <si>
    <t>Bus.Rev.Sales</t>
  </si>
  <si>
    <t>c11d60fc-a4a5-4c12-82c9-7f7e8f4982ac</t>
  </si>
  <si>
    <t>260 Other Revenue</t>
  </si>
  <si>
    <t>f2fb77cf-b458-4e06-ac0c-03623b1f0c81</t>
  </si>
  <si>
    <t>270 Interest Income</t>
  </si>
  <si>
    <t>ddf73b15-7dd0-4ba8-99d2-c05cd26dc9dc</t>
  </si>
  <si>
    <t>SQ-200000 Square Other Income</t>
  </si>
  <si>
    <t>f4851586-5319-4eb6-a421-63a5b76d097c</t>
  </si>
  <si>
    <t>SQ-200001</t>
  </si>
  <si>
    <t>Square Sales</t>
  </si>
  <si>
    <t>6facb23f-e8f7-42f7-a9e4-bde4bbdf4845</t>
  </si>
  <si>
    <t>SQ-200002 Square Discounts</t>
  </si>
  <si>
    <t>dbfe94f9-c65b-4bbf-9c39-e6cbc0a0970e</t>
  </si>
  <si>
    <t>SQ-200003 Square Shipping/Delivery Fee Revenue</t>
  </si>
  <si>
    <t>7ba4c83a-16a1-492e-8cbf-f789407df405</t>
  </si>
  <si>
    <t>SQ-200004 Square Surcharges</t>
  </si>
  <si>
    <t>9af3f4af-d2b9-4c23-83f6-46f7b20694a7</t>
  </si>
  <si>
    <t>SQ-200005 Square Card Surcharges</t>
  </si>
  <si>
    <t>1bf0419d-ca3c-49a5-a8fa-ff553f13b5e6</t>
  </si>
  <si>
    <t>SQ-200011 Square Service Charges</t>
  </si>
  <si>
    <t>Total_292b9a93-8dc7-4494-98ba-678f92a6e110</t>
  </si>
  <si>
    <t>d78e2f13-7cd6-43ef-9abb-32aea4181cc2</t>
  </si>
  <si>
    <t>Cost of Sales</t>
  </si>
  <si>
    <t>CS</t>
  </si>
  <si>
    <t>aa205691-32da-48bc-8cba-cab248b126bb</t>
  </si>
  <si>
    <t>310 Cost of Goods Sold</t>
  </si>
  <si>
    <t>12a3c87d-fdfb-423c-94c4-c55d58074991</t>
  </si>
  <si>
    <t>Cattery Daily Supplies</t>
  </si>
  <si>
    <t>dcfff7cc-2249-43b4-9e91-75ae464703cf</t>
  </si>
  <si>
    <t>Bus.Exp.COS.DirectCosts</t>
  </si>
  <si>
    <t>Total_d78e2f13-7cd6-43ef-9abb-32aea4181cc2</t>
  </si>
  <si>
    <t>Total Cost of Sales</t>
  </si>
  <si>
    <t>c2a77ef1-74f0-46b4-9020-9c5001e18261</t>
  </si>
  <si>
    <t>Other Operating Income</t>
  </si>
  <si>
    <t>RO</t>
  </si>
  <si>
    <t>Total_c2a77ef1-74f0-46b4-9020-9c5001e18261</t>
  </si>
  <si>
    <t>Total Other Operating Income</t>
  </si>
  <si>
    <t>Total_Gross Profit</t>
  </si>
  <si>
    <t>Gross Profit</t>
  </si>
  <si>
    <t>Total_Gross Profit %</t>
  </si>
  <si>
    <t>Gross Profit %</t>
  </si>
  <si>
    <t>bfc22f6d-24c2-4ec0-b7cf-4b140e25179d</t>
  </si>
  <si>
    <t>EX</t>
  </si>
  <si>
    <t>65f5bbdd-1bca-4c82-92ad-163ec103ed15</t>
  </si>
  <si>
    <t>Advertising</t>
  </si>
  <si>
    <t>07d3e2ca-e516-4ebe-ac4d-2ecc24638f0e</t>
  </si>
  <si>
    <t>Bus.Exp.OtherExpenses</t>
  </si>
  <si>
    <t>b344fdb2-c048-4237-ad4a-30a5f6d4559b</t>
  </si>
  <si>
    <t>Bank Fees</t>
  </si>
  <si>
    <t>8a782d96-0039-4eb6-afa5-d7ce4c4f0b6a</t>
  </si>
  <si>
    <t>Cleaning</t>
  </si>
  <si>
    <t>eca701a6-dab9-4ae1-a8a5-92e3a9a4c49a</t>
  </si>
  <si>
    <t>412 Consulting &amp; Accounting</t>
  </si>
  <si>
    <t>e7b66561-afd1-42fe-9062-feb307889b1a</t>
  </si>
  <si>
    <t>416 Depreciation</t>
  </si>
  <si>
    <t>7c42eb8c-37d3-4c28-bea3-13d3e9951749</t>
  </si>
  <si>
    <t>420 Entertainment</t>
  </si>
  <si>
    <t>e7c68654-f814-4f51-8f62-df59dc1ec03f</t>
  </si>
  <si>
    <t>Freight &amp; Courier</t>
  </si>
  <si>
    <t>e7ba80b1-bfa6-4ecf-b6f3-ff76673782de</t>
  </si>
  <si>
    <t>General Expenses</t>
  </si>
  <si>
    <t>4ec8d6be-8ba8-439c-9999-075b3f1b6a98</t>
  </si>
  <si>
    <t>Insurance</t>
  </si>
  <si>
    <t>108e6502-c846-4c84-b6af-bfc134b0614e</t>
  </si>
  <si>
    <t>89e72871-3f2c-442d-9500-04d205806131</t>
  </si>
  <si>
    <t>Bus.Exp.Interest.Aus</t>
  </si>
  <si>
    <t>04bf24b0-a11c-4265-905c-ded9ce7e9741</t>
  </si>
  <si>
    <t>Legal expenses</t>
  </si>
  <si>
    <t>161a7b1a-024e-416a-bf91-ac934d64e639</t>
  </si>
  <si>
    <t>Light, Power, Heating</t>
  </si>
  <si>
    <t>21c1ea74-620d-4bc9-80fd-34259dd9175f</t>
  </si>
  <si>
    <t>Medical/Vet Costs</t>
  </si>
  <si>
    <t>ba5963d3-b65f-4243-9520-b30e2235b94f</t>
  </si>
  <si>
    <t>Motor Vehicle Expenses</t>
  </si>
  <si>
    <t>7dc850d3-a99c-4524-a493-ba40cd15395f</t>
  </si>
  <si>
    <t>Bus.Exp.MotorVehicle</t>
  </si>
  <si>
    <t>8ab1fe64-e890-4c1a-8c84-5c96a4a4c713</t>
  </si>
  <si>
    <t>Office Expenses</t>
  </si>
  <si>
    <t>bfcebead-4bc4-45dc-b7eb-59cc98ace54d</t>
  </si>
  <si>
    <t>Printing &amp; Stationery</t>
  </si>
  <si>
    <t>45fbdf34-9f03-44c2-a36b-2d19dd72f77a</t>
  </si>
  <si>
    <t>469 Rent</t>
  </si>
  <si>
    <t>88b5890a-d759-4664-bb69-35b93dd9727d</t>
  </si>
  <si>
    <t>Repairs and Maintenance</t>
  </si>
  <si>
    <t>2a72e1d4-0794-4e02-b054-bdf157f448af</t>
  </si>
  <si>
    <t>Bus.Exp.RepairsAndMaintenance</t>
  </si>
  <si>
    <t>e66e885a-68e3-41e8-b17a-18fcb7b3ed80</t>
  </si>
  <si>
    <t>Wages and Salaries</t>
  </si>
  <si>
    <t>e4239309-d305-4fc1-9f3e-c218301163df</t>
  </si>
  <si>
    <t>b70112e4-fcbe-4428-b0b7-20d69a1c9201</t>
  </si>
  <si>
    <t>c000b543-8150-41bb-ae9b-b6485ed45fb7</t>
  </si>
  <si>
    <t>e6c99e8b-c425-466b-8c80-6494b32e2773</t>
  </si>
  <si>
    <t>Subscriptions</t>
  </si>
  <si>
    <t>a01e963a-007a-4023-8289-b8936eb984b1</t>
  </si>
  <si>
    <t>Telephone &amp; Internet</t>
  </si>
  <si>
    <t>25c734e9-b86e-4840-955c-23f6cff0ff98</t>
  </si>
  <si>
    <t>493 Travel - National</t>
  </si>
  <si>
    <t>b3399b52-6ced-480a-acb7-79002b260401</t>
  </si>
  <si>
    <t>494 Travel - International</t>
  </si>
  <si>
    <t>80cb3a76-0fcf-468a-b7c7-92486e748335</t>
  </si>
  <si>
    <t>497 Bank Revaluations</t>
  </si>
  <si>
    <t>c1f85c37-9883-4282-8bcf-0f4dfae68279</t>
  </si>
  <si>
    <t>498 Unrealised Currency Gains</t>
  </si>
  <si>
    <t>41f45745-4445-4594-b3dc-7d47a342f0bc</t>
  </si>
  <si>
    <t>499 Realised Currency Gains</t>
  </si>
  <si>
    <t>4c4e1bf3-f391-4a88-9150-752c1507c5df</t>
  </si>
  <si>
    <t>505 Income Tax Expense</t>
  </si>
  <si>
    <t>c4060d93-4123-4ac5-a141-3c988353f800</t>
  </si>
  <si>
    <t>Stripe Fees</t>
  </si>
  <si>
    <t>f5b24703-33a4-42c7-8088-89a02f187171</t>
  </si>
  <si>
    <t>SQ-300000</t>
  </si>
  <si>
    <t>Square Fees</t>
  </si>
  <si>
    <t>a7ad496c-eaec-4c6a-8a5a-b47ed871cf49</t>
  </si>
  <si>
    <t>SQ-300001 Square Third Party Fee</t>
  </si>
  <si>
    <t>af2ec158-1345-48b6-93e0-a5eb3dc61534</t>
  </si>
  <si>
    <t>SQ-300002 Square Chargebacks</t>
  </si>
  <si>
    <t>5c4bc898-adf1-45ef-bf15-52993a4cc3bc</t>
  </si>
  <si>
    <t>FX Foreign Currency Gains and Losses</t>
  </si>
  <si>
    <t>c1fa30e4-3af7-4f7d-abc4-b8a095f0031b</t>
  </si>
  <si>
    <t>418 Donations</t>
  </si>
  <si>
    <t>Total_bfc22f6d-24c2-4ec0-b7cf-4b140e25179d</t>
  </si>
  <si>
    <t>6bf737c9-8e7e-461c-9c5b-57867c132592</t>
  </si>
  <si>
    <t>Other Income</t>
  </si>
  <si>
    <t>OT.INC</t>
  </si>
  <si>
    <t>dcfdaad1-3baf-411e-8ebd-9b62cbaa9714</t>
  </si>
  <si>
    <t>Balancing</t>
  </si>
  <si>
    <t>Total_6bf737c9-8e7e-461c-9c5b-57867c132592</t>
  </si>
  <si>
    <t>Total Other Income</t>
  </si>
  <si>
    <t>a80f386a-ed50-45f6-ba93-5595c04168a4</t>
  </si>
  <si>
    <t>Other Expenses</t>
  </si>
  <si>
    <t>OT.EXP</t>
  </si>
  <si>
    <t>Total_a80f386a-ed50-45f6-ba93-5595c04168a4</t>
  </si>
  <si>
    <t>Total Other Expenses</t>
  </si>
  <si>
    <t>9e6502a7-c63e-4780-abdd-3b8bb3483d2e</t>
  </si>
  <si>
    <t>Depreciation and Amortisation</t>
  </si>
  <si>
    <t>OT.DPA</t>
  </si>
  <si>
    <t>Total_9e6502a7-c63e-4780-abdd-3b8bb3483d2e</t>
  </si>
  <si>
    <t>Total Depreciation and Amortisation</t>
  </si>
  <si>
    <t>9e4e84a2-ef8d-4bfa-8612-b8aec18714b6</t>
  </si>
  <si>
    <t>OT.INT</t>
  </si>
  <si>
    <t>Total_9e4e84a2-ef8d-4bfa-8612-b8aec18714b6</t>
  </si>
  <si>
    <t>Total Interest</t>
  </si>
  <si>
    <t>77fd29fe-f25c-4648-b954-ca2a0f7b1cee</t>
  </si>
  <si>
    <t>OT.TAX</t>
  </si>
  <si>
    <t>Total_77fd29fe-f25c-4648-b954-ca2a0f7b1cee</t>
  </si>
  <si>
    <t>Total Income Tax</t>
  </si>
  <si>
    <t>9ad7deb1-3323-4e65-bb05-66a8cedb8f1b</t>
  </si>
  <si>
    <t>Discontinued Operations</t>
  </si>
  <si>
    <t>OT.DSC</t>
  </si>
  <si>
    <t>Total_9ad7deb1-3323-4e65-bb05-66a8cedb8f1b</t>
  </si>
  <si>
    <t>Total Discontinued Operations</t>
  </si>
  <si>
    <t>Total_Profit</t>
  </si>
  <si>
    <t>Profit</t>
  </si>
  <si>
    <t>Director Loan 2023</t>
  </si>
  <si>
    <t>Unsecured</t>
  </si>
  <si>
    <t>G31 Div 7A Loan Calculator (1)</t>
  </si>
  <si>
    <t>e1e8db58-faa9-458b-a758-89add784277b</t>
  </si>
  <si>
    <t>H25 Bank Loan (1)</t>
  </si>
  <si>
    <t>Remaining Payments</t>
  </si>
  <si>
    <t>Ending Balance</t>
  </si>
  <si>
    <t>Principal</t>
  </si>
  <si>
    <t>Admin Charges</t>
  </si>
  <si>
    <t>Payment Amount</t>
  </si>
  <si>
    <t>Days</t>
  </si>
  <si>
    <t>Payment Date</t>
  </si>
  <si>
    <t>Payment Number</t>
  </si>
  <si>
    <t>Payment</t>
  </si>
  <si>
    <t>Cashflow for XIRR</t>
  </si>
  <si>
    <t>Date for XIRR</t>
  </si>
  <si>
    <t>Hidden</t>
  </si>
  <si>
    <r>
      <rPr>
        <b/>
        <sz val="10"/>
        <color rgb="FFC00000"/>
        <rFont val="Calibri"/>
        <family val="2"/>
        <scheme val="minor"/>
      </rPr>
      <t>ENSURE</t>
    </r>
    <r>
      <rPr>
        <sz val="10"/>
        <color theme="0" tint="-0.499984740745262"/>
        <rFont val="Calibri"/>
        <family val="2"/>
        <scheme val="minor"/>
      </rPr>
      <t xml:space="preserve"> to read the </t>
    </r>
    <r>
      <rPr>
        <u/>
        <sz val="10"/>
        <color theme="0" tint="-0.499984740745262"/>
        <rFont val="Calibri"/>
        <family val="2"/>
        <scheme val="minor"/>
      </rPr>
      <t>above</t>
    </r>
    <r>
      <rPr>
        <sz val="10"/>
        <color theme="0" tint="-0.499984740745262"/>
        <rFont val="Calibri"/>
        <family val="2"/>
        <scheme val="minor"/>
      </rPr>
      <t xml:space="preserve"> instructions on how to add irregular payments.</t>
    </r>
  </si>
  <si>
    <r>
      <rPr>
        <b/>
        <sz val="11"/>
        <color rgb="FF27A9E1"/>
        <rFont val="Webdings"/>
        <family val="1"/>
        <charset val="2"/>
      </rPr>
      <t>i</t>
    </r>
    <r>
      <rPr>
        <b/>
        <sz val="11"/>
        <color rgb="FF27A9E1"/>
        <rFont val="Calibri"/>
        <family val="2"/>
        <scheme val="minor"/>
      </rPr>
      <t xml:space="preserve"> You can modify Payment Dates, Payment Amounts and Admin Charges in the schedule below by overriding them with custom values.</t>
    </r>
  </si>
  <si>
    <t>Schedule</t>
  </si>
  <si>
    <t>Total Repayments</t>
  </si>
  <si>
    <t>Loan Principal</t>
  </si>
  <si>
    <t>Total Principal</t>
  </si>
  <si>
    <t>Unexpired Interest</t>
  </si>
  <si>
    <t>Total Payments</t>
  </si>
  <si>
    <t>TotalUnexpiredInterest</t>
  </si>
  <si>
    <t>Total Net Liability</t>
  </si>
  <si>
    <t>Total Unexpired Interest</t>
  </si>
  <si>
    <t>Total Liability</t>
  </si>
  <si>
    <t>Net Non-Current Liability</t>
  </si>
  <si>
    <t>Non-Current Unexpired Interest</t>
  </si>
  <si>
    <t>Net Current Liability</t>
  </si>
  <si>
    <t>Current Unexpired Interest</t>
  </si>
  <si>
    <t>Adjustment Journals</t>
  </si>
  <si>
    <t>Account Number</t>
  </si>
  <si>
    <r>
      <t xml:space="preserve">i </t>
    </r>
    <r>
      <rPr>
        <b/>
        <sz val="11"/>
        <color rgb="FF27A9E1"/>
        <rFont val="Calibri"/>
        <family val="2"/>
        <scheme val="minor"/>
      </rPr>
      <t>Use the Copy Ledger Formula function to paste the trial balance amount into the Ledger Balance in column O. 
In the subsequent year the trial balance amount will update automatically.
Use the relevant Ledger Balance and Adjustment Journals based on your chart of accounts set up.</t>
    </r>
  </si>
  <si>
    <t>Reconciliation</t>
  </si>
  <si>
    <t>Total Admin Charges</t>
  </si>
  <si>
    <r>
      <rPr>
        <sz val="10"/>
        <color theme="0" tint="-0.499984740745262"/>
        <rFont val="Webdings"/>
        <family val="1"/>
        <charset val="2"/>
      </rPr>
      <t>i</t>
    </r>
    <r>
      <rPr>
        <sz val="10"/>
        <color theme="0" tint="-0.499984740745262"/>
        <rFont val="Calibri"/>
        <family val="2"/>
        <scheme val="minor"/>
      </rPr>
      <t xml:space="preserve"> When making modifications to a payment schedule, you can retain the original rate by copying the value from the </t>
    </r>
    <r>
      <rPr>
        <b/>
        <sz val="10"/>
        <color theme="0" tint="-0.499984740745262"/>
        <rFont val="Calibri"/>
        <family val="2"/>
        <scheme val="minor"/>
      </rPr>
      <t>Calculated</t>
    </r>
    <r>
      <rPr>
        <sz val="10"/>
        <color theme="0" tint="-0.499984740745262"/>
        <rFont val="Calibri"/>
        <family val="2"/>
        <scheme val="minor"/>
      </rPr>
      <t xml:space="preserve"> nominal rate into the </t>
    </r>
    <r>
      <rPr>
        <b/>
        <sz val="10"/>
        <color theme="0" tint="-0.499984740745262"/>
        <rFont val="Calibri"/>
        <family val="2"/>
        <scheme val="minor"/>
      </rPr>
      <t>Manual</t>
    </r>
    <r>
      <rPr>
        <sz val="10"/>
        <color theme="0" tint="-0.499984740745262"/>
        <rFont val="Calibri"/>
        <family val="2"/>
        <scheme val="minor"/>
      </rPr>
      <t xml:space="preserve"> nominal rate prior to making those modifications.</t>
    </r>
  </si>
  <si>
    <r>
      <t>Specify</t>
    </r>
    <r>
      <rPr>
        <b/>
        <sz val="10"/>
        <color rgb="FF333333"/>
        <rFont val="Calibri"/>
        <family val="2"/>
      </rPr>
      <t xml:space="preserve"> </t>
    </r>
    <r>
      <rPr>
        <sz val="10"/>
        <color rgb="FF333333"/>
        <rFont val="Calibri"/>
        <family val="2"/>
      </rPr>
      <t>Manual Interest Rate</t>
    </r>
  </si>
  <si>
    <t>OR</t>
  </si>
  <si>
    <t>Balloon Amount</t>
  </si>
  <si>
    <t>Calculated Interest Rate</t>
  </si>
  <si>
    <t>Total Regular Repayments</t>
  </si>
  <si>
    <t>Effective</t>
  </si>
  <si>
    <t>Nominal</t>
  </si>
  <si>
    <r>
      <t>Admin Charge</t>
    </r>
    <r>
      <rPr>
        <sz val="9"/>
        <color theme="0" tint="-0.499984740745262"/>
        <rFont val="Calibri"/>
        <family val="2"/>
      </rPr>
      <t xml:space="preserve"> (included in payment)</t>
    </r>
  </si>
  <si>
    <t>Interest Rate</t>
  </si>
  <si>
    <r>
      <t xml:space="preserve">Regular Repayment Amount </t>
    </r>
    <r>
      <rPr>
        <sz val="9"/>
        <color theme="0" tint="-0.499984740745262"/>
        <rFont val="Calibri"/>
        <family val="2"/>
      </rPr>
      <t>(including admin charge)</t>
    </r>
    <r>
      <rPr>
        <sz val="10"/>
        <color rgb="FF333333"/>
        <rFont val="Calibri"/>
        <family val="2"/>
      </rPr>
      <t xml:space="preserve"> </t>
    </r>
    <r>
      <rPr>
        <sz val="10"/>
        <color rgb="FFC00000"/>
        <rFont val="Calibri"/>
        <family val="2"/>
      </rPr>
      <t>*</t>
    </r>
  </si>
  <si>
    <r>
      <t xml:space="preserve">Number of Payments </t>
    </r>
    <r>
      <rPr>
        <sz val="9"/>
        <color theme="0" tint="-0.499984740745262"/>
        <rFont val="Calibri"/>
        <family val="2"/>
      </rPr>
      <t>(excluding balloon)</t>
    </r>
    <r>
      <rPr>
        <sz val="10"/>
        <color rgb="FF333333"/>
        <rFont val="Calibri"/>
        <family val="2"/>
      </rPr>
      <t xml:space="preserve"> </t>
    </r>
    <r>
      <rPr>
        <b/>
        <sz val="10"/>
        <color rgb="FFC00000"/>
        <rFont val="Calibri"/>
        <family val="2"/>
      </rPr>
      <t>*</t>
    </r>
  </si>
  <si>
    <t>Int_Rate</t>
  </si>
  <si>
    <r>
      <t xml:space="preserve">First Payment Date </t>
    </r>
    <r>
      <rPr>
        <sz val="10"/>
        <color rgb="FFC00000"/>
        <rFont val="Calibri"/>
        <family val="2"/>
      </rPr>
      <t>*</t>
    </r>
  </si>
  <si>
    <t>Calculated First Payment</t>
  </si>
  <si>
    <r>
      <t xml:space="preserve">Payment in Advance/Arrears </t>
    </r>
    <r>
      <rPr>
        <sz val="10"/>
        <color rgb="FFC00000"/>
        <rFont val="Calibri"/>
        <family val="2"/>
      </rPr>
      <t>*</t>
    </r>
  </si>
  <si>
    <t>Number_Payments</t>
  </si>
  <si>
    <t>Payments + Balloon</t>
  </si>
  <si>
    <r>
      <t xml:space="preserve">Loan Principal </t>
    </r>
    <r>
      <rPr>
        <b/>
        <sz val="10"/>
        <color rgb="FFC00000"/>
        <rFont val="Calibri"/>
        <family val="2"/>
      </rPr>
      <t>*</t>
    </r>
  </si>
  <si>
    <r>
      <t xml:space="preserve">Payment Frequency </t>
    </r>
    <r>
      <rPr>
        <b/>
        <sz val="10"/>
        <color rgb="FFC00000"/>
        <rFont val="Calibri"/>
        <family val="2"/>
      </rPr>
      <t>*</t>
    </r>
  </si>
  <si>
    <t>Loan Commitment</t>
  </si>
  <si>
    <t>Repayment Plan</t>
  </si>
  <si>
    <t>Category List Info</t>
  </si>
  <si>
    <r>
      <t xml:space="preserve">Start Date of Loan </t>
    </r>
    <r>
      <rPr>
        <b/>
        <sz val="10"/>
        <color rgb="FFC00000"/>
        <rFont val="Calibri"/>
        <family val="2"/>
      </rPr>
      <t>*</t>
    </r>
  </si>
  <si>
    <r>
      <t xml:space="preserve">Financial Year End </t>
    </r>
    <r>
      <rPr>
        <b/>
        <sz val="10"/>
        <color rgb="FFC00000"/>
        <rFont val="Calibri"/>
        <family val="2"/>
      </rPr>
      <t>*</t>
    </r>
  </si>
  <si>
    <t>End_of_Year_Month</t>
  </si>
  <si>
    <t>Financial Institution</t>
  </si>
  <si>
    <r>
      <t xml:space="preserve"> </t>
    </r>
    <r>
      <rPr>
        <b/>
        <sz val="11"/>
        <color theme="0"/>
        <rFont val="Wingdings 3"/>
        <family val="1"/>
        <charset val="2"/>
      </rPr>
      <t>P</t>
    </r>
    <r>
      <rPr>
        <b/>
        <sz val="11"/>
        <color theme="0"/>
        <rFont val="Calibri"/>
        <family val="2"/>
        <scheme val="minor"/>
      </rPr>
      <t xml:space="preserve">  Update Summary</t>
    </r>
  </si>
  <si>
    <t xml:space="preserve">Loan Details </t>
  </si>
  <si>
    <r>
      <rPr>
        <b/>
        <sz val="10"/>
        <color theme="0" tint="-0.499984740745262"/>
        <rFont val="Calibri"/>
        <family val="2"/>
        <scheme val="minor"/>
      </rPr>
      <t>Note:</t>
    </r>
    <r>
      <rPr>
        <sz val="10"/>
        <color theme="0" tint="-0.499984740745262"/>
        <rFont val="Calibri"/>
        <family val="2"/>
        <scheme val="minor"/>
      </rPr>
      <t xml:space="preserve"> The Schedule section </t>
    </r>
    <r>
      <rPr>
        <b/>
        <u/>
        <sz val="10"/>
        <color theme="0" tint="-0.499984740745262"/>
        <rFont val="Calibri"/>
        <family val="2"/>
        <scheme val="minor"/>
      </rPr>
      <t>DOES NOT</t>
    </r>
    <r>
      <rPr>
        <u/>
        <sz val="10"/>
        <color theme="0" tint="-0.499984740745262"/>
        <rFont val="Calibri"/>
        <family val="2"/>
        <scheme val="minor"/>
      </rPr>
      <t xml:space="preserve"> roll over</t>
    </r>
    <r>
      <rPr>
        <sz val="10"/>
        <color theme="0" tint="-0.499984740745262"/>
        <rFont val="Calibri"/>
        <family val="2"/>
        <scheme val="minor"/>
      </rPr>
      <t xml:space="preserve">. If you have made irregular payments use Excel's </t>
    </r>
    <r>
      <rPr>
        <b/>
        <sz val="10"/>
        <color theme="0" tint="-0.499984740745262"/>
        <rFont val="Calibri"/>
        <family val="2"/>
        <scheme val="minor"/>
      </rPr>
      <t>Move or Copy</t>
    </r>
    <r>
      <rPr>
        <sz val="10"/>
        <color theme="0" tint="-0.499984740745262"/>
        <rFont val="Calibri"/>
        <family val="2"/>
        <scheme val="minor"/>
      </rPr>
      <t xml:space="preserve"> function to insert it into your new binder.</t>
    </r>
  </si>
  <si>
    <r>
      <rPr>
        <b/>
        <u/>
        <sz val="10"/>
        <color theme="0" tint="-0.499984740745262"/>
        <rFont val="Calibri"/>
        <family val="2"/>
        <scheme val="minor"/>
      </rPr>
      <t>DO NOT</t>
    </r>
    <r>
      <rPr>
        <sz val="10"/>
        <color theme="0" tint="-0.499984740745262"/>
        <rFont val="Calibri"/>
        <family val="2"/>
        <scheme val="minor"/>
      </rPr>
      <t xml:space="preserve"> manually insert extra lines into the </t>
    </r>
    <r>
      <rPr>
        <b/>
        <sz val="10"/>
        <color theme="0" tint="-0.499984740745262"/>
        <rFont val="Calibri"/>
        <family val="2"/>
        <scheme val="minor"/>
      </rPr>
      <t>Schedule</t>
    </r>
    <r>
      <rPr>
        <sz val="10"/>
        <color theme="0" tint="-0.499984740745262"/>
        <rFont val="Calibri"/>
        <family val="2"/>
        <scheme val="minor"/>
      </rPr>
      <t xml:space="preserve"> section.</t>
    </r>
  </si>
  <si>
    <r>
      <t xml:space="preserve">After altering payments, a warning will appear if the principal does not clear by the original loan end date </t>
    </r>
    <r>
      <rPr>
        <sz val="10"/>
        <color theme="0" tint="-0.499984740745262"/>
        <rFont val="Wingdings 3"/>
        <family val="1"/>
        <charset val="2"/>
      </rPr>
      <t>"</t>
    </r>
    <r>
      <rPr>
        <sz val="10"/>
        <color theme="0" tint="-0.499984740745262"/>
        <rFont val="Calibri"/>
        <family val="2"/>
        <scheme val="minor"/>
      </rPr>
      <t xml:space="preserve"> Update your payment schedule or the manual interest rate to zero it out.
</t>
    </r>
    <r>
      <rPr>
        <u/>
        <sz val="10"/>
        <color theme="0" tint="-0.499984740745262"/>
        <rFont val="Calibri"/>
        <family val="2"/>
        <scheme val="minor"/>
      </rPr>
      <t>If paid out early</t>
    </r>
    <r>
      <rPr>
        <sz val="10"/>
        <color theme="0" tint="-0.499984740745262"/>
        <rFont val="Calibri"/>
        <family val="2"/>
        <scheme val="minor"/>
      </rPr>
      <t xml:space="preserve"> </t>
    </r>
    <r>
      <rPr>
        <sz val="10"/>
        <color theme="0" tint="-0.499984740745262"/>
        <rFont val="Wingdings 3"/>
        <family val="1"/>
        <charset val="2"/>
      </rPr>
      <t>"</t>
    </r>
    <r>
      <rPr>
        <sz val="10"/>
        <color theme="0" tint="-0.499984740745262"/>
        <rFont val="Calibri"/>
        <family val="2"/>
      </rPr>
      <t xml:space="preserve"> </t>
    </r>
    <r>
      <rPr>
        <sz val="10"/>
        <color theme="0" tint="-0.499984740745262"/>
        <rFont val="Calibri"/>
        <family val="2"/>
        <scheme val="minor"/>
      </rPr>
      <t>zero out all remaining payments and admin charges (if relevant).</t>
    </r>
  </si>
  <si>
    <r>
      <t xml:space="preserve">You can retain the original interest rate by copying the value from the </t>
    </r>
    <r>
      <rPr>
        <b/>
        <sz val="10"/>
        <color theme="0" tint="-0.499984740745262"/>
        <rFont val="Calibri"/>
        <family val="2"/>
        <scheme val="minor"/>
      </rPr>
      <t>Calculated</t>
    </r>
    <r>
      <rPr>
        <sz val="10"/>
        <color theme="0" tint="-0.499984740745262"/>
        <rFont val="Calibri"/>
        <family val="2"/>
        <scheme val="minor"/>
      </rPr>
      <t xml:space="preserve"> Nominal Rate into the </t>
    </r>
    <r>
      <rPr>
        <b/>
        <sz val="10"/>
        <color theme="0" tint="-0.499984740745262"/>
        <rFont val="Calibri"/>
        <family val="2"/>
        <scheme val="minor"/>
      </rPr>
      <t>Manual</t>
    </r>
    <r>
      <rPr>
        <sz val="10"/>
        <color theme="0" tint="-0.499984740745262"/>
        <rFont val="Calibri"/>
        <family val="2"/>
        <scheme val="minor"/>
      </rPr>
      <t xml:space="preserve"> Nominal Rate in the </t>
    </r>
    <r>
      <rPr>
        <b/>
        <sz val="10"/>
        <color theme="0" tint="-0.499984740745262"/>
        <rFont val="Calibri"/>
        <family val="2"/>
        <scheme val="minor"/>
      </rPr>
      <t>Interest Rate</t>
    </r>
    <r>
      <rPr>
        <sz val="10"/>
        <color theme="0" tint="-0.499984740745262"/>
        <rFont val="Calibri"/>
        <family val="2"/>
        <scheme val="minor"/>
      </rPr>
      <t xml:space="preserve"> section prior to making any modifications </t>
    </r>
    <r>
      <rPr>
        <b/>
        <u/>
        <sz val="10"/>
        <color theme="0" tint="-0.499984740745262"/>
        <rFont val="Calibri"/>
        <family val="2"/>
        <scheme val="minor"/>
      </rPr>
      <t>OR</t>
    </r>
    <r>
      <rPr>
        <sz val="10"/>
        <color theme="0" tint="-0.499984740745262"/>
        <rFont val="Calibri"/>
        <family val="2"/>
        <scheme val="minor"/>
      </rPr>
      <t xml:space="preserve">
Leaving the Calculated Nominal Rate will recalculate the interest amount on </t>
    </r>
    <r>
      <rPr>
        <b/>
        <u/>
        <sz val="10"/>
        <color theme="0" tint="-0.499984740745262"/>
        <rFont val="Calibri"/>
        <family val="2"/>
        <scheme val="minor"/>
      </rPr>
      <t>ALL</t>
    </r>
    <r>
      <rPr>
        <sz val="10"/>
        <color theme="0" tint="-0.499984740745262"/>
        <rFont val="Calibri"/>
        <family val="2"/>
        <scheme val="minor"/>
      </rPr>
      <t xml:space="preserve"> repayments.</t>
    </r>
  </si>
  <si>
    <r>
      <t xml:space="preserve">Enter irregular payments into column N of the </t>
    </r>
    <r>
      <rPr>
        <b/>
        <sz val="10"/>
        <color theme="0" tint="-0.499984740745262"/>
        <rFont val="Calibri"/>
        <family val="2"/>
        <scheme val="minor"/>
      </rPr>
      <t>Schedule</t>
    </r>
    <r>
      <rPr>
        <sz val="10"/>
        <color theme="0" tint="-0.499984740745262"/>
        <rFont val="Calibri"/>
        <family val="2"/>
        <scheme val="minor"/>
      </rPr>
      <t xml:space="preserve"> section </t>
    </r>
    <r>
      <rPr>
        <sz val="10"/>
        <color theme="0" tint="-0.499984740745262"/>
        <rFont val="Wingdings 3"/>
        <family val="1"/>
        <charset val="2"/>
      </rPr>
      <t>"</t>
    </r>
    <r>
      <rPr>
        <sz val="10"/>
        <color theme="0" tint="-0.499984740745262"/>
        <rFont val="Calibri"/>
        <family val="2"/>
        <scheme val="minor"/>
      </rPr>
      <t xml:space="preserve"> </t>
    </r>
    <r>
      <rPr>
        <u/>
        <sz val="10"/>
        <color theme="0" tint="-0.499984740745262"/>
        <rFont val="Calibri"/>
        <family val="2"/>
        <scheme val="minor"/>
      </rPr>
      <t>Update the Payment Date in Column L</t>
    </r>
    <r>
      <rPr>
        <sz val="10"/>
        <color theme="0" tint="-0.499984740745262"/>
        <rFont val="Calibri"/>
        <family val="2"/>
        <scheme val="minor"/>
      </rPr>
      <t xml:space="preserve"> (if required) and then </t>
    </r>
    <r>
      <rPr>
        <sz val="10"/>
        <color theme="0" tint="-0.499984740745262"/>
        <rFont val="Wingdings 3"/>
        <family val="1"/>
        <charset val="2"/>
      </rPr>
      <t>"</t>
    </r>
    <r>
      <rPr>
        <sz val="10"/>
        <color theme="0" tint="-0.499984740745262"/>
        <rFont val="Calibri"/>
        <family val="2"/>
        <scheme val="minor"/>
      </rPr>
      <t xml:space="preserve"> </t>
    </r>
    <r>
      <rPr>
        <b/>
        <u/>
        <sz val="10"/>
        <color theme="0" tint="-0.499984740745262"/>
        <rFont val="Calibri"/>
        <family val="2"/>
        <scheme val="minor"/>
      </rPr>
      <t>update the following date back to the regular date</t>
    </r>
    <r>
      <rPr>
        <sz val="10"/>
        <color theme="0" tint="-0.499984740745262"/>
        <rFont val="Calibri"/>
        <family val="2"/>
        <scheme val="minor"/>
      </rPr>
      <t>.</t>
    </r>
  </si>
  <si>
    <r>
      <rPr>
        <b/>
        <sz val="10"/>
        <color rgb="FFC00000"/>
        <rFont val="Calibri"/>
        <family val="2"/>
        <scheme val="minor"/>
      </rPr>
      <t>IRREGULAR PAYMENTS:</t>
    </r>
    <r>
      <rPr>
        <sz val="10"/>
        <color theme="0" tint="-0.499984740745262"/>
        <rFont val="Calibri"/>
        <family val="2"/>
        <scheme val="minor"/>
      </rPr>
      <t xml:space="preserve"> For more information on making irregular payments </t>
    </r>
    <r>
      <rPr>
        <u/>
        <sz val="10"/>
        <color theme="0" tint="-0.499984740745262"/>
        <rFont val="Calibri"/>
        <family val="2"/>
        <scheme val="minor"/>
      </rPr>
      <t>click here</t>
    </r>
    <r>
      <rPr>
        <sz val="10"/>
        <color theme="0" tint="-0.499984740745262"/>
        <rFont val="Calibri"/>
        <family val="2"/>
        <scheme val="minor"/>
      </rPr>
      <t>.</t>
    </r>
  </si>
  <si>
    <r>
      <rPr>
        <b/>
        <sz val="10"/>
        <color theme="0" tint="-0.499984740745262"/>
        <rFont val="Calibri"/>
        <family val="2"/>
        <scheme val="minor"/>
      </rPr>
      <t>Note:</t>
    </r>
    <r>
      <rPr>
        <sz val="10"/>
        <color theme="0" tint="-0.499984740745262"/>
        <rFont val="Calibri"/>
        <family val="2"/>
        <scheme val="minor"/>
      </rPr>
      <t xml:space="preserve"> Due to the rounding of the interest rate, minor rounding variations are expected.</t>
    </r>
  </si>
  <si>
    <r>
      <t>Enter data into ALL the mandatory (</t>
    </r>
    <r>
      <rPr>
        <b/>
        <sz val="10"/>
        <color rgb="FFC00000"/>
        <rFont val="Calibri"/>
        <family val="2"/>
        <scheme val="minor"/>
      </rPr>
      <t>*</t>
    </r>
    <r>
      <rPr>
        <sz val="10"/>
        <color theme="0" tint="-0.499984740745262"/>
        <rFont val="Calibri"/>
        <family val="2"/>
        <scheme val="minor"/>
      </rPr>
      <t xml:space="preserve">) fields in the Loan Details section and press the </t>
    </r>
    <r>
      <rPr>
        <b/>
        <sz val="10"/>
        <color theme="0" tint="-0.499984740745262"/>
        <rFont val="Calibri"/>
        <family val="2"/>
        <scheme val="minor"/>
      </rPr>
      <t>Update Summary</t>
    </r>
    <r>
      <rPr>
        <sz val="10"/>
        <color theme="0" tint="-0.499984740745262"/>
        <rFont val="Calibri"/>
        <family val="2"/>
        <scheme val="minor"/>
      </rPr>
      <t xml:space="preserve"> button.</t>
    </r>
  </si>
  <si>
    <r>
      <rPr>
        <b/>
        <sz val="11"/>
        <color rgb="FF27A9E1"/>
        <rFont val="Webdings"/>
        <family val="1"/>
        <charset val="2"/>
      </rPr>
      <t xml:space="preserve">i </t>
    </r>
    <r>
      <rPr>
        <b/>
        <sz val="11"/>
        <color rgb="FF27A9E1"/>
        <rFont val="Calibri"/>
        <family val="1"/>
        <charset val="2"/>
        <scheme val="minor"/>
      </rPr>
      <t>The purpose of this worksheet is to calculate the yearly interest, as well as the total, current and non-current components, of a Chattels Mortgage.</t>
    </r>
  </si>
  <si>
    <t>5.24.6</t>
  </si>
  <si>
    <t>Refresh</t>
  </si>
  <si>
    <t>dbafa37b-02a0-44c0-86fb-d48bc6c6f92e</t>
  </si>
  <si>
    <t>NC Unexp Int</t>
  </si>
  <si>
    <t>NCL</t>
  </si>
  <si>
    <t>Current Unexp Int</t>
  </si>
  <si>
    <t>CL</t>
  </si>
  <si>
    <t>H11 Chattel Mortgage Loan</t>
  </si>
  <si>
    <t>Auto_EffectiveRate</t>
  </si>
  <si>
    <t>Auto_NominalRate</t>
  </si>
  <si>
    <t>Complete_Schedule</t>
  </si>
  <si>
    <t>CurrentLiability</t>
  </si>
  <si>
    <t>CurrentUnexpiredInterest</t>
  </si>
  <si>
    <t>First_payment</t>
  </si>
  <si>
    <t>Int_RateDisplay</t>
  </si>
  <si>
    <t>Interest_For_Year_Ended</t>
  </si>
  <si>
    <t>Loan_Amt</t>
  </si>
  <si>
    <t>Manual_NominalRate</t>
  </si>
  <si>
    <t>NetCurrentLiability</t>
  </si>
  <si>
    <t>NetNonCurrentLiability</t>
  </si>
  <si>
    <t>No_Regular_Payments</t>
  </si>
  <si>
    <t>NonCurrentLiability</t>
  </si>
  <si>
    <t>NonCurrentUnexpiredInterest</t>
  </si>
  <si>
    <t>Pay_No</t>
  </si>
  <si>
    <t>Payment_Frequency</t>
  </si>
  <si>
    <t>Periodic_Admin_Charge</t>
  </si>
  <si>
    <t>Repay_Amt</t>
  </si>
  <si>
    <t>Start_Date</t>
  </si>
  <si>
    <t>Summary_table</t>
  </si>
  <si>
    <t>Total_Int</t>
  </si>
  <si>
    <t>CurrentUnexpInt</t>
  </si>
  <si>
    <t>NCUnexpInt</t>
  </si>
  <si>
    <t>WorkpaperID:</t>
  </si>
  <si>
    <t>This shows that the Smith Family Trust's balance sheet discloses a corresponding credit loan owing to Smith Pty Ltd, but the debit loan receivable from K B Smith of $8,000 does not match and corrective action will need to be taken.</t>
  </si>
  <si>
    <t>Smith Family Trust</t>
  </si>
  <si>
    <t>This shows that K B Smith has a corresponding debit loan of $22,000 receivable from Smith Pty Ltd and a credit loan of $7,500 owing from the Smith Family Trust.  However, there is a discrepancy that will need to be resolved.</t>
  </si>
  <si>
    <t>K B Smith</t>
  </si>
  <si>
    <t>This shows that Smith Pty Ltd's balance sheet discloses a credit loan owing to K B Smith of $22,000 and a debit loan receivable from the Smith Family Trust of $5,000.</t>
  </si>
  <si>
    <t>Smith Pty Ltd</t>
  </si>
  <si>
    <t>Loans</t>
  </si>
  <si>
    <t>Example</t>
  </si>
  <si>
    <t>Name O</t>
  </si>
  <si>
    <t>Name N</t>
  </si>
  <si>
    <t>Name M</t>
  </si>
  <si>
    <t>Name L</t>
  </si>
  <si>
    <t>Name K</t>
  </si>
  <si>
    <t>Name J</t>
  </si>
  <si>
    <t>Name I</t>
  </si>
  <si>
    <t>Name H</t>
  </si>
  <si>
    <t>Name G</t>
  </si>
  <si>
    <t>Name F</t>
  </si>
  <si>
    <t xml:space="preserve">Name E </t>
  </si>
  <si>
    <t>Name D</t>
  </si>
  <si>
    <t>Name C</t>
  </si>
  <si>
    <t>Name B</t>
  </si>
  <si>
    <t>Name A</t>
  </si>
  <si>
    <t>Loan Matrix</t>
  </si>
  <si>
    <r>
      <t>An example of how the inter entity loan matrix works can be found below (</t>
    </r>
    <r>
      <rPr>
        <u/>
        <sz val="10"/>
        <color theme="1" tint="0.499984740745262"/>
        <rFont val="Calibri"/>
        <family val="2"/>
      </rPr>
      <t>click here</t>
    </r>
    <r>
      <rPr>
        <sz val="10"/>
        <color theme="1" tint="0.499984740745262"/>
        <rFont val="Calibri"/>
        <family val="2"/>
      </rPr>
      <t>)</t>
    </r>
  </si>
  <si>
    <r>
      <t xml:space="preserve">Step 3 - As the balance for each entity is entered, the matrix will complete; the cells will change colour as you enter the first figure.  Once the corresponding loan balance for the relevant entity is entered, the cell will change to white. </t>
    </r>
    <r>
      <rPr>
        <sz val="8"/>
        <color theme="0" tint="-0.499984740745262"/>
        <rFont val="Calibri"/>
        <family val="2"/>
      </rPr>
      <t xml:space="preserve"> </t>
    </r>
    <r>
      <rPr>
        <sz val="8"/>
        <color theme="0" tint="-0.34998626667073579"/>
        <rFont val="Calibri"/>
        <family val="2"/>
      </rPr>
      <t>(If the colour doesn't change, the balances do not agree)</t>
    </r>
  </si>
  <si>
    <r>
      <t>- Use negative "</t>
    </r>
    <r>
      <rPr>
        <sz val="12"/>
        <color theme="1" tint="0.499984740745262"/>
        <rFont val="Calibri"/>
        <family val="2"/>
      </rPr>
      <t>-</t>
    </r>
    <r>
      <rPr>
        <sz val="10"/>
        <color theme="1" tint="0.499984740745262"/>
        <rFont val="Calibri"/>
        <family val="2"/>
      </rPr>
      <t>" values for credit loans</t>
    </r>
  </si>
  <si>
    <r>
      <t>- Use positive "</t>
    </r>
    <r>
      <rPr>
        <sz val="12"/>
        <color theme="1" tint="0.499984740745262"/>
        <rFont val="Calibri"/>
        <family val="2"/>
      </rPr>
      <t>+</t>
    </r>
    <r>
      <rPr>
        <sz val="10"/>
        <color theme="1" tint="0.499984740745262"/>
        <rFont val="Calibri"/>
        <family val="2"/>
      </rPr>
      <t>" values for debit loans</t>
    </r>
  </si>
  <si>
    <t>Step 2 - Enter the loan balances in the columns for each entity</t>
  </si>
  <si>
    <r>
      <t>Step 1 - Enter the names of the entities in the vertical cells</t>
    </r>
    <r>
      <rPr>
        <sz val="10"/>
        <color theme="0" tint="-0.499984740745262"/>
        <rFont val="Calibri"/>
        <family val="2"/>
      </rPr>
      <t xml:space="preserve"> (the horizontal list of entity names will update automatically).</t>
    </r>
  </si>
  <si>
    <t>If after entering all of the balances, the corresponding cells remain coloured, check the appropriate ledger accounts for each entity and identify the reason/s why the loans balances do not agree and then take the necessary corrective actions.</t>
  </si>
  <si>
    <r>
      <t xml:space="preserve">If the corresponding balances </t>
    </r>
    <r>
      <rPr>
        <b/>
        <u/>
        <sz val="10"/>
        <color theme="1" tint="0.499984740745262"/>
        <rFont val="Calibri"/>
        <family val="2"/>
      </rPr>
      <t>DO NOT</t>
    </r>
    <r>
      <rPr>
        <sz val="10"/>
        <color theme="1" tint="0.499984740745262"/>
        <rFont val="Calibri"/>
        <family val="2"/>
      </rPr>
      <t xml:space="preserve"> net to nil, the cells will change </t>
    </r>
    <r>
      <rPr>
        <b/>
        <u/>
        <sz val="10"/>
        <color theme="1" tint="0.499984740745262"/>
        <rFont val="Calibri"/>
        <family val="2"/>
      </rPr>
      <t>colour</t>
    </r>
    <r>
      <rPr>
        <sz val="10"/>
        <color theme="1" tint="0.499984740745262"/>
        <rFont val="Calibri"/>
        <family val="2"/>
      </rPr>
      <t>.</t>
    </r>
  </si>
  <si>
    <r>
      <rPr>
        <b/>
        <sz val="11"/>
        <color rgb="FF27A9E1"/>
        <rFont val="Webdings"/>
        <family val="1"/>
        <charset val="2"/>
      </rPr>
      <t>i</t>
    </r>
    <r>
      <rPr>
        <b/>
        <sz val="11"/>
        <color rgb="FF0C9EFF"/>
        <rFont val="Calibri"/>
        <family val="2"/>
      </rPr>
      <t xml:space="preserve"> </t>
    </r>
    <r>
      <rPr>
        <b/>
        <sz val="11"/>
        <color rgb="FF27A9E1"/>
        <rFont val="Calibri"/>
        <family val="2"/>
      </rPr>
      <t xml:space="preserve">The purpose of this worksheet is to check that the inter-entity loans agree on each entity's respective balance sheet. </t>
    </r>
  </si>
  <si>
    <t>Inter Entity Loan Matrix</t>
  </si>
  <si>
    <t>H15 Inter Entity Loan</t>
  </si>
  <si>
    <t>6677d73b-785f-4d0a-9a85-a3abcca796be</t>
  </si>
  <si>
    <t>Total Loans</t>
  </si>
  <si>
    <t>Total Hire Purchase</t>
  </si>
  <si>
    <t>Total Chattel Mortgage</t>
  </si>
  <si>
    <t>Total Chattel Mortgage and Hire Purchase Loans</t>
  </si>
  <si>
    <t>Total
Unexpired Interest</t>
  </si>
  <si>
    <t>Total 
Liability</t>
  </si>
  <si>
    <t>Current
Unexpired Interest</t>
  </si>
  <si>
    <t>Current
Liability</t>
  </si>
  <si>
    <t>Links</t>
  </si>
  <si>
    <t>Worksheet Title</t>
  </si>
  <si>
    <r>
      <rPr>
        <b/>
        <sz val="11"/>
        <color theme="0"/>
        <rFont val="Wingdings 3"/>
        <family val="1"/>
        <charset val="2"/>
      </rPr>
      <t>P</t>
    </r>
    <r>
      <rPr>
        <b/>
        <sz val="11"/>
        <color theme="0"/>
        <rFont val="Calibri"/>
        <family val="2"/>
        <scheme val="minor"/>
      </rPr>
      <t xml:space="preserve">  Update Display</t>
    </r>
  </si>
  <si>
    <r>
      <t xml:space="preserve">   Number of Loans </t>
    </r>
    <r>
      <rPr>
        <sz val="9"/>
        <color theme="0" tint="-0.499984740745262"/>
        <rFont val="Calibri"/>
        <family val="2"/>
        <scheme val="minor"/>
      </rPr>
      <t xml:space="preserve">(Max. 50) </t>
    </r>
    <r>
      <rPr>
        <b/>
        <sz val="10"/>
        <color rgb="FFC00000"/>
        <rFont val="Calibri"/>
        <family val="2"/>
        <scheme val="minor"/>
      </rPr>
      <t>*</t>
    </r>
  </si>
  <si>
    <r>
      <t xml:space="preserve">Ensure the </t>
    </r>
    <r>
      <rPr>
        <b/>
        <sz val="10"/>
        <color theme="0" tint="-0.499984740745262"/>
        <rFont val="Calibri"/>
        <family val="2"/>
        <scheme val="minor"/>
      </rPr>
      <t>Number of Loans</t>
    </r>
    <r>
      <rPr>
        <sz val="10"/>
        <color theme="0" tint="-0.499984740745262"/>
        <rFont val="Calibri"/>
        <family val="2"/>
        <scheme val="minor"/>
      </rPr>
      <t xml:space="preserve"> cell is correct and then click the </t>
    </r>
    <r>
      <rPr>
        <b/>
        <sz val="10"/>
        <color theme="0" tint="-0.499984740745262"/>
        <rFont val="Calibri"/>
        <family val="2"/>
        <scheme val="minor"/>
      </rPr>
      <t>Update Display</t>
    </r>
    <r>
      <rPr>
        <sz val="10"/>
        <color theme="0" tint="-0.499984740745262"/>
        <rFont val="Calibri"/>
        <family val="2"/>
        <scheme val="minor"/>
      </rPr>
      <t xml:space="preserve"> button.</t>
    </r>
  </si>
  <si>
    <r>
      <rPr>
        <b/>
        <sz val="11"/>
        <color rgb="FF27A9E1"/>
        <rFont val="Webdings"/>
        <family val="1"/>
        <charset val="2"/>
      </rPr>
      <t>i</t>
    </r>
    <r>
      <rPr>
        <b/>
        <sz val="11"/>
        <color rgb="FF27A9E1"/>
        <rFont val="Calibri"/>
        <family val="1"/>
        <charset val="2"/>
        <scheme val="minor"/>
      </rPr>
      <t xml:space="preserve"> The purpose of this worksheet is to provide a summary of loans from </t>
    </r>
    <r>
      <rPr>
        <b/>
        <u/>
        <sz val="11"/>
        <color rgb="FF27A9E1"/>
        <rFont val="Calibri"/>
        <family val="2"/>
        <scheme val="minor"/>
      </rPr>
      <t>ALL</t>
    </r>
    <r>
      <rPr>
        <b/>
        <sz val="11"/>
        <color rgb="FF27A9E1"/>
        <rFont val="Calibri"/>
        <family val="1"/>
        <charset val="2"/>
        <scheme val="minor"/>
      </rPr>
      <t xml:space="preserve"> </t>
    </r>
    <r>
      <rPr>
        <sz val="11"/>
        <color rgb="FF27A9E1"/>
        <rFont val="Calibri"/>
        <family val="2"/>
        <scheme val="minor"/>
      </rPr>
      <t>H11 Chattels Mortgage Schedule</t>
    </r>
    <r>
      <rPr>
        <b/>
        <sz val="11"/>
        <color rgb="FF27A9E1"/>
        <rFont val="Calibri"/>
        <family val="1"/>
        <charset val="2"/>
        <scheme val="minor"/>
      </rPr>
      <t xml:space="preserve"> and </t>
    </r>
    <r>
      <rPr>
        <sz val="11"/>
        <color rgb="FF27A9E1"/>
        <rFont val="Calibri"/>
        <family val="2"/>
        <scheme val="minor"/>
      </rPr>
      <t>H13 Hire Purchase Schedule</t>
    </r>
    <r>
      <rPr>
        <b/>
        <sz val="11"/>
        <color rgb="FF27A9E1"/>
        <rFont val="Calibri"/>
        <family val="1"/>
        <charset val="2"/>
        <scheme val="minor"/>
      </rPr>
      <t xml:space="preserve"> worksheets.</t>
    </r>
  </si>
  <si>
    <t>Loan Summary</t>
  </si>
  <si>
    <t>661c6f00-c805-4a53-9944-927cc302484b</t>
  </si>
  <si>
    <t>H12 Loan Summary</t>
  </si>
  <si>
    <t>H12_Number_of_Loans</t>
  </si>
  <si>
    <t>Use in conjunction with 'Reconciliation Fields' to reconcile back to the Index.</t>
  </si>
  <si>
    <r>
      <rPr>
        <b/>
        <sz val="11"/>
        <color rgb="FF27A9E1"/>
        <rFont val="Webdings"/>
        <family val="1"/>
        <charset val="2"/>
      </rPr>
      <t>i</t>
    </r>
    <r>
      <rPr>
        <b/>
        <sz val="11"/>
        <color rgb="FF27A9E1"/>
        <rFont val="Calibri"/>
        <family val="1"/>
        <charset val="2"/>
        <scheme val="minor"/>
      </rPr>
      <t xml:space="preserve"> The purpose of this worksheet is to document other items not included in the templates.</t>
    </r>
  </si>
  <si>
    <t>Spare Worksheet - Blank</t>
  </si>
  <si>
    <t>586d49dc-989a-4289-9a90-0b987c28cd02</t>
  </si>
  <si>
    <t xml:space="preserve">Total </t>
  </si>
  <si>
    <t>Schedule ref.</t>
  </si>
  <si>
    <t>Amount $</t>
  </si>
  <si>
    <t>Detail</t>
  </si>
  <si>
    <t>Spare Worksheet - List</t>
  </si>
  <si>
    <t>9954EDB3-D05B-4574-AA69-BE0AECDDDC59</t>
  </si>
  <si>
    <t>INTEREST RATE 2</t>
  </si>
  <si>
    <t>INTEREST RATE 1</t>
  </si>
  <si>
    <t>INT REPAYMENT CALCULATOR SECTION</t>
  </si>
  <si>
    <t>days in year</t>
  </si>
  <si>
    <t>No of days in the year</t>
  </si>
  <si>
    <t>Interest/Principal Payment Liability</t>
  </si>
  <si>
    <r>
      <rPr>
        <b/>
        <sz val="11"/>
        <color rgb="FF27A9E1"/>
        <rFont val="Webdings"/>
        <family val="1"/>
        <charset val="2"/>
      </rPr>
      <t>i</t>
    </r>
    <r>
      <rPr>
        <b/>
        <sz val="11"/>
        <color rgb="FF27A9E1"/>
        <rFont val="Calibri"/>
        <family val="2"/>
        <scheme val="minor"/>
      </rPr>
      <t xml:space="preserve">  The interest calculations for years after the current year are indicative values only, based on the current interest rate and no further payment of principal until the last day of the loan. The actual interest will depend on the benchmark/prescribed interest rate for each year and the amount of principal paid during the year.</t>
    </r>
  </si>
  <si>
    <t>Interest Payment Calculator</t>
  </si>
  <si>
    <t>Balance of
Principal Outstanding</t>
  </si>
  <si>
    <t>Interest at the Benchmark/
Prescribed
Interest Rate</t>
  </si>
  <si>
    <t xml:space="preserve">Repayments </t>
  </si>
  <si>
    <r>
      <rPr>
        <b/>
        <sz val="11"/>
        <color rgb="FF27A9E1"/>
        <rFont val="Webdings"/>
        <family val="1"/>
        <charset val="2"/>
      </rPr>
      <t>i</t>
    </r>
    <r>
      <rPr>
        <b/>
        <sz val="11"/>
        <color rgb="FF27A9E1"/>
        <rFont val="Calibri"/>
        <family val="2"/>
        <scheme val="minor"/>
      </rPr>
      <t xml:space="preserve">  Enter repayments for the year. Total interest for the year is the amount appearing at bottom of the table.</t>
    </r>
  </si>
  <si>
    <t>Repayments for the Year</t>
  </si>
  <si>
    <r>
      <t xml:space="preserve">Balance of UPE </t>
    </r>
    <r>
      <rPr>
        <sz val="9"/>
        <color theme="0" tint="-0.499984740745262"/>
        <rFont val="Calibri"/>
        <family val="2"/>
      </rPr>
      <t>(to be carried forward)</t>
    </r>
  </si>
  <si>
    <t>Interest for the Current Financial Year</t>
  </si>
  <si>
    <t>Amount Advanced During the Year or Opening Balance from Previous Year</t>
  </si>
  <si>
    <t>End Date of the Loan</t>
  </si>
  <si>
    <t>Start Date of the Loan (PS LA 2010/4 Paragraphs 70/71 &amp; 82/83)</t>
  </si>
  <si>
    <t>Current Year's Benchmark/Prescribed Interest Rate</t>
  </si>
  <si>
    <t>Term of Loan (Years)</t>
  </si>
  <si>
    <t>Investment Option</t>
  </si>
  <si>
    <t>UPE Name</t>
  </si>
  <si>
    <t>UPE Details</t>
  </si>
  <si>
    <t>Option 2</t>
  </si>
  <si>
    <t>Option 1</t>
  </si>
  <si>
    <t>Benchmark / Prescribed Interest Rates</t>
  </si>
  <si>
    <t>TD 2022/11 - Division 7A: when will a UPE or amount held on sub-trust become the provision of 'financial accommodation'</t>
  </si>
  <si>
    <t>PS LA 2010/4 - Division 7A Trust Entitlements</t>
  </si>
  <si>
    <t>ATO Unit trust arrangements and unpaid present entitlements before 1 July 2022</t>
  </si>
  <si>
    <t xml:space="preserve">Refer to: </t>
  </si>
  <si>
    <t>This worksheet supports calculations for investing the funds held on sub-trust under Options 1 &amp; 2 in PS LA 2010/4.</t>
  </si>
  <si>
    <t>For Division 7A purposes, a "Section Three Loan" is taken to have been made, unless the funds held on sub-trust are invested on commercial terms for the sole benefit of the private company.</t>
  </si>
  <si>
    <r>
      <rPr>
        <b/>
        <sz val="11"/>
        <color rgb="FF27A9E1"/>
        <rFont val="Webdings"/>
        <family val="1"/>
        <charset val="2"/>
      </rPr>
      <t>i</t>
    </r>
    <r>
      <rPr>
        <b/>
        <sz val="11"/>
        <color rgb="FF27A9E1"/>
        <rFont val="Calibri"/>
        <family val="2"/>
      </rPr>
      <t xml:space="preserve"> The purpose of this worksheet is to record any UPEs that arose between 16 December 2009 and 30 June 2022. </t>
    </r>
  </si>
  <si>
    <r>
      <rPr>
        <b/>
        <sz val="11"/>
        <color theme="0"/>
        <rFont val="Wingdings 3"/>
        <family val="1"/>
        <charset val="2"/>
      </rPr>
      <t>P</t>
    </r>
    <r>
      <rPr>
        <b/>
        <sz val="11"/>
        <color theme="0"/>
        <rFont val="Calibri"/>
        <family val="2"/>
        <scheme val="minor"/>
      </rPr>
      <t xml:space="preserve">  Refresh</t>
    </r>
  </si>
  <si>
    <t>UPE Held on Sub-trust (PS LA 2010/4) Repayment Calculator</t>
  </si>
  <si>
    <t>7668B802-3F9B-4D52-BD4E-592CD4B27494</t>
  </si>
  <si>
    <t>D08 UPE Calculator</t>
  </si>
  <si>
    <t>D08_UPEBalance</t>
  </si>
  <si>
    <t>TBAccount</t>
  </si>
  <si>
    <t>5dfcbdb1-00dd-4b65-a0bd-069a747d9dc4</t>
  </si>
  <si>
    <t>7668b802-3f9b-4d52-bd4e-592cd4b27494</t>
  </si>
  <si>
    <t>Total UPE Held on Sub-Trust (PS LA 2010/4)</t>
  </si>
  <si>
    <t>Total Division 7A Loans</t>
  </si>
  <si>
    <t>Total Division 7A and UPE Held on Sub-Trust Loans</t>
  </si>
  <si>
    <r>
      <rPr>
        <b/>
        <sz val="11"/>
        <color theme="0"/>
        <rFont val="Wingdings 3"/>
        <family val="1"/>
        <charset val="2"/>
      </rPr>
      <t>P</t>
    </r>
    <r>
      <rPr>
        <b/>
        <sz val="11"/>
        <color theme="0"/>
        <rFont val="Calibri"/>
        <family val="1"/>
        <charset val="2"/>
        <scheme val="minor"/>
      </rPr>
      <t xml:space="preserve">  Update Display</t>
    </r>
  </si>
  <si>
    <r>
      <t xml:space="preserve">   Number of Directors </t>
    </r>
    <r>
      <rPr>
        <sz val="9"/>
        <color theme="0" tint="-0.499984740745262"/>
        <rFont val="Calibri"/>
        <family val="2"/>
        <scheme val="minor"/>
      </rPr>
      <t>(Max. 10)</t>
    </r>
    <r>
      <rPr>
        <b/>
        <sz val="10"/>
        <color theme="1"/>
        <rFont val="Calibri"/>
        <family val="2"/>
        <scheme val="minor"/>
      </rPr>
      <t xml:space="preserve"> </t>
    </r>
    <r>
      <rPr>
        <b/>
        <sz val="10"/>
        <color rgb="FFC00000"/>
        <rFont val="Calibri"/>
        <family val="2"/>
        <scheme val="minor"/>
      </rPr>
      <t>*</t>
    </r>
  </si>
  <si>
    <r>
      <rPr>
        <b/>
        <sz val="11"/>
        <color theme="0"/>
        <rFont val="Wingdings 3"/>
        <family val="1"/>
        <charset val="2"/>
      </rPr>
      <t>P</t>
    </r>
    <r>
      <rPr>
        <b/>
        <sz val="11"/>
        <color theme="0"/>
        <rFont val="Calibri"/>
        <family val="1"/>
        <charset val="2"/>
        <scheme val="minor"/>
      </rPr>
      <t xml:space="preserve"> Update Summary Table</t>
    </r>
  </si>
  <si>
    <t>Summary by Director/Borrower</t>
  </si>
  <si>
    <t xml:space="preserve">Over (Under)
Min. Repayment  </t>
  </si>
  <si>
    <t>Minimum Repayment</t>
  </si>
  <si>
    <t>Actual Payments</t>
  </si>
  <si>
    <r>
      <t xml:space="preserve">   Number of Loans </t>
    </r>
    <r>
      <rPr>
        <sz val="9"/>
        <color theme="0" tint="-0.499984740745262"/>
        <rFont val="Calibri"/>
        <family val="2"/>
        <scheme val="minor"/>
      </rPr>
      <t>(Max. 50)</t>
    </r>
    <r>
      <rPr>
        <b/>
        <sz val="10"/>
        <color theme="1"/>
        <rFont val="Calibri"/>
        <family val="2"/>
        <scheme val="minor"/>
      </rPr>
      <t xml:space="preserve"> </t>
    </r>
    <r>
      <rPr>
        <b/>
        <sz val="10"/>
        <color rgb="FFC00000"/>
        <rFont val="Calibri"/>
        <family val="2"/>
        <scheme val="minor"/>
      </rPr>
      <t>*</t>
    </r>
    <r>
      <rPr>
        <b/>
        <sz val="10"/>
        <color theme="1"/>
        <rFont val="Calibri"/>
        <family val="2"/>
        <scheme val="minor"/>
      </rPr>
      <t xml:space="preserve">   </t>
    </r>
  </si>
  <si>
    <t>Summary by Loan</t>
  </si>
  <si>
    <r>
      <t xml:space="preserve">Ensure the </t>
    </r>
    <r>
      <rPr>
        <b/>
        <sz val="10"/>
        <color theme="0" tint="-0.499984740745262"/>
        <rFont val="Calibri"/>
        <family val="2"/>
        <scheme val="minor"/>
      </rPr>
      <t>Number of Loans</t>
    </r>
    <r>
      <rPr>
        <sz val="10"/>
        <color theme="0" tint="-0.499984740745262"/>
        <rFont val="Calibri"/>
        <family val="2"/>
        <scheme val="minor"/>
      </rPr>
      <t xml:space="preserve"> and </t>
    </r>
    <r>
      <rPr>
        <b/>
        <sz val="10"/>
        <color theme="0" tint="-0.499984740745262"/>
        <rFont val="Calibri"/>
        <family val="2"/>
        <scheme val="minor"/>
      </rPr>
      <t>Number of Directors</t>
    </r>
    <r>
      <rPr>
        <sz val="10"/>
        <color theme="0" tint="-0.499984740745262"/>
        <rFont val="Calibri"/>
        <family val="2"/>
        <scheme val="minor"/>
      </rPr>
      <t xml:space="preserve"> cells are correct and then click the </t>
    </r>
    <r>
      <rPr>
        <b/>
        <sz val="10"/>
        <color theme="0" tint="-0.499984740745262"/>
        <rFont val="Calibri"/>
        <family val="2"/>
        <scheme val="minor"/>
      </rPr>
      <t>Update Display</t>
    </r>
    <r>
      <rPr>
        <sz val="10"/>
        <color theme="0" tint="-0.499984740745262"/>
        <rFont val="Calibri"/>
        <family val="2"/>
        <scheme val="minor"/>
      </rPr>
      <t xml:space="preserve"> buttons.</t>
    </r>
  </si>
  <si>
    <r>
      <rPr>
        <b/>
        <sz val="11"/>
        <color rgb="FF27A9E1"/>
        <rFont val="Webdings"/>
        <family val="1"/>
        <charset val="2"/>
      </rPr>
      <t>i</t>
    </r>
    <r>
      <rPr>
        <b/>
        <sz val="11"/>
        <color rgb="FF27A9E1"/>
        <rFont val="Calibri"/>
        <family val="1"/>
        <charset val="2"/>
        <scheme val="minor"/>
      </rPr>
      <t xml:space="preserve"> The purpose of this worksheet is to provide a summary of loans from ALL </t>
    </r>
    <r>
      <rPr>
        <sz val="11"/>
        <color rgb="FF27A9E1"/>
        <rFont val="Calibri"/>
        <family val="2"/>
        <scheme val="minor"/>
      </rPr>
      <t>G31 Division 7A</t>
    </r>
    <r>
      <rPr>
        <b/>
        <sz val="11"/>
        <color rgb="FF27A9E1"/>
        <rFont val="Calibri"/>
        <family val="1"/>
        <charset val="2"/>
        <scheme val="minor"/>
      </rPr>
      <t xml:space="preserve"> and </t>
    </r>
    <r>
      <rPr>
        <sz val="11"/>
        <color rgb="FF27A9E1"/>
        <rFont val="Calibri"/>
        <family val="2"/>
        <scheme val="minor"/>
      </rPr>
      <t>D08 UPE Repayment Calculator</t>
    </r>
    <r>
      <rPr>
        <b/>
        <sz val="11"/>
        <color rgb="FF27A9E1"/>
        <rFont val="Calibri"/>
        <family val="1"/>
        <charset val="2"/>
        <scheme val="minor"/>
      </rPr>
      <t xml:space="preserve"> worksheets.</t>
    </r>
  </si>
  <si>
    <t>Company Debit Loan Summary</t>
  </si>
  <si>
    <t>f6f11064-7a7f-48da-aa32-668ea15f4956</t>
  </si>
  <si>
    <t>D03 Company Debit Loan Summary</t>
  </si>
  <si>
    <t>D03_Number_of_Directors</t>
  </si>
  <si>
    <t>D03_Number_of_Loans</t>
  </si>
  <si>
    <t>268d49a4-4006-46e8-992b-a202264ff62f</t>
  </si>
  <si>
    <t>5a6e3134-b190-46f3-89b9-09ba9a3026e4</t>
  </si>
  <si>
    <t>27ae682d-712e-4060-92ab-d6f01ea28a5e</t>
  </si>
  <si>
    <t>96aff55d-91fa-4396-9519-3521083dd0e3</t>
  </si>
  <si>
    <t>4c7e1749-aabf-4fc5-b657-ad3fba05062b</t>
  </si>
  <si>
    <t>Chattel Mortgage Loan Schedule</t>
  </si>
  <si>
    <t>4d8e0bd9-b43b-42fb-b929-8ece989dbafc</t>
  </si>
  <si>
    <t>3a99391f-1cff-41aa-8b60-e9288f25a246</t>
  </si>
  <si>
    <t>58b922e4-8362-43ac-98a1-9a86aa6dddd2</t>
  </si>
  <si>
    <t>85a8b4f1-897a-42b9-b94b-60a5bd38b0a1</t>
  </si>
  <si>
    <t>a6f2bac2-b9ca-4785-aa4d-e8ea439a7b5f</t>
  </si>
  <si>
    <t>Distributable Surplus</t>
  </si>
  <si>
    <t>a89238ec-f7ca-4505-adb0-976cfbc1d5ff</t>
  </si>
  <si>
    <t>29d2a65b-e8bf-42cc-b29a-60580a57ad06</t>
  </si>
  <si>
    <t>UPE Repayment Calculator</t>
  </si>
  <si>
    <t>ac7e093b-7af9-4fab-b445-efe59e75894c</t>
  </si>
  <si>
    <t>04da1cce-025e-41ce-863f-3c21166b0501</t>
  </si>
  <si>
    <t>Inter Entity Loan</t>
  </si>
  <si>
    <t>aecac858-58b7-4082-81ed-6ab8f4b2fb81</t>
  </si>
  <si>
    <t>b9896a50-5acb-4825-bb6c-fc96189b2f63</t>
  </si>
  <si>
    <t>Company Debit Loan Checklist Items Detailed</t>
  </si>
  <si>
    <t>b99e1bf5-af79-4347-b7d4-97ca0c97ca0c</t>
  </si>
  <si>
    <t>b63eb282-2113-4826-8d48-26b8f93e1444</t>
  </si>
  <si>
    <t>e04be603-7811-4808-ad57-dd82f9fe33ce</t>
  </si>
  <si>
    <t>b3b1aec4-0a26-491b-b887-e30d4e8ec90f</t>
  </si>
  <si>
    <t>Balance_0</t>
  </si>
  <si>
    <t>Balance_1</t>
  </si>
  <si>
    <t>Balance_2</t>
  </si>
  <si>
    <t>1c246678-2f9c-4f39-a644-895be61e5f81</t>
  </si>
  <si>
    <t>Overview</t>
  </si>
  <si>
    <t>Created</t>
  </si>
  <si>
    <t>fleurtparsons@gmail.com</t>
  </si>
  <si>
    <t>callum.matchett@businessfitness.com</t>
  </si>
  <si>
    <t>64638f18-4a31-4ebb-aa80-7817131c6c62</t>
  </si>
  <si>
    <t>Taxation</t>
  </si>
  <si>
    <t>fleur.parsons@businessfitness.com</t>
  </si>
  <si>
    <t>Trial Balance last refreshed on Thu Nov 28 2024</t>
  </si>
  <si>
    <t>610 Accounts Receivable</t>
  </si>
  <si>
    <t>640 Stripe Clearing Account</t>
  </si>
  <si>
    <t>760 Business Goodwill</t>
  </si>
  <si>
    <t>710 Furniture &amp; Fixtures</t>
  </si>
  <si>
    <t>780 Deposits Received</t>
  </si>
  <si>
    <t>803 Client Credits</t>
  </si>
  <si>
    <t>804 Wages Payable - Payroll</t>
  </si>
  <si>
    <t>825 PAYG Withholdings Payable</t>
  </si>
  <si>
    <t>826 Superannuation Payable</t>
  </si>
  <si>
    <t>880 Owner A Drawings</t>
  </si>
  <si>
    <t>881 Owner A Funds Introduced</t>
  </si>
  <si>
    <t>200 Sales</t>
  </si>
  <si>
    <t>SQ-200001 Square Sales</t>
  </si>
  <si>
    <t>350 Cattery Daily Supplies</t>
  </si>
  <si>
    <t>400 Advertising</t>
  </si>
  <si>
    <t>404 Bank Fees</t>
  </si>
  <si>
    <t>408 Cleaning</t>
  </si>
  <si>
    <t>425 Freight &amp; Courier</t>
  </si>
  <si>
    <t>429 General Expenses</t>
  </si>
  <si>
    <t>433 Insurance</t>
  </si>
  <si>
    <t>437 Interest Expense</t>
  </si>
  <si>
    <t>441 Legal expenses</t>
  </si>
  <si>
    <t>445 Light, Power, Heating</t>
  </si>
  <si>
    <t>447 Medical/Vet Costs</t>
  </si>
  <si>
    <t>449 Motor Vehicle Expenses</t>
  </si>
  <si>
    <t>453 Office Expenses</t>
  </si>
  <si>
    <t>461 Printing &amp; Stationery</t>
  </si>
  <si>
    <t>473 Repairs and Maintenance</t>
  </si>
  <si>
    <t>478 Superannuation</t>
  </si>
  <si>
    <t>485 Subscriptions</t>
  </si>
  <si>
    <t>489 Telephone &amp; Internet</t>
  </si>
  <si>
    <t>506 Stripe Fees</t>
  </si>
  <si>
    <t>SQ-300000 Square Fees</t>
  </si>
  <si>
    <t>Not Started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</si>
</sst>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4" formatCode="_(&quot;$&quot;* #,##0.00_);_(&quot;$&quot;* \(#,##0.00\);_(&quot;$&quot;* &quot;-&quot;??_);_(@_)"/>
    <numFmt numFmtId="164" formatCode="[$-C09]d\ mmmm\ yyyy;@"/>
    <numFmt numFmtId="165" formatCode="_-* #,##0.00_-;\-* #,##0.00_-;_-* &quot;-&quot;??_-;_-@_-"/>
    <numFmt numFmtId="166" formatCode="_-* #,##0.00_-;* \(#,##0.00\)_-;_-* &quot;-&quot;??_-;_-@_-"/>
    <numFmt numFmtId="167" formatCode="mmm\ yyyy"/>
    <numFmt numFmtId="168" formatCode="_-* #,##0_-;\-* #,##0_-;_-* &quot;-&quot;??_-;_-@_-"/>
    <numFmt numFmtId="169" formatCode="_(* #,##0.00_);_(* \(#,##0.00\);_(* &quot;-&quot;_);_(@_)"/>
    <numFmt numFmtId="170" formatCode="_-* #,##0_-;* \(#,##0\)_-;_-* &quot;-&quot;??_-;_-@_-"/>
    <numFmt numFmtId="171" formatCode="_-* #,##0.00_-%\ ;[Red]_-* \(#,##0.00\)_-%\ ;_-* &quot;-&quot;??_-;_-@_-"/>
    <numFmt numFmtId="172" formatCode="#,##0.0"/>
    <numFmt numFmtId="173" formatCode="_(&quot;$&quot;* #,##0.00_);_(&quot;$&quot;* \(#,##0.00\);_(&quot;$&quot;* &quot;-&quot;_);_(@_)"/>
    <numFmt numFmtId="174" formatCode="_-* #,##0_-%\ ;[Red]_-* \(#,##0\)_-%\ ;_-* &quot;-&quot;??_-;_-@_-"/>
    <numFmt numFmtId="175" formatCode="[$$-809]#,##0.00;\-[$$-809]#,##0.00"/>
    <numFmt numFmtId="176" formatCode="_-* #,##0.00_-\ ;[Red]_-* \(#,##0.00\)_-;_-* &quot;-&quot;??_-;_-@_-"/>
    <numFmt numFmtId="177" formatCode="_-* #,##0_-\ ;[Red]_-* \(#,##0\)_-;_-* &quot;-&quot;??_-;_-@_-"/>
    <numFmt numFmtId="178" formatCode="0.0%"/>
    <numFmt numFmtId="179" formatCode="#,##0.000"/>
    <numFmt numFmtId="180" formatCode="_-&quot;$&quot;* #,##0_-;\-&quot;$&quot;* #,##0_-;_-&quot;$&quot;* &quot;-&quot;_-;_-@_-"/>
    <numFmt numFmtId="181" formatCode="_-&quot;$&quot;* #,##0.00_-;\-&quot;$&quot;* #,##0.00_-;_-&quot;$&quot;* &quot;-&quot;??_-;_-@_-"/>
    <numFmt numFmtId="182" formatCode="_-&quot;$&quot;* #,##0.00_-;\-&quot;$&quot;* #,##0.00_-;_-&quot;$&quot;* &quot;-&quot;_-;_-@_-"/>
    <numFmt numFmtId="183" formatCode="#,##0.0000"/>
    <numFmt numFmtId="184" formatCode="_-* #,##0.00&quot; Cr&quot;_-;* #,##0.00&quot; Dr&quot;_-;_-* &quot;-&quot;??_-;_-@_-"/>
    <numFmt numFmtId="185" formatCode="_-* #,##0.00&quot; Dr&quot;_-;* #,##0.00&quot; Cr&quot;_-;_-* &quot;-&quot;??_-;_-@_-"/>
    <numFmt numFmtId="186" formatCode="d\ mmmm\ yyyy"/>
    <numFmt numFmtId="187" formatCode="#,##0.00&quot; Cr&quot;;#,##0.00&quot; Dr&quot;;_-* &quot;-&quot;??_-;_-@_-"/>
    <numFmt numFmtId="188" formatCode="_(#,##0_);_(\(#,##0\);_(&quot;-&quot;_);_(@_)"/>
    <numFmt numFmtId="189" formatCode="d/mm/yyyy;@"/>
    <numFmt numFmtId="190" formatCode="&quot;$&quot;#,##0.00;[Red]\-&quot;$&quot;#,##0.00"/>
    <numFmt numFmtId="191" formatCode="0.00%;[Red]\(0.00%\)"/>
    <numFmt numFmtId="192" formatCode="_(* #,##0.00_)_-;_(* \(#,##0.00\)_-;_(* &quot;-&quot;_)_-;_(@_)_-"/>
    <numFmt numFmtId="193" formatCode="_(* #,##0.00_)_-;_(* \(#,##0.00\)_-;_(* &quot;-&quot;\ _)_-;_(@_ \)_-"/>
    <numFmt numFmtId="194" formatCode="yyyy"/>
    <numFmt numFmtId="195" formatCode="#,##0.00;[Red]\ \(#,##0.00\);\ &quot;-&quot;"/>
    <numFmt numFmtId="196" formatCode="#,##0.00%;[Red]\ \(#,##0.00%\);\ &quot;-&quot;"/>
  </numFmts>
  <fonts count="217">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b/>
      <sz val="18"/>
      <name val="Calibri"/>
      <family val="2"/>
    </font>
    <font>
      <b/>
      <sz val="14"/>
      <name val="Calibri"/>
      <family val="2"/>
    </font>
    <font>
      <sz val="12"/>
      <name val="Calibri"/>
      <family val="2"/>
    </font>
    <font>
      <b/>
      <sz val="11"/>
      <color indexed="8"/>
      <name val="Calibri"/>
    </font>
    <font>
      <b/>
      <sz val="11"/>
      <color indexed="8"/>
      <name val="Calibri"/>
      <family val="2"/>
    </font>
    <font>
      <b/>
      <sz val="11"/>
      <color rgb="FF27AAE1"/>
      <name val="Calibri"/>
      <family val="2"/>
    </font>
    <font>
      <sz val="11"/>
      <color theme="1"/>
      <name val="Calibri"/>
      <family val="2"/>
    </font>
    <font>
      <u/>
      <sz val="11"/>
      <color theme="10"/>
      <name val="Calibri"/>
      <family val="2"/>
    </font>
    <font>
      <sz val="10"/>
      <color theme="1"/>
      <name val="Calibri"/>
      <family val="2"/>
      <scheme val="minor"/>
    </font>
    <font>
      <b/>
      <sz val="10"/>
      <color theme="1"/>
      <name val="Calibri"/>
      <family val="2"/>
      <scheme val="minor"/>
    </font>
    <font>
      <b/>
      <sz val="10"/>
      <color rgb="FF333333"/>
      <name val="Calibri"/>
      <family val="2"/>
    </font>
    <font>
      <sz val="9"/>
      <color theme="1"/>
      <name val="Calibri"/>
      <family val="2"/>
      <scheme val="minor"/>
    </font>
    <font>
      <sz val="9"/>
      <color theme="1" tint="0.14999847407452621"/>
      <name val="Calibri"/>
      <family val="2"/>
      <scheme val="minor"/>
    </font>
    <font>
      <sz val="10"/>
      <color rgb="FF333333"/>
      <name val="Calibri"/>
      <family val="2"/>
    </font>
    <font>
      <sz val="9"/>
      <color rgb="FF333333"/>
      <name val="Calibri"/>
      <family val="2"/>
    </font>
    <font>
      <b/>
      <sz val="10"/>
      <color theme="1" tint="0.14999847407452621"/>
      <name val="Calibri"/>
      <family val="2"/>
      <scheme val="minor"/>
    </font>
    <font>
      <b/>
      <sz val="11"/>
      <color rgb="FF27A9E1"/>
      <name val="Calibri"/>
      <family val="1"/>
      <charset val="2"/>
      <scheme val="minor"/>
    </font>
    <font>
      <b/>
      <sz val="11"/>
      <color theme="1" tint="0.499984740745262"/>
      <name val="Calibri"/>
      <family val="2"/>
      <scheme val="minor"/>
    </font>
    <font>
      <b/>
      <sz val="10"/>
      <color rgb="FF27A9E1"/>
      <name val="Calibri"/>
      <family val="1"/>
      <charset val="2"/>
      <scheme val="minor"/>
    </font>
    <font>
      <b/>
      <sz val="10"/>
      <color rgb="FF27A9E1"/>
      <name val="Calibri"/>
      <family val="2"/>
      <scheme val="minor"/>
    </font>
    <font>
      <b/>
      <sz val="11"/>
      <color rgb="FF27A9E1"/>
      <name val="Webdings"/>
      <family val="1"/>
      <charset val="2"/>
    </font>
    <font>
      <b/>
      <sz val="11"/>
      <color rgb="FF27A9E1"/>
      <name val="Calibri"/>
      <family val="2"/>
      <scheme val="minor"/>
    </font>
    <font>
      <sz val="11"/>
      <color theme="1" tint="0.499984740745262"/>
      <name val="Calibri"/>
      <family val="2"/>
      <scheme val="minor"/>
    </font>
    <font>
      <u/>
      <sz val="11"/>
      <color rgb="FF27A9E1"/>
      <name val="Calibri"/>
      <family val="2"/>
      <scheme val="minor"/>
    </font>
    <font>
      <b/>
      <sz val="11"/>
      <name val="Calibri"/>
      <family val="2"/>
      <scheme val="minor"/>
    </font>
    <font>
      <sz val="10"/>
      <color rgb="FFFF0000"/>
      <name val="Calibri"/>
      <family val="2"/>
      <scheme val="minor"/>
    </font>
    <font>
      <b/>
      <sz val="10"/>
      <color theme="1"/>
      <name val="Calibri"/>
      <family val="2"/>
    </font>
    <font>
      <sz val="10"/>
      <name val="Calibri"/>
      <family val="2"/>
      <scheme val="minor"/>
    </font>
    <font>
      <b/>
      <sz val="10"/>
      <color theme="0"/>
      <name val="Calibri"/>
      <family val="2"/>
      <scheme val="minor"/>
    </font>
    <font>
      <sz val="9"/>
      <color rgb="FFC00000"/>
      <name val="Webdings"/>
      <family val="1"/>
      <charset val="2"/>
    </font>
    <font>
      <b/>
      <sz val="10"/>
      <color theme="1" tint="0.499984740745262"/>
      <name val="Calibri"/>
      <family val="2"/>
      <scheme val="minor"/>
    </font>
    <font>
      <sz val="10"/>
      <color theme="1" tint="0.499984740745262"/>
      <name val="Calibri"/>
      <family val="2"/>
      <scheme val="minor"/>
    </font>
    <font>
      <b/>
      <sz val="10"/>
      <name val="Calibri"/>
      <family val="2"/>
    </font>
    <font>
      <sz val="11"/>
      <name val="Calibri"/>
      <family val="2"/>
      <scheme val="minor"/>
    </font>
    <font>
      <b/>
      <sz val="11"/>
      <color theme="0"/>
      <name val="Calibri"/>
      <family val="1"/>
      <charset val="2"/>
      <scheme val="minor"/>
    </font>
    <font>
      <b/>
      <sz val="11"/>
      <color theme="0"/>
      <name val="Wingdings 3"/>
      <family val="1"/>
      <charset val="2"/>
    </font>
    <font>
      <b/>
      <sz val="14"/>
      <color rgb="FF333333"/>
      <name val="Calibri"/>
      <family val="2"/>
    </font>
    <font>
      <sz val="11"/>
      <color theme="0" tint="-0.499984740745262"/>
      <name val="Calibri"/>
      <family val="2"/>
      <scheme val="minor"/>
    </font>
    <font>
      <sz val="9"/>
      <color theme="0" tint="-0.499984740745262"/>
      <name val="Calibri"/>
      <family val="2"/>
      <scheme val="minor"/>
    </font>
    <font>
      <sz val="11"/>
      <color rgb="FF333333"/>
      <name val="Calibri"/>
      <family val="2"/>
    </font>
    <font>
      <sz val="11"/>
      <color rgb="FF333333"/>
      <name val="Calibri"/>
      <family val="2"/>
      <scheme val="minor"/>
    </font>
    <font>
      <b/>
      <sz val="16"/>
      <color rgb="FF333333"/>
      <name val="Calibri"/>
      <family val="2"/>
    </font>
    <font>
      <b/>
      <sz val="11"/>
      <color rgb="FFFFFFFF"/>
      <name val="Calibri"/>
    </font>
    <font>
      <sz val="8"/>
      <color rgb="FF616161"/>
      <name val="Segoe UI"/>
      <family val="2"/>
    </font>
    <font>
      <sz val="8"/>
      <color rgb="FF424242"/>
      <name val="Segoe UI"/>
      <family val="2"/>
    </font>
    <font>
      <b/>
      <sz val="10"/>
      <color rgb="FF333333"/>
      <name val="Calibri"/>
      <family val="2"/>
      <scheme val="minor"/>
    </font>
    <font>
      <sz val="10"/>
      <color theme="0"/>
      <name val="Calibri"/>
      <family val="2"/>
      <scheme val="minor"/>
    </font>
    <font>
      <b/>
      <sz val="10"/>
      <color theme="0"/>
      <name val="Calibri"/>
      <family val="2"/>
    </font>
    <font>
      <b/>
      <sz val="11"/>
      <color theme="1" tint="0.499984740745262"/>
      <name val="Calibri"/>
      <family val="1"/>
      <charset val="2"/>
      <scheme val="minor"/>
    </font>
    <font>
      <b/>
      <sz val="11"/>
      <color rgb="FF333333"/>
      <name val="Calibri"/>
      <family val="2"/>
    </font>
    <font>
      <b/>
      <sz val="10"/>
      <color rgb="FFFFFFFF"/>
      <name val="Calibri"/>
      <family val="2"/>
      <scheme val="minor"/>
    </font>
    <font>
      <i/>
      <sz val="8"/>
      <color rgb="FF616161"/>
      <name val="Segoe UI"/>
      <family val="2"/>
    </font>
    <font>
      <i/>
      <sz val="9"/>
      <color rgb="FF000000"/>
      <name val="Calibri"/>
      <family val="2"/>
      <scheme val="minor"/>
    </font>
    <font>
      <sz val="10"/>
      <color rgb="FF333333"/>
      <name val="Calibri"/>
      <family val="2"/>
      <scheme val="minor"/>
    </font>
    <font>
      <sz val="11"/>
      <color rgb="FF000000"/>
      <name val="Calibri"/>
      <family val="2"/>
      <scheme val="minor"/>
    </font>
    <font>
      <sz val="10"/>
      <color rgb="FF000000"/>
      <name val="Calibri"/>
      <family val="2"/>
      <scheme val="minor"/>
    </font>
    <font>
      <b/>
      <sz val="10"/>
      <color rgb="FF27A9E1"/>
      <name val="Wingdings 3"/>
      <family val="1"/>
      <charset val="2"/>
    </font>
    <font>
      <b/>
      <sz val="10"/>
      <color theme="0" tint="-0.499984740745262"/>
      <name val="Calibri"/>
      <family val="2"/>
    </font>
    <font>
      <b/>
      <sz val="9"/>
      <color theme="1"/>
      <name val="Calibri"/>
      <family val="2"/>
      <scheme val="minor"/>
    </font>
    <font>
      <b/>
      <sz val="9"/>
      <color rgb="FF333333"/>
      <name val="Calibri"/>
      <family val="2"/>
      <scheme val="minor"/>
    </font>
    <font>
      <sz val="10"/>
      <name val="Arial"/>
      <family val="2"/>
    </font>
    <font>
      <b/>
      <sz val="11"/>
      <color theme="0"/>
      <name val="Webdings"/>
      <family val="1"/>
      <charset val="2"/>
    </font>
    <font>
      <sz val="10"/>
      <color rgb="FFFF0000"/>
      <name val="Webdings"/>
      <family val="1"/>
      <charset val="2"/>
    </font>
    <font>
      <sz val="9"/>
      <color theme="0"/>
      <name val="Calibri"/>
      <family val="2"/>
      <scheme val="minor"/>
    </font>
    <font>
      <b/>
      <sz val="10"/>
      <name val="Calibri"/>
      <family val="2"/>
      <scheme val="minor"/>
    </font>
    <font>
      <sz val="10"/>
      <color theme="0" tint="-0.499984740745262"/>
      <name val="Calibri"/>
      <family val="2"/>
      <scheme val="minor"/>
    </font>
    <font>
      <b/>
      <sz val="10"/>
      <color theme="0" tint="-0.499984740745262"/>
      <name val="Calibri"/>
      <family val="2"/>
      <scheme val="minor"/>
    </font>
    <font>
      <u/>
      <sz val="10"/>
      <color theme="0" tint="-0.499984740745262"/>
      <name val="Calibri"/>
      <family val="2"/>
      <scheme val="minor"/>
    </font>
    <font>
      <b/>
      <sz val="14"/>
      <color theme="1" tint="0.499984740745262"/>
      <name val="Calibri"/>
      <family val="2"/>
      <scheme val="minor"/>
    </font>
    <font>
      <sz val="9"/>
      <color theme="1" tint="0.499984740745262"/>
      <name val="Calibri"/>
      <family val="2"/>
      <scheme val="minor"/>
    </font>
    <font>
      <sz val="11"/>
      <color theme="1" tint="0.14999847407452621"/>
      <name val="Calibri"/>
      <family val="2"/>
      <scheme val="minor"/>
    </font>
    <font>
      <b/>
      <sz val="10"/>
      <color theme="1" tint="0.14999847407452621"/>
      <name val="Calibri"/>
      <family val="2"/>
    </font>
    <font>
      <sz val="10"/>
      <color theme="1" tint="0.14999847407452621"/>
      <name val="Calibri"/>
      <family val="2"/>
    </font>
    <font>
      <sz val="10"/>
      <color theme="1" tint="0.14999847407452621"/>
      <name val="Calibri"/>
      <family val="2"/>
      <scheme val="minor"/>
    </font>
    <font>
      <sz val="10"/>
      <name val="Calibri"/>
      <family val="2"/>
    </font>
    <font>
      <i/>
      <sz val="10"/>
      <color rgb="FF333333"/>
      <name val="Calibri"/>
      <family val="2"/>
      <scheme val="minor"/>
    </font>
    <font>
      <b/>
      <sz val="10"/>
      <color rgb="FF333333"/>
      <name val="Wingdings 2"/>
      <family val="1"/>
      <charset val="2"/>
    </font>
    <font>
      <b/>
      <sz val="10"/>
      <color rgb="FF808080"/>
      <name val="Calibri"/>
      <family val="2"/>
      <scheme val="minor"/>
    </font>
    <font>
      <b/>
      <sz val="11"/>
      <color rgb="FF808080"/>
      <name val="Calibri"/>
      <family val="2"/>
      <scheme val="minor"/>
    </font>
    <font>
      <b/>
      <sz val="14"/>
      <color theme="1"/>
      <name val="Calibri"/>
      <family val="2"/>
      <scheme val="minor"/>
    </font>
    <font>
      <b/>
      <sz val="11"/>
      <color rgb="FF333333"/>
      <name val="Calibri"/>
      <family val="2"/>
      <scheme val="minor"/>
    </font>
    <font>
      <sz val="11"/>
      <color theme="0"/>
      <name val="Calibri"/>
      <family val="2"/>
    </font>
    <font>
      <sz val="10"/>
      <color theme="0" tint="-0.499984740745262"/>
      <name val="Calibri"/>
      <family val="2"/>
    </font>
    <font>
      <i/>
      <sz val="10"/>
      <color theme="1" tint="0.14999847407452621"/>
      <name val="Calibri"/>
      <family val="2"/>
    </font>
    <font>
      <sz val="9"/>
      <color theme="0" tint="-0.499984740745262"/>
      <name val="Calibri"/>
      <family val="2"/>
    </font>
    <font>
      <sz val="11"/>
      <color theme="1" tint="0.14999847407452621"/>
      <name val="Calibri"/>
      <family val="2"/>
    </font>
    <font>
      <sz val="11"/>
      <color rgb="FF444444"/>
      <name val="Calibri"/>
      <family val="2"/>
      <scheme val="minor"/>
    </font>
    <font>
      <sz val="10"/>
      <color theme="0" tint="-0.249977111117893"/>
      <name val="Calibri"/>
      <family val="2"/>
      <scheme val="minor"/>
    </font>
    <font>
      <sz val="10"/>
      <color rgb="FFFF0000"/>
      <name val="Calibri"/>
      <family val="2"/>
    </font>
    <font>
      <b/>
      <sz val="10"/>
      <color theme="0" tint="-0.249977111117893"/>
      <name val="Calibri"/>
      <family val="2"/>
      <scheme val="minor"/>
    </font>
    <font>
      <b/>
      <sz val="11"/>
      <color rgb="FF27AAE1"/>
      <name val="Calibri"/>
      <family val="2"/>
      <scheme val="minor"/>
    </font>
    <font>
      <b/>
      <sz val="11"/>
      <color rgb="FF27AAE1"/>
      <name val="Webdings"/>
      <family val="1"/>
      <charset val="2"/>
    </font>
    <font>
      <b/>
      <sz val="11"/>
      <color rgb="FF27AAE1"/>
      <name val="Calibri"/>
      <family val="1"/>
      <charset val="2"/>
      <scheme val="minor"/>
    </font>
    <font>
      <sz val="10"/>
      <color rgb="FF333333"/>
      <name val="Webdings"/>
      <family val="1"/>
      <charset val="2"/>
    </font>
    <font>
      <sz val="10"/>
      <color theme="1" tint="0.499984740745262"/>
      <name val="Calibri"/>
      <family val="2"/>
    </font>
    <font>
      <b/>
      <sz val="10"/>
      <color theme="1" tint="0.499984740745262"/>
      <name val="Calibri"/>
      <family val="2"/>
    </font>
    <font>
      <b/>
      <sz val="11"/>
      <color rgb="FF27A9E1"/>
      <name val="Calibri"/>
      <family val="1"/>
      <charset val="2"/>
    </font>
    <font>
      <b/>
      <sz val="11"/>
      <color rgb="FF27A9E1"/>
      <name val="Calibri"/>
      <family val="2"/>
    </font>
    <font>
      <b/>
      <sz val="9"/>
      <name val="Arial"/>
      <family val="2"/>
    </font>
    <font>
      <sz val="9"/>
      <name val="Arial"/>
      <family val="2"/>
    </font>
    <font>
      <sz val="9"/>
      <color theme="1" tint="0.14999847407452621"/>
      <name val="Arial"/>
      <family val="2"/>
    </font>
    <font>
      <b/>
      <sz val="11"/>
      <color theme="1" tint="0.14999847407452621"/>
      <name val="Calibri"/>
      <family val="2"/>
      <scheme val="minor"/>
    </font>
    <font>
      <sz val="11"/>
      <color rgb="FF27A9E1"/>
      <name val="Wingdings 3"/>
      <family val="1"/>
      <charset val="2"/>
    </font>
    <font>
      <b/>
      <sz val="10"/>
      <color rgb="FFC00000"/>
      <name val="Calibri"/>
      <family val="2"/>
      <scheme val="minor"/>
    </font>
    <font>
      <sz val="11"/>
      <color rgb="FF27A9E1"/>
      <name val="Calibri"/>
      <family val="2"/>
      <scheme val="minor"/>
    </font>
    <font>
      <b/>
      <sz val="11"/>
      <color theme="0" tint="-0.499984740745262"/>
      <name val="Calibri"/>
      <family val="1"/>
      <charset val="2"/>
      <scheme val="minor"/>
    </font>
    <font>
      <sz val="10"/>
      <color rgb="FFC00000"/>
      <name val="Calibri"/>
      <family val="2"/>
      <scheme val="minor"/>
    </font>
    <font>
      <b/>
      <sz val="10"/>
      <color rgb="FF27A9E1"/>
      <name val="Calibri"/>
      <family val="2"/>
    </font>
    <font>
      <i/>
      <sz val="10"/>
      <color theme="1"/>
      <name val="Calibri"/>
      <family val="2"/>
      <scheme val="minor"/>
    </font>
    <font>
      <sz val="10"/>
      <color theme="0" tint="-4.9989318521683403E-2"/>
      <name val="Calibri"/>
      <family val="2"/>
      <scheme val="minor"/>
    </font>
    <font>
      <b/>
      <sz val="10"/>
      <color rgb="FFFF0000"/>
      <name val="Calibri"/>
      <family val="2"/>
      <scheme val="minor"/>
    </font>
    <font>
      <b/>
      <sz val="11"/>
      <color rgb="FFC00000"/>
      <name val="Calibri"/>
      <family val="2"/>
      <scheme val="minor"/>
    </font>
    <font>
      <sz val="10"/>
      <color rgb="FF27A9E1"/>
      <name val="Calibri"/>
      <family val="2"/>
      <scheme val="minor"/>
    </font>
    <font>
      <i/>
      <sz val="11"/>
      <color theme="1"/>
      <name val="Calibri"/>
      <family val="2"/>
      <scheme val="minor"/>
    </font>
    <font>
      <i/>
      <sz val="11"/>
      <color theme="1" tint="0.499984740745262"/>
      <name val="Calibri"/>
      <family val="2"/>
      <scheme val="minor"/>
    </font>
    <font>
      <b/>
      <u/>
      <sz val="10"/>
      <color theme="0" tint="-0.499984740745262"/>
      <name val="Calibri"/>
      <family val="2"/>
      <scheme val="minor"/>
    </font>
    <font>
      <b/>
      <sz val="12"/>
      <color rgb="FFFFFFFF"/>
      <name val="Calibri"/>
      <family val="2"/>
      <scheme val="minor"/>
    </font>
    <font>
      <b/>
      <sz val="16"/>
      <color theme="1" tint="0.14999847407452621"/>
      <name val="Calibri"/>
      <family val="2"/>
    </font>
    <font>
      <b/>
      <sz val="11"/>
      <color rgb="FFFFFFFF"/>
      <name val="Calibri"/>
      <family val="2"/>
      <scheme val="minor"/>
    </font>
    <font>
      <sz val="10"/>
      <color theme="0"/>
      <name val="Calibri"/>
      <family val="1"/>
      <charset val="2"/>
      <scheme val="minor"/>
    </font>
    <font>
      <sz val="10"/>
      <color theme="0"/>
      <name val="Webdings"/>
      <family val="1"/>
      <charset val="2"/>
    </font>
    <font>
      <u/>
      <sz val="10"/>
      <color theme="0"/>
      <name val="Calibri"/>
      <family val="2"/>
      <scheme val="minor"/>
    </font>
    <font>
      <b/>
      <i/>
      <sz val="10"/>
      <color rgb="FF333333"/>
      <name val="Calibri"/>
      <family val="2"/>
      <scheme val="minor"/>
    </font>
    <font>
      <b/>
      <sz val="14"/>
      <color rgb="FF333333"/>
      <name val="Calibri"/>
      <family val="2"/>
      <scheme val="minor"/>
    </font>
    <font>
      <b/>
      <sz val="12"/>
      <color theme="1"/>
      <name val="Calibri"/>
      <family val="2"/>
      <scheme val="minor"/>
    </font>
    <font>
      <b/>
      <sz val="12"/>
      <color rgb="FF333333"/>
      <name val="Calibri"/>
      <family val="2"/>
    </font>
    <font>
      <b/>
      <sz val="10"/>
      <color theme="0"/>
      <name val="Wingdings 3"/>
      <family val="1"/>
      <charset val="2"/>
    </font>
    <font>
      <sz val="8"/>
      <color theme="0"/>
      <name val="Calibri"/>
      <family val="2"/>
      <scheme val="minor"/>
    </font>
    <font>
      <b/>
      <sz val="10"/>
      <color rgb="FF27A9E1"/>
      <name val="Wingdings 3"/>
      <family val="2"/>
      <charset val="2"/>
    </font>
    <font>
      <b/>
      <sz val="11"/>
      <color rgb="FF27A9E1"/>
      <name val="Wingdings 3"/>
      <family val="1"/>
      <charset val="2"/>
    </font>
    <font>
      <sz val="12"/>
      <color theme="1"/>
      <name val="Calibri"/>
      <family val="2"/>
      <scheme val="minor"/>
    </font>
    <font>
      <sz val="11"/>
      <color rgb="FF0C9EFF"/>
      <name val="Calibri"/>
      <family val="2"/>
    </font>
    <font>
      <b/>
      <sz val="10"/>
      <color rgb="FFC00000"/>
      <name val="Calibri"/>
      <family val="2"/>
    </font>
    <font>
      <sz val="10"/>
      <color theme="1"/>
      <name val="Calibri"/>
      <family val="2"/>
    </font>
    <font>
      <sz val="11"/>
      <color theme="0" tint="-0.499984740745262"/>
      <name val="Calibri"/>
      <family val="2"/>
    </font>
    <font>
      <b/>
      <sz val="14"/>
      <color theme="0" tint="-0.499984740745262"/>
      <name val="Calibri"/>
      <family val="2"/>
    </font>
    <font>
      <b/>
      <sz val="12"/>
      <color rgb="FFFFFFFF"/>
      <name val="Calibri"/>
      <family val="2"/>
    </font>
    <font>
      <sz val="9"/>
      <color rgb="FFFF0000"/>
      <name val="Calibri"/>
      <family val="2"/>
    </font>
    <font>
      <b/>
      <sz val="10"/>
      <color rgb="FFFF0000"/>
      <name val="Calibri"/>
      <family val="2"/>
    </font>
    <font>
      <sz val="11"/>
      <color rgb="FF00ACD4"/>
      <name val="Wingdings 3"/>
      <family val="1"/>
      <charset val="2"/>
    </font>
    <font>
      <b/>
      <sz val="9"/>
      <color indexed="9"/>
      <name val="Arial"/>
      <family val="2"/>
    </font>
    <font>
      <u/>
      <sz val="11"/>
      <color theme="10"/>
      <name val="Calibri"/>
      <family val="2"/>
      <scheme val="minor"/>
    </font>
    <font>
      <b/>
      <sz val="9"/>
      <color rgb="FF27A9E1"/>
      <name val="Calibri"/>
      <family val="2"/>
      <scheme val="minor"/>
    </font>
    <font>
      <b/>
      <sz val="9"/>
      <color rgb="FFFFFFFF"/>
      <name val="Calibri"/>
      <family val="2"/>
      <scheme val="minor"/>
    </font>
    <font>
      <sz val="10"/>
      <color theme="1" tint="0.499984740745262"/>
      <name val="Calibri"/>
      <family val="1"/>
      <charset val="2"/>
      <scheme val="minor"/>
    </font>
    <font>
      <sz val="10"/>
      <color theme="1" tint="0.14999847407452621"/>
      <name val="Calibri"/>
      <family val="1"/>
      <charset val="2"/>
      <scheme val="minor"/>
    </font>
    <font>
      <b/>
      <sz val="11"/>
      <color rgb="FF27A9E1"/>
      <name val="Calibri"/>
      <family val="2"/>
      <charset val="2"/>
      <scheme val="minor"/>
    </font>
    <font>
      <b/>
      <u/>
      <sz val="11"/>
      <color rgb="FF27A9E1"/>
      <name val="Calibri"/>
      <family val="2"/>
      <charset val="2"/>
      <scheme val="minor"/>
    </font>
    <font>
      <b/>
      <sz val="10"/>
      <color theme="0"/>
      <name val="Calibri"/>
      <family val="1"/>
      <charset val="2"/>
      <scheme val="minor"/>
    </font>
    <font>
      <sz val="10"/>
      <color theme="0"/>
      <name val="Wingdings 3"/>
      <family val="1"/>
      <charset val="2"/>
    </font>
    <font>
      <sz val="10"/>
      <color theme="0"/>
      <name val="Calibri"/>
      <family val="2"/>
      <charset val="2"/>
      <scheme val="minor"/>
    </font>
    <font>
      <b/>
      <u/>
      <sz val="10"/>
      <color theme="1" tint="0.499984740745262"/>
      <name val="Calibri"/>
      <family val="2"/>
      <scheme val="minor"/>
    </font>
    <font>
      <u/>
      <sz val="10"/>
      <color theme="1" tint="0.499984740745262"/>
      <name val="Calibri"/>
      <family val="2"/>
      <scheme val="minor"/>
    </font>
    <font>
      <sz val="11"/>
      <color rgb="FF27A9E1"/>
      <name val="Webdings"/>
      <family val="1"/>
      <charset val="2"/>
    </font>
    <font>
      <sz val="11"/>
      <color rgb="FF27A9E1"/>
      <name val="Calibri"/>
      <family val="2"/>
      <charset val="2"/>
      <scheme val="minor"/>
    </font>
    <font>
      <i/>
      <sz val="8"/>
      <color rgb="FF333333"/>
      <name val="Calibri"/>
      <family val="2"/>
    </font>
    <font>
      <sz val="10"/>
      <color rgb="FF444444"/>
      <name val="Calibri"/>
      <family val="2"/>
      <scheme val="minor"/>
    </font>
    <font>
      <sz val="8"/>
      <color rgb="FF333333"/>
      <name val="Calibri"/>
      <family val="2"/>
    </font>
    <font>
      <b/>
      <sz val="11"/>
      <color rgb="FFFFFFFF"/>
      <name val="Calibri"/>
      <family val="2"/>
    </font>
    <font>
      <b/>
      <sz val="11"/>
      <color rgb="FFFFFFFF"/>
      <name val="Calibri"/>
      <family val="1"/>
      <charset val="2"/>
    </font>
    <font>
      <b/>
      <sz val="11"/>
      <color rgb="FFFFFFFF"/>
      <name val="Wingdings 3"/>
      <family val="1"/>
      <charset val="2"/>
    </font>
    <font>
      <sz val="9"/>
      <color rgb="FF444444"/>
      <name val="Calibri"/>
      <family val="2"/>
      <scheme val="minor"/>
    </font>
    <font>
      <sz val="10"/>
      <color rgb="FF27A9E1"/>
      <name val="Webdings"/>
      <family val="1"/>
      <charset val="2"/>
    </font>
    <font>
      <b/>
      <sz val="9"/>
      <color rgb="FF333333"/>
      <name val="Calibri"/>
      <family val="2"/>
    </font>
    <font>
      <sz val="10"/>
      <color rgb="FF000000"/>
      <name val="Arial"/>
      <family val="2"/>
    </font>
    <font>
      <b/>
      <sz val="8"/>
      <name val="Arial"/>
      <family val="2"/>
    </font>
    <font>
      <b/>
      <sz val="10"/>
      <color rgb="FF000000"/>
      <name val="Arial"/>
      <family val="2"/>
    </font>
    <font>
      <b/>
      <i/>
      <sz val="10"/>
      <color rgb="FF000000"/>
      <name val="Arial"/>
      <family val="2"/>
    </font>
    <font>
      <b/>
      <u/>
      <sz val="11"/>
      <color theme="0" tint="-0.499984740745262"/>
      <name val="Calibri"/>
      <family val="2"/>
      <scheme val="minor"/>
    </font>
    <font>
      <b/>
      <sz val="11"/>
      <color theme="0" tint="-0.499984740745262"/>
      <name val="Calibri"/>
      <family val="2"/>
      <scheme val="minor"/>
    </font>
    <font>
      <sz val="10"/>
      <color theme="0"/>
      <name val="Calibri"/>
      <family val="2"/>
    </font>
    <font>
      <sz val="10"/>
      <color indexed="23"/>
      <name val="Calibri"/>
      <family val="1"/>
      <scheme val="minor"/>
    </font>
    <font>
      <sz val="10"/>
      <color theme="1"/>
      <name val="Calibri"/>
      <family val="1"/>
      <scheme val="minor"/>
    </font>
    <font>
      <sz val="10"/>
      <color theme="0" tint="-0.499984740745262"/>
      <name val="Calibri"/>
      <family val="1"/>
      <charset val="2"/>
      <scheme val="minor"/>
    </font>
    <font>
      <sz val="10"/>
      <color theme="0" tint="-0.499984740745262"/>
      <name val="Webdings"/>
      <family val="1"/>
      <charset val="2"/>
    </font>
    <font>
      <sz val="10"/>
      <color rgb="FFC00000"/>
      <name val="Calibri"/>
      <family val="2"/>
    </font>
    <font>
      <u/>
      <sz val="10"/>
      <color rgb="FF333333"/>
      <name val="Calibri"/>
      <family val="2"/>
    </font>
    <font>
      <sz val="10"/>
      <color theme="0" tint="-0.499984740745262"/>
      <name val="Wingdings 3"/>
      <family val="1"/>
      <charset val="2"/>
    </font>
    <font>
      <sz val="10"/>
      <color theme="0" tint="-0.34998626667073579"/>
      <name val="Calibri"/>
      <family val="2"/>
      <scheme val="minor"/>
    </font>
    <font>
      <sz val="9"/>
      <name val="Calibri"/>
      <family val="2"/>
    </font>
    <font>
      <u/>
      <sz val="10"/>
      <color theme="1" tint="0.499984740745262"/>
      <name val="Calibri"/>
      <family val="2"/>
    </font>
    <font>
      <sz val="8"/>
      <color theme="0" tint="-0.499984740745262"/>
      <name val="Calibri"/>
      <family val="2"/>
    </font>
    <font>
      <sz val="8"/>
      <color theme="0" tint="-0.34998626667073579"/>
      <name val="Calibri"/>
      <family val="2"/>
    </font>
    <font>
      <sz val="12"/>
      <color theme="1" tint="0.499984740745262"/>
      <name val="Calibri"/>
      <family val="2"/>
    </font>
    <font>
      <b/>
      <u/>
      <sz val="10"/>
      <color theme="1" tint="0.499984740745262"/>
      <name val="Calibri"/>
      <family val="2"/>
    </font>
    <font>
      <b/>
      <sz val="11"/>
      <color rgb="FF0C9EFF"/>
      <name val="Calibri"/>
      <family val="1"/>
      <charset val="2"/>
    </font>
    <font>
      <b/>
      <sz val="11"/>
      <color rgb="FF0C9EFF"/>
      <name val="Calibri"/>
      <family val="2"/>
    </font>
    <font>
      <i/>
      <sz val="10"/>
      <color theme="0" tint="-0.499984740745262"/>
      <name val="Calibri"/>
      <family val="2"/>
    </font>
    <font>
      <b/>
      <u/>
      <sz val="11"/>
      <color rgb="FF27A9E1"/>
      <name val="Calibri"/>
      <family val="2"/>
      <scheme val="minor"/>
    </font>
    <font>
      <sz val="9"/>
      <name val="Calibri"/>
      <family val="2"/>
      <scheme val="minor"/>
    </font>
    <font>
      <b/>
      <sz val="9"/>
      <color rgb="FFFF0000"/>
      <name val="Calibri"/>
      <family val="2"/>
    </font>
    <font>
      <b/>
      <sz val="9"/>
      <name val="Calibri"/>
      <family val="2"/>
      <scheme val="minor"/>
    </font>
    <font>
      <b/>
      <sz val="14"/>
      <name val="Arial"/>
      <family val="2"/>
    </font>
    <font>
      <b/>
      <sz val="12"/>
      <name val="Arial"/>
      <family val="2"/>
    </font>
    <font>
      <b/>
      <u/>
      <sz val="10"/>
      <color theme="0" tint="-0.499984740745262"/>
      <name val="Calibri"/>
      <family val="2"/>
    </font>
    <font>
      <b/>
      <sz val="14"/>
      <color rgb="FF27AAE1"/>
      <name val="Calibri"/>
      <family val="2"/>
    </font>
  </fonts>
  <fills count="6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rgb="FFF2F2F2"/>
        <bgColor indexed="64"/>
      </patternFill>
    </fill>
    <fill>
      <patternFill patternType="solid">
        <fgColor theme="0" tint="-4.9989318521683403E-2"/>
        <bgColor indexed="64"/>
      </patternFill>
    </fill>
    <fill>
      <patternFill patternType="solid">
        <fgColor rgb="FFBFBFBF"/>
        <bgColor indexed="64"/>
      </patternFill>
    </fill>
    <fill>
      <patternFill patternType="solid">
        <fgColor rgb="FF27A9E1"/>
        <bgColor indexed="64"/>
      </patternFill>
    </fill>
    <fill>
      <patternFill patternType="solid">
        <fgColor theme="1"/>
        <bgColor indexed="64"/>
      </patternFill>
    </fill>
    <fill>
      <patternFill patternType="solid">
        <fgColor theme="1" tint="0.14996795556505021"/>
        <bgColor indexed="64"/>
      </patternFill>
    </fill>
    <fill>
      <patternFill patternType="solid">
        <fgColor theme="0" tint="-0.14996795556505021"/>
        <bgColor indexed="64"/>
      </patternFill>
    </fill>
    <fill>
      <patternFill patternType="solid">
        <fgColor theme="0" tint="-0.14999847407452621"/>
        <bgColor indexed="64"/>
      </patternFill>
    </fill>
    <fill>
      <patternFill patternType="solid">
        <fgColor theme="0" tint="-0.249977111117893"/>
        <bgColor rgb="FF000000"/>
      </patternFill>
    </fill>
    <fill>
      <patternFill patternType="solid">
        <fgColor rgb="FFF2F2F2"/>
        <bgColor rgb="FF000000"/>
      </patternFill>
    </fill>
    <fill>
      <patternFill patternType="solid">
        <fgColor theme="4" tint="0.79998168889431442"/>
        <bgColor indexed="64"/>
      </patternFill>
    </fill>
    <fill>
      <patternFill patternType="solid">
        <fgColor theme="1" tint="0.14999847407452621"/>
        <bgColor indexed="64"/>
      </patternFill>
    </fill>
    <fill>
      <patternFill patternType="solid">
        <fgColor theme="7"/>
        <bgColor indexed="64"/>
      </patternFill>
    </fill>
    <fill>
      <patternFill patternType="solid">
        <fgColor theme="0" tint="-0.249977111117893"/>
        <bgColor indexed="64"/>
      </patternFill>
    </fill>
    <fill>
      <patternFill patternType="solid">
        <fgColor theme="0"/>
        <bgColor indexed="64"/>
      </patternFill>
    </fill>
    <fill>
      <patternFill patternType="solid">
        <fgColor rgb="FFDDEBF7"/>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rgb="FF0C9EFF"/>
        <bgColor indexed="64"/>
      </patternFill>
    </fill>
    <fill>
      <patternFill patternType="solid">
        <fgColor rgb="FFCEECFF"/>
        <bgColor indexed="64"/>
      </patternFill>
    </fill>
    <fill>
      <patternFill patternType="lightTrellis">
        <fgColor rgb="FFA6A6A6"/>
        <bgColor theme="0"/>
      </patternFill>
    </fill>
    <fill>
      <patternFill patternType="solid">
        <fgColor theme="0" tint="-0.24994659260841701"/>
        <bgColor rgb="FF000000"/>
      </patternFill>
    </fill>
    <fill>
      <patternFill patternType="solid">
        <fgColor indexed="9"/>
      </patternFill>
    </fill>
    <fill>
      <patternFill patternType="lightTrellis">
        <fgColor auto="1"/>
        <bgColor auto="1"/>
      </patternFill>
    </fill>
    <fill>
      <patternFill patternType="solid">
        <fgColor theme="0" tint="-0.24994659260841701"/>
        <bgColor indexed="64"/>
      </patternFill>
    </fill>
    <fill>
      <patternFill patternType="solid">
        <fgColor rgb="FF55ABDE"/>
        <bgColor indexed="64"/>
      </patternFill>
    </fill>
  </fills>
  <borders count="2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rgb="FFD9D9D9"/>
      </top>
      <bottom/>
      <diagonal/>
    </border>
    <border>
      <left/>
      <right style="thin">
        <color rgb="FFD9D9D9"/>
      </right>
      <top style="thin">
        <color rgb="FFD9D9D9"/>
      </top>
      <bottom/>
      <diagonal/>
    </border>
    <border>
      <left/>
      <right style="thin">
        <color rgb="FFD9D9D9"/>
      </right>
      <top/>
      <bottom/>
      <diagonal/>
    </border>
    <border>
      <left style="thin">
        <color rgb="FFD9D9D9"/>
      </left>
      <right/>
      <top style="thin">
        <color rgb="FFD9D9D9"/>
      </top>
      <bottom/>
      <diagonal/>
    </border>
    <border>
      <left style="thin">
        <color rgb="FFD9D9D9"/>
      </left>
      <right/>
      <top/>
      <bottom/>
      <diagonal/>
    </border>
    <border>
      <left style="thin">
        <color rgb="FFD9D9D9"/>
      </left>
      <right/>
      <top/>
      <bottom style="thin">
        <color rgb="FFD9D9D9"/>
      </bottom>
      <diagonal/>
    </border>
    <border>
      <left/>
      <right/>
      <top/>
      <bottom style="thin">
        <color rgb="FFD9D9D9"/>
      </bottom>
      <diagonal/>
    </border>
    <border>
      <left/>
      <right style="thin">
        <color rgb="FFD9D9D9"/>
      </right>
      <top/>
      <bottom style="thin">
        <color rgb="FFD9D9D9"/>
      </bottom>
      <diagonal/>
    </border>
    <border>
      <left/>
      <right style="thin">
        <color theme="0" tint="-0.14999847407452621"/>
      </right>
      <top/>
      <bottom style="thin">
        <color theme="0" tint="-0.14999847407452621"/>
      </bottom>
      <diagonal/>
    </border>
    <border>
      <left/>
      <right/>
      <top/>
      <bottom style="thin">
        <color theme="0" tint="-0.14999847407452621"/>
      </bottom>
      <diagonal/>
    </border>
    <border>
      <left style="thin">
        <color theme="0" tint="-0.14999847407452621"/>
      </left>
      <right/>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top style="thin">
        <color theme="0" tint="-0.14999847407452621"/>
      </top>
      <bottom style="thin">
        <color theme="0" tint="-0.14999847407452621"/>
      </bottom>
      <diagonal/>
    </border>
    <border>
      <left/>
      <right style="thin">
        <color theme="0" tint="-0.14999847407452621"/>
      </right>
      <top/>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top/>
      <bottom/>
      <diagonal/>
    </border>
    <border>
      <left style="thin">
        <color theme="0" tint="-0.14999847407452621"/>
      </left>
      <right style="thin">
        <color theme="0" tint="-0.14999847407452621"/>
      </right>
      <top/>
      <bottom style="thin">
        <color theme="0" tint="-0.14999847407452621"/>
      </bottom>
      <diagonal/>
    </border>
    <border>
      <left/>
      <right/>
      <top/>
      <bottom style="thin">
        <color theme="0" tint="-0.14996795556505021"/>
      </bottom>
      <diagonal/>
    </border>
    <border>
      <left/>
      <right/>
      <top style="thin">
        <color theme="0"/>
      </top>
      <bottom style="thin">
        <color theme="0"/>
      </bottom>
      <diagonal/>
    </border>
    <border>
      <left style="thin">
        <color theme="0" tint="-0.14999847407452621"/>
      </left>
      <right style="thin">
        <color theme="0" tint="-0.14999847407452621"/>
      </right>
      <top style="thin">
        <color theme="0" tint="-0.14999847407452621"/>
      </top>
      <bottom/>
      <diagonal/>
    </border>
    <border>
      <left/>
      <right style="thin">
        <color theme="0" tint="-0.14999847407452621"/>
      </right>
      <top style="thin">
        <color theme="0" tint="-0.14999847407452621"/>
      </top>
      <bottom/>
      <diagonal/>
    </border>
    <border>
      <left/>
      <right/>
      <top style="thin">
        <color theme="0" tint="-0.14999847407452621"/>
      </top>
      <bottom/>
      <diagonal/>
    </border>
    <border>
      <left style="thin">
        <color theme="0" tint="-0.14999847407452621"/>
      </left>
      <right/>
      <top style="thin">
        <color theme="0" tint="-0.14999847407452621"/>
      </top>
      <bottom/>
      <diagonal/>
    </border>
    <border>
      <left/>
      <right/>
      <top style="thin">
        <color theme="0" tint="-0.14996795556505021"/>
      </top>
      <bottom/>
      <diagonal/>
    </border>
    <border>
      <left style="thin">
        <color theme="0"/>
      </left>
      <right/>
      <top/>
      <bottom/>
      <diagonal/>
    </border>
    <border>
      <left/>
      <right/>
      <top style="thin">
        <color theme="0" tint="-0.14999847407452621"/>
      </top>
      <bottom style="thin">
        <color theme="0" tint="-0.14999847407452621"/>
      </bottom>
      <diagonal/>
    </border>
    <border>
      <left/>
      <right style="thin">
        <color theme="0"/>
      </right>
      <top/>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style="thin">
        <color theme="0" tint="-0.14999847407452621"/>
      </left>
      <right style="thin">
        <color theme="0" tint="-0.14996795556505021"/>
      </right>
      <top/>
      <bottom style="thin">
        <color theme="0" tint="-0.14996795556505021"/>
      </bottom>
      <diagonal/>
    </border>
    <border>
      <left/>
      <right style="thin">
        <color theme="0" tint="-0.14999847407452621"/>
      </right>
      <top/>
      <bottom style="thin">
        <color theme="0" tint="-0.14996795556505021"/>
      </bottom>
      <diagonal/>
    </border>
    <border>
      <left style="thin">
        <color theme="0" tint="-0.14999847407452621"/>
      </left>
      <right/>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style="thin">
        <color theme="0" tint="-0.14999847407452621"/>
      </left>
      <right style="thin">
        <color theme="0" tint="-0.14996795556505021"/>
      </right>
      <top style="thin">
        <color theme="0" tint="-0.14999847407452621"/>
      </top>
      <bottom/>
      <diagonal/>
    </border>
    <border>
      <left style="thin">
        <color theme="0" tint="-0.14996795556505021"/>
      </left>
      <right/>
      <top style="thin">
        <color theme="0" tint="-0.14999847407452621"/>
      </top>
      <bottom/>
      <diagonal/>
    </border>
    <border>
      <left style="thin">
        <color theme="0" tint="-0.14996795556505021"/>
      </left>
      <right/>
      <top/>
      <bottom/>
      <diagonal/>
    </border>
    <border>
      <left style="thin">
        <color theme="0"/>
      </left>
      <right style="thin">
        <color theme="0"/>
      </right>
      <top style="thin">
        <color theme="0"/>
      </top>
      <bottom style="thin">
        <color theme="0"/>
      </bottom>
      <diagonal/>
    </border>
    <border>
      <left/>
      <right style="thin">
        <color theme="0" tint="-0.14993743705557422"/>
      </right>
      <top/>
      <bottom style="thin">
        <color theme="0" tint="-0.14993743705557422"/>
      </bottom>
      <diagonal/>
    </border>
    <border>
      <left/>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3743705557422"/>
      </right>
      <top/>
      <bottom/>
      <diagonal/>
    </border>
    <border>
      <left style="thin">
        <color theme="0" tint="-0.14993743705557422"/>
      </left>
      <right/>
      <top/>
      <bottom/>
      <diagonal/>
    </border>
    <border>
      <left/>
      <right style="thin">
        <color theme="0" tint="-0.14993743705557422"/>
      </right>
      <top style="thin">
        <color theme="0" tint="-0.14990691854609822"/>
      </top>
      <bottom/>
      <diagonal/>
    </border>
    <border>
      <left/>
      <right/>
      <top style="thin">
        <color theme="0" tint="-0.14990691854609822"/>
      </top>
      <bottom/>
      <diagonal/>
    </border>
    <border>
      <left style="thin">
        <color theme="0" tint="-0.14993743705557422"/>
      </left>
      <right/>
      <top style="thin">
        <color theme="0" tint="-0.14990691854609822"/>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top style="thin">
        <color theme="0" tint="-0.14996795556505021"/>
      </top>
      <bottom style="thin">
        <color theme="0" tint="-0.14999847407452621"/>
      </bottom>
      <diagonal/>
    </border>
    <border>
      <left style="thin">
        <color rgb="FF27A9E1"/>
      </left>
      <right style="thin">
        <color rgb="FF27A9E1"/>
      </right>
      <top style="thin">
        <color rgb="FF27A9E1"/>
      </top>
      <bottom style="thin">
        <color rgb="FF27A9E1"/>
      </bottom>
      <diagonal/>
    </border>
    <border>
      <left style="thin">
        <color theme="0" tint="-0.14999847407452621"/>
      </left>
      <right style="thin">
        <color theme="0"/>
      </right>
      <top style="thin">
        <color theme="0" tint="-0.14999847407452621"/>
      </top>
      <bottom style="thin">
        <color theme="0" tint="-0.14999847407452621"/>
      </bottom>
      <diagonal/>
    </border>
    <border>
      <left/>
      <right style="thin">
        <color theme="0"/>
      </right>
      <top style="thin">
        <color theme="0"/>
      </top>
      <bottom style="thin">
        <color theme="0"/>
      </bottom>
      <diagonal/>
    </border>
    <border>
      <left style="thin">
        <color theme="0" tint="-0.14999847407452621"/>
      </left>
      <right style="thin">
        <color theme="0" tint="-0.14996795556505021"/>
      </right>
      <top style="thin">
        <color theme="0" tint="-0.14999847407452621"/>
      </top>
      <bottom style="thin">
        <color theme="0" tint="-0.14999847407452621"/>
      </bottom>
      <diagonal/>
    </border>
    <border>
      <left/>
      <right style="thin">
        <color theme="0" tint="-0.14999847407452621"/>
      </right>
      <top style="thin">
        <color theme="0" tint="-0.14996795556505021"/>
      </top>
      <bottom/>
      <diagonal/>
    </border>
    <border>
      <left style="thin">
        <color theme="0" tint="-0.14999847407452621"/>
      </left>
      <right/>
      <top style="thin">
        <color theme="0" tint="-0.14996795556505021"/>
      </top>
      <bottom/>
      <diagonal/>
    </border>
    <border>
      <left/>
      <right style="thin">
        <color theme="0" tint="-0.14996795556505021"/>
      </right>
      <top/>
      <bottom/>
      <diagonal/>
    </border>
    <border>
      <left style="thick">
        <color theme="0"/>
      </left>
      <right style="thin">
        <color theme="0"/>
      </right>
      <top style="thin">
        <color theme="0"/>
      </top>
      <bottom style="thin">
        <color theme="0"/>
      </bottom>
      <diagonal/>
    </border>
    <border>
      <left style="thin">
        <color theme="0"/>
      </left>
      <right style="thick">
        <color theme="0"/>
      </right>
      <top style="thin">
        <color theme="0"/>
      </top>
      <bottom style="thin">
        <color theme="0"/>
      </bottom>
      <diagonal/>
    </border>
    <border>
      <left style="thin">
        <color theme="0"/>
      </left>
      <right style="thin">
        <color theme="0"/>
      </right>
      <top style="thin">
        <color theme="0"/>
      </top>
      <bottom/>
      <diagonal/>
    </border>
    <border>
      <left/>
      <right/>
      <top/>
      <bottom style="thin">
        <color theme="0"/>
      </bottom>
      <diagonal/>
    </border>
    <border>
      <left/>
      <right/>
      <top style="thin">
        <color theme="0"/>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left>
      <right style="thin">
        <color theme="0" tint="-0.14999847407452621"/>
      </right>
      <top style="thin">
        <color theme="0" tint="-0.14996795556505021"/>
      </top>
      <bottom style="thin">
        <color theme="0" tint="-0.14999847407452621"/>
      </bottom>
      <diagonal/>
    </border>
    <border>
      <left style="thin">
        <color theme="0" tint="-0.14996795556505021"/>
      </left>
      <right style="thin">
        <color theme="0"/>
      </right>
      <top style="thin">
        <color theme="0" tint="-0.14996795556505021"/>
      </top>
      <bottom style="thin">
        <color theme="0" tint="-0.14999847407452621"/>
      </bottom>
      <diagonal/>
    </border>
    <border>
      <left/>
      <right/>
      <top style="thin">
        <color theme="0" tint="-0.14999847407452621"/>
      </top>
      <bottom style="thin">
        <color theme="0" tint="-0.14996795556505021"/>
      </bottom>
      <diagonal/>
    </border>
    <border>
      <left style="thin">
        <color theme="0" tint="-0.14999847407452621"/>
      </left>
      <right/>
      <top style="thin">
        <color theme="0" tint="-0.14999847407452621"/>
      </top>
      <bottom style="thin">
        <color theme="0" tint="-0.14996795556505021"/>
      </bottom>
      <diagonal/>
    </border>
    <border>
      <left style="thin">
        <color theme="0"/>
      </left>
      <right style="thin">
        <color theme="0" tint="-0.14996795556505021"/>
      </right>
      <top style="thin">
        <color theme="0" tint="-0.14996795556505021"/>
      </top>
      <bottom/>
      <diagonal/>
    </border>
    <border>
      <left style="thin">
        <color theme="0" tint="-0.14996795556505021"/>
      </left>
      <right style="thin">
        <color theme="0"/>
      </right>
      <top style="thin">
        <color theme="0" tint="-0.14996795556505021"/>
      </top>
      <bottom/>
      <diagonal/>
    </border>
    <border>
      <left/>
      <right/>
      <top style="thin">
        <color theme="0" tint="-0.14996795556505021"/>
      </top>
      <bottom style="thin">
        <color theme="0" tint="-0.14996795556505021"/>
      </bottom>
      <diagonal/>
    </border>
    <border>
      <left/>
      <right/>
      <top style="thin">
        <color theme="0" tint="-0.14993743705557422"/>
      </top>
      <bottom/>
      <diagonal/>
    </border>
    <border>
      <left style="thin">
        <color theme="0" tint="-0.14996795556505021"/>
      </left>
      <right/>
      <top style="thin">
        <color theme="0" tint="-0.14993743705557422"/>
      </top>
      <bottom/>
      <diagonal/>
    </border>
    <border>
      <left style="thin">
        <color theme="0" tint="-0.14996795556505021"/>
      </left>
      <right/>
      <top style="thin">
        <color theme="0" tint="-0.14999847407452621"/>
      </top>
      <bottom style="thin">
        <color theme="0" tint="-0.14996795556505021"/>
      </bottom>
      <diagonal/>
    </border>
    <border>
      <left style="thin">
        <color theme="0" tint="-0.14990691854609822"/>
      </left>
      <right/>
      <top/>
      <bottom/>
      <diagonal/>
    </border>
    <border>
      <left/>
      <right style="thin">
        <color theme="0" tint="-0.14996795556505021"/>
      </right>
      <top style="thin">
        <color theme="0" tint="-4.9989318521683403E-2"/>
      </top>
      <bottom style="thin">
        <color theme="0" tint="-0.14999847407452621"/>
      </bottom>
      <diagonal/>
    </border>
    <border>
      <left style="thin">
        <color theme="0" tint="-0.14999847407452621"/>
      </left>
      <right style="thin">
        <color theme="0" tint="-4.9989318521683403E-2"/>
      </right>
      <top style="thin">
        <color theme="0" tint="-4.9989318521683403E-2"/>
      </top>
      <bottom style="thin">
        <color theme="0" tint="-0.14999847407452621"/>
      </bottom>
      <diagonal/>
    </border>
    <border>
      <left/>
      <right style="thin">
        <color theme="0" tint="-0.14996795556505021"/>
      </right>
      <top style="thin">
        <color theme="0" tint="-4.9989318521683403E-2"/>
      </top>
      <bottom style="thin">
        <color theme="0" tint="-4.9989318521683403E-2"/>
      </bottom>
      <diagonal/>
    </border>
    <border>
      <left style="thin">
        <color theme="0" tint="-0.14999847407452621"/>
      </left>
      <right style="thin">
        <color theme="0" tint="-4.9989318521683403E-2"/>
      </right>
      <top style="thin">
        <color theme="0" tint="-4.9989318521683403E-2"/>
      </top>
      <bottom style="thin">
        <color theme="0" tint="-4.9989318521683403E-2"/>
      </bottom>
      <diagonal/>
    </border>
    <border>
      <left/>
      <right style="thin">
        <color theme="0" tint="-0.14996795556505021"/>
      </right>
      <top style="thin">
        <color theme="0" tint="-0.14999847407452621"/>
      </top>
      <bottom style="thin">
        <color theme="0" tint="-4.9989318521683403E-2"/>
      </bottom>
      <diagonal/>
    </border>
    <border>
      <left style="thin">
        <color theme="0" tint="-0.14999847407452621"/>
      </left>
      <right style="thin">
        <color theme="0" tint="-4.9989318521683403E-2"/>
      </right>
      <top style="thin">
        <color theme="0" tint="-0.14999847407452621"/>
      </top>
      <bottom style="thin">
        <color theme="0" tint="-4.9989318521683403E-2"/>
      </bottom>
      <diagonal/>
    </border>
    <border>
      <left/>
      <right style="thin">
        <color theme="0" tint="-0.14990691854609822"/>
      </right>
      <top style="thin">
        <color theme="0" tint="-0.14993743705557422"/>
      </top>
      <bottom style="thin">
        <color theme="0" tint="-0.14993743705557422"/>
      </bottom>
      <diagonal/>
    </border>
    <border>
      <left/>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style="thick">
        <color theme="0"/>
      </left>
      <right/>
      <top/>
      <bottom/>
      <diagonal/>
    </border>
    <border>
      <left/>
      <right/>
      <top/>
      <bottom style="thick">
        <color theme="0"/>
      </bottom>
      <diagonal/>
    </border>
    <border>
      <left/>
      <right style="thin">
        <color theme="0" tint="-0.14993743705557422"/>
      </right>
      <top style="thin">
        <color theme="0" tint="-0.14993743705557422"/>
      </top>
      <bottom style="thin">
        <color theme="0" tint="-0.14993743705557422"/>
      </bottom>
      <diagonal/>
    </border>
    <border>
      <left/>
      <right style="thin">
        <color theme="0" tint="-0.14993743705557422"/>
      </right>
      <top style="thin">
        <color theme="0" tint="-0.14993743705557422"/>
      </top>
      <bottom/>
      <diagonal/>
    </border>
    <border>
      <left style="thin">
        <color theme="0" tint="-0.14993743705557422"/>
      </left>
      <right/>
      <top style="thin">
        <color theme="0" tint="-0.14993743705557422"/>
      </top>
      <bottom/>
      <diagonal/>
    </border>
    <border>
      <left/>
      <right style="thin">
        <color theme="0" tint="-0.14993743705557422"/>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6795556505021"/>
      </top>
      <bottom style="thin">
        <color theme="0" tint="-0.14996795556505021"/>
      </bottom>
      <diagonal/>
    </border>
    <border>
      <left style="thin">
        <color theme="0" tint="-0.14996795556505021"/>
      </left>
      <right style="thin">
        <color theme="0" tint="-0.14993743705557422"/>
      </right>
      <top style="thin">
        <color theme="0" tint="-0.14996795556505021"/>
      </top>
      <bottom style="thin">
        <color theme="0" tint="-0.14996795556505021"/>
      </bottom>
      <diagonal/>
    </border>
    <border>
      <left style="thin">
        <color theme="0" tint="-0.14996795556505021"/>
      </left>
      <right/>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3743705557422"/>
      </bottom>
      <diagonal/>
    </border>
    <border>
      <left/>
      <right style="thin">
        <color theme="0" tint="-0.14996795556505021"/>
      </right>
      <top style="thin">
        <color theme="0" tint="-0.14993743705557422"/>
      </top>
      <bottom style="thin">
        <color theme="0" tint="-0.14993743705557422"/>
      </bottom>
      <diagonal/>
    </border>
    <border>
      <left style="thin">
        <color theme="0" tint="-0.14996795556505021"/>
      </left>
      <right/>
      <top style="thin">
        <color theme="0" tint="-0.14993743705557422"/>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6795556505021"/>
      </bottom>
      <diagonal/>
    </border>
    <border>
      <left style="thin">
        <color theme="0" tint="-0.14996795556505021"/>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style="thin">
        <color theme="0" tint="-0.14990691854609822"/>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6795556505021"/>
      </top>
      <bottom/>
      <diagonal/>
    </border>
    <border>
      <left/>
      <right style="thin">
        <color theme="0" tint="-0.14990691854609822"/>
      </right>
      <top style="thin">
        <color theme="0" tint="-0.14993743705557422"/>
      </top>
      <bottom/>
      <diagonal/>
    </border>
    <border>
      <left/>
      <right style="thin">
        <color theme="0" tint="-0.14993743705557422"/>
      </right>
      <top/>
      <bottom style="thin">
        <color theme="0" tint="-0.14990691854609822"/>
      </bottom>
      <diagonal/>
    </border>
    <border>
      <left/>
      <right/>
      <top/>
      <bottom style="thin">
        <color theme="0" tint="-0.149906918546098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3743705557422"/>
      </left>
      <right style="thin">
        <color theme="0" tint="-0.14993743705557422"/>
      </right>
      <top/>
      <bottom style="thin">
        <color theme="0" tint="-0.14996795556505021"/>
      </bottom>
      <diagonal/>
    </border>
    <border>
      <left style="thin">
        <color theme="0" tint="-0.14993743705557422"/>
      </left>
      <right style="thin">
        <color theme="0" tint="-0.14996795556505021"/>
      </right>
      <top/>
      <bottom/>
      <diagonal/>
    </border>
    <border>
      <left/>
      <right style="thin">
        <color theme="0" tint="-0.14993743705557422"/>
      </right>
      <top style="thin">
        <color theme="0" tint="-0.14996795556505021"/>
      </top>
      <bottom/>
      <diagonal/>
    </border>
    <border>
      <left style="thin">
        <color theme="0" tint="-0.14993743705557422"/>
      </left>
      <right style="thin">
        <color theme="0" tint="-0.14993743705557422"/>
      </right>
      <top/>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right style="thin">
        <color theme="0" tint="-0.14999847407452621"/>
      </right>
      <top style="thin">
        <color theme="0" tint="-0.14996795556505021"/>
      </top>
      <bottom style="thin">
        <color theme="0" tint="-0.14996795556505021"/>
      </bottom>
      <diagonal/>
    </border>
    <border>
      <left style="thin">
        <color theme="0" tint="-0.14999847407452621"/>
      </left>
      <right/>
      <top style="thin">
        <color theme="0" tint="-0.14996795556505021"/>
      </top>
      <bottom style="thin">
        <color theme="0" tint="-0.14996795556505021"/>
      </bottom>
      <diagonal/>
    </border>
    <border>
      <left style="thin">
        <color theme="0" tint="-0.14993743705557422"/>
      </left>
      <right/>
      <top/>
      <bottom style="thin">
        <color theme="0" tint="-0.14996795556505021"/>
      </bottom>
      <diagonal/>
    </border>
    <border>
      <left/>
      <right style="thin">
        <color theme="0" tint="-0.14996795556505021"/>
      </right>
      <top/>
      <bottom style="thin">
        <color theme="0" tint="-0.14990691854609822"/>
      </bottom>
      <diagonal/>
    </border>
    <border>
      <left style="thin">
        <color theme="0" tint="-0.14993743705557422"/>
      </left>
      <right/>
      <top/>
      <bottom style="thin">
        <color theme="0" tint="-0.14990691854609822"/>
      </bottom>
      <diagonal/>
    </border>
    <border>
      <left style="thin">
        <color theme="0" tint="-0.14990691854609822"/>
      </left>
      <right/>
      <top style="thin">
        <color theme="0" tint="-0.14993743705557422"/>
      </top>
      <bottom/>
      <diagonal/>
    </border>
    <border>
      <left style="thin">
        <color theme="0" tint="-0.14993743705557422"/>
      </left>
      <right/>
      <top style="thin">
        <color theme="0" tint="-0.14996795556505021"/>
      </top>
      <bottom/>
      <diagonal/>
    </border>
    <border>
      <left/>
      <right/>
      <top style="thin">
        <color theme="0" tint="-0.14993743705557422"/>
      </top>
      <bottom style="thin">
        <color theme="0" tint="-0.14990691854609822"/>
      </bottom>
      <diagonal/>
    </border>
    <border>
      <left/>
      <right style="thin">
        <color theme="0" tint="-0.14990691854609822"/>
      </right>
      <top/>
      <bottom style="thin">
        <color theme="0" tint="-0.14990691854609822"/>
      </bottom>
      <diagonal/>
    </border>
    <border>
      <left/>
      <right style="thin">
        <color theme="0" tint="-0.14990691854609822"/>
      </right>
      <top/>
      <bottom/>
      <diagonal/>
    </border>
    <border>
      <left/>
      <right style="thin">
        <color theme="0" tint="-0.14990691854609822"/>
      </right>
      <top style="thin">
        <color theme="0" tint="-0.14990691854609822"/>
      </top>
      <bottom/>
      <diagonal/>
    </border>
    <border>
      <left/>
      <right style="thin">
        <color theme="0" tint="-0.14999847407452621"/>
      </right>
      <top/>
      <bottom style="thin">
        <color indexed="64"/>
      </bottom>
      <diagonal/>
    </border>
    <border>
      <left/>
      <right/>
      <top/>
      <bottom style="thin">
        <color indexed="64"/>
      </bottom>
      <diagonal/>
    </border>
    <border>
      <left style="thin">
        <color theme="0" tint="-0.14999847407452621"/>
      </left>
      <right/>
      <top/>
      <bottom style="thin">
        <color indexed="64"/>
      </bottom>
      <diagonal/>
    </border>
    <border>
      <left style="thin">
        <color theme="0" tint="-0.14999847407452621"/>
      </left>
      <right style="thin">
        <color theme="0" tint="-0.14999847407452621"/>
      </right>
      <top style="thin">
        <color theme="0" tint="-0.14999847407452621"/>
      </top>
      <bottom style="thin">
        <color theme="0" tint="-0.14996795556505021"/>
      </bottom>
      <diagonal/>
    </border>
    <border>
      <left/>
      <right/>
      <top style="thin">
        <color rgb="FF27A9E1"/>
      </top>
      <bottom style="thin">
        <color theme="0" tint="-0.14999847407452621"/>
      </bottom>
      <diagonal/>
    </border>
    <border>
      <left/>
      <right style="thin">
        <color rgb="FF27A9E1"/>
      </right>
      <top/>
      <bottom style="thin">
        <color rgb="FF27A9E1"/>
      </bottom>
      <diagonal/>
    </border>
    <border>
      <left/>
      <right/>
      <top/>
      <bottom style="thin">
        <color rgb="FF27A9E1"/>
      </bottom>
      <diagonal/>
    </border>
    <border>
      <left style="thin">
        <color rgb="FF27A9E1"/>
      </left>
      <right/>
      <top/>
      <bottom style="thin">
        <color rgb="FF27A9E1"/>
      </bottom>
      <diagonal/>
    </border>
    <border>
      <left/>
      <right style="thin">
        <color rgb="FF27A9E1"/>
      </right>
      <top/>
      <bottom/>
      <diagonal/>
    </border>
    <border>
      <left style="thin">
        <color rgb="FF27A9E1"/>
      </left>
      <right/>
      <top/>
      <bottom/>
      <diagonal/>
    </border>
    <border>
      <left/>
      <right style="thin">
        <color rgb="FF27A9E1"/>
      </right>
      <top style="thin">
        <color rgb="FF27A9E1"/>
      </top>
      <bottom/>
      <diagonal/>
    </border>
    <border>
      <left/>
      <right/>
      <top style="thin">
        <color rgb="FF27A9E1"/>
      </top>
      <bottom/>
      <diagonal/>
    </border>
    <border>
      <left style="thin">
        <color rgb="FF27A9E1"/>
      </left>
      <right/>
      <top style="thin">
        <color rgb="FF27A9E1"/>
      </top>
      <bottom/>
      <diagonal/>
    </border>
    <border>
      <left/>
      <right style="thin">
        <color theme="0" tint="-0.249977111117893"/>
      </right>
      <top/>
      <bottom/>
      <diagonal/>
    </border>
    <border>
      <left/>
      <right style="thin">
        <color theme="0" tint="-0.249977111117893"/>
      </right>
      <top style="thin">
        <color theme="0" tint="-0.14999847407452621"/>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right style="medium">
        <color theme="0"/>
      </right>
      <top style="medium">
        <color theme="0"/>
      </top>
      <bottom/>
      <diagonal/>
    </border>
    <border>
      <left/>
      <right style="thin">
        <color theme="0" tint="-0.14990691854609822"/>
      </right>
      <top/>
      <bottom style="thin">
        <color theme="0" tint="-0.14993743705557422"/>
      </bottom>
      <diagonal/>
    </border>
    <border>
      <left style="thin">
        <color theme="0" tint="-0.14996795556505021"/>
      </left>
      <right style="thin">
        <color theme="0" tint="-0.14993743705557422"/>
      </right>
      <top style="thin">
        <color theme="0" tint="-0.14996795556505021"/>
      </top>
      <bottom style="thin">
        <color theme="0" tint="-0.14993743705557422"/>
      </bottom>
      <diagonal/>
    </border>
    <border>
      <left/>
      <right style="thin">
        <color theme="0" tint="-0.14996795556505021"/>
      </right>
      <top style="thin">
        <color theme="0" tint="-0.14996795556505021"/>
      </top>
      <bottom style="thin">
        <color theme="0" tint="-0.14993743705557422"/>
      </bottom>
      <diagonal/>
    </border>
    <border>
      <left style="thin">
        <color theme="0" tint="-0.14996795556505021"/>
      </left>
      <right/>
      <top style="thin">
        <color theme="0" tint="-0.14996795556505021"/>
      </top>
      <bottom style="thin">
        <color theme="0" tint="-0.14993743705557422"/>
      </bottom>
      <diagonal/>
    </border>
    <border>
      <left/>
      <right style="thin">
        <color theme="0" tint="-0.14990691854609822"/>
      </right>
      <top style="thin">
        <color theme="0" tint="-0.1498764000366222"/>
      </top>
      <bottom/>
      <diagonal/>
    </border>
    <border>
      <left/>
      <right/>
      <top style="thin">
        <color theme="0" tint="-0.1498764000366222"/>
      </top>
      <bottom/>
      <diagonal/>
    </border>
    <border>
      <left style="thin">
        <color theme="0" tint="-0.14990691854609822"/>
      </left>
      <right style="thin">
        <color theme="0" tint="-0.14993743705557422"/>
      </right>
      <top style="thin">
        <color theme="0" tint="-0.14996795556505021"/>
      </top>
      <bottom style="thin">
        <color theme="0" tint="-0.14993743705557422"/>
      </bottom>
      <diagonal/>
    </border>
    <border>
      <left style="thin">
        <color theme="0" tint="-0.14990691854609822"/>
      </left>
      <right/>
      <top/>
      <bottom style="thin">
        <color theme="0" tint="-0.14990691854609822"/>
      </bottom>
      <diagonal/>
    </border>
    <border>
      <left/>
      <right style="thin">
        <color theme="0" tint="-0.14990691854609822"/>
      </right>
      <top style="thin">
        <color theme="0" tint="-0.14990691854609822"/>
      </top>
      <bottom style="thin">
        <color theme="0" tint="-0.14990691854609822"/>
      </bottom>
      <diagonal/>
    </border>
    <border>
      <left/>
      <right/>
      <top style="thin">
        <color theme="0" tint="-0.14990691854609822"/>
      </top>
      <bottom style="thin">
        <color theme="0" tint="-0.14990691854609822"/>
      </bottom>
      <diagonal/>
    </border>
    <border>
      <left style="thin">
        <color theme="0" tint="-0.14990691854609822"/>
      </left>
      <right/>
      <top style="thin">
        <color theme="0" tint="-0.14990691854609822"/>
      </top>
      <bottom style="thin">
        <color theme="0" tint="-0.14990691854609822"/>
      </bottom>
      <diagonal/>
    </border>
    <border>
      <left style="thin">
        <color theme="0" tint="-0.14990691854609822"/>
      </left>
      <right/>
      <top style="thin">
        <color theme="0" tint="-0.14993743705557422"/>
      </top>
      <bottom style="thin">
        <color theme="0" tint="-0.14990691854609822"/>
      </bottom>
      <diagonal/>
    </border>
    <border>
      <left style="thick">
        <color theme="0"/>
      </left>
      <right/>
      <top/>
      <bottom style="thin">
        <color theme="0"/>
      </bottom>
      <diagonal/>
    </border>
    <border>
      <left/>
      <right style="thin">
        <color theme="0" tint="-0.14993743705557422"/>
      </right>
      <top/>
      <bottom style="thin">
        <color theme="0" tint="-0.14999847407452621"/>
      </bottom>
      <diagonal/>
    </border>
    <border>
      <left/>
      <right style="thin">
        <color theme="0" tint="-0.14996795556505021"/>
      </right>
      <top/>
      <bottom style="thin">
        <color theme="0" tint="-0.14993743705557422"/>
      </bottom>
      <diagonal/>
    </border>
    <border>
      <left/>
      <right style="thin">
        <color rgb="FF27A9E1"/>
      </right>
      <top style="thin">
        <color rgb="FF27A9E1"/>
      </top>
      <bottom style="thin">
        <color rgb="FF27A9E1"/>
      </bottom>
      <diagonal/>
    </border>
    <border>
      <left style="thin">
        <color rgb="FF27A9E1"/>
      </left>
      <right/>
      <top style="thin">
        <color rgb="FF27A9E1"/>
      </top>
      <bottom style="thin">
        <color rgb="FF27A9E1"/>
      </bottom>
      <diagonal/>
    </border>
    <border>
      <left style="thin">
        <color theme="0"/>
      </left>
      <right style="thin">
        <color theme="0"/>
      </right>
      <top/>
      <bottom/>
      <diagonal/>
    </border>
    <border>
      <left/>
      <right/>
      <top/>
      <bottom style="medium">
        <color theme="0"/>
      </bottom>
      <diagonal/>
    </border>
    <border>
      <left style="thin">
        <color theme="0" tint="-0.14999847407452621"/>
      </left>
      <right style="thin">
        <color theme="0" tint="-0.14999847407452621"/>
      </right>
      <top/>
      <bottom/>
      <diagonal/>
    </border>
    <border>
      <left style="thin">
        <color theme="0"/>
      </left>
      <right/>
      <top/>
      <bottom style="thin">
        <color theme="0" tint="-0.14996795556505021"/>
      </bottom>
      <diagonal/>
    </border>
    <border>
      <left style="thin">
        <color rgb="FF00ACD4"/>
      </left>
      <right style="thin">
        <color rgb="FF00ACD4"/>
      </right>
      <top style="thin">
        <color rgb="FF00ACD4"/>
      </top>
      <bottom style="thin">
        <color rgb="FF00ACD4"/>
      </bottom>
      <diagonal/>
    </border>
    <border>
      <left style="thin">
        <color theme="0"/>
      </left>
      <right/>
      <top style="thin">
        <color theme="0" tint="-0.14996795556505021"/>
      </top>
      <bottom/>
      <diagonal/>
    </border>
    <border>
      <left/>
      <right style="thin">
        <color theme="0" tint="-0.14993743705557422"/>
      </right>
      <top/>
      <bottom style="thin">
        <color theme="0" tint="-0.14996795556505021"/>
      </bottom>
      <diagonal/>
    </border>
    <border>
      <left/>
      <right style="thin">
        <color theme="0" tint="-0.14996795556505021"/>
      </right>
      <top style="thin">
        <color theme="0" tint="-0.14999847407452621"/>
      </top>
      <bottom style="thin">
        <color theme="0" tint="-0.14999847407452621"/>
      </bottom>
      <diagonal/>
    </border>
    <border>
      <left style="thin">
        <color theme="0" tint="-0.14996795556505021"/>
      </left>
      <right/>
      <top style="thin">
        <color theme="0" tint="-0.14999847407452621"/>
      </top>
      <bottom style="thin">
        <color theme="0" tint="-0.14999847407452621"/>
      </bottom>
      <diagonal/>
    </border>
    <border>
      <left style="thin">
        <color theme="0" tint="-0.14999847407452621"/>
      </left>
      <right style="thin">
        <color theme="0" tint="-0.14996795556505021"/>
      </right>
      <top style="thin">
        <color theme="0" tint="-0.14996795556505021"/>
      </top>
      <bottom style="thin">
        <color theme="0" tint="-0.14996795556505021"/>
      </bottom>
      <diagonal/>
    </border>
    <border>
      <left style="thin">
        <color theme="0" tint="-0.14999847407452621"/>
      </left>
      <right style="thin">
        <color theme="0" tint="-0.14999847407452621"/>
      </right>
      <top style="thin">
        <color theme="0" tint="-0.14996795556505021"/>
      </top>
      <bottom style="thin">
        <color theme="0" tint="-0.14996795556505021"/>
      </bottom>
      <diagonal/>
    </border>
    <border>
      <left style="thin">
        <color theme="0" tint="-0.14996795556505021"/>
      </left>
      <right style="thin">
        <color theme="0" tint="-0.14999847407452621"/>
      </right>
      <top style="thin">
        <color theme="0" tint="-0.14996795556505021"/>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0691854609822"/>
      </left>
      <right/>
      <top style="thin">
        <color theme="0" tint="-0.14990691854609822"/>
      </top>
      <bottom/>
      <diagonal/>
    </border>
    <border>
      <left/>
      <right/>
      <top style="thin">
        <color theme="1" tint="0.14996795556505021"/>
      </top>
      <bottom style="thin">
        <color theme="1" tint="0.14996795556505021"/>
      </bottom>
      <diagonal/>
    </border>
    <border>
      <left style="thin">
        <color theme="1" tint="0.14996795556505021"/>
      </left>
      <right/>
      <top style="thin">
        <color theme="1" tint="0.14996795556505021"/>
      </top>
      <bottom style="thin">
        <color theme="1" tint="0.14996795556505021"/>
      </bottom>
      <diagonal/>
    </border>
    <border>
      <left/>
      <right style="thin">
        <color theme="0" tint="-0.14996795556505021"/>
      </right>
      <top/>
      <bottom style="thin">
        <color theme="0" tint="-0.14999847407452621"/>
      </bottom>
      <diagonal/>
    </border>
    <border>
      <left/>
      <right style="thin">
        <color theme="0" tint="-0.14996795556505021"/>
      </right>
      <top style="thin">
        <color theme="0" tint="-0.14999847407452621"/>
      </top>
      <bottom/>
      <diagonal/>
    </border>
    <border>
      <left/>
      <right style="thin">
        <color theme="0" tint="-0.14981536301767021"/>
      </right>
      <top/>
      <bottom style="thin">
        <color theme="0" tint="-0.1498458815271462"/>
      </bottom>
      <diagonal/>
    </border>
    <border>
      <left/>
      <right/>
      <top/>
      <bottom style="thin">
        <color theme="0" tint="-0.1498458815271462"/>
      </bottom>
      <diagonal/>
    </border>
    <border>
      <left style="thin">
        <color theme="0" tint="-0.1498764000366222"/>
      </left>
      <right/>
      <top/>
      <bottom style="thin">
        <color theme="0" tint="-0.1498458815271462"/>
      </bottom>
      <diagonal/>
    </border>
    <border>
      <left/>
      <right style="thin">
        <color theme="0" tint="-0.14981536301767021"/>
      </right>
      <top/>
      <bottom/>
      <diagonal/>
    </border>
    <border>
      <left style="thin">
        <color theme="0" tint="-0.14996795556505021"/>
      </left>
      <right style="thin">
        <color theme="0" tint="-0.14999847407452621"/>
      </right>
      <top style="thin">
        <color theme="0" tint="-0.14999847407452621"/>
      </top>
      <bottom style="thin">
        <color theme="0" tint="-0.14999847407452621"/>
      </bottom>
      <diagonal/>
    </border>
    <border>
      <left style="thin">
        <color theme="0" tint="-0.1498764000366222"/>
      </left>
      <right style="thin">
        <color theme="0" tint="-0.14990691854609822"/>
      </right>
      <top/>
      <bottom/>
      <diagonal/>
    </border>
    <border>
      <left style="thin">
        <color theme="0" tint="-0.1498764000366222"/>
      </left>
      <right/>
      <top/>
      <bottom/>
      <diagonal/>
    </border>
    <border>
      <left/>
      <right style="thin">
        <color theme="0" tint="-0.14990691854609822"/>
      </right>
      <top style="thin">
        <color theme="0" tint="-0.14993743705557422"/>
      </top>
      <bottom style="thin">
        <color theme="0" tint="-0.14990691854609822"/>
      </bottom>
      <diagonal/>
    </border>
    <border>
      <left style="thin">
        <color theme="0" tint="-0.14990691854609822"/>
      </left>
      <right style="thin">
        <color theme="0" tint="-0.14981536301767021"/>
      </right>
      <top/>
      <bottom/>
      <diagonal/>
    </border>
    <border>
      <left/>
      <right style="thin">
        <color theme="0" tint="-0.14981536301767021"/>
      </right>
      <top style="thin">
        <color theme="0" tint="-0.14978484450819421"/>
      </top>
      <bottom/>
      <diagonal/>
    </border>
    <border>
      <left/>
      <right/>
      <top style="thin">
        <color theme="0" tint="-0.14978484450819421"/>
      </top>
      <bottom/>
      <diagonal/>
    </border>
    <border>
      <left/>
      <right/>
      <top style="thin">
        <color theme="0" tint="-0.14990691854609822"/>
      </top>
      <bottom style="thin">
        <color theme="0" tint="-0.14999847407452621"/>
      </bottom>
      <diagonal/>
    </border>
    <border>
      <left/>
      <right style="thin">
        <color theme="0" tint="-0.14996795556505021"/>
      </right>
      <top style="thin">
        <color theme="0" tint="-0.14993743705557422"/>
      </top>
      <bottom/>
      <diagonal/>
    </border>
    <border>
      <left style="thin">
        <color theme="0"/>
      </left>
      <right style="thin">
        <color theme="0" tint="-0.14996795556505021"/>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tint="-0.14996795556505021"/>
      </left>
      <right style="thin">
        <color theme="0"/>
      </right>
      <top style="thin">
        <color theme="0" tint="-0.14996795556505021"/>
      </top>
      <bottom style="thin">
        <color theme="0" tint="-0.14996795556505021"/>
      </bottom>
      <diagonal/>
    </border>
    <border>
      <left/>
      <right style="thin">
        <color theme="0" tint="-0.14996795556505021"/>
      </right>
      <top style="thin">
        <color theme="0" tint="-0.14990691854609822"/>
      </top>
      <bottom/>
      <diagonal/>
    </border>
    <border>
      <left/>
      <right/>
      <top style="thin">
        <color theme="0" tint="-0.14996795556505021"/>
      </top>
      <bottom style="thin">
        <color theme="0" tint="-0.14993743705557422"/>
      </bottom>
      <diagonal/>
    </border>
    <border>
      <left/>
      <right/>
      <top style="thin">
        <color theme="0" tint="-0.14993743705557422"/>
      </top>
      <bottom style="thin">
        <color theme="0" tint="-0.14996795556505021"/>
      </bottom>
      <diagonal/>
    </border>
    <border>
      <left/>
      <right style="thin">
        <color theme="0" tint="-0.1498458815271462"/>
      </right>
      <top/>
      <bottom style="thin">
        <color theme="0" tint="-0.1498458815271462"/>
      </bottom>
      <diagonal/>
    </border>
    <border>
      <left style="thin">
        <color theme="0" tint="-0.1498458815271462"/>
      </left>
      <right/>
      <top/>
      <bottom style="thin">
        <color theme="0" tint="-0.1498458815271462"/>
      </bottom>
      <diagonal/>
    </border>
    <border>
      <left style="thin">
        <color theme="0"/>
      </left>
      <right style="thin">
        <color theme="0"/>
      </right>
      <top/>
      <bottom style="thin">
        <color theme="0"/>
      </bottom>
      <diagonal/>
    </border>
    <border>
      <left style="thin">
        <color theme="0" tint="-0.14990691854609822"/>
      </left>
      <right style="thin">
        <color theme="0" tint="-0.14996795556505021"/>
      </right>
      <top/>
      <bottom/>
      <diagonal/>
    </border>
    <border>
      <left style="thin">
        <color theme="0" tint="-0.14996795556505021"/>
      </left>
      <right style="thin">
        <color theme="0" tint="-0.14996795556505021"/>
      </right>
      <top style="thin">
        <color theme="0" tint="-0.14999847407452621"/>
      </top>
      <bottom style="thin">
        <color theme="0" tint="-0.14996795556505021"/>
      </bottom>
      <diagonal/>
    </border>
    <border>
      <left style="thin">
        <color theme="0"/>
      </left>
      <right/>
      <top style="thin">
        <color theme="0"/>
      </top>
      <bottom style="thin">
        <color theme="0"/>
      </bottom>
      <diagonal/>
    </border>
    <border>
      <left style="thin">
        <color theme="0"/>
      </left>
      <right/>
      <top style="thin">
        <color theme="0"/>
      </top>
      <bottom/>
      <diagonal/>
    </border>
    <border>
      <left style="thin">
        <color theme="0"/>
      </left>
      <right style="thin">
        <color theme="0" tint="-0.14999847407452621"/>
      </right>
      <top style="thin">
        <color theme="0" tint="-0.14999847407452621"/>
      </top>
      <bottom style="thin">
        <color theme="0" tint="-0.14999847407452621"/>
      </bottom>
      <diagonal/>
    </border>
    <border>
      <left style="thin">
        <color theme="0"/>
      </left>
      <right style="thin">
        <color theme="0"/>
      </right>
      <top style="thin">
        <color theme="0" tint="-0.14999847407452621"/>
      </top>
      <bottom style="thin">
        <color theme="0" tint="-0.14999847407452621"/>
      </bottom>
      <diagonal/>
    </border>
    <border>
      <left style="thick">
        <color theme="0"/>
      </left>
      <right style="thick">
        <color theme="0"/>
      </right>
      <top/>
      <bottom/>
      <diagonal/>
    </border>
    <border>
      <left style="thin">
        <color theme="0" tint="-0.14996795556505021"/>
      </left>
      <right/>
      <top/>
      <bottom style="thin">
        <color theme="0" tint="-0.14999847407452621"/>
      </bottom>
      <diagonal/>
    </border>
    <border>
      <left style="thin">
        <color theme="0"/>
      </left>
      <right style="thin">
        <color theme="0"/>
      </right>
      <top style="thin">
        <color theme="0" tint="-0.14993743705557422"/>
      </top>
      <bottom/>
      <diagonal/>
    </border>
    <border>
      <left style="thin">
        <color theme="0"/>
      </left>
      <right style="thin">
        <color theme="0"/>
      </right>
      <top style="thin">
        <color theme="0" tint="-0.14990691854609822"/>
      </top>
      <bottom/>
      <diagonal/>
    </border>
    <border>
      <left style="thin">
        <color theme="0"/>
      </left>
      <right style="thin">
        <color theme="0"/>
      </right>
      <top/>
      <bottom style="thin">
        <color theme="0" tint="-0.14990691854609822"/>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14993743705557422"/>
      </left>
      <right style="thin">
        <color theme="0" tint="-0.14990691854609822"/>
      </right>
      <top style="thin">
        <color theme="0" tint="-0.14990691854609822"/>
      </top>
      <bottom style="thin">
        <color theme="0" tint="-0.14990691854609822"/>
      </bottom>
      <diagonal/>
    </border>
    <border>
      <left style="thin">
        <color theme="0" tint="-0.14993743705557422"/>
      </left>
      <right style="thin">
        <color theme="0" tint="-0.14993743705557422"/>
      </right>
      <top style="thin">
        <color theme="0" tint="-0.14990691854609822"/>
      </top>
      <bottom style="thin">
        <color theme="0" tint="-0.14990691854609822"/>
      </bottom>
      <diagonal/>
    </border>
    <border>
      <left style="thin">
        <color theme="0" tint="-0.14990691854609822"/>
      </left>
      <right style="thin">
        <color theme="0" tint="-0.14993743705557422"/>
      </right>
      <top style="thin">
        <color theme="0" tint="-0.14990691854609822"/>
      </top>
      <bottom style="thin">
        <color theme="0" tint="-0.1499069185460982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6795556505021"/>
      </bottom>
      <diagonal/>
    </border>
    <border>
      <left style="thick">
        <color theme="0"/>
      </left>
      <right style="thin">
        <color theme="0"/>
      </right>
      <top/>
      <bottom/>
      <diagonal/>
    </border>
  </borders>
  <cellStyleXfs count="132">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28" fillId="0" borderId="0" applyNumberFormat="0" applyFill="0" applyBorder="0" applyAlignment="0" applyProtection="0"/>
    <xf numFmtId="0" fontId="2" fillId="0" borderId="0"/>
    <xf numFmtId="165" fontId="2" fillId="0" borderId="0" applyFont="0" applyFill="0" applyBorder="0" applyAlignment="0" applyProtection="0"/>
    <xf numFmtId="0" fontId="31" fillId="0" borderId="0">
      <alignment horizontal="left" vertical="center" wrapText="1"/>
    </xf>
    <xf numFmtId="0" fontId="31" fillId="0" borderId="0">
      <alignment horizontal="center" vertical="center" wrapText="1"/>
    </xf>
    <xf numFmtId="0" fontId="34" fillId="0" borderId="0">
      <alignment horizontal="left" vertical="center" wrapText="1"/>
    </xf>
    <xf numFmtId="49" fontId="34" fillId="35" borderId="28">
      <alignment vertical="center"/>
      <protection locked="0"/>
    </xf>
    <xf numFmtId="0" fontId="37" fillId="0" borderId="0">
      <alignment vertical="center"/>
    </xf>
    <xf numFmtId="0" fontId="15" fillId="36" borderId="34">
      <alignment horizontal="center" vertical="center"/>
    </xf>
    <xf numFmtId="0" fontId="44" fillId="0" borderId="0" applyNumberFormat="0" applyFill="0" applyBorder="0" applyAlignment="0" applyProtection="0"/>
    <xf numFmtId="49" fontId="31" fillId="0" borderId="0">
      <alignment horizontal="right" vertical="center" wrapText="1"/>
    </xf>
    <xf numFmtId="0" fontId="15" fillId="37" borderId="47" applyProtection="0">
      <alignment horizontal="center" vertical="center" wrapText="1"/>
    </xf>
    <xf numFmtId="0" fontId="34" fillId="35" borderId="47">
      <alignment horizontal="center" vertical="center" wrapText="1"/>
      <protection locked="0"/>
    </xf>
    <xf numFmtId="0" fontId="57" fillId="0" borderId="0">
      <alignment vertical="center" wrapText="1"/>
      <protection locked="0"/>
    </xf>
    <xf numFmtId="164" fontId="60" fillId="35" borderId="47">
      <alignment horizontal="left" vertical="center" wrapText="1"/>
    </xf>
    <xf numFmtId="0" fontId="60" fillId="35" borderId="47">
      <alignment horizontal="left" vertical="center" wrapText="1"/>
    </xf>
    <xf numFmtId="0" fontId="70" fillId="40" borderId="57">
      <alignment vertical="center" wrapText="1"/>
    </xf>
    <xf numFmtId="0" fontId="77" fillId="44" borderId="59" applyProtection="0">
      <alignment horizontal="center" vertical="center" wrapText="1"/>
    </xf>
    <xf numFmtId="0" fontId="81" fillId="0" borderId="0">
      <alignment vertical="center"/>
    </xf>
    <xf numFmtId="0" fontId="31" fillId="35" borderId="47">
      <alignment horizontal="center" vertical="center" wrapText="1"/>
      <protection locked="0"/>
    </xf>
    <xf numFmtId="169" fontId="34" fillId="35" borderId="47">
      <alignment vertical="center"/>
      <protection locked="0"/>
    </xf>
    <xf numFmtId="49" fontId="34" fillId="35" borderId="47">
      <alignment horizontal="center" vertical="center" wrapText="1"/>
      <protection locked="0"/>
    </xf>
    <xf numFmtId="14" fontId="34" fillId="35" borderId="47">
      <alignment horizontal="center" vertical="center"/>
      <protection locked="0"/>
    </xf>
    <xf numFmtId="0" fontId="34" fillId="40" borderId="47">
      <alignment horizontal="left" vertical="center" wrapText="1"/>
    </xf>
    <xf numFmtId="49" fontId="96" fillId="0" borderId="0">
      <alignment vertical="center" wrapText="1"/>
    </xf>
    <xf numFmtId="0" fontId="15" fillId="46" borderId="34">
      <alignment horizontal="center" vertical="center"/>
    </xf>
    <xf numFmtId="14" fontId="34" fillId="40" borderId="47">
      <alignment horizontal="center" vertical="center" wrapText="1"/>
    </xf>
    <xf numFmtId="0" fontId="34" fillId="0" borderId="0">
      <alignment horizontal="center" vertical="center" wrapText="1"/>
    </xf>
    <xf numFmtId="0" fontId="34" fillId="35" borderId="47">
      <alignment vertical="center" wrapText="1"/>
      <protection locked="0"/>
    </xf>
    <xf numFmtId="9" fontId="2" fillId="0" borderId="0" applyFont="0" applyFill="0" applyBorder="0" applyAlignment="0" applyProtection="0"/>
    <xf numFmtId="172" fontId="34" fillId="40" borderId="47">
      <alignment horizontal="center" vertical="center" wrapText="1"/>
    </xf>
    <xf numFmtId="173" fontId="34" fillId="40" borderId="47">
      <alignment vertical="center"/>
    </xf>
    <xf numFmtId="169" fontId="34" fillId="40" borderId="47">
      <alignment vertical="center"/>
    </xf>
    <xf numFmtId="10" fontId="34" fillId="35" borderId="47">
      <alignment horizontal="center" vertical="center"/>
      <protection locked="0"/>
    </xf>
    <xf numFmtId="49" fontId="96" fillId="0" borderId="0">
      <alignment vertical="center" wrapText="1"/>
    </xf>
    <xf numFmtId="179" fontId="96" fillId="0" borderId="0">
      <alignment horizontal="center" vertical="center" wrapText="1"/>
    </xf>
    <xf numFmtId="180" fontId="96" fillId="0" borderId="0">
      <alignment vertical="center" wrapText="1"/>
    </xf>
    <xf numFmtId="44" fontId="96" fillId="0" borderId="0">
      <alignment vertical="center" wrapText="1"/>
    </xf>
    <xf numFmtId="3" fontId="96" fillId="0" borderId="0">
      <alignment horizontal="center" vertical="center" wrapText="1"/>
    </xf>
    <xf numFmtId="49" fontId="31" fillId="0" borderId="0">
      <alignment horizontal="left" vertical="center" wrapText="1"/>
    </xf>
    <xf numFmtId="178" fontId="96" fillId="0" borderId="0">
      <alignment horizontal="right" vertical="center" wrapText="1"/>
    </xf>
    <xf numFmtId="164" fontId="96" fillId="0" borderId="0">
      <alignment horizontal="center" vertical="center" wrapText="1"/>
    </xf>
    <xf numFmtId="10" fontId="96" fillId="0" borderId="0">
      <alignment horizontal="right" vertical="center" wrapText="1"/>
    </xf>
    <xf numFmtId="9" fontId="96" fillId="0" borderId="0">
      <alignment horizontal="right" vertical="center" wrapText="1"/>
    </xf>
    <xf numFmtId="4" fontId="96" fillId="0" borderId="0">
      <alignment horizontal="center" vertical="center" wrapText="1"/>
    </xf>
    <xf numFmtId="183" fontId="96" fillId="0" borderId="0">
      <alignment horizontal="center" vertical="center" wrapText="1"/>
    </xf>
    <xf numFmtId="49" fontId="143" fillId="0" borderId="0">
      <alignment vertical="center" wrapText="1"/>
    </xf>
    <xf numFmtId="180" fontId="96" fillId="0" borderId="0">
      <alignment vertical="center" wrapText="1"/>
    </xf>
    <xf numFmtId="164" fontId="57" fillId="0" borderId="0">
      <alignment horizontal="center" vertical="center" wrapText="1"/>
    </xf>
    <xf numFmtId="181" fontId="2" fillId="0" borderId="0" applyFont="0" applyFill="0" applyBorder="0" applyAlignment="0" applyProtection="0"/>
    <xf numFmtId="0" fontId="147" fillId="37" borderId="47" applyProtection="0">
      <alignment horizontal="center" vertical="center" wrapText="1"/>
    </xf>
    <xf numFmtId="0" fontId="31" fillId="0" borderId="0">
      <alignment horizontal="left" vertical="center" wrapText="1"/>
    </xf>
    <xf numFmtId="0" fontId="147" fillId="52" borderId="47" applyProtection="0">
      <alignment horizontal="center" vertical="center" wrapText="1"/>
    </xf>
    <xf numFmtId="0" fontId="162" fillId="0" borderId="0" applyNumberFormat="0" applyFill="0" applyBorder="0" applyAlignment="0" applyProtection="0"/>
    <xf numFmtId="49" fontId="97" fillId="35" borderId="47">
      <alignment horizontal="center" vertical="center" wrapText="1"/>
      <protection locked="0"/>
    </xf>
    <xf numFmtId="0" fontId="2" fillId="0" borderId="0"/>
    <xf numFmtId="0" fontId="2" fillId="0" borderId="0"/>
    <xf numFmtId="0" fontId="34" fillId="40" borderId="47">
      <alignment horizontal="center" vertical="center" wrapText="1"/>
    </xf>
    <xf numFmtId="10" fontId="35" fillId="40" borderId="47">
      <alignment horizontal="center" vertical="center" wrapText="1"/>
    </xf>
    <xf numFmtId="1" fontId="34" fillId="40" borderId="47">
      <alignment horizontal="center" vertical="center" wrapText="1"/>
    </xf>
    <xf numFmtId="14" fontId="34" fillId="0" borderId="0">
      <alignment horizontal="center" vertical="center" wrapText="1"/>
    </xf>
    <xf numFmtId="49" fontId="31" fillId="0" borderId="0">
      <alignment horizontal="center" vertical="center" wrapText="1"/>
    </xf>
    <xf numFmtId="165" fontId="2" fillId="0" borderId="0" applyFont="0" applyFill="0" applyBorder="0" applyAlignment="0" applyProtection="0">
      <protection locked="0"/>
    </xf>
    <xf numFmtId="10" fontId="31" fillId="0" borderId="47">
      <alignment horizontal="center" vertical="center"/>
    </xf>
    <xf numFmtId="0" fontId="2" fillId="0" borderId="0"/>
    <xf numFmtId="0" fontId="1" fillId="0" borderId="0"/>
    <xf numFmtId="165" fontId="1" fillId="0" borderId="0" applyFont="0" applyFill="0" applyBorder="0" applyAlignment="0" applyProtection="0">
      <protection locked="0"/>
    </xf>
    <xf numFmtId="0" fontId="1" fillId="0" borderId="0"/>
    <xf numFmtId="165" fontId="1" fillId="0" borderId="0" applyFont="0" applyFill="0" applyBorder="0" applyAlignment="0" applyProtection="0"/>
    <xf numFmtId="0" fontId="81" fillId="0" borderId="0"/>
    <xf numFmtId="181" fontId="1" fillId="0" borderId="0" applyFont="0" applyFill="0" applyBorder="0" applyAlignment="0" applyProtection="0"/>
    <xf numFmtId="1" fontId="34" fillId="35" borderId="47">
      <alignment horizontal="center" vertical="center"/>
      <protection locked="0"/>
    </xf>
    <xf numFmtId="10" fontId="34" fillId="40" borderId="47">
      <alignment horizontal="center" vertical="center" wrapText="1"/>
    </xf>
    <xf numFmtId="9" fontId="1" fillId="0" borderId="0" applyFont="0" applyFill="0" applyBorder="0" applyAlignment="0" applyProtection="0"/>
    <xf numFmtId="0" fontId="95" fillId="57" borderId="71">
      <alignment vertical="center"/>
    </xf>
    <xf numFmtId="192" fontId="95" fillId="0" borderId="117">
      <alignment vertical="center"/>
      <protection locked="0"/>
    </xf>
    <xf numFmtId="0" fontId="34" fillId="0" borderId="71">
      <alignment horizontal="left" vertical="center" wrapText="1" indent="1"/>
      <protection locked="0"/>
    </xf>
    <xf numFmtId="49" fontId="34" fillId="0" borderId="71">
      <alignment horizontal="left" vertical="center" indent="1"/>
      <protection locked="0"/>
    </xf>
    <xf numFmtId="193" fontId="34" fillId="35" borderId="71">
      <alignment vertical="center"/>
    </xf>
    <xf numFmtId="0" fontId="70" fillId="35" borderId="99">
      <alignment horizontal="left" vertical="center" wrapText="1" indent="1"/>
    </xf>
    <xf numFmtId="0" fontId="15" fillId="58" borderId="71">
      <alignment horizontal="center" vertical="center"/>
    </xf>
    <xf numFmtId="49" fontId="34" fillId="35" borderId="47">
      <alignment horizontal="center" vertical="center" wrapText="1"/>
      <protection locked="0"/>
    </xf>
    <xf numFmtId="164" fontId="60" fillId="0" borderId="0">
      <alignment horizontal="left" vertical="top" wrapText="1"/>
    </xf>
    <xf numFmtId="0" fontId="60" fillId="0" borderId="0">
      <alignment horizontal="left" wrapText="1"/>
    </xf>
    <xf numFmtId="0" fontId="15" fillId="38" borderId="66" applyProtection="0">
      <alignment horizontal="center" vertical="center" wrapText="1"/>
    </xf>
    <xf numFmtId="165" fontId="1" fillId="0" borderId="0" applyFont="0" applyFill="0" applyBorder="0" applyAlignment="0" applyProtection="0"/>
    <xf numFmtId="0" fontId="1" fillId="0" borderId="0"/>
    <xf numFmtId="194" fontId="34" fillId="40" borderId="47">
      <alignment horizontal="center" vertical="center" wrapText="1"/>
    </xf>
    <xf numFmtId="0" fontId="1" fillId="0" borderId="0"/>
    <xf numFmtId="49" fontId="96" fillId="40" borderId="71">
      <alignment horizontal="center" vertical="center" wrapText="1"/>
    </xf>
  </cellStyleXfs>
  <cellXfs count="2277">
    <xf numFmtId="0" fontId="0" fillId="0" borderId="0" xfId="0"/>
    <xf numFmtId="49" fontId="20" fillId="0" borderId="0" xfId="0" applyNumberFormat="1" applyFont="1" applyAlignment="1">
      <alignment horizontal="left"/>
    </xf>
    <xf numFmtId="0" fontId="24" fillId="0" borderId="0" xfId="0" applyFont="1" applyAlignment="1">
      <alignment horizontal="center" vertical="center"/>
    </xf>
    <xf numFmtId="0" fontId="25" fillId="33" borderId="0" xfId="0" applyFont="1" applyFill="1" applyAlignment="1">
      <alignment horizont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6" fillId="0" borderId="14" xfId="0" applyFont="1" applyBorder="1" applyAlignment="1">
      <alignment horizontal="center"/>
    </xf>
    <xf numFmtId="0" fontId="26" fillId="0" borderId="12" xfId="0" applyFont="1" applyBorder="1" applyAlignment="1">
      <alignment horizontal="center"/>
    </xf>
    <xf numFmtId="0" fontId="25" fillId="34" borderId="0" xfId="0" applyFont="1" applyFill="1"/>
    <xf numFmtId="14" fontId="25" fillId="34" borderId="0" xfId="0" applyNumberFormat="1" applyFont="1" applyFill="1"/>
    <xf numFmtId="0" fontId="25" fillId="0" borderId="0" xfId="0" applyFont="1"/>
    <xf numFmtId="0" fontId="2" fillId="0" borderId="0" xfId="43" applyAlignment="1">
      <alignment vertical="center"/>
    </xf>
    <xf numFmtId="0" fontId="29" fillId="0" borderId="0" xfId="43" applyFont="1" applyAlignment="1">
      <alignment vertical="center"/>
    </xf>
    <xf numFmtId="0" fontId="29" fillId="0" borderId="18" xfId="43" applyFont="1" applyBorder="1" applyAlignment="1">
      <alignment vertical="center"/>
    </xf>
    <xf numFmtId="0" fontId="29" fillId="0" borderId="19" xfId="43" applyFont="1" applyBorder="1" applyAlignment="1">
      <alignment vertical="center"/>
    </xf>
    <xf numFmtId="0" fontId="29" fillId="0" borderId="20" xfId="43" applyFont="1" applyBorder="1" applyAlignment="1">
      <alignment vertical="center"/>
    </xf>
    <xf numFmtId="0" fontId="29" fillId="0" borderId="21" xfId="43" applyFont="1" applyBorder="1" applyAlignment="1" applyProtection="1">
      <alignment horizontal="left" vertical="center"/>
      <protection locked="0"/>
    </xf>
    <xf numFmtId="0" fontId="29" fillId="0" borderId="22" xfId="43" applyFont="1" applyBorder="1" applyAlignment="1" applyProtection="1">
      <alignment horizontal="left" vertical="center"/>
      <protection locked="0"/>
    </xf>
    <xf numFmtId="0" fontId="30" fillId="0" borderId="23" xfId="43" applyFont="1" applyBorder="1" applyAlignment="1">
      <alignment horizontal="center" vertical="center" wrapText="1"/>
    </xf>
    <xf numFmtId="166" fontId="29" fillId="35" borderId="24" xfId="44" applyNumberFormat="1" applyFont="1" applyFill="1" applyBorder="1" applyAlignment="1" applyProtection="1">
      <alignment vertical="center"/>
    </xf>
    <xf numFmtId="166" fontId="29" fillId="0" borderId="24" xfId="44" applyNumberFormat="1" applyFont="1" applyBorder="1" applyAlignment="1" applyProtection="1">
      <alignment vertical="center"/>
      <protection locked="0"/>
    </xf>
    <xf numFmtId="1" fontId="29" fillId="0" borderId="24" xfId="43" applyNumberFormat="1" applyFont="1" applyBorder="1" applyAlignment="1" applyProtection="1">
      <alignment horizontal="left" vertical="center"/>
      <protection locked="0"/>
    </xf>
    <xf numFmtId="14" fontId="29" fillId="0" borderId="24" xfId="43" applyNumberFormat="1" applyFont="1" applyBorder="1" applyAlignment="1" applyProtection="1">
      <alignment horizontal="center" vertical="center" wrapText="1"/>
      <protection locked="0"/>
    </xf>
    <xf numFmtId="0" fontId="31" fillId="35" borderId="24" xfId="45" applyFill="1" applyBorder="1" applyAlignment="1">
      <alignment horizontal="center" vertical="center" wrapText="1"/>
    </xf>
    <xf numFmtId="0" fontId="29" fillId="0" borderId="25" xfId="43" applyFont="1" applyBorder="1" applyAlignment="1">
      <alignment vertical="center"/>
    </xf>
    <xf numFmtId="0" fontId="32" fillId="0" borderId="0" xfId="43" applyFont="1" applyAlignment="1">
      <alignment vertical="center" wrapText="1"/>
    </xf>
    <xf numFmtId="0" fontId="31" fillId="0" borderId="0" xfId="46">
      <alignment horizontal="center" vertical="center" wrapText="1"/>
    </xf>
    <xf numFmtId="0" fontId="2" fillId="0" borderId="23" xfId="43" applyBorder="1" applyAlignment="1">
      <alignment vertical="center"/>
    </xf>
    <xf numFmtId="0" fontId="32" fillId="0" borderId="26" xfId="43" applyFont="1" applyBorder="1" applyAlignment="1">
      <alignment horizontal="center" vertical="center" wrapText="1"/>
    </xf>
    <xf numFmtId="0" fontId="32" fillId="0" borderId="18" xfId="43" applyFont="1" applyBorder="1" applyAlignment="1">
      <alignment horizontal="center" vertical="center" wrapText="1"/>
    </xf>
    <xf numFmtId="0" fontId="32" fillId="0" borderId="19" xfId="43" applyFont="1" applyBorder="1" applyAlignment="1">
      <alignment horizontal="center" vertical="center" wrapText="1"/>
    </xf>
    <xf numFmtId="0" fontId="32" fillId="0" borderId="20" xfId="43" applyFont="1" applyBorder="1" applyAlignment="1">
      <alignment horizontal="center" vertical="center" wrapText="1"/>
    </xf>
    <xf numFmtId="0" fontId="33" fillId="0" borderId="27" xfId="43" applyFont="1" applyBorder="1" applyAlignment="1">
      <alignment horizontal="center" vertical="center" wrapText="1"/>
    </xf>
    <xf numFmtId="0" fontId="35" fillId="0" borderId="19" xfId="47" applyFont="1" applyBorder="1" applyAlignment="1">
      <alignment horizontal="center" vertical="center" wrapText="1"/>
    </xf>
    <xf numFmtId="0" fontId="2" fillId="0" borderId="20" xfId="43" applyBorder="1" applyAlignment="1">
      <alignment vertical="center"/>
    </xf>
    <xf numFmtId="0" fontId="32" fillId="0" borderId="25" xfId="43" applyFont="1" applyBorder="1" applyAlignment="1">
      <alignment vertical="center" wrapText="1"/>
    </xf>
    <xf numFmtId="0" fontId="35" fillId="0" borderId="0" xfId="48" applyNumberFormat="1" applyFont="1" applyFill="1" applyBorder="1" applyAlignment="1" applyProtection="1">
      <alignment vertical="center" wrapText="1"/>
    </xf>
    <xf numFmtId="0" fontId="30" fillId="0" borderId="29" xfId="43" applyFont="1" applyBorder="1" applyAlignment="1">
      <alignment horizontal="center" vertical="center"/>
    </xf>
    <xf numFmtId="0" fontId="30" fillId="0" borderId="30" xfId="43" applyFont="1" applyBorder="1" applyAlignment="1">
      <alignment horizontal="center" vertical="center"/>
    </xf>
    <xf numFmtId="0" fontId="30" fillId="0" borderId="31" xfId="43" applyFont="1" applyBorder="1" applyAlignment="1">
      <alignment horizontal="center" vertical="center"/>
    </xf>
    <xf numFmtId="0" fontId="30" fillId="0" borderId="32" xfId="43" applyFont="1" applyBorder="1" applyAlignment="1">
      <alignment horizontal="center" vertical="center"/>
    </xf>
    <xf numFmtId="0" fontId="36" fillId="0" borderId="33" xfId="43" applyFont="1" applyBorder="1" applyAlignment="1">
      <alignment horizontal="center" vertical="center"/>
    </xf>
    <xf numFmtId="0" fontId="31" fillId="0" borderId="32" xfId="46" applyBorder="1">
      <alignment horizontal="center" vertical="center" wrapText="1"/>
    </xf>
    <xf numFmtId="0" fontId="31" fillId="0" borderId="31" xfId="46" applyBorder="1">
      <alignment horizontal="center" vertical="center" wrapText="1"/>
    </xf>
    <xf numFmtId="0" fontId="31" fillId="0" borderId="31" xfId="45" applyBorder="1">
      <alignment horizontal="left" vertical="center" wrapText="1"/>
    </xf>
    <xf numFmtId="0" fontId="2" fillId="0" borderId="31" xfId="43" applyBorder="1" applyAlignment="1">
      <alignment vertical="center"/>
    </xf>
    <xf numFmtId="0" fontId="2" fillId="0" borderId="32" xfId="43" applyBorder="1" applyAlignment="1">
      <alignment vertical="center"/>
    </xf>
    <xf numFmtId="0" fontId="2" fillId="0" borderId="25" xfId="43" applyBorder="1" applyAlignment="1">
      <alignment vertical="center"/>
    </xf>
    <xf numFmtId="0" fontId="38" fillId="0" borderId="0" xfId="49" applyFont="1" applyAlignment="1">
      <alignment horizontal="left" vertical="center" wrapText="1"/>
    </xf>
    <xf numFmtId="0" fontId="39" fillId="0" borderId="23" xfId="49" applyFont="1" applyBorder="1" applyAlignment="1">
      <alignment horizontal="left" vertical="center"/>
    </xf>
    <xf numFmtId="0" fontId="39" fillId="0" borderId="0" xfId="49" applyFont="1" applyAlignment="1">
      <alignment horizontal="left" vertical="center"/>
    </xf>
    <xf numFmtId="0" fontId="40" fillId="0" borderId="0" xfId="49" applyFont="1" applyAlignment="1">
      <alignment horizontal="left" vertical="center"/>
    </xf>
    <xf numFmtId="0" fontId="37" fillId="0" borderId="0" xfId="49" applyAlignment="1">
      <alignment horizontal="left" vertical="center"/>
    </xf>
    <xf numFmtId="0" fontId="43" fillId="0" borderId="25" xfId="43" applyFont="1" applyBorder="1" applyAlignment="1">
      <alignment vertical="center"/>
    </xf>
    <xf numFmtId="0" fontId="2" fillId="0" borderId="30" xfId="43" applyBorder="1" applyAlignment="1">
      <alignment vertical="center"/>
    </xf>
    <xf numFmtId="0" fontId="45" fillId="35" borderId="24" xfId="51" applyFont="1" applyFill="1" applyBorder="1" applyAlignment="1" applyProtection="1">
      <alignment horizontal="center" vertical="center" wrapText="1"/>
    </xf>
    <xf numFmtId="0" fontId="46" fillId="0" borderId="0" xfId="43" applyFont="1" applyAlignment="1">
      <alignment vertical="center"/>
    </xf>
    <xf numFmtId="0" fontId="29" fillId="0" borderId="24" xfId="43" applyFont="1" applyBorder="1" applyAlignment="1">
      <alignment vertical="center"/>
    </xf>
    <xf numFmtId="0" fontId="29" fillId="0" borderId="0" xfId="43" applyFont="1" applyAlignment="1">
      <alignment horizontal="left" vertical="center"/>
    </xf>
    <xf numFmtId="0" fontId="2" fillId="0" borderId="0" xfId="43"/>
    <xf numFmtId="0" fontId="47" fillId="35" borderId="24" xfId="45" applyFont="1" applyFill="1" applyBorder="1" applyAlignment="1">
      <alignment horizontal="center" vertical="center" wrapText="1"/>
    </xf>
    <xf numFmtId="0" fontId="29" fillId="0" borderId="21" xfId="43" applyFont="1" applyBorder="1" applyAlignment="1">
      <alignment horizontal="left" vertical="center"/>
    </xf>
    <xf numFmtId="0" fontId="29" fillId="0" borderId="22" xfId="43" applyFont="1" applyBorder="1" applyAlignment="1">
      <alignment horizontal="left" vertical="center"/>
    </xf>
    <xf numFmtId="166" fontId="30" fillId="0" borderId="0" xfId="44" applyNumberFormat="1" applyFont="1" applyBorder="1" applyAlignment="1" applyProtection="1">
      <alignment vertical="center"/>
    </xf>
    <xf numFmtId="0" fontId="29" fillId="0" borderId="0" xfId="43" applyFont="1" applyAlignment="1">
      <alignment horizontal="left" vertical="center" wrapText="1"/>
    </xf>
    <xf numFmtId="0" fontId="31" fillId="0" borderId="0" xfId="45" applyAlignment="1">
      <alignment horizontal="left" vertical="center"/>
    </xf>
    <xf numFmtId="165" fontId="29" fillId="0" borderId="24" xfId="44" applyFont="1" applyBorder="1" applyAlignment="1" applyProtection="1">
      <alignment vertical="center"/>
      <protection locked="0"/>
    </xf>
    <xf numFmtId="0" fontId="29" fillId="0" borderId="0" xfId="43" applyFont="1" applyAlignment="1" applyProtection="1">
      <alignment horizontal="left" vertical="center"/>
      <protection locked="0"/>
    </xf>
    <xf numFmtId="168" fontId="29" fillId="0" borderId="0" xfId="44" applyNumberFormat="1" applyFont="1" applyBorder="1" applyAlignment="1" applyProtection="1">
      <alignment vertical="center"/>
    </xf>
    <xf numFmtId="168" fontId="29" fillId="0" borderId="36" xfId="44" applyNumberFormat="1" applyFont="1" applyBorder="1" applyAlignment="1" applyProtection="1">
      <alignment vertical="center"/>
    </xf>
    <xf numFmtId="167" fontId="48" fillId="0" borderId="0" xfId="43" applyNumberFormat="1" applyFont="1" applyAlignment="1">
      <alignment horizontal="left" vertical="center"/>
    </xf>
    <xf numFmtId="0" fontId="31" fillId="0" borderId="0" xfId="45">
      <alignment horizontal="left" vertical="center" wrapText="1"/>
    </xf>
    <xf numFmtId="0" fontId="29" fillId="0" borderId="36" xfId="43" applyFont="1" applyBorder="1" applyAlignment="1">
      <alignment vertical="center"/>
    </xf>
    <xf numFmtId="0" fontId="32" fillId="0" borderId="24" xfId="43" applyFont="1" applyBorder="1" applyAlignment="1">
      <alignment horizontal="center" vertical="center" wrapText="1"/>
    </xf>
    <xf numFmtId="0" fontId="32" fillId="0" borderId="21" xfId="43" applyFont="1" applyBorder="1" applyAlignment="1">
      <alignment horizontal="center" vertical="center" wrapText="1"/>
    </xf>
    <xf numFmtId="0" fontId="31" fillId="0" borderId="37" xfId="46" applyBorder="1">
      <alignment horizontal="center" vertical="center" wrapText="1"/>
    </xf>
    <xf numFmtId="0" fontId="32" fillId="0" borderId="39" xfId="43" applyFont="1" applyBorder="1" applyAlignment="1">
      <alignment horizontal="center" vertical="center" wrapText="1"/>
    </xf>
    <xf numFmtId="0" fontId="32" fillId="0" borderId="40" xfId="43" applyFont="1" applyBorder="1" applyAlignment="1">
      <alignment horizontal="center" vertical="center" wrapText="1"/>
    </xf>
    <xf numFmtId="0" fontId="32" fillId="0" borderId="27" xfId="43" applyFont="1" applyBorder="1" applyAlignment="1">
      <alignment horizontal="center" vertical="center" wrapText="1"/>
    </xf>
    <xf numFmtId="0" fontId="32" fillId="0" borderId="41" xfId="43" applyFont="1" applyBorder="1" applyAlignment="1">
      <alignment horizontal="center" vertical="center" wrapText="1"/>
    </xf>
    <xf numFmtId="0" fontId="32" fillId="0" borderId="37" xfId="43" applyFont="1" applyBorder="1" applyAlignment="1">
      <alignment horizontal="center" vertical="center" wrapText="1"/>
    </xf>
    <xf numFmtId="0" fontId="32" fillId="0" borderId="38" xfId="43" applyFont="1" applyBorder="1" applyAlignment="1">
      <alignment horizontal="center" vertical="center" wrapText="1"/>
    </xf>
    <xf numFmtId="0" fontId="2" fillId="0" borderId="27" xfId="43" applyBorder="1" applyAlignment="1">
      <alignment vertical="center" wrapText="1"/>
    </xf>
    <xf numFmtId="0" fontId="34" fillId="0" borderId="27" xfId="47" applyBorder="1">
      <alignment horizontal="left" vertical="center" wrapText="1"/>
    </xf>
    <xf numFmtId="0" fontId="2" fillId="0" borderId="27" xfId="43" applyBorder="1" applyAlignment="1">
      <alignment vertical="center"/>
    </xf>
    <xf numFmtId="0" fontId="2" fillId="0" borderId="38" xfId="43" applyBorder="1" applyAlignment="1">
      <alignment vertical="center"/>
    </xf>
    <xf numFmtId="0" fontId="31" fillId="0" borderId="43" xfId="46" applyBorder="1">
      <alignment horizontal="center" vertical="center" wrapText="1"/>
    </xf>
    <xf numFmtId="0" fontId="30" fillId="0" borderId="44" xfId="43" applyFont="1" applyBorder="1" applyAlignment="1">
      <alignment horizontal="center" vertical="center"/>
    </xf>
    <xf numFmtId="0" fontId="49" fillId="0" borderId="42" xfId="43" applyFont="1" applyBorder="1" applyAlignment="1">
      <alignment horizontal="center" vertical="center"/>
    </xf>
    <xf numFmtId="0" fontId="30" fillId="0" borderId="33" xfId="43" applyFont="1" applyBorder="1" applyAlignment="1">
      <alignment horizontal="center" vertical="center"/>
    </xf>
    <xf numFmtId="0" fontId="2" fillId="0" borderId="45" xfId="43" applyBorder="1" applyAlignment="1">
      <alignment vertical="center"/>
    </xf>
    <xf numFmtId="0" fontId="43" fillId="0" borderId="23" xfId="49" applyFont="1" applyBorder="1" applyAlignment="1">
      <alignment vertical="center" wrapText="1"/>
    </xf>
    <xf numFmtId="0" fontId="43" fillId="0" borderId="0" xfId="49" applyFont="1" applyAlignment="1">
      <alignment vertical="center" wrapText="1"/>
    </xf>
    <xf numFmtId="0" fontId="51" fillId="0" borderId="0" xfId="49" applyFont="1" applyAlignment="1">
      <alignment horizontal="left" vertical="center" wrapText="1"/>
    </xf>
    <xf numFmtId="0" fontId="52" fillId="0" borderId="23" xfId="49" applyFont="1" applyBorder="1" applyAlignment="1">
      <alignment vertical="center" wrapText="1"/>
    </xf>
    <xf numFmtId="0" fontId="37" fillId="0" borderId="0" xfId="49" applyAlignment="1">
      <alignment horizontal="left" vertical="center" wrapText="1"/>
    </xf>
    <xf numFmtId="0" fontId="53" fillId="0" borderId="0" xfId="52" applyNumberFormat="1" applyFont="1" applyAlignment="1" applyProtection="1">
      <alignment vertical="center" wrapText="1"/>
      <protection hidden="1"/>
    </xf>
    <xf numFmtId="0" fontId="54" fillId="0" borderId="0" xfId="43" applyFont="1" applyAlignment="1">
      <alignment horizontal="center" vertical="center" wrapText="1"/>
    </xf>
    <xf numFmtId="0" fontId="54" fillId="0" borderId="0" xfId="43" applyFont="1" applyAlignment="1">
      <alignment vertical="center" wrapText="1"/>
    </xf>
    <xf numFmtId="0" fontId="54" fillId="0" borderId="0" xfId="43" applyFont="1" applyAlignment="1">
      <alignment vertical="center"/>
    </xf>
    <xf numFmtId="0" fontId="2" fillId="0" borderId="46" xfId="43" applyBorder="1" applyAlignment="1">
      <alignment vertical="center"/>
    </xf>
    <xf numFmtId="0" fontId="2" fillId="0" borderId="19" xfId="43" applyBorder="1" applyAlignment="1">
      <alignment vertical="center"/>
    </xf>
    <xf numFmtId="0" fontId="54" fillId="0" borderId="19" xfId="43" applyFont="1" applyBorder="1" applyAlignment="1">
      <alignment vertical="center"/>
    </xf>
    <xf numFmtId="0" fontId="31" fillId="0" borderId="0" xfId="47" applyFont="1" applyAlignment="1">
      <alignment vertical="center"/>
    </xf>
    <xf numFmtId="0" fontId="16" fillId="0" borderId="0" xfId="43" applyFont="1" applyAlignment="1">
      <alignment vertical="center"/>
    </xf>
    <xf numFmtId="0" fontId="18" fillId="0" borderId="0" xfId="43" applyFont="1" applyAlignment="1">
      <alignment vertical="center"/>
    </xf>
    <xf numFmtId="0" fontId="19" fillId="0" borderId="0" xfId="43" applyFont="1" applyAlignment="1">
      <alignment vertical="center"/>
    </xf>
    <xf numFmtId="0" fontId="52" fillId="0" borderId="0" xfId="49" applyFont="1" applyAlignment="1">
      <alignment vertical="center" wrapText="1"/>
    </xf>
    <xf numFmtId="0" fontId="52" fillId="0" borderId="0" xfId="49" applyFont="1" applyAlignment="1">
      <alignment horizontal="left" vertical="center" wrapText="1"/>
    </xf>
    <xf numFmtId="0" fontId="52" fillId="0" borderId="0" xfId="49" applyFont="1" applyAlignment="1">
      <alignment horizontal="left" vertical="center"/>
    </xf>
    <xf numFmtId="0" fontId="52" fillId="0" borderId="0" xfId="49" applyFont="1" applyAlignment="1">
      <alignment horizontal="left" wrapText="1"/>
    </xf>
    <xf numFmtId="0" fontId="57" fillId="0" borderId="27" xfId="55" applyBorder="1" applyProtection="1">
      <alignment vertical="center" wrapText="1"/>
    </xf>
    <xf numFmtId="0" fontId="57" fillId="0" borderId="0" xfId="55" applyProtection="1">
      <alignment vertical="center" wrapText="1"/>
    </xf>
    <xf numFmtId="0" fontId="58" fillId="0" borderId="0" xfId="43" applyFont="1" applyAlignment="1">
      <alignment horizontal="right" vertical="center"/>
    </xf>
    <xf numFmtId="0" fontId="59" fillId="0" borderId="0" xfId="43" applyFont="1" applyAlignment="1">
      <alignment horizontal="right" vertical="center"/>
    </xf>
    <xf numFmtId="164" fontId="61" fillId="0" borderId="0" xfId="56" applyFont="1" applyFill="1" applyBorder="1" applyAlignment="1">
      <alignment horizontal="left" vertical="center"/>
    </xf>
    <xf numFmtId="164" fontId="61" fillId="0" borderId="34" xfId="56" applyFont="1" applyFill="1" applyBorder="1" applyAlignment="1">
      <alignment horizontal="left" vertical="center"/>
    </xf>
    <xf numFmtId="0" fontId="58" fillId="0" borderId="0" xfId="43" quotePrefix="1" applyFont="1" applyAlignment="1">
      <alignment horizontal="right" vertical="center" wrapText="1"/>
    </xf>
    <xf numFmtId="0" fontId="61" fillId="0" borderId="0" xfId="57" applyFont="1" applyFill="1" applyBorder="1" applyAlignment="1">
      <alignment vertical="center" wrapText="1"/>
    </xf>
    <xf numFmtId="0" fontId="61" fillId="0" borderId="0" xfId="57" applyFont="1" applyFill="1" applyBorder="1" applyAlignment="1">
      <alignment vertical="center"/>
    </xf>
    <xf numFmtId="0" fontId="45" fillId="0" borderId="0" xfId="53" applyFont="1" applyFill="1" applyBorder="1" applyProtection="1">
      <alignment horizontal="center" vertical="center" wrapText="1"/>
    </xf>
    <xf numFmtId="0" fontId="62" fillId="0" borderId="0" xfId="55" applyFont="1" applyProtection="1">
      <alignment vertical="center" wrapText="1"/>
    </xf>
    <xf numFmtId="0" fontId="62" fillId="0" borderId="0" xfId="55" applyFont="1" applyAlignment="1" applyProtection="1">
      <alignment vertical="center"/>
    </xf>
    <xf numFmtId="0" fontId="18" fillId="0" borderId="0" xfId="43" applyFont="1" applyAlignment="1">
      <alignment horizontal="right" vertical="center"/>
    </xf>
    <xf numFmtId="0" fontId="2" fillId="0" borderId="0" xfId="43" applyAlignment="1">
      <alignment horizontal="left" vertical="center"/>
    </xf>
    <xf numFmtId="0" fontId="18" fillId="0" borderId="0" xfId="43" applyFont="1" applyAlignment="1">
      <alignment horizontal="left" vertical="center"/>
    </xf>
    <xf numFmtId="0" fontId="45" fillId="0" borderId="0" xfId="43" applyFont="1" applyAlignment="1">
      <alignment horizontal="left" vertical="center"/>
    </xf>
    <xf numFmtId="0" fontId="29" fillId="0" borderId="0" xfId="43" applyFont="1"/>
    <xf numFmtId="169" fontId="2" fillId="0" borderId="0" xfId="43" applyNumberFormat="1"/>
    <xf numFmtId="0" fontId="2" fillId="0" borderId="0" xfId="43" applyAlignment="1">
      <alignment horizontal="center" wrapText="1"/>
    </xf>
    <xf numFmtId="0" fontId="2" fillId="0" borderId="0" xfId="43" applyAlignment="1">
      <alignment horizontal="center"/>
    </xf>
    <xf numFmtId="0" fontId="2" fillId="0" borderId="48" xfId="43" applyBorder="1"/>
    <xf numFmtId="0" fontId="2" fillId="0" borderId="49" xfId="43" applyBorder="1"/>
    <xf numFmtId="169" fontId="2" fillId="0" borderId="49" xfId="43" applyNumberFormat="1" applyBorder="1"/>
    <xf numFmtId="0" fontId="2" fillId="0" borderId="49" xfId="43" applyBorder="1" applyAlignment="1">
      <alignment horizontal="center" wrapText="1"/>
    </xf>
    <xf numFmtId="0" fontId="2" fillId="0" borderId="49" xfId="43" applyBorder="1" applyAlignment="1">
      <alignment horizontal="center"/>
    </xf>
    <xf numFmtId="0" fontId="2" fillId="0" borderId="50" xfId="43" applyBorder="1"/>
    <xf numFmtId="0" fontId="2" fillId="0" borderId="51" xfId="43" applyBorder="1"/>
    <xf numFmtId="169" fontId="29" fillId="0" borderId="0" xfId="43" applyNumberFormat="1" applyFont="1"/>
    <xf numFmtId="0" fontId="29" fillId="0" borderId="0" xfId="43" applyFont="1" applyAlignment="1">
      <alignment horizontal="center" wrapText="1"/>
    </xf>
    <xf numFmtId="0" fontId="29" fillId="0" borderId="0" xfId="43" quotePrefix="1" applyFont="1" applyAlignment="1">
      <alignment horizontal="left"/>
    </xf>
    <xf numFmtId="0" fontId="29" fillId="0" borderId="0" xfId="43" applyFont="1" applyAlignment="1">
      <alignment horizontal="left"/>
    </xf>
    <xf numFmtId="0" fontId="2" fillId="0" borderId="52" xfId="43" applyBorder="1"/>
    <xf numFmtId="0" fontId="29" fillId="0" borderId="0" xfId="43" applyFont="1" applyAlignment="1">
      <alignment horizontal="center"/>
    </xf>
    <xf numFmtId="166" fontId="29" fillId="0" borderId="0" xfId="43" applyNumberFormat="1" applyFont="1"/>
    <xf numFmtId="166" fontId="29" fillId="0" borderId="0" xfId="43" applyNumberFormat="1" applyFont="1" applyAlignment="1">
      <alignment horizontal="center" wrapText="1"/>
    </xf>
    <xf numFmtId="166" fontId="29" fillId="0" borderId="0" xfId="43" applyNumberFormat="1" applyFont="1" applyAlignment="1">
      <alignment horizontal="center"/>
    </xf>
    <xf numFmtId="1" fontId="29" fillId="0" borderId="0" xfId="44" applyNumberFormat="1" applyFont="1" applyAlignment="1">
      <alignment horizontal="right" indent="1"/>
    </xf>
    <xf numFmtId="169" fontId="29" fillId="0" borderId="0" xfId="43" applyNumberFormat="1" applyFont="1" applyAlignment="1">
      <alignment horizontal="center"/>
    </xf>
    <xf numFmtId="0" fontId="29" fillId="0" borderId="0" xfId="43" applyFont="1" applyAlignment="1">
      <alignment horizontal="right"/>
    </xf>
    <xf numFmtId="0" fontId="18" fillId="0" borderId="0" xfId="43" applyFont="1"/>
    <xf numFmtId="166" fontId="29" fillId="0" borderId="0" xfId="43" applyNumberFormat="1" applyFont="1" applyAlignment="1" applyProtection="1">
      <alignment horizontal="center"/>
      <protection locked="0"/>
    </xf>
    <xf numFmtId="0" fontId="2" fillId="0" borderId="53" xfId="43" applyBorder="1"/>
    <xf numFmtId="0" fontId="2" fillId="0" borderId="54" xfId="43" applyBorder="1"/>
    <xf numFmtId="169" fontId="2" fillId="0" borderId="54" xfId="43" applyNumberFormat="1" applyBorder="1"/>
    <xf numFmtId="0" fontId="2" fillId="0" borderId="54" xfId="43" applyBorder="1" applyAlignment="1">
      <alignment horizontal="center" wrapText="1"/>
    </xf>
    <xf numFmtId="0" fontId="2" fillId="0" borderId="54" xfId="43" applyBorder="1" applyAlignment="1">
      <alignment horizontal="center"/>
    </xf>
    <xf numFmtId="0" fontId="2" fillId="0" borderId="55" xfId="43" applyBorder="1"/>
    <xf numFmtId="0" fontId="64" fillId="0" borderId="0" xfId="43" applyFont="1" applyAlignment="1">
      <alignment vertical="center"/>
    </xf>
    <xf numFmtId="0" fontId="2" fillId="0" borderId="33" xfId="43" applyBorder="1"/>
    <xf numFmtId="0" fontId="65" fillId="0" borderId="0" xfId="43" applyFont="1" applyAlignment="1">
      <alignment vertical="center" wrapText="1"/>
    </xf>
    <xf numFmtId="0" fontId="2" fillId="0" borderId="18" xfId="43" applyBorder="1" applyAlignment="1">
      <alignment horizontal="left"/>
    </xf>
    <xf numFmtId="0" fontId="2" fillId="0" borderId="19" xfId="43" applyBorder="1" applyAlignment="1">
      <alignment horizontal="left"/>
    </xf>
    <xf numFmtId="169" fontId="2" fillId="0" borderId="19" xfId="43" applyNumberFormat="1" applyBorder="1"/>
    <xf numFmtId="0" fontId="2" fillId="0" borderId="19" xfId="43" applyBorder="1" applyAlignment="1">
      <alignment horizontal="center" wrapText="1"/>
    </xf>
    <xf numFmtId="0" fontId="2" fillId="0" borderId="19" xfId="43" applyBorder="1" applyAlignment="1">
      <alignment horizontal="center"/>
    </xf>
    <xf numFmtId="0" fontId="2" fillId="0" borderId="20" xfId="43" applyBorder="1"/>
    <xf numFmtId="0" fontId="29" fillId="0" borderId="56" xfId="43" applyFont="1" applyBorder="1" applyAlignment="1" applyProtection="1">
      <alignment horizontal="left" vertical="center"/>
      <protection locked="0"/>
    </xf>
    <xf numFmtId="0" fontId="29" fillId="0" borderId="57" xfId="43" applyFont="1" applyBorder="1" applyAlignment="1" applyProtection="1">
      <alignment horizontal="left" vertical="center"/>
      <protection locked="0"/>
    </xf>
    <xf numFmtId="0" fontId="29" fillId="0" borderId="23" xfId="43" applyFont="1" applyBorder="1" applyAlignment="1">
      <alignment vertical="center"/>
    </xf>
    <xf numFmtId="166" fontId="66" fillId="0" borderId="0" xfId="44" applyNumberFormat="1" applyFont="1" applyFill="1" applyBorder="1" applyAlignment="1">
      <alignment vertical="center"/>
    </xf>
    <xf numFmtId="166" fontId="29" fillId="0" borderId="0" xfId="44" applyNumberFormat="1" applyFont="1" applyAlignment="1">
      <alignment vertical="center"/>
    </xf>
    <xf numFmtId="165" fontId="66" fillId="0" borderId="0" xfId="44" applyFont="1" applyFill="1" applyBorder="1" applyAlignment="1">
      <alignment vertical="center"/>
    </xf>
    <xf numFmtId="165" fontId="49" fillId="0" borderId="0" xfId="44" applyFont="1" applyFill="1" applyBorder="1" applyAlignment="1">
      <alignment vertical="center"/>
    </xf>
    <xf numFmtId="0" fontId="67" fillId="0" borderId="25" xfId="43" applyFont="1" applyBorder="1" applyAlignment="1">
      <alignment vertical="center"/>
    </xf>
    <xf numFmtId="165" fontId="29" fillId="35" borderId="24" xfId="44" applyFont="1" applyFill="1" applyBorder="1" applyAlignment="1" applyProtection="1">
      <alignment vertical="center"/>
    </xf>
    <xf numFmtId="165" fontId="29" fillId="0" borderId="0" xfId="44" applyFont="1" applyAlignment="1">
      <alignment vertical="center"/>
    </xf>
    <xf numFmtId="0" fontId="68" fillId="0" borderId="0" xfId="45" applyFont="1" applyAlignment="1">
      <alignment horizontal="center" vertical="center" wrapText="1"/>
    </xf>
    <xf numFmtId="167" fontId="29" fillId="35" borderId="24" xfId="43" applyNumberFormat="1" applyFont="1" applyFill="1" applyBorder="1" applyAlignment="1">
      <alignment horizontal="left" vertical="center" wrapText="1" indent="1"/>
    </xf>
    <xf numFmtId="165" fontId="0" fillId="0" borderId="0" xfId="44" applyFont="1" applyProtection="1"/>
    <xf numFmtId="0" fontId="51" fillId="0" borderId="0" xfId="49" applyFont="1" applyAlignment="1">
      <alignment vertical="center" wrapText="1"/>
    </xf>
    <xf numFmtId="0" fontId="19" fillId="0" borderId="25" xfId="43" applyFont="1" applyBorder="1" applyAlignment="1">
      <alignment vertical="center"/>
    </xf>
    <xf numFmtId="0" fontId="32" fillId="0" borderId="22" xfId="43" applyFont="1" applyBorder="1" applyAlignment="1">
      <alignment horizontal="center" vertical="center" wrapText="1"/>
    </xf>
    <xf numFmtId="0" fontId="31" fillId="0" borderId="0" xfId="46" applyAlignment="1">
      <alignment vertical="center" wrapText="1"/>
    </xf>
    <xf numFmtId="0" fontId="32" fillId="0" borderId="23" xfId="43" applyFont="1" applyBorder="1" applyAlignment="1">
      <alignment vertical="center" wrapText="1"/>
    </xf>
    <xf numFmtId="0" fontId="69" fillId="0" borderId="23" xfId="49" applyFont="1" applyBorder="1" applyAlignment="1">
      <alignment vertical="center" wrapText="1"/>
    </xf>
    <xf numFmtId="0" fontId="2" fillId="0" borderId="30" xfId="43" applyBorder="1"/>
    <xf numFmtId="0" fontId="2" fillId="0" borderId="31" xfId="43" applyBorder="1"/>
    <xf numFmtId="169" fontId="2" fillId="0" borderId="31" xfId="43" applyNumberFormat="1" applyBorder="1"/>
    <xf numFmtId="0" fontId="2" fillId="0" borderId="31" xfId="43" applyBorder="1" applyAlignment="1">
      <alignment horizontal="center" wrapText="1"/>
    </xf>
    <xf numFmtId="0" fontId="2" fillId="0" borderId="32" xfId="43" applyBorder="1"/>
    <xf numFmtId="0" fontId="70" fillId="0" borderId="0" xfId="58" applyFill="1" applyBorder="1">
      <alignment vertical="center" wrapText="1"/>
    </xf>
    <xf numFmtId="169" fontId="15" fillId="41" borderId="25" xfId="50" applyNumberFormat="1" applyFill="1" applyBorder="1">
      <alignment horizontal="center" vertical="center"/>
    </xf>
    <xf numFmtId="0" fontId="2" fillId="0" borderId="58" xfId="43" applyBorder="1"/>
    <xf numFmtId="0" fontId="19" fillId="0" borderId="27" xfId="43" applyFont="1" applyBorder="1"/>
    <xf numFmtId="0" fontId="2" fillId="0" borderId="23" xfId="43" applyBorder="1"/>
    <xf numFmtId="0" fontId="66" fillId="0" borderId="0" xfId="43" applyFont="1" applyAlignment="1">
      <alignment horizontal="left" vertical="center" wrapText="1"/>
    </xf>
    <xf numFmtId="166" fontId="71" fillId="42" borderId="24" xfId="44" applyNumberFormat="1" applyFont="1" applyFill="1" applyBorder="1" applyAlignment="1" applyProtection="1">
      <alignment vertical="center"/>
    </xf>
    <xf numFmtId="0" fontId="2" fillId="0" borderId="25" xfId="43" applyBorder="1"/>
    <xf numFmtId="0" fontId="72" fillId="0" borderId="0" xfId="43" applyFont="1" applyAlignment="1">
      <alignment vertical="center"/>
    </xf>
    <xf numFmtId="0" fontId="73" fillId="0" borderId="0" xfId="43" applyFont="1" applyAlignment="1">
      <alignment vertical="center"/>
    </xf>
    <xf numFmtId="166" fontId="74" fillId="0" borderId="24" xfId="44" applyNumberFormat="1" applyFont="1" applyFill="1" applyBorder="1" applyAlignment="1" applyProtection="1">
      <alignment vertical="center"/>
      <protection locked="0"/>
    </xf>
    <xf numFmtId="166" fontId="74" fillId="43" borderId="24" xfId="44" applyNumberFormat="1" applyFont="1" applyFill="1" applyBorder="1" applyAlignment="1" applyProtection="1">
      <alignment vertical="center"/>
    </xf>
    <xf numFmtId="0" fontId="75" fillId="0" borderId="0" xfId="43" applyFont="1"/>
    <xf numFmtId="166" fontId="76" fillId="0" borderId="0" xfId="44" applyNumberFormat="1" applyFont="1" applyBorder="1" applyProtection="1"/>
    <xf numFmtId="0" fontId="74" fillId="0" borderId="24" xfId="43" applyFont="1" applyBorder="1" applyAlignment="1" applyProtection="1">
      <alignment horizontal="left" vertical="center" indent="1"/>
      <protection locked="0"/>
    </xf>
    <xf numFmtId="0" fontId="34" fillId="0" borderId="24" xfId="45" applyFont="1" applyBorder="1" applyAlignment="1" applyProtection="1">
      <alignment horizontal="left" vertical="center" wrapText="1" indent="1"/>
      <protection locked="0"/>
    </xf>
    <xf numFmtId="166" fontId="34" fillId="35" borderId="24" xfId="44" applyNumberFormat="1" applyFont="1" applyFill="1" applyBorder="1" applyAlignment="1" applyProtection="1">
      <alignment vertical="center"/>
    </xf>
    <xf numFmtId="0" fontId="77" fillId="44" borderId="59" xfId="59" applyProtection="1">
      <alignment horizontal="center" vertical="center" wrapText="1"/>
    </xf>
    <xf numFmtId="0" fontId="74" fillId="35" borderId="24" xfId="43" applyFont="1" applyFill="1" applyBorder="1" applyAlignment="1">
      <alignment horizontal="left" vertical="center" indent="1"/>
    </xf>
    <xf numFmtId="0" fontId="69" fillId="0" borderId="0" xfId="49" applyFont="1" applyAlignment="1">
      <alignment horizontal="left" vertical="center" wrapText="1"/>
    </xf>
    <xf numFmtId="0" fontId="31" fillId="0" borderId="0" xfId="46" applyAlignment="1">
      <alignment vertical="center"/>
    </xf>
    <xf numFmtId="0" fontId="29" fillId="0" borderId="31" xfId="43" applyFont="1" applyBorder="1" applyAlignment="1">
      <alignment horizontal="center" wrapText="1"/>
    </xf>
    <xf numFmtId="0" fontId="2" fillId="0" borderId="31" xfId="43" applyBorder="1" applyAlignment="1">
      <alignment horizontal="center"/>
    </xf>
    <xf numFmtId="0" fontId="15" fillId="41" borderId="24" xfId="50" applyFill="1" applyBorder="1">
      <alignment horizontal="center" vertical="center"/>
    </xf>
    <xf numFmtId="166" fontId="74" fillId="35" borderId="24" xfId="44" applyNumberFormat="1" applyFont="1" applyFill="1" applyBorder="1" applyAlignment="1" applyProtection="1">
      <alignment vertical="center"/>
    </xf>
    <xf numFmtId="166" fontId="66" fillId="0" borderId="0" xfId="44" applyNumberFormat="1" applyFont="1" applyFill="1" applyBorder="1" applyAlignment="1" applyProtection="1">
      <alignment vertical="center"/>
    </xf>
    <xf numFmtId="0" fontId="74" fillId="0" borderId="0" xfId="43" applyFont="1" applyAlignment="1">
      <alignment vertical="center"/>
    </xf>
    <xf numFmtId="165" fontId="34" fillId="0" borderId="0" xfId="44" applyFont="1" applyFill="1" applyBorder="1" applyAlignment="1" applyProtection="1">
      <alignment vertical="center"/>
    </xf>
    <xf numFmtId="0" fontId="66" fillId="0" borderId="0" xfId="43" applyFont="1" applyAlignment="1">
      <alignment horizontal="left" vertical="center"/>
    </xf>
    <xf numFmtId="0" fontId="32" fillId="0" borderId="0" xfId="43" applyFont="1" applyAlignment="1">
      <alignment horizontal="center" vertical="center" wrapText="1"/>
    </xf>
    <xf numFmtId="0" fontId="74" fillId="0" borderId="0" xfId="43" applyFont="1" applyAlignment="1">
      <alignment horizontal="left" vertical="center"/>
    </xf>
    <xf numFmtId="0" fontId="34" fillId="0" borderId="0" xfId="48" applyNumberFormat="1" applyFill="1" applyBorder="1">
      <alignment vertical="center"/>
      <protection locked="0"/>
    </xf>
    <xf numFmtId="169" fontId="2" fillId="0" borderId="0" xfId="43" applyNumberFormat="1" applyAlignment="1">
      <alignment vertical="center"/>
    </xf>
    <xf numFmtId="166" fontId="2" fillId="0" borderId="0" xfId="43" applyNumberFormat="1" applyAlignment="1">
      <alignment vertical="center"/>
    </xf>
    <xf numFmtId="0" fontId="34" fillId="0" borderId="0" xfId="45" applyFont="1" applyAlignment="1" applyProtection="1">
      <alignment vertical="center" wrapText="1"/>
      <protection locked="0"/>
    </xf>
    <xf numFmtId="0" fontId="29" fillId="35" borderId="24" xfId="43" applyFont="1" applyFill="1" applyBorder="1" applyAlignment="1">
      <alignment horizontal="left" vertical="center" wrapText="1" indent="1"/>
    </xf>
    <xf numFmtId="0" fontId="30" fillId="0" borderId="24" xfId="43" applyFont="1" applyBorder="1" applyAlignment="1">
      <alignment horizontal="center" vertical="center" wrapText="1"/>
    </xf>
    <xf numFmtId="0" fontId="30" fillId="0" borderId="21" xfId="43" applyFont="1" applyBorder="1" applyAlignment="1">
      <alignment horizontal="center" vertical="center" wrapText="1"/>
    </xf>
    <xf numFmtId="0" fontId="30" fillId="0" borderId="60" xfId="43" applyFont="1" applyBorder="1" applyAlignment="1">
      <alignment horizontal="center" vertical="center" wrapText="1"/>
    </xf>
    <xf numFmtId="165" fontId="74" fillId="0" borderId="61" xfId="44" applyFont="1" applyFill="1" applyBorder="1" applyAlignment="1" applyProtection="1">
      <alignment vertical="center"/>
    </xf>
    <xf numFmtId="165" fontId="74" fillId="0" borderId="0" xfId="44" applyFont="1" applyFill="1" applyBorder="1" applyAlignment="1" applyProtection="1">
      <alignment vertical="center"/>
    </xf>
    <xf numFmtId="0" fontId="2" fillId="0" borderId="18" xfId="43" applyBorder="1" applyAlignment="1">
      <alignment vertical="center"/>
    </xf>
    <xf numFmtId="0" fontId="67" fillId="0" borderId="19" xfId="43" applyFont="1" applyBorder="1" applyAlignment="1">
      <alignment horizontal="center" vertical="center"/>
    </xf>
    <xf numFmtId="0" fontId="67" fillId="0" borderId="19" xfId="43" applyFont="1" applyBorder="1" applyAlignment="1">
      <alignment vertical="center"/>
    </xf>
    <xf numFmtId="0" fontId="74" fillId="0" borderId="19" xfId="43" applyFont="1" applyBorder="1" applyAlignment="1">
      <alignment vertical="center"/>
    </xf>
    <xf numFmtId="166" fontId="71" fillId="42" borderId="47" xfId="44" applyNumberFormat="1" applyFont="1" applyFill="1" applyBorder="1" applyAlignment="1" applyProtection="1">
      <alignment vertical="center"/>
    </xf>
    <xf numFmtId="170" fontId="2" fillId="0" borderId="0" xfId="43" applyNumberFormat="1" applyAlignment="1">
      <alignment vertical="center"/>
    </xf>
    <xf numFmtId="166" fontId="2" fillId="0" borderId="0" xfId="43" applyNumberFormat="1" applyAlignment="1">
      <alignment horizontal="center" vertical="center" wrapText="1"/>
    </xf>
    <xf numFmtId="0" fontId="66" fillId="0" borderId="0" xfId="43" applyFont="1" applyAlignment="1">
      <alignment vertical="center"/>
    </xf>
    <xf numFmtId="170" fontId="79" fillId="0" borderId="0" xfId="43" applyNumberFormat="1" applyFont="1" applyAlignment="1">
      <alignment horizontal="center" vertical="center"/>
    </xf>
    <xf numFmtId="166" fontId="80" fillId="0" borderId="0" xfId="44" applyNumberFormat="1" applyFont="1" applyFill="1" applyBorder="1" applyAlignment="1" applyProtection="1">
      <alignment horizontal="center" vertical="center"/>
    </xf>
    <xf numFmtId="166" fontId="32" fillId="0" borderId="0" xfId="43" applyNumberFormat="1" applyFont="1" applyAlignment="1">
      <alignment vertical="center"/>
    </xf>
    <xf numFmtId="166" fontId="79" fillId="0" borderId="0" xfId="43" applyNumberFormat="1" applyFont="1" applyAlignment="1">
      <alignment horizontal="center" vertical="center"/>
    </xf>
    <xf numFmtId="167" fontId="29" fillId="35" borderId="24" xfId="60" applyNumberFormat="1" applyFont="1" applyFill="1" applyBorder="1" applyAlignment="1">
      <alignment horizontal="left" vertical="center" wrapText="1" indent="1"/>
    </xf>
    <xf numFmtId="0" fontId="29" fillId="35" borderId="62" xfId="43" applyFont="1" applyFill="1" applyBorder="1" applyAlignment="1">
      <alignment horizontal="left" vertical="center" wrapText="1" indent="1"/>
    </xf>
    <xf numFmtId="170" fontId="2" fillId="0" borderId="0" xfId="43" applyNumberFormat="1" applyAlignment="1">
      <alignment horizontal="center" vertical="center" wrapText="1"/>
    </xf>
    <xf numFmtId="166" fontId="34" fillId="0" borderId="0" xfId="44" applyNumberFormat="1" applyFont="1" applyFill="1" applyBorder="1" applyAlignment="1" applyProtection="1">
      <alignment vertical="center"/>
    </xf>
    <xf numFmtId="0" fontId="77" fillId="0" borderId="0" xfId="59" applyFill="1" applyBorder="1" applyProtection="1">
      <alignment horizontal="center" vertical="center" wrapText="1"/>
    </xf>
    <xf numFmtId="170" fontId="2" fillId="0" borderId="0" xfId="43" applyNumberFormat="1" applyAlignment="1">
      <alignment horizontal="center" vertical="center"/>
    </xf>
    <xf numFmtId="166" fontId="2" fillId="0" borderId="0" xfId="43" applyNumberFormat="1" applyAlignment="1">
      <alignment horizontal="center" vertical="center"/>
    </xf>
    <xf numFmtId="0" fontId="2" fillId="0" borderId="0" xfId="43" applyAlignment="1">
      <alignment horizontal="center" vertical="center"/>
    </xf>
    <xf numFmtId="165" fontId="19" fillId="0" borderId="23" xfId="43" applyNumberFormat="1" applyFont="1" applyBorder="1" applyAlignment="1">
      <alignment vertical="center"/>
    </xf>
    <xf numFmtId="0" fontId="48" fillId="0" borderId="0" xfId="43" applyFont="1" applyAlignment="1">
      <alignment vertical="center" wrapText="1"/>
    </xf>
    <xf numFmtId="170" fontId="66" fillId="0" borderId="0" xfId="44" applyNumberFormat="1" applyFont="1" applyFill="1" applyBorder="1" applyAlignment="1" applyProtection="1">
      <alignment vertical="center"/>
    </xf>
    <xf numFmtId="170" fontId="19" fillId="0" borderId="0" xfId="43" applyNumberFormat="1" applyFont="1" applyAlignment="1">
      <alignment vertical="center"/>
    </xf>
    <xf numFmtId="165" fontId="67" fillId="0" borderId="23" xfId="60" applyNumberFormat="1" applyFont="1" applyBorder="1">
      <alignment vertical="center"/>
    </xf>
    <xf numFmtId="170" fontId="74" fillId="0" borderId="24" xfId="44" applyNumberFormat="1" applyFont="1" applyFill="1" applyBorder="1" applyAlignment="1" applyProtection="1">
      <alignment vertical="center"/>
      <protection locked="0"/>
    </xf>
    <xf numFmtId="0" fontId="83" fillId="0" borderId="0" xfId="43" applyFont="1" applyAlignment="1">
      <alignment vertical="center" wrapText="1"/>
    </xf>
    <xf numFmtId="165" fontId="67" fillId="0" borderId="0" xfId="60" applyNumberFormat="1" applyFont="1">
      <alignment vertical="center"/>
    </xf>
    <xf numFmtId="170" fontId="29" fillId="0" borderId="24" xfId="44" applyNumberFormat="1" applyFont="1" applyFill="1" applyBorder="1" applyAlignment="1" applyProtection="1">
      <alignment vertical="center"/>
      <protection locked="0"/>
    </xf>
    <xf numFmtId="166" fontId="29" fillId="0" borderId="24" xfId="44" applyNumberFormat="1" applyFont="1" applyFill="1" applyBorder="1" applyAlignment="1" applyProtection="1">
      <alignment vertical="center"/>
      <protection locked="0"/>
    </xf>
    <xf numFmtId="0" fontId="30" fillId="0" borderId="0" xfId="43" applyFont="1"/>
    <xf numFmtId="0" fontId="29" fillId="0" borderId="0" xfId="43" quotePrefix="1" applyFont="1"/>
    <xf numFmtId="0" fontId="83" fillId="0" borderId="0" xfId="43" applyFont="1" applyAlignment="1">
      <alignment horizontal="left" vertical="center" wrapText="1"/>
    </xf>
    <xf numFmtId="0" fontId="84" fillId="0" borderId="0" xfId="43" applyFont="1" applyAlignment="1">
      <alignment vertical="center" wrapText="1"/>
    </xf>
    <xf numFmtId="0" fontId="69" fillId="0" borderId="0" xfId="49" applyFont="1" applyAlignment="1">
      <alignment vertical="center" wrapText="1"/>
    </xf>
    <xf numFmtId="0" fontId="37" fillId="0" borderId="0" xfId="49">
      <alignment vertical="center"/>
    </xf>
    <xf numFmtId="0" fontId="2" fillId="0" borderId="37" xfId="43" applyBorder="1"/>
    <xf numFmtId="0" fontId="2" fillId="0" borderId="27" xfId="43" applyBorder="1"/>
    <xf numFmtId="0" fontId="2" fillId="0" borderId="38" xfId="43" applyBorder="1"/>
    <xf numFmtId="0" fontId="45" fillId="0" borderId="0" xfId="43" applyFont="1" applyAlignment="1">
      <alignment horizontal="center" vertical="center" wrapText="1"/>
    </xf>
    <xf numFmtId="0" fontId="2" fillId="0" borderId="46" xfId="43" applyBorder="1"/>
    <xf numFmtId="0" fontId="85" fillId="0" borderId="0" xfId="51" applyFont="1" applyFill="1" applyBorder="1" applyAlignment="1" applyProtection="1">
      <alignment horizontal="left" vertical="center" wrapText="1"/>
    </xf>
    <xf numFmtId="0" fontId="85" fillId="0" borderId="0" xfId="51" applyFont="1" applyFill="1" applyAlignment="1" applyProtection="1">
      <alignment horizontal="center" vertical="center" wrapText="1"/>
    </xf>
    <xf numFmtId="0" fontId="45" fillId="0" borderId="0" xfId="51" applyFont="1" applyFill="1" applyAlignment="1" applyProtection="1">
      <alignment horizontal="center" vertical="center" wrapText="1"/>
    </xf>
    <xf numFmtId="0" fontId="2" fillId="0" borderId="0" xfId="43" applyAlignment="1">
      <alignment wrapText="1"/>
    </xf>
    <xf numFmtId="0" fontId="45" fillId="0" borderId="0" xfId="51" applyFont="1" applyFill="1" applyBorder="1" applyAlignment="1" applyProtection="1">
      <alignment horizontal="left" vertical="center" wrapText="1"/>
    </xf>
    <xf numFmtId="0" fontId="2" fillId="0" borderId="0" xfId="43" applyAlignment="1">
      <alignment horizontal="left"/>
    </xf>
    <xf numFmtId="0" fontId="2" fillId="0" borderId="18" xfId="43" applyBorder="1"/>
    <xf numFmtId="0" fontId="2" fillId="0" borderId="19" xfId="43" applyBorder="1"/>
    <xf numFmtId="0" fontId="30" fillId="0" borderId="0" xfId="43" applyFont="1" applyAlignment="1">
      <alignment vertical="center"/>
    </xf>
    <xf numFmtId="0" fontId="30" fillId="0" borderId="0" xfId="43" applyFont="1" applyAlignment="1">
      <alignment horizontal="left" vertical="center"/>
    </xf>
    <xf numFmtId="0" fontId="43" fillId="0" borderId="0" xfId="49" applyFont="1" applyAlignment="1">
      <alignment horizontal="left" vertical="center" wrapText="1"/>
    </xf>
    <xf numFmtId="0" fontId="86" fillId="0" borderId="0" xfId="43" applyFont="1" applyAlignment="1">
      <alignment vertical="center"/>
    </xf>
    <xf numFmtId="0" fontId="69" fillId="0" borderId="0" xfId="49" applyFont="1">
      <alignment vertical="center"/>
    </xf>
    <xf numFmtId="0" fontId="43" fillId="0" borderId="0" xfId="43" applyFont="1" applyAlignment="1">
      <alignment vertical="center"/>
    </xf>
    <xf numFmtId="0" fontId="52" fillId="0" borderId="0" xfId="43" applyFont="1" applyAlignment="1">
      <alignment vertical="center"/>
    </xf>
    <xf numFmtId="0" fontId="89" fillId="0" borderId="0" xfId="55" applyFont="1" applyProtection="1">
      <alignment vertical="center" wrapText="1"/>
    </xf>
    <xf numFmtId="0" fontId="43" fillId="0" borderId="19" xfId="43" applyFont="1" applyBorder="1" applyAlignment="1">
      <alignment vertical="center"/>
    </xf>
    <xf numFmtId="0" fontId="89" fillId="0" borderId="19" xfId="55" applyFont="1" applyBorder="1" applyProtection="1">
      <alignment vertical="center" wrapText="1"/>
    </xf>
    <xf numFmtId="164" fontId="61" fillId="0" borderId="0" xfId="56" applyFont="1" applyFill="1" applyBorder="1">
      <alignment horizontal="left" vertical="center" wrapText="1"/>
    </xf>
    <xf numFmtId="0" fontId="19" fillId="0" borderId="0" xfId="43" applyFont="1" applyAlignment="1">
      <alignment horizontal="right" vertical="center"/>
    </xf>
    <xf numFmtId="0" fontId="15" fillId="42" borderId="66" xfId="51" applyFont="1" applyFill="1" applyBorder="1" applyAlignment="1">
      <alignment horizontal="center" vertical="center" wrapText="1"/>
    </xf>
    <xf numFmtId="0" fontId="15" fillId="42" borderId="67" xfId="51" applyFont="1" applyFill="1" applyBorder="1" applyAlignment="1">
      <alignment horizontal="center" vertical="center" wrapText="1"/>
    </xf>
    <xf numFmtId="164" fontId="61" fillId="0" borderId="0" xfId="56" applyFont="1" applyFill="1" applyBorder="1" applyAlignment="1">
      <alignment horizontal="left" vertical="top"/>
    </xf>
    <xf numFmtId="164" fontId="61" fillId="0" borderId="34" xfId="56" applyFont="1" applyFill="1" applyBorder="1" applyAlignment="1">
      <alignment horizontal="left" vertical="top"/>
    </xf>
    <xf numFmtId="0" fontId="90" fillId="0" borderId="68" xfId="53" applyFont="1" applyFill="1" applyBorder="1" applyAlignment="1" applyProtection="1">
      <alignment horizontal="center"/>
    </xf>
    <xf numFmtId="0" fontId="61" fillId="0" borderId="0" xfId="57" applyFont="1" applyFill="1" applyBorder="1" applyAlignment="1"/>
    <xf numFmtId="0" fontId="75" fillId="0" borderId="0" xfId="43" applyFont="1" applyAlignment="1">
      <alignment horizontal="center" vertical="center"/>
    </xf>
    <xf numFmtId="0" fontId="18" fillId="0" borderId="0" xfId="43" applyFont="1" applyAlignment="1">
      <alignment horizontal="left"/>
    </xf>
    <xf numFmtId="0" fontId="63" fillId="39" borderId="69" xfId="42" applyFont="1" applyFill="1" applyBorder="1" applyAlignment="1" applyProtection="1">
      <alignment horizontal="center" vertical="center" wrapText="1"/>
    </xf>
    <xf numFmtId="0" fontId="74" fillId="0" borderId="0" xfId="43" applyFont="1"/>
    <xf numFmtId="0" fontId="19" fillId="0" borderId="19" xfId="43" applyFont="1" applyBorder="1"/>
    <xf numFmtId="0" fontId="74" fillId="0" borderId="22" xfId="43" applyFont="1" applyBorder="1" applyAlignment="1" applyProtection="1">
      <alignment horizontal="left" vertical="center"/>
      <protection locked="0"/>
    </xf>
    <xf numFmtId="169" fontId="71" fillId="42" borderId="24" xfId="44" applyNumberFormat="1" applyFont="1" applyFill="1" applyBorder="1" applyAlignment="1" applyProtection="1">
      <alignment vertical="center"/>
    </xf>
    <xf numFmtId="169" fontId="74" fillId="0" borderId="24" xfId="44" applyNumberFormat="1" applyFont="1" applyFill="1" applyBorder="1" applyAlignment="1" applyProtection="1">
      <alignment vertical="center"/>
      <protection locked="0"/>
    </xf>
    <xf numFmtId="0" fontId="31" fillId="0" borderId="70" xfId="45" applyBorder="1">
      <alignment horizontal="left" vertical="center" wrapText="1"/>
    </xf>
    <xf numFmtId="169" fontId="74" fillId="43" borderId="24" xfId="44" applyNumberFormat="1" applyFont="1" applyFill="1" applyBorder="1" applyAlignment="1" applyProtection="1">
      <alignment vertical="center"/>
    </xf>
    <xf numFmtId="169" fontId="36" fillId="0" borderId="0" xfId="43" applyNumberFormat="1" applyFont="1"/>
    <xf numFmtId="0" fontId="91" fillId="0" borderId="0" xfId="43" applyFont="1"/>
    <xf numFmtId="169" fontId="93" fillId="0" borderId="24" xfId="62" applyFont="1" applyFill="1" applyBorder="1">
      <alignment vertical="center"/>
      <protection locked="0"/>
    </xf>
    <xf numFmtId="49" fontId="93" fillId="0" borderId="24" xfId="63" applyFont="1" applyFill="1" applyBorder="1">
      <alignment horizontal="center" vertical="center" wrapText="1"/>
      <protection locked="0"/>
    </xf>
    <xf numFmtId="14" fontId="93" fillId="0" borderId="24" xfId="64" applyFont="1" applyFill="1" applyBorder="1">
      <alignment horizontal="center" vertical="center"/>
      <protection locked="0"/>
    </xf>
    <xf numFmtId="0" fontId="74" fillId="0" borderId="0" xfId="43" applyFont="1" applyAlignment="1" applyProtection="1">
      <alignment horizontal="left" vertical="center"/>
      <protection locked="0"/>
    </xf>
    <xf numFmtId="0" fontId="92" fillId="0" borderId="0" xfId="46" applyFont="1">
      <alignment horizontal="center" vertical="center" wrapText="1"/>
    </xf>
    <xf numFmtId="0" fontId="91" fillId="0" borderId="0" xfId="43" applyFont="1" applyAlignment="1">
      <alignment horizontal="left" indent="1"/>
    </xf>
    <xf numFmtId="0" fontId="92" fillId="0" borderId="0" xfId="46" applyFont="1" applyAlignment="1">
      <alignment horizontal="left" vertical="center" wrapText="1" indent="1"/>
    </xf>
    <xf numFmtId="0" fontId="92" fillId="0" borderId="21" xfId="46" applyFont="1" applyBorder="1">
      <alignment horizontal="center" vertical="center" wrapText="1"/>
    </xf>
    <xf numFmtId="0" fontId="92" fillId="0" borderId="35" xfId="46" applyFont="1" applyBorder="1">
      <alignment horizontal="center" vertical="center" wrapText="1"/>
    </xf>
    <xf numFmtId="0" fontId="92" fillId="0" borderId="22" xfId="46" applyFont="1" applyBorder="1">
      <alignment horizontal="center" vertical="center" wrapText="1"/>
    </xf>
    <xf numFmtId="0" fontId="93" fillId="0" borderId="0" xfId="47" applyFont="1">
      <alignment horizontal="left" vertical="center" wrapText="1"/>
    </xf>
    <xf numFmtId="0" fontId="93" fillId="0" borderId="0" xfId="47" applyFont="1" applyAlignment="1">
      <alignment vertical="center" wrapText="1"/>
    </xf>
    <xf numFmtId="0" fontId="92" fillId="0" borderId="0" xfId="47" applyFont="1" applyAlignment="1">
      <alignment vertical="center"/>
    </xf>
    <xf numFmtId="169" fontId="18" fillId="0" borderId="0" xfId="43" applyNumberFormat="1" applyFont="1"/>
    <xf numFmtId="169" fontId="34" fillId="0" borderId="24" xfId="62" applyFill="1" applyBorder="1">
      <alignment vertical="center"/>
      <protection locked="0"/>
    </xf>
    <xf numFmtId="49" fontId="34" fillId="0" borderId="24" xfId="63" applyFill="1" applyBorder="1">
      <alignment horizontal="center" vertical="center" wrapText="1"/>
      <protection locked="0"/>
    </xf>
    <xf numFmtId="14" fontId="34" fillId="0" borderId="24" xfId="64" applyFill="1" applyBorder="1">
      <alignment horizontal="center" vertical="center"/>
      <protection locked="0"/>
    </xf>
    <xf numFmtId="0" fontId="29" fillId="0" borderId="28" xfId="43" applyFont="1" applyBorder="1" applyAlignment="1">
      <alignment vertical="center"/>
    </xf>
    <xf numFmtId="0" fontId="34" fillId="0" borderId="28" xfId="48" applyNumberFormat="1" applyFill="1" applyProtection="1">
      <alignment vertical="center"/>
    </xf>
    <xf numFmtId="0" fontId="2" fillId="0" borderId="0" xfId="43" applyAlignment="1">
      <alignment horizontal="left" indent="1"/>
    </xf>
    <xf numFmtId="0" fontId="31" fillId="0" borderId="0" xfId="46" applyAlignment="1">
      <alignment horizontal="left" vertical="center" wrapText="1" indent="1"/>
    </xf>
    <xf numFmtId="0" fontId="31" fillId="0" borderId="21" xfId="46" applyBorder="1">
      <alignment horizontal="center" vertical="center" wrapText="1"/>
    </xf>
    <xf numFmtId="0" fontId="31" fillId="0" borderId="35" xfId="46" applyBorder="1">
      <alignment horizontal="center" vertical="center" wrapText="1"/>
    </xf>
    <xf numFmtId="0" fontId="31" fillId="0" borderId="22" xfId="46" applyBorder="1">
      <alignment horizontal="center" vertical="center" wrapText="1"/>
    </xf>
    <xf numFmtId="0" fontId="34" fillId="0" borderId="0" xfId="47">
      <alignment horizontal="left" vertical="center" wrapText="1"/>
    </xf>
    <xf numFmtId="0" fontId="34" fillId="0" borderId="0" xfId="47" applyAlignment="1">
      <alignment vertical="center" wrapText="1"/>
    </xf>
    <xf numFmtId="169" fontId="31" fillId="0" borderId="0" xfId="45" applyNumberFormat="1">
      <alignment horizontal="left" vertical="center" wrapText="1"/>
    </xf>
    <xf numFmtId="0" fontId="31" fillId="0" borderId="0" xfId="45" applyAlignment="1">
      <alignment vertical="center"/>
    </xf>
    <xf numFmtId="169" fontId="34" fillId="0" borderId="0" xfId="62" applyFill="1" applyBorder="1" applyProtection="1">
      <alignment vertical="center"/>
    </xf>
    <xf numFmtId="0" fontId="34" fillId="0" borderId="0" xfId="47" applyAlignment="1">
      <alignment horizontal="left" vertical="center"/>
    </xf>
    <xf numFmtId="169" fontId="34" fillId="0" borderId="71" xfId="62" applyFill="1" applyBorder="1">
      <alignment vertical="center"/>
      <protection locked="0"/>
    </xf>
    <xf numFmtId="0" fontId="34" fillId="0" borderId="0" xfId="47" applyAlignment="1">
      <alignment vertical="center"/>
    </xf>
    <xf numFmtId="14" fontId="34" fillId="0" borderId="0" xfId="64" applyFill="1" applyBorder="1" applyProtection="1">
      <alignment horizontal="center" vertical="center"/>
    </xf>
    <xf numFmtId="0" fontId="31" fillId="0" borderId="0" xfId="45" applyAlignment="1">
      <alignment vertical="center" wrapText="1"/>
    </xf>
    <xf numFmtId="14" fontId="34" fillId="0" borderId="71" xfId="64" applyFill="1" applyBorder="1">
      <alignment horizontal="center" vertical="center"/>
      <protection locked="0"/>
    </xf>
    <xf numFmtId="0" fontId="31" fillId="0" borderId="0" xfId="45" applyAlignment="1">
      <alignment horizontal="right" vertical="center" indent="1"/>
    </xf>
    <xf numFmtId="0" fontId="29" fillId="0" borderId="69" xfId="43" applyFont="1" applyBorder="1" applyAlignment="1">
      <alignment vertical="center"/>
    </xf>
    <xf numFmtId="0" fontId="74" fillId="0" borderId="69" xfId="43" applyFont="1" applyBorder="1" applyAlignment="1">
      <alignment vertical="center"/>
    </xf>
    <xf numFmtId="49" fontId="96" fillId="0" borderId="0" xfId="66">
      <alignment vertical="center" wrapText="1"/>
    </xf>
    <xf numFmtId="0" fontId="15" fillId="0" borderId="25" xfId="50" applyFill="1" applyBorder="1">
      <alignment horizontal="center" vertical="center"/>
    </xf>
    <xf numFmtId="0" fontId="15" fillId="41" borderId="29" xfId="50" applyFill="1" applyBorder="1">
      <alignment horizontal="center" vertical="center"/>
    </xf>
    <xf numFmtId="0" fontId="2" fillId="0" borderId="63" xfId="43" applyBorder="1"/>
    <xf numFmtId="0" fontId="2" fillId="0" borderId="64" xfId="43" applyBorder="1"/>
    <xf numFmtId="0" fontId="2" fillId="0" borderId="65" xfId="43" applyBorder="1"/>
    <xf numFmtId="0" fontId="2" fillId="0" borderId="42" xfId="43" applyBorder="1"/>
    <xf numFmtId="0" fontId="2" fillId="0" borderId="43" xfId="43" applyBorder="1"/>
    <xf numFmtId="0" fontId="19" fillId="0" borderId="0" xfId="43" applyFont="1"/>
    <xf numFmtId="0" fontId="2" fillId="0" borderId="79" xfId="43" applyBorder="1"/>
    <xf numFmtId="0" fontId="2" fillId="0" borderId="80" xfId="43" applyBorder="1"/>
    <xf numFmtId="0" fontId="29" fillId="0" borderId="37" xfId="43" applyFont="1" applyBorder="1"/>
    <xf numFmtId="4" fontId="74" fillId="0" borderId="27" xfId="43" applyNumberFormat="1" applyFont="1" applyBorder="1" applyAlignment="1">
      <alignment vertical="center"/>
    </xf>
    <xf numFmtId="165" fontId="85" fillId="0" borderId="27" xfId="44" applyFont="1" applyBorder="1" applyAlignment="1" applyProtection="1">
      <alignment vertical="center"/>
    </xf>
    <xf numFmtId="0" fontId="98" fillId="0" borderId="27" xfId="43" applyFont="1" applyBorder="1" applyAlignment="1">
      <alignment vertical="center" wrapText="1"/>
    </xf>
    <xf numFmtId="0" fontId="98" fillId="0" borderId="81" xfId="43" applyFont="1" applyBorder="1" applyAlignment="1">
      <alignment vertical="center" wrapText="1"/>
    </xf>
    <xf numFmtId="0" fontId="75" fillId="0" borderId="65" xfId="43" applyFont="1" applyBorder="1"/>
    <xf numFmtId="0" fontId="99" fillId="0" borderId="82" xfId="43" applyFont="1" applyBorder="1" applyAlignment="1">
      <alignment horizontal="center" vertical="center" wrapText="1"/>
    </xf>
    <xf numFmtId="0" fontId="15" fillId="47" borderId="83" xfId="51" applyFont="1" applyFill="1" applyBorder="1" applyAlignment="1">
      <alignment horizontal="center" vertical="center" wrapText="1"/>
    </xf>
    <xf numFmtId="169" fontId="49" fillId="42" borderId="84" xfId="44" applyNumberFormat="1" applyFont="1" applyFill="1" applyBorder="1" applyAlignment="1" applyProtection="1">
      <alignment vertical="center"/>
    </xf>
    <xf numFmtId="169" fontId="74" fillId="35" borderId="24" xfId="44" applyNumberFormat="1" applyFont="1" applyFill="1" applyBorder="1" applyAlignment="1" applyProtection="1">
      <alignment vertical="center"/>
    </xf>
    <xf numFmtId="0" fontId="15" fillId="47" borderId="85" xfId="51" applyFont="1" applyFill="1" applyBorder="1" applyAlignment="1">
      <alignment horizontal="center" vertical="center" wrapText="1"/>
    </xf>
    <xf numFmtId="169" fontId="49" fillId="42" borderId="86" xfId="44" applyNumberFormat="1" applyFont="1" applyFill="1" applyBorder="1" applyAlignment="1" applyProtection="1">
      <alignment vertical="center"/>
    </xf>
    <xf numFmtId="0" fontId="15" fillId="47" borderId="87" xfId="51" applyFont="1" applyFill="1" applyBorder="1" applyAlignment="1">
      <alignment horizontal="center" vertical="center" wrapText="1"/>
    </xf>
    <xf numFmtId="169" fontId="49" fillId="42" borderId="88" xfId="44" applyNumberFormat="1" applyFont="1" applyFill="1" applyBorder="1" applyAlignment="1" applyProtection="1">
      <alignment vertical="center"/>
    </xf>
    <xf numFmtId="0" fontId="100" fillId="0" borderId="0" xfId="43" applyFont="1" applyAlignment="1">
      <alignment horizontal="center" vertical="center"/>
    </xf>
    <xf numFmtId="0" fontId="30" fillId="0" borderId="28" xfId="43" applyFont="1" applyBorder="1" applyAlignment="1">
      <alignment horizontal="center" vertical="center"/>
    </xf>
    <xf numFmtId="0" fontId="31" fillId="0" borderId="28" xfId="48" applyNumberFormat="1" applyFont="1" applyFill="1" applyAlignment="1" applyProtection="1">
      <alignment horizontal="center" vertical="center"/>
    </xf>
    <xf numFmtId="0" fontId="99" fillId="0" borderId="89" xfId="43" applyFont="1" applyBorder="1" applyAlignment="1">
      <alignment horizontal="center" vertical="center" wrapText="1"/>
    </xf>
    <xf numFmtId="0" fontId="36" fillId="0" borderId="90" xfId="43" applyFont="1" applyBorder="1" applyAlignment="1">
      <alignment horizontal="center" vertical="center" wrapText="1"/>
    </xf>
    <xf numFmtId="0" fontId="101" fillId="0" borderId="0" xfId="43" applyFont="1"/>
    <xf numFmtId="0" fontId="43" fillId="0" borderId="0" xfId="43" applyFont="1" applyAlignment="1">
      <alignment horizontal="left" vertical="center" wrapText="1"/>
    </xf>
    <xf numFmtId="0" fontId="31" fillId="0" borderId="0" xfId="61" applyFill="1" applyBorder="1" applyProtection="1">
      <alignment horizontal="center" vertical="center" wrapText="1"/>
    </xf>
    <xf numFmtId="0" fontId="2" fillId="0" borderId="93" xfId="43" applyBorder="1" applyAlignment="1">
      <alignment vertical="center"/>
    </xf>
    <xf numFmtId="0" fontId="18" fillId="0" borderId="0" xfId="43" applyFont="1" applyAlignment="1">
      <alignment horizontal="right"/>
    </xf>
    <xf numFmtId="0" fontId="63" fillId="45" borderId="92" xfId="42" applyFont="1" applyFill="1" applyBorder="1" applyAlignment="1">
      <alignment horizontal="center" vertical="center"/>
    </xf>
    <xf numFmtId="0" fontId="93" fillId="0" borderId="56" xfId="48" applyNumberFormat="1" applyFont="1" applyFill="1" applyBorder="1">
      <alignment vertical="center"/>
      <protection locked="0"/>
    </xf>
    <xf numFmtId="0" fontId="94" fillId="0" borderId="57" xfId="43" applyFont="1" applyBorder="1" applyProtection="1">
      <protection locked="0"/>
    </xf>
    <xf numFmtId="49" fontId="34" fillId="0" borderId="71" xfId="63" applyFill="1" applyBorder="1">
      <alignment horizontal="center" vertical="center" wrapText="1"/>
      <protection locked="0"/>
    </xf>
    <xf numFmtId="0" fontId="93" fillId="0" borderId="27" xfId="48" applyNumberFormat="1" applyFont="1" applyFill="1" applyBorder="1">
      <alignment vertical="center"/>
      <protection locked="0"/>
    </xf>
    <xf numFmtId="0" fontId="94" fillId="0" borderId="27" xfId="43" applyFont="1" applyBorder="1" applyProtection="1">
      <protection locked="0"/>
    </xf>
    <xf numFmtId="0" fontId="93" fillId="0" borderId="33" xfId="48" applyNumberFormat="1" applyFont="1" applyFill="1" applyBorder="1">
      <alignment vertical="center"/>
      <protection locked="0"/>
    </xf>
    <xf numFmtId="0" fontId="94" fillId="0" borderId="33" xfId="43" applyFont="1" applyBorder="1" applyProtection="1">
      <protection locked="0"/>
    </xf>
    <xf numFmtId="169" fontId="31" fillId="35" borderId="71" xfId="62" applyFont="1" applyBorder="1" applyProtection="1">
      <alignment vertical="center"/>
    </xf>
    <xf numFmtId="14" fontId="34" fillId="35" borderId="71" xfId="68" applyFill="1" applyBorder="1">
      <alignment horizontal="center" vertical="center" wrapText="1"/>
    </xf>
    <xf numFmtId="0" fontId="93" fillId="0" borderId="78" xfId="48" applyNumberFormat="1" applyFont="1" applyFill="1" applyBorder="1">
      <alignment vertical="center"/>
      <protection locked="0"/>
    </xf>
    <xf numFmtId="0" fontId="94" fillId="0" borderId="78" xfId="43" applyFont="1" applyBorder="1" applyProtection="1">
      <protection locked="0"/>
    </xf>
    <xf numFmtId="0" fontId="34" fillId="0" borderId="0" xfId="47" applyAlignment="1">
      <alignment horizontal="left" wrapText="1" indent="1"/>
    </xf>
    <xf numFmtId="0" fontId="2" fillId="0" borderId="0" xfId="43" applyProtection="1">
      <protection locked="0"/>
    </xf>
    <xf numFmtId="0" fontId="31" fillId="0" borderId="56" xfId="46" applyBorder="1">
      <alignment horizontal="center" vertical="center" wrapText="1"/>
    </xf>
    <xf numFmtId="0" fontId="31" fillId="0" borderId="78" xfId="46" applyBorder="1">
      <alignment horizontal="center" vertical="center" wrapText="1"/>
    </xf>
    <xf numFmtId="0" fontId="31" fillId="0" borderId="57" xfId="46" applyBorder="1">
      <alignment horizontal="center" vertical="center" wrapText="1"/>
    </xf>
    <xf numFmtId="0" fontId="2" fillId="0" borderId="95" xfId="43" applyBorder="1"/>
    <xf numFmtId="0" fontId="2" fillId="0" borderId="96" xfId="43" applyBorder="1"/>
    <xf numFmtId="0" fontId="2" fillId="0" borderId="0" xfId="43" applyAlignment="1">
      <alignment vertical="top"/>
    </xf>
    <xf numFmtId="0" fontId="86" fillId="0" borderId="0" xfId="49" applyFont="1" applyAlignment="1">
      <alignment vertical="center" wrapText="1"/>
    </xf>
    <xf numFmtId="0" fontId="57" fillId="0" borderId="27" xfId="55" applyBorder="1">
      <alignment vertical="center" wrapText="1"/>
      <protection locked="0"/>
    </xf>
    <xf numFmtId="0" fontId="2" fillId="0" borderId="71" xfId="43" applyBorder="1"/>
    <xf numFmtId="0" fontId="15" fillId="47" borderId="0" xfId="51" applyFont="1" applyFill="1" applyAlignment="1">
      <alignment horizontal="center" vertical="center"/>
    </xf>
    <xf numFmtId="0" fontId="31" fillId="0" borderId="47" xfId="61" applyFill="1">
      <alignment horizontal="center" vertical="center" wrapText="1"/>
      <protection locked="0"/>
    </xf>
    <xf numFmtId="0" fontId="105" fillId="48" borderId="0" xfId="43" applyFont="1" applyFill="1" applyAlignment="1">
      <alignment horizontal="right"/>
    </xf>
    <xf numFmtId="0" fontId="59" fillId="0" borderId="0" xfId="43" applyFont="1" applyAlignment="1">
      <alignment horizontal="right"/>
    </xf>
    <xf numFmtId="0" fontId="57" fillId="0" borderId="0" xfId="55">
      <alignment vertical="center" wrapText="1"/>
      <protection locked="0"/>
    </xf>
    <xf numFmtId="0" fontId="107" fillId="0" borderId="0" xfId="43" applyFont="1" applyAlignment="1">
      <alignment vertical="center"/>
    </xf>
    <xf numFmtId="0" fontId="70" fillId="0" borderId="0" xfId="55" applyFont="1" applyAlignment="1">
      <alignment horizontal="right" vertical="center" wrapText="1"/>
      <protection locked="0"/>
    </xf>
    <xf numFmtId="0" fontId="70" fillId="0" borderId="0" xfId="55" applyFont="1">
      <alignment vertical="center" wrapText="1"/>
      <protection locked="0"/>
    </xf>
    <xf numFmtId="0" fontId="63" fillId="45" borderId="47" xfId="42" applyFont="1" applyFill="1" applyBorder="1" applyAlignment="1" applyProtection="1">
      <alignment horizontal="center" vertical="center" wrapText="1"/>
      <protection locked="0"/>
    </xf>
    <xf numFmtId="0" fontId="54" fillId="0" borderId="37" xfId="43" applyFont="1" applyBorder="1"/>
    <xf numFmtId="0" fontId="54" fillId="0" borderId="49" xfId="43" applyFont="1" applyBorder="1"/>
    <xf numFmtId="0" fontId="54" fillId="0" borderId="100" xfId="43" applyFont="1" applyBorder="1"/>
    <xf numFmtId="0" fontId="54" fillId="0" borderId="51" xfId="43" applyFont="1" applyBorder="1"/>
    <xf numFmtId="0" fontId="54" fillId="0" borderId="0" xfId="43" applyFont="1"/>
    <xf numFmtId="0" fontId="54" fillId="0" borderId="46" xfId="43" applyFont="1" applyBorder="1"/>
    <xf numFmtId="171" fontId="34" fillId="0" borderId="0" xfId="71" applyNumberFormat="1" applyFont="1" applyFill="1" applyBorder="1" applyAlignment="1" applyProtection="1">
      <alignment horizontal="right"/>
    </xf>
    <xf numFmtId="171" fontId="34" fillId="0" borderId="0" xfId="62" applyNumberFormat="1" applyFill="1" applyBorder="1" applyProtection="1">
      <alignment vertical="center"/>
    </xf>
    <xf numFmtId="170" fontId="34" fillId="0" borderId="0" xfId="62" applyNumberFormat="1" applyFill="1" applyBorder="1" applyProtection="1">
      <alignment vertical="center"/>
    </xf>
    <xf numFmtId="166" fontId="34" fillId="0" borderId="0" xfId="62" applyNumberFormat="1" applyFill="1" applyBorder="1" applyProtection="1">
      <alignment vertical="center"/>
    </xf>
    <xf numFmtId="0" fontId="30" fillId="0" borderId="0" xfId="43" applyFont="1" applyAlignment="1">
      <alignment horizontal="center"/>
    </xf>
    <xf numFmtId="0" fontId="30" fillId="0" borderId="46" xfId="43" applyFont="1" applyBorder="1"/>
    <xf numFmtId="0" fontId="19" fillId="0" borderId="49" xfId="43" applyFont="1" applyBorder="1"/>
    <xf numFmtId="0" fontId="2" fillId="0" borderId="100" xfId="43" applyBorder="1"/>
    <xf numFmtId="0" fontId="34" fillId="0" borderId="57" xfId="48" applyNumberFormat="1" applyFill="1" applyBorder="1" applyAlignment="1">
      <alignment horizontal="left" vertical="center"/>
      <protection locked="0"/>
    </xf>
    <xf numFmtId="0" fontId="34" fillId="0" borderId="101" xfId="62" applyNumberFormat="1" applyFill="1" applyBorder="1" applyAlignment="1">
      <alignment horizontal="center" vertical="center"/>
      <protection locked="0"/>
    </xf>
    <xf numFmtId="0" fontId="74" fillId="0" borderId="0" xfId="43" applyFont="1" applyAlignment="1">
      <alignment horizontal="right" vertical="center"/>
    </xf>
    <xf numFmtId="0" fontId="108" fillId="0" borderId="0" xfId="43" applyFont="1"/>
    <xf numFmtId="0" fontId="31" fillId="0" borderId="0" xfId="47" applyFont="1">
      <alignment horizontal="left" vertical="center" wrapText="1"/>
    </xf>
    <xf numFmtId="0" fontId="34" fillId="0" borderId="0" xfId="48" applyNumberFormat="1" applyFill="1" applyBorder="1" applyAlignment="1" applyProtection="1">
      <alignment horizontal="left" vertical="center"/>
    </xf>
    <xf numFmtId="0" fontId="70" fillId="35" borderId="22" xfId="58" applyFill="1" applyBorder="1">
      <alignment vertical="center" wrapText="1"/>
    </xf>
    <xf numFmtId="166" fontId="34" fillId="35" borderId="24" xfId="62" applyNumberFormat="1" applyBorder="1" applyProtection="1">
      <alignment vertical="center"/>
    </xf>
    <xf numFmtId="0" fontId="29" fillId="0" borderId="37" xfId="43" applyFont="1" applyBorder="1" applyAlignment="1" applyProtection="1">
      <alignment horizontal="left" vertical="center"/>
      <protection locked="0"/>
    </xf>
    <xf numFmtId="0" fontId="34" fillId="0" borderId="38" xfId="48" applyNumberFormat="1" applyFill="1" applyBorder="1" applyAlignment="1">
      <alignment horizontal="left" vertical="center"/>
      <protection locked="0"/>
    </xf>
    <xf numFmtId="0" fontId="29" fillId="0" borderId="65" xfId="43" applyFont="1" applyBorder="1" applyAlignment="1" applyProtection="1">
      <alignment horizontal="left" vertical="center"/>
      <protection locked="0"/>
    </xf>
    <xf numFmtId="0" fontId="34" fillId="0" borderId="46" xfId="48" applyNumberFormat="1" applyFill="1" applyBorder="1" applyAlignment="1">
      <alignment horizontal="left" vertical="center"/>
      <protection locked="0"/>
    </xf>
    <xf numFmtId="169" fontId="34" fillId="0" borderId="0" xfId="62" applyFill="1" applyBorder="1" applyAlignment="1" applyProtection="1">
      <alignment horizontal="left" vertical="center" indent="1"/>
    </xf>
    <xf numFmtId="169" fontId="34" fillId="0" borderId="0" xfId="62" applyFill="1" applyBorder="1" applyAlignment="1" applyProtection="1">
      <alignment horizontal="left" vertical="center"/>
    </xf>
    <xf numFmtId="0" fontId="31" fillId="0" borderId="0" xfId="47" applyFont="1" applyAlignment="1">
      <alignment horizontal="left" vertical="center"/>
    </xf>
    <xf numFmtId="0" fontId="29" fillId="0" borderId="102" xfId="43" applyFont="1" applyBorder="1" applyAlignment="1" applyProtection="1">
      <alignment horizontal="left" vertical="center"/>
      <protection locked="0"/>
    </xf>
    <xf numFmtId="0" fontId="34" fillId="0" borderId="103" xfId="48" applyNumberFormat="1" applyFill="1" applyBorder="1" applyAlignment="1">
      <alignment horizontal="left" vertical="center"/>
      <protection locked="0"/>
    </xf>
    <xf numFmtId="0" fontId="31" fillId="0" borderId="0" xfId="45" applyAlignment="1">
      <alignment horizontal="center" vertical="center" wrapText="1"/>
    </xf>
    <xf numFmtId="0" fontId="2" fillId="0" borderId="0" xfId="43" applyAlignment="1">
      <alignment horizontal="left" vertical="center" wrapText="1"/>
    </xf>
    <xf numFmtId="0" fontId="31" fillId="35" borderId="0" xfId="45" applyFill="1">
      <alignment horizontal="left" vertical="center" wrapText="1"/>
    </xf>
    <xf numFmtId="172" fontId="34" fillId="35" borderId="104" xfId="72" applyFill="1" applyBorder="1">
      <alignment horizontal="center" vertical="center" wrapText="1"/>
    </xf>
    <xf numFmtId="172" fontId="34" fillId="35" borderId="105" xfId="72" applyFill="1" applyBorder="1">
      <alignment horizontal="center" vertical="center" wrapText="1"/>
    </xf>
    <xf numFmtId="0" fontId="29" fillId="0" borderId="42" xfId="43" applyFont="1" applyBorder="1" applyAlignment="1" applyProtection="1">
      <alignment horizontal="left" vertical="center"/>
      <protection locked="0"/>
    </xf>
    <xf numFmtId="0" fontId="34" fillId="0" borderId="43" xfId="48" applyNumberFormat="1" applyFill="1" applyBorder="1" applyAlignment="1">
      <alignment horizontal="left" vertical="center"/>
      <protection locked="0"/>
    </xf>
    <xf numFmtId="172" fontId="34" fillId="35" borderId="106" xfId="72" applyFill="1" applyBorder="1">
      <alignment horizontal="center" vertical="center" wrapText="1"/>
    </xf>
    <xf numFmtId="172" fontId="34" fillId="35" borderId="107" xfId="72" applyFill="1" applyBorder="1">
      <alignment horizontal="center" vertical="center" wrapText="1"/>
    </xf>
    <xf numFmtId="169" fontId="34" fillId="0" borderId="108" xfId="62" applyFill="1" applyBorder="1">
      <alignment vertical="center"/>
      <protection locked="0"/>
    </xf>
    <xf numFmtId="166" fontId="34" fillId="0" borderId="71" xfId="62" applyNumberFormat="1" applyFill="1" applyBorder="1">
      <alignment vertical="center"/>
      <protection locked="0"/>
    </xf>
    <xf numFmtId="0" fontId="31" fillId="0" borderId="0" xfId="45" applyAlignment="1">
      <alignment horizontal="right" vertical="center"/>
    </xf>
    <xf numFmtId="0" fontId="2" fillId="0" borderId="109" xfId="43" applyBorder="1"/>
    <xf numFmtId="0" fontId="19" fillId="0" borderId="0" xfId="43" applyFont="1" applyAlignment="1">
      <alignment wrapText="1"/>
    </xf>
    <xf numFmtId="0" fontId="15" fillId="47" borderId="34" xfId="50" applyFill="1">
      <alignment horizontal="center" vertical="center"/>
    </xf>
    <xf numFmtId="0" fontId="2" fillId="0" borderId="110" xfId="43" applyBorder="1"/>
    <xf numFmtId="0" fontId="2" fillId="0" borderId="111" xfId="43" applyBorder="1"/>
    <xf numFmtId="2" fontId="2" fillId="0" borderId="51" xfId="43" applyNumberFormat="1" applyBorder="1"/>
    <xf numFmtId="166" fontId="34" fillId="0" borderId="0" xfId="62" applyNumberFormat="1" applyFill="1" applyBorder="1">
      <alignment vertical="center"/>
      <protection locked="0"/>
    </xf>
    <xf numFmtId="166" fontId="34" fillId="0" borderId="0" xfId="62" applyNumberFormat="1" applyFill="1" applyBorder="1" applyAlignment="1">
      <protection locked="0"/>
    </xf>
    <xf numFmtId="0" fontId="2" fillId="0" borderId="0" xfId="43" applyAlignment="1">
      <alignment horizontal="right"/>
    </xf>
    <xf numFmtId="173" fontId="34" fillId="0" borderId="0" xfId="73" applyFill="1" applyBorder="1" applyAlignment="1">
      <alignment horizontal="center" vertical="center"/>
    </xf>
    <xf numFmtId="2" fontId="2" fillId="0" borderId="0" xfId="43" applyNumberFormat="1"/>
    <xf numFmtId="173" fontId="34" fillId="0" borderId="49" xfId="73" applyFill="1" applyBorder="1" applyAlignment="1">
      <alignment horizontal="center" vertical="center"/>
    </xf>
    <xf numFmtId="0" fontId="31" fillId="0" borderId="49" xfId="45" applyBorder="1" applyAlignment="1">
      <alignment horizontal="right" vertical="center"/>
    </xf>
    <xf numFmtId="0" fontId="31" fillId="0" borderId="49" xfId="45" applyBorder="1">
      <alignment horizontal="left" vertical="center" wrapText="1"/>
    </xf>
    <xf numFmtId="166" fontId="29" fillId="0" borderId="0" xfId="43" applyNumberFormat="1" applyFont="1" applyAlignment="1">
      <alignment horizontal="right" vertical="center"/>
    </xf>
    <xf numFmtId="0" fontId="31" fillId="0" borderId="0" xfId="45" applyAlignment="1">
      <alignment horizontal="center" vertical="center"/>
    </xf>
    <xf numFmtId="0" fontId="29" fillId="0" borderId="33" xfId="43" applyFont="1" applyBorder="1" applyAlignment="1">
      <alignment horizontal="left" vertical="center"/>
    </xf>
    <xf numFmtId="0" fontId="34" fillId="0" borderId="33" xfId="48" applyNumberFormat="1" applyFill="1" applyBorder="1" applyAlignment="1" applyProtection="1">
      <alignment horizontal="left" vertical="center"/>
    </xf>
    <xf numFmtId="166" fontId="34" fillId="47" borderId="112" xfId="73" applyNumberFormat="1" applyFill="1" applyBorder="1">
      <alignment vertical="center"/>
    </xf>
    <xf numFmtId="166" fontId="2" fillId="0" borderId="0" xfId="43" applyNumberFormat="1"/>
    <xf numFmtId="166" fontId="31" fillId="0" borderId="0" xfId="45" applyNumberFormat="1" applyAlignment="1">
      <alignment horizontal="right" vertical="center"/>
    </xf>
    <xf numFmtId="166" fontId="34" fillId="0" borderId="113" xfId="73" applyNumberFormat="1" applyFill="1" applyBorder="1" applyProtection="1">
      <alignment vertical="center"/>
      <protection locked="0"/>
    </xf>
    <xf numFmtId="166" fontId="34" fillId="35" borderId="98" xfId="73" applyNumberFormat="1" applyFill="1" applyBorder="1">
      <alignment vertical="center"/>
    </xf>
    <xf numFmtId="166" fontId="31" fillId="0" borderId="0" xfId="73" applyNumberFormat="1" applyFont="1" applyFill="1" applyBorder="1">
      <alignment vertical="center"/>
    </xf>
    <xf numFmtId="166" fontId="31" fillId="35" borderId="71" xfId="74" applyNumberFormat="1" applyFont="1" applyFill="1" applyBorder="1">
      <alignment vertical="center"/>
    </xf>
    <xf numFmtId="0" fontId="19" fillId="0" borderId="46" xfId="43" applyFont="1" applyBorder="1"/>
    <xf numFmtId="166" fontId="34" fillId="35" borderId="71" xfId="74" applyNumberFormat="1" applyFill="1" applyBorder="1">
      <alignment vertical="center"/>
    </xf>
    <xf numFmtId="0" fontId="2" fillId="0" borderId="114" xfId="43" applyBorder="1"/>
    <xf numFmtId="166" fontId="34" fillId="0" borderId="57" xfId="62" applyNumberFormat="1" applyFill="1" applyBorder="1">
      <alignment vertical="center"/>
      <protection locked="0"/>
    </xf>
    <xf numFmtId="0" fontId="19" fillId="0" borderId="114" xfId="43" applyFont="1" applyBorder="1"/>
    <xf numFmtId="0" fontId="31" fillId="0" borderId="71" xfId="46" applyBorder="1">
      <alignment horizontal="center" vertical="center" wrapText="1"/>
    </xf>
    <xf numFmtId="49" fontId="34" fillId="0" borderId="70" xfId="48" applyFill="1" applyBorder="1" applyProtection="1">
      <alignment vertical="center"/>
    </xf>
    <xf numFmtId="0" fontId="31" fillId="0" borderId="0" xfId="45" applyAlignment="1">
      <alignment horizontal="right" vertical="center" wrapText="1"/>
    </xf>
    <xf numFmtId="0" fontId="29" fillId="0" borderId="56" xfId="43" applyFont="1" applyBorder="1" applyAlignment="1">
      <alignment horizontal="left" vertical="center"/>
    </xf>
    <xf numFmtId="0" fontId="34" fillId="0" borderId="57" xfId="48" applyNumberFormat="1" applyFill="1" applyBorder="1" applyAlignment="1" applyProtection="1">
      <alignment horizontal="left" vertical="center"/>
    </xf>
    <xf numFmtId="0" fontId="31" fillId="0" borderId="51" xfId="45" applyBorder="1">
      <alignment horizontal="left" vertical="center" wrapText="1"/>
    </xf>
    <xf numFmtId="0" fontId="74" fillId="0" borderId="0" xfId="66" applyNumberFormat="1" applyFont="1">
      <alignment vertical="center" wrapText="1"/>
    </xf>
    <xf numFmtId="0" fontId="74" fillId="0" borderId="0" xfId="66" applyNumberFormat="1" applyFont="1" applyAlignment="1">
      <alignment horizontal="right" vertical="center"/>
    </xf>
    <xf numFmtId="0" fontId="67" fillId="0" borderId="46" xfId="66" applyNumberFormat="1" applyFont="1" applyBorder="1">
      <alignment vertical="center" wrapText="1"/>
    </xf>
    <xf numFmtId="0" fontId="110" fillId="0" borderId="51" xfId="43" applyFont="1" applyBorder="1" applyAlignment="1">
      <alignment vertical="center"/>
    </xf>
    <xf numFmtId="166" fontId="34" fillId="0" borderId="99" xfId="62" applyNumberFormat="1" applyFill="1" applyBorder="1">
      <alignment vertical="center"/>
      <protection locked="0"/>
    </xf>
    <xf numFmtId="0" fontId="92" fillId="0" borderId="0" xfId="47" applyFont="1" applyAlignment="1">
      <alignment horizontal="right" vertical="center"/>
    </xf>
    <xf numFmtId="0" fontId="74" fillId="0" borderId="49" xfId="66" applyNumberFormat="1" applyFont="1" applyBorder="1">
      <alignment vertical="center" wrapText="1"/>
    </xf>
    <xf numFmtId="0" fontId="67" fillId="0" borderId="100" xfId="66" applyNumberFormat="1" applyFont="1" applyBorder="1">
      <alignment vertical="center" wrapText="1"/>
    </xf>
    <xf numFmtId="49" fontId="74" fillId="0" borderId="79" xfId="66" applyFont="1" applyBorder="1">
      <alignment vertical="center" wrapText="1"/>
    </xf>
    <xf numFmtId="49" fontId="67" fillId="0" borderId="80" xfId="66" applyFont="1" applyBorder="1">
      <alignment vertical="center" wrapText="1"/>
    </xf>
    <xf numFmtId="49" fontId="67" fillId="0" borderId="100" xfId="66" applyFont="1" applyBorder="1">
      <alignment vertical="center" wrapText="1"/>
    </xf>
    <xf numFmtId="10" fontId="34" fillId="0" borderId="71" xfId="74" applyNumberFormat="1" applyFill="1" applyBorder="1" applyAlignment="1" applyProtection="1">
      <alignment horizontal="center" vertical="center"/>
      <protection locked="0"/>
    </xf>
    <xf numFmtId="10" fontId="34" fillId="35" borderId="71" xfId="74" applyNumberFormat="1" applyFill="1" applyBorder="1" applyAlignment="1">
      <alignment horizontal="center" vertical="center"/>
    </xf>
    <xf numFmtId="0" fontId="31" fillId="0" borderId="97" xfId="46" applyBorder="1">
      <alignment horizontal="center" vertical="center" wrapText="1"/>
    </xf>
    <xf numFmtId="49" fontId="67" fillId="0" borderId="46" xfId="66" applyFont="1" applyBorder="1">
      <alignment vertical="center" wrapText="1"/>
    </xf>
    <xf numFmtId="49" fontId="74" fillId="0" borderId="46" xfId="66" applyFont="1" applyBorder="1">
      <alignment vertical="center" wrapText="1"/>
    </xf>
    <xf numFmtId="9" fontId="34" fillId="0" borderId="99" xfId="71" applyFont="1" applyFill="1" applyBorder="1" applyAlignment="1" applyProtection="1">
      <alignment horizontal="center" vertical="center"/>
      <protection locked="0"/>
    </xf>
    <xf numFmtId="0" fontId="92" fillId="0" borderId="0" xfId="47" applyFont="1" applyAlignment="1">
      <alignment horizontal="left" vertical="center"/>
    </xf>
    <xf numFmtId="0" fontId="16" fillId="0" borderId="0" xfId="43" applyFont="1"/>
    <xf numFmtId="0" fontId="2" fillId="0" borderId="115" xfId="43" applyBorder="1"/>
    <xf numFmtId="49" fontId="74" fillId="0" borderId="33" xfId="66" applyFont="1" applyBorder="1">
      <alignment vertical="center" wrapText="1"/>
    </xf>
    <xf numFmtId="49" fontId="74" fillId="0" borderId="43" xfId="66" applyFont="1" applyBorder="1">
      <alignment vertical="center" wrapText="1"/>
    </xf>
    <xf numFmtId="49" fontId="74" fillId="0" borderId="0" xfId="66" applyFont="1">
      <alignment vertical="center" wrapText="1"/>
    </xf>
    <xf numFmtId="173" fontId="15" fillId="36" borderId="34" xfId="50" applyNumberFormat="1">
      <alignment horizontal="center" vertical="center"/>
    </xf>
    <xf numFmtId="166" fontId="34" fillId="0" borderId="116" xfId="73" applyNumberFormat="1" applyFill="1" applyBorder="1" applyProtection="1">
      <alignment vertical="center"/>
      <protection locked="0"/>
    </xf>
    <xf numFmtId="166" fontId="19" fillId="0" borderId="0" xfId="43" applyNumberFormat="1" applyFont="1"/>
    <xf numFmtId="166" fontId="31" fillId="0" borderId="0" xfId="45" applyNumberFormat="1">
      <alignment horizontal="left" vertical="center" wrapText="1"/>
    </xf>
    <xf numFmtId="174" fontId="31" fillId="0" borderId="0" xfId="71" applyNumberFormat="1" applyFont="1" applyFill="1" applyBorder="1" applyAlignment="1">
      <alignment horizontal="left" vertical="center"/>
    </xf>
    <xf numFmtId="166" fontId="18" fillId="0" borderId="0" xfId="43" applyNumberFormat="1" applyFont="1"/>
    <xf numFmtId="166" fontId="31" fillId="0" borderId="0" xfId="73" applyNumberFormat="1" applyFont="1" applyFill="1" applyBorder="1" applyAlignment="1">
      <alignment horizontal="left" vertical="center"/>
    </xf>
    <xf numFmtId="166" fontId="34" fillId="0" borderId="71" xfId="62" applyNumberFormat="1" applyFill="1" applyBorder="1" applyProtection="1">
      <alignment vertical="center"/>
    </xf>
    <xf numFmtId="0" fontId="19" fillId="0" borderId="65" xfId="43" applyFont="1" applyBorder="1" applyAlignment="1">
      <alignment wrapText="1"/>
    </xf>
    <xf numFmtId="166" fontId="34" fillId="35" borderId="117" xfId="74" applyNumberFormat="1" applyFill="1" applyBorder="1">
      <alignment vertical="center"/>
    </xf>
    <xf numFmtId="166" fontId="34" fillId="35" borderId="117" xfId="74" applyNumberFormat="1" applyFill="1" applyBorder="1" applyAlignment="1">
      <alignment horizontal="center" vertical="center"/>
    </xf>
    <xf numFmtId="0" fontId="34" fillId="0" borderId="71" xfId="63" applyNumberFormat="1" applyFill="1" applyBorder="1">
      <alignment horizontal="center" vertical="center" wrapText="1"/>
      <protection locked="0"/>
    </xf>
    <xf numFmtId="0" fontId="34" fillId="0" borderId="71" xfId="70" applyFill="1" applyBorder="1" applyAlignment="1">
      <alignment horizontal="left" vertical="center" wrapText="1" indent="1"/>
      <protection locked="0"/>
    </xf>
    <xf numFmtId="0" fontId="19" fillId="0" borderId="65" xfId="43" applyFont="1" applyBorder="1"/>
    <xf numFmtId="0" fontId="44" fillId="0" borderId="46" xfId="51" quotePrefix="1" applyBorder="1"/>
    <xf numFmtId="0" fontId="31" fillId="0" borderId="27" xfId="46" applyBorder="1">
      <alignment horizontal="center" vertical="center" wrapText="1"/>
    </xf>
    <xf numFmtId="0" fontId="31" fillId="0" borderId="120" xfId="46" applyBorder="1">
      <alignment horizontal="center" vertical="center" wrapText="1"/>
    </xf>
    <xf numFmtId="0" fontId="31" fillId="0" borderId="121" xfId="46" applyBorder="1" applyAlignment="1">
      <alignment horizontal="center" vertical="top" wrapText="1"/>
    </xf>
    <xf numFmtId="0" fontId="31" fillId="0" borderId="111" xfId="46" applyBorder="1" applyAlignment="1">
      <alignment horizontal="center" vertical="top" wrapText="1"/>
    </xf>
    <xf numFmtId="0" fontId="31" fillId="0" borderId="122" xfId="46" applyBorder="1" applyAlignment="1">
      <alignment horizontal="center" vertical="top" wrapText="1"/>
    </xf>
    <xf numFmtId="0" fontId="31" fillId="0" borderId="116" xfId="46" applyBorder="1">
      <alignment horizontal="center" vertical="center" wrapText="1"/>
    </xf>
    <xf numFmtId="0" fontId="31" fillId="0" borderId="111" xfId="46" applyBorder="1">
      <alignment horizontal="center" vertical="center" wrapText="1"/>
    </xf>
    <xf numFmtId="0" fontId="34" fillId="0" borderId="27" xfId="46" applyFont="1" applyBorder="1" applyAlignment="1">
      <alignment horizontal="center" vertical="top" wrapText="1"/>
    </xf>
    <xf numFmtId="0" fontId="34" fillId="0" borderId="111" xfId="46" applyFont="1" applyBorder="1" applyAlignment="1">
      <alignment horizontal="center" vertical="top" wrapText="1"/>
    </xf>
    <xf numFmtId="49" fontId="96" fillId="0" borderId="116" xfId="66" applyBorder="1">
      <alignment vertical="center" wrapText="1"/>
    </xf>
    <xf numFmtId="0" fontId="31" fillId="0" borderId="33" xfId="46" applyBorder="1" applyAlignment="1">
      <alignment horizontal="center" wrapText="1"/>
    </xf>
    <xf numFmtId="49" fontId="96" fillId="0" borderId="46" xfId="66" applyBorder="1">
      <alignment vertical="center" wrapText="1"/>
    </xf>
    <xf numFmtId="0" fontId="55" fillId="45" borderId="47" xfId="51" applyFont="1" applyFill="1" applyBorder="1" applyAlignment="1" applyProtection="1">
      <alignment horizontal="center" vertical="center" wrapText="1"/>
      <protection locked="0"/>
    </xf>
    <xf numFmtId="49" fontId="96" fillId="0" borderId="33" xfId="66" applyBorder="1">
      <alignment vertical="center" wrapText="1"/>
    </xf>
    <xf numFmtId="0" fontId="115" fillId="0" borderId="0" xfId="49" applyFont="1">
      <alignment vertical="center"/>
    </xf>
    <xf numFmtId="0" fontId="37" fillId="0" borderId="0" xfId="43" applyFont="1"/>
    <xf numFmtId="0" fontId="117" fillId="0" borderId="0" xfId="43" applyFont="1"/>
    <xf numFmtId="0" fontId="43" fillId="0" borderId="0" xfId="43" applyFont="1"/>
    <xf numFmtId="0" fontId="15" fillId="47" borderId="61" xfId="51" applyFont="1" applyFill="1" applyBorder="1" applyAlignment="1">
      <alignment horizontal="center" vertical="center" wrapText="1"/>
    </xf>
    <xf numFmtId="0" fontId="15" fillId="47" borderId="67" xfId="51" applyFont="1" applyFill="1" applyBorder="1" applyAlignment="1">
      <alignment horizontal="center" vertical="center" wrapText="1"/>
    </xf>
    <xf numFmtId="0" fontId="59" fillId="0" borderId="68" xfId="53" applyFont="1" applyFill="1" applyBorder="1" applyAlignment="1" applyProtection="1">
      <alignment horizontal="center"/>
    </xf>
    <xf numFmtId="0" fontId="61" fillId="0" borderId="0" xfId="57" applyFont="1" applyFill="1" applyBorder="1" applyAlignment="1">
      <alignment horizontal="left"/>
    </xf>
    <xf numFmtId="0" fontId="57" fillId="0" borderId="0" xfId="55" applyAlignment="1">
      <alignment vertical="center"/>
      <protection locked="0"/>
    </xf>
    <xf numFmtId="0" fontId="45" fillId="0" borderId="0" xfId="43" applyFont="1" applyAlignment="1">
      <alignment horizontal="right"/>
    </xf>
    <xf numFmtId="0" fontId="2" fillId="0" borderId="0" xfId="43" applyAlignment="1">
      <alignment horizontal="left" vertical="center" indent="2"/>
    </xf>
    <xf numFmtId="0" fontId="29" fillId="0" borderId="18" xfId="43" applyFont="1" applyBorder="1" applyAlignment="1" applyProtection="1">
      <alignment vertical="center"/>
      <protection locked="0"/>
    </xf>
    <xf numFmtId="0" fontId="29" fillId="0" borderId="19" xfId="43" applyFont="1" applyBorder="1" applyAlignment="1" applyProtection="1">
      <alignment vertical="center"/>
      <protection locked="0"/>
    </xf>
    <xf numFmtId="0" fontId="29" fillId="0" borderId="35" xfId="43" applyFont="1" applyBorder="1" applyAlignment="1" applyProtection="1">
      <alignment vertical="center"/>
      <protection locked="0"/>
    </xf>
    <xf numFmtId="0" fontId="29" fillId="0" borderId="20" xfId="43" applyFont="1" applyBorder="1" applyAlignment="1" applyProtection="1">
      <alignment horizontal="left" vertical="center" indent="2"/>
      <protection locked="0"/>
    </xf>
    <xf numFmtId="0" fontId="29" fillId="0" borderId="118" xfId="43" applyFont="1" applyBorder="1" applyAlignment="1" applyProtection="1">
      <alignment horizontal="left" vertical="center"/>
      <protection locked="0"/>
    </xf>
    <xf numFmtId="0" fontId="2" fillId="0" borderId="23" xfId="43" applyBorder="1" applyAlignment="1" applyProtection="1">
      <alignment vertical="center"/>
      <protection locked="0"/>
    </xf>
    <xf numFmtId="0" fontId="2" fillId="0" borderId="0" xfId="43" applyAlignment="1" applyProtection="1">
      <alignment vertical="center"/>
      <protection locked="0"/>
    </xf>
    <xf numFmtId="166" fontId="119" fillId="0" borderId="18" xfId="60" applyNumberFormat="1" applyFont="1" applyBorder="1" applyProtection="1">
      <alignment vertical="center"/>
      <protection locked="0"/>
    </xf>
    <xf numFmtId="166" fontId="119" fillId="0" borderId="19" xfId="60" applyNumberFormat="1" applyFont="1" applyBorder="1" applyProtection="1">
      <alignment vertical="center"/>
      <protection locked="0"/>
    </xf>
    <xf numFmtId="0" fontId="119" fillId="0" borderId="20" xfId="60" applyFont="1" applyBorder="1" applyProtection="1">
      <alignment vertical="center"/>
      <protection locked="0"/>
    </xf>
    <xf numFmtId="0" fontId="2" fillId="0" borderId="25" xfId="43" applyBorder="1" applyAlignment="1" applyProtection="1">
      <alignment horizontal="left" vertical="center" indent="2"/>
      <protection locked="0"/>
    </xf>
    <xf numFmtId="166" fontId="120" fillId="0" borderId="23" xfId="60" applyNumberFormat="1" applyFont="1" applyBorder="1" applyProtection="1">
      <alignment vertical="center"/>
      <protection locked="0"/>
    </xf>
    <xf numFmtId="166" fontId="120" fillId="0" borderId="0" xfId="60" applyNumberFormat="1" applyFont="1" applyProtection="1">
      <alignment vertical="center"/>
      <protection locked="0"/>
    </xf>
    <xf numFmtId="175" fontId="120" fillId="0" borderId="25" xfId="60" applyNumberFormat="1" applyFont="1" applyBorder="1" applyProtection="1">
      <alignment vertical="center"/>
      <protection locked="0"/>
    </xf>
    <xf numFmtId="175" fontId="119" fillId="0" borderId="129" xfId="60" applyNumberFormat="1" applyFont="1" applyBorder="1" applyProtection="1">
      <alignment vertical="center"/>
      <protection locked="0"/>
    </xf>
    <xf numFmtId="175" fontId="119" fillId="0" borderId="130" xfId="60" applyNumberFormat="1" applyFont="1" applyBorder="1" applyProtection="1">
      <alignment vertical="center"/>
      <protection locked="0"/>
    </xf>
    <xf numFmtId="0" fontId="119" fillId="0" borderId="131" xfId="60" applyFont="1" applyBorder="1" applyProtection="1">
      <alignment vertical="center"/>
      <protection locked="0"/>
    </xf>
    <xf numFmtId="175" fontId="119" fillId="0" borderId="23" xfId="60" applyNumberFormat="1" applyFont="1" applyBorder="1" applyProtection="1">
      <alignment vertical="center"/>
      <protection locked="0"/>
    </xf>
    <xf numFmtId="175" fontId="119" fillId="0" borderId="0" xfId="60" applyNumberFormat="1" applyFont="1" applyProtection="1">
      <alignment vertical="center"/>
      <protection locked="0"/>
    </xf>
    <xf numFmtId="175" fontId="119" fillId="0" borderId="25" xfId="60" applyNumberFormat="1" applyFont="1" applyBorder="1" applyProtection="1">
      <alignment vertical="center"/>
      <protection locked="0"/>
    </xf>
    <xf numFmtId="0" fontId="81" fillId="0" borderId="30" xfId="60" applyBorder="1" applyProtection="1">
      <alignment vertical="center"/>
      <protection locked="0"/>
    </xf>
    <xf numFmtId="0" fontId="81" fillId="0" borderId="31" xfId="60" applyBorder="1" applyProtection="1">
      <alignment vertical="center"/>
      <protection locked="0"/>
    </xf>
    <xf numFmtId="175" fontId="119" fillId="0" borderId="32" xfId="60" applyNumberFormat="1" applyFont="1" applyBorder="1" applyProtection="1">
      <alignment vertical="center"/>
      <protection locked="0"/>
    </xf>
    <xf numFmtId="0" fontId="119" fillId="0" borderId="19" xfId="60" applyFont="1" applyBorder="1" applyProtection="1">
      <alignment vertical="center"/>
      <protection locked="0"/>
    </xf>
    <xf numFmtId="175" fontId="121" fillId="0" borderId="25" xfId="60" applyNumberFormat="1" applyFont="1" applyBorder="1" applyProtection="1">
      <alignment vertical="center"/>
      <protection locked="0"/>
    </xf>
    <xf numFmtId="0" fontId="29" fillId="0" borderId="27" xfId="43" applyFont="1" applyBorder="1" applyAlignment="1" applyProtection="1">
      <alignment horizontal="left" vertical="center"/>
      <protection locked="0"/>
    </xf>
    <xf numFmtId="0" fontId="29" fillId="0" borderId="27" xfId="43" applyFont="1" applyBorder="1" applyAlignment="1">
      <alignment horizontal="left" vertical="center"/>
    </xf>
    <xf numFmtId="0" fontId="2" fillId="0" borderId="30" xfId="43" applyBorder="1" applyAlignment="1" applyProtection="1">
      <alignment vertical="center"/>
      <protection locked="0"/>
    </xf>
    <xf numFmtId="0" fontId="2" fillId="0" borderId="31" xfId="43" applyBorder="1" applyAlignment="1" applyProtection="1">
      <alignment vertical="center"/>
      <protection locked="0"/>
    </xf>
    <xf numFmtId="0" fontId="15" fillId="47" borderId="30" xfId="50" applyFill="1" applyBorder="1">
      <alignment horizontal="center" vertical="center"/>
    </xf>
    <xf numFmtId="0" fontId="122" fillId="35" borderId="24" xfId="51" applyFont="1" applyFill="1" applyBorder="1" applyAlignment="1" applyProtection="1">
      <alignment horizontal="center" vertical="center" wrapText="1"/>
    </xf>
    <xf numFmtId="0" fontId="2" fillId="0" borderId="35" xfId="43" applyBorder="1" applyAlignment="1">
      <alignment vertical="center"/>
    </xf>
    <xf numFmtId="0" fontId="29" fillId="0" borderId="20" xfId="43" applyFont="1" applyBorder="1" applyAlignment="1">
      <alignment horizontal="left" vertical="center" indent="2"/>
    </xf>
    <xf numFmtId="0" fontId="29" fillId="0" borderId="25" xfId="43" applyFont="1" applyBorder="1" applyAlignment="1">
      <alignment horizontal="left" vertical="center" indent="2"/>
    </xf>
    <xf numFmtId="166" fontId="29" fillId="0" borderId="24" xfId="44" applyNumberFormat="1" applyFont="1" applyBorder="1" applyAlignment="1" applyProtection="1">
      <alignment vertical="center"/>
    </xf>
    <xf numFmtId="0" fontId="29" fillId="0" borderId="0" xfId="43" applyFont="1" applyAlignment="1" applyProtection="1">
      <alignment vertical="center"/>
      <protection locked="0"/>
    </xf>
    <xf numFmtId="166" fontId="29" fillId="0" borderId="0" xfId="44" applyNumberFormat="1" applyFont="1" applyBorder="1" applyAlignment="1" applyProtection="1">
      <alignment vertical="center"/>
    </xf>
    <xf numFmtId="166" fontId="29" fillId="0" borderId="36" xfId="44" applyNumberFormat="1" applyFont="1" applyBorder="1" applyAlignment="1" applyProtection="1">
      <alignment vertical="center"/>
    </xf>
    <xf numFmtId="0" fontId="19" fillId="0" borderId="0" xfId="43" applyFont="1" applyAlignment="1">
      <alignment horizontal="center" vertical="center"/>
    </xf>
    <xf numFmtId="0" fontId="2" fillId="0" borderId="25" xfId="43" applyBorder="1" applyAlignment="1">
      <alignment horizontal="left" vertical="center" indent="2"/>
    </xf>
    <xf numFmtId="0" fontId="35" fillId="0" borderId="19" xfId="47" applyFont="1" applyBorder="1">
      <alignment horizontal="left" vertical="center" wrapText="1"/>
    </xf>
    <xf numFmtId="0" fontId="32" fillId="0" borderId="19" xfId="43" applyFont="1" applyBorder="1" applyAlignment="1">
      <alignment horizontal="left" vertical="center"/>
    </xf>
    <xf numFmtId="0" fontId="32" fillId="0" borderId="20" xfId="43" applyFont="1" applyBorder="1" applyAlignment="1">
      <alignment vertical="center"/>
    </xf>
    <xf numFmtId="0" fontId="32" fillId="0" borderId="25" xfId="43" applyFont="1" applyBorder="1" applyAlignment="1">
      <alignment horizontal="left" vertical="center" wrapText="1" indent="2"/>
    </xf>
    <xf numFmtId="0" fontId="123" fillId="49" borderId="59" xfId="51" applyFont="1" applyFill="1" applyBorder="1" applyAlignment="1" applyProtection="1">
      <alignment horizontal="left" vertical="center" wrapText="1" indent="2"/>
    </xf>
    <xf numFmtId="0" fontId="43" fillId="0" borderId="25" xfId="43" applyFont="1" applyBorder="1" applyAlignment="1">
      <alignment horizontal="left" vertical="center" indent="2"/>
    </xf>
    <xf numFmtId="0" fontId="15" fillId="47" borderId="35" xfId="50" applyFill="1" applyBorder="1">
      <alignment horizontal="center" vertical="center"/>
    </xf>
    <xf numFmtId="165" fontId="30" fillId="0" borderId="0" xfId="44" applyFont="1" applyBorder="1" applyAlignment="1" applyProtection="1">
      <alignment vertical="center"/>
    </xf>
    <xf numFmtId="165" fontId="124" fillId="0" borderId="0" xfId="44" applyFont="1" applyBorder="1" applyAlignment="1" applyProtection="1">
      <alignment vertical="center"/>
    </xf>
    <xf numFmtId="166" fontId="29" fillId="0" borderId="0" xfId="43" applyNumberFormat="1" applyFont="1" applyAlignment="1">
      <alignment vertical="center"/>
    </xf>
    <xf numFmtId="0" fontId="34" fillId="0" borderId="0" xfId="45" applyFont="1" applyAlignment="1">
      <alignment horizontal="left" vertical="center"/>
    </xf>
    <xf numFmtId="0" fontId="67" fillId="0" borderId="0" xfId="43" applyFont="1" applyAlignment="1">
      <alignment horizontal="center" vertical="center"/>
    </xf>
    <xf numFmtId="166" fontId="48" fillId="0" borderId="24" xfId="44" applyNumberFormat="1" applyFont="1" applyBorder="1" applyAlignment="1" applyProtection="1">
      <alignment vertical="center"/>
      <protection locked="0"/>
    </xf>
    <xf numFmtId="0" fontId="30" fillId="0" borderId="35" xfId="43" applyFont="1" applyBorder="1" applyAlignment="1">
      <alignment horizontal="center" vertical="center" wrapText="1"/>
    </xf>
    <xf numFmtId="0" fontId="85" fillId="0" borderId="35" xfId="43" applyFont="1" applyBorder="1" applyAlignment="1">
      <alignment horizontal="center" vertical="center" wrapText="1"/>
    </xf>
    <xf numFmtId="0" fontId="29" fillId="0" borderId="35" xfId="43" applyFont="1" applyBorder="1" applyAlignment="1">
      <alignment horizontal="left" vertical="center"/>
    </xf>
    <xf numFmtId="0" fontId="29" fillId="0" borderId="35" xfId="43" applyFont="1" applyBorder="1" applyAlignment="1">
      <alignment vertical="center"/>
    </xf>
    <xf numFmtId="0" fontId="31" fillId="0" borderId="22" xfId="45" applyBorder="1" applyAlignment="1">
      <alignment horizontal="left" vertical="center"/>
    </xf>
    <xf numFmtId="0" fontId="42" fillId="0" borderId="0" xfId="49" applyFont="1" applyAlignment="1">
      <alignment vertical="center" wrapText="1"/>
    </xf>
    <xf numFmtId="0" fontId="125" fillId="0" borderId="0" xfId="43" applyFont="1" applyAlignment="1">
      <alignment vertical="center"/>
    </xf>
    <xf numFmtId="0" fontId="126" fillId="0" borderId="0" xfId="49" applyFont="1" applyAlignment="1">
      <alignment horizontal="left" vertical="center"/>
    </xf>
    <xf numFmtId="165" fontId="30" fillId="0" borderId="0" xfId="44" applyFont="1" applyFill="1" applyBorder="1" applyAlignment="1" applyProtection="1">
      <alignment vertical="center"/>
    </xf>
    <xf numFmtId="0" fontId="29" fillId="0" borderId="0" xfId="44" applyNumberFormat="1" applyFont="1" applyFill="1" applyBorder="1" applyAlignment="1" applyProtection="1">
      <alignment horizontal="left" vertical="center" wrapText="1"/>
    </xf>
    <xf numFmtId="166" fontId="74" fillId="0" borderId="24" xfId="44" applyNumberFormat="1" applyFont="1" applyBorder="1" applyAlignment="1" applyProtection="1">
      <alignment vertical="center"/>
      <protection locked="0"/>
    </xf>
    <xf numFmtId="0" fontId="69" fillId="0" borderId="0" xfId="49" applyFont="1" applyAlignment="1">
      <alignment horizontal="left" vertical="center"/>
    </xf>
    <xf numFmtId="0" fontId="127" fillId="0" borderId="0" xfId="43" applyFont="1" applyAlignment="1">
      <alignment vertical="center"/>
    </xf>
    <xf numFmtId="166" fontId="48" fillId="0" borderId="24" xfId="43" applyNumberFormat="1" applyFont="1" applyBorder="1" applyAlignment="1" applyProtection="1">
      <alignment horizontal="center" vertical="center"/>
      <protection locked="0"/>
    </xf>
    <xf numFmtId="166" fontId="48" fillId="35" borderId="24" xfId="44" applyNumberFormat="1" applyFont="1" applyFill="1" applyBorder="1" applyAlignment="1" applyProtection="1">
      <alignment vertical="center"/>
    </xf>
    <xf numFmtId="165" fontId="30" fillId="0" borderId="0" xfId="44" applyFont="1" applyBorder="1" applyAlignment="1" applyProtection="1">
      <alignment vertical="center"/>
      <protection locked="0"/>
    </xf>
    <xf numFmtId="0" fontId="37" fillId="0" borderId="0" xfId="49" applyAlignment="1">
      <alignment vertical="center" wrapText="1"/>
    </xf>
    <xf numFmtId="0" fontId="37" fillId="0" borderId="36" xfId="49" applyBorder="1" applyAlignment="1">
      <alignment vertical="center" wrapText="1"/>
    </xf>
    <xf numFmtId="0" fontId="2" fillId="0" borderId="32" xfId="43" applyBorder="1" applyAlignment="1">
      <alignment horizontal="left" vertical="center" indent="2"/>
    </xf>
    <xf numFmtId="0" fontId="30" fillId="0" borderId="18" xfId="43" applyFont="1" applyBorder="1" applyAlignment="1">
      <alignment horizontal="center" vertical="center" wrapText="1"/>
    </xf>
    <xf numFmtId="166" fontId="30" fillId="0" borderId="19" xfId="44" applyNumberFormat="1" applyFont="1" applyBorder="1" applyAlignment="1" applyProtection="1">
      <alignment vertical="center"/>
    </xf>
    <xf numFmtId="165" fontId="30" fillId="0" borderId="19" xfId="44" applyFont="1" applyBorder="1" applyAlignment="1" applyProtection="1">
      <alignment vertical="center"/>
    </xf>
    <xf numFmtId="0" fontId="67" fillId="0" borderId="35" xfId="43" applyFont="1" applyBorder="1"/>
    <xf numFmtId="0" fontId="29" fillId="0" borderId="19" xfId="43" applyFont="1" applyBorder="1" applyAlignment="1">
      <alignment horizontal="left" vertical="center" wrapText="1"/>
    </xf>
    <xf numFmtId="0" fontId="34" fillId="0" borderId="19" xfId="45" applyFont="1" applyBorder="1" applyAlignment="1">
      <alignment horizontal="left" vertical="center"/>
    </xf>
    <xf numFmtId="9" fontId="29" fillId="0" borderId="0" xfId="71" applyFont="1" applyBorder="1" applyAlignment="1" applyProtection="1">
      <alignment vertical="center"/>
      <protection locked="0"/>
    </xf>
    <xf numFmtId="9" fontId="29" fillId="0" borderId="24" xfId="71" applyFont="1" applyBorder="1" applyAlignment="1" applyProtection="1">
      <alignment vertical="center"/>
      <protection locked="0"/>
    </xf>
    <xf numFmtId="0" fontId="31" fillId="0" borderId="0" xfId="47" applyFont="1" applyAlignment="1">
      <alignment horizontal="right" vertical="center"/>
    </xf>
    <xf numFmtId="0" fontId="92" fillId="0" borderId="0" xfId="45" applyFont="1" applyAlignment="1">
      <alignment horizontal="left" vertical="center"/>
    </xf>
    <xf numFmtId="166" fontId="36" fillId="0" borderId="0" xfId="44" applyNumberFormat="1" applyFont="1" applyBorder="1" applyAlignment="1" applyProtection="1">
      <alignment vertical="center"/>
    </xf>
    <xf numFmtId="165" fontId="36" fillId="0" borderId="0" xfId="44" applyFont="1" applyBorder="1" applyAlignment="1" applyProtection="1">
      <alignment vertical="center"/>
    </xf>
    <xf numFmtId="166" fontId="94" fillId="34" borderId="24" xfId="44" applyNumberFormat="1" applyFont="1" applyFill="1" applyBorder="1" applyAlignment="1" applyProtection="1">
      <alignment vertical="center"/>
    </xf>
    <xf numFmtId="165" fontId="36" fillId="0" borderId="23" xfId="44" applyFont="1" applyBorder="1" applyAlignment="1" applyProtection="1">
      <alignment vertical="center"/>
    </xf>
    <xf numFmtId="0" fontId="33" fillId="0" borderId="0" xfId="43" applyFont="1" applyAlignment="1">
      <alignment horizontal="left" vertical="center"/>
    </xf>
    <xf numFmtId="0" fontId="94" fillId="0" borderId="0" xfId="43" applyFont="1" applyAlignment="1">
      <alignment horizontal="left" vertical="center" wrapText="1"/>
    </xf>
    <xf numFmtId="166" fontId="94" fillId="43" borderId="24" xfId="44" applyNumberFormat="1" applyFont="1" applyFill="1" applyBorder="1" applyAlignment="1" applyProtection="1">
      <alignment vertical="center"/>
    </xf>
    <xf numFmtId="165" fontId="94" fillId="0" borderId="0" xfId="44" applyFont="1" applyBorder="1" applyAlignment="1" applyProtection="1">
      <alignment vertical="center"/>
    </xf>
    <xf numFmtId="0" fontId="94" fillId="0" borderId="0" xfId="43" applyFont="1" applyAlignment="1">
      <alignment vertical="center"/>
    </xf>
    <xf numFmtId="166" fontId="94" fillId="0" borderId="24" xfId="44" applyNumberFormat="1" applyFont="1" applyBorder="1" applyAlignment="1" applyProtection="1">
      <alignment vertical="center"/>
      <protection locked="0"/>
    </xf>
    <xf numFmtId="166" fontId="94" fillId="0" borderId="0" xfId="44" applyNumberFormat="1" applyFont="1" applyBorder="1" applyAlignment="1" applyProtection="1">
      <alignment vertical="center"/>
      <protection locked="0"/>
    </xf>
    <xf numFmtId="165" fontId="94" fillId="0" borderId="0" xfId="44" applyFont="1" applyBorder="1" applyAlignment="1" applyProtection="1">
      <alignment horizontal="right" vertical="center"/>
    </xf>
    <xf numFmtId="0" fontId="128" fillId="0" borderId="0" xfId="45" applyFont="1" applyAlignment="1">
      <alignment horizontal="left" vertical="center"/>
    </xf>
    <xf numFmtId="0" fontId="29" fillId="0" borderId="0" xfId="43" applyFont="1" applyAlignment="1" applyProtection="1">
      <alignment horizontal="left"/>
      <protection locked="0"/>
    </xf>
    <xf numFmtId="0" fontId="30" fillId="0" borderId="23" xfId="43" applyFont="1" applyBorder="1" applyAlignment="1">
      <alignment horizontal="center" wrapText="1"/>
    </xf>
    <xf numFmtId="0" fontId="29" fillId="0" borderId="25" xfId="43" applyFont="1" applyBorder="1" applyAlignment="1">
      <alignment horizontal="left" indent="2"/>
    </xf>
    <xf numFmtId="0" fontId="29" fillId="0" borderId="30" xfId="43" applyFont="1" applyBorder="1" applyAlignment="1">
      <alignment vertical="center"/>
    </xf>
    <xf numFmtId="0" fontId="29" fillId="0" borderId="31" xfId="43" applyFont="1" applyBorder="1" applyAlignment="1">
      <alignment vertical="center"/>
    </xf>
    <xf numFmtId="0" fontId="19" fillId="0" borderId="31" xfId="43" applyFont="1" applyBorder="1"/>
    <xf numFmtId="0" fontId="29" fillId="0" borderId="31" xfId="43" applyFont="1" applyBorder="1" applyAlignment="1">
      <alignment horizontal="left" vertical="center" indent="2"/>
    </xf>
    <xf numFmtId="165" fontId="85" fillId="0" borderId="0" xfId="44" applyFont="1" applyBorder="1" applyAlignment="1" applyProtection="1">
      <alignment vertical="center"/>
    </xf>
    <xf numFmtId="165" fontId="67" fillId="0" borderId="0" xfId="44" applyFont="1" applyBorder="1" applyAlignment="1" applyProtection="1">
      <alignment vertical="center"/>
    </xf>
    <xf numFmtId="0" fontId="48" fillId="0" borderId="0" xfId="43" applyFont="1" applyAlignment="1">
      <alignment vertical="center"/>
    </xf>
    <xf numFmtId="0" fontId="31" fillId="0" borderId="35" xfId="45" applyBorder="1" applyAlignment="1">
      <alignment horizontal="center" vertical="center"/>
    </xf>
    <xf numFmtId="166" fontId="29" fillId="0" borderId="24" xfId="43" applyNumberFormat="1" applyFont="1" applyBorder="1" applyAlignment="1" applyProtection="1">
      <alignment horizontal="center" vertical="center"/>
      <protection locked="0"/>
    </xf>
    <xf numFmtId="166" fontId="29" fillId="35" borderId="132" xfId="44" applyNumberFormat="1" applyFont="1" applyFill="1" applyBorder="1" applyAlignment="1" applyProtection="1">
      <alignment vertical="center"/>
    </xf>
    <xf numFmtId="14" fontId="130" fillId="35" borderId="21" xfId="43" applyNumberFormat="1" applyFont="1" applyFill="1" applyBorder="1" applyAlignment="1">
      <alignment vertical="center"/>
    </xf>
    <xf numFmtId="166" fontId="29" fillId="35" borderId="29" xfId="44" applyNumberFormat="1" applyFont="1" applyFill="1" applyBorder="1" applyAlignment="1" applyProtection="1">
      <alignment vertical="center"/>
    </xf>
    <xf numFmtId="0" fontId="2" fillId="0" borderId="25" xfId="43" applyBorder="1" applyAlignment="1">
      <alignment horizontal="left" indent="2"/>
    </xf>
    <xf numFmtId="0" fontId="15" fillId="47" borderId="24" xfId="50" applyFill="1" applyBorder="1">
      <alignment horizontal="center" vertical="center"/>
    </xf>
    <xf numFmtId="0" fontId="29" fillId="0" borderId="133" xfId="43" applyFont="1" applyBorder="1" applyAlignment="1">
      <alignment vertical="center"/>
    </xf>
    <xf numFmtId="165" fontId="30" fillId="49" borderId="134" xfId="44" applyFont="1" applyFill="1" applyBorder="1" applyAlignment="1" applyProtection="1">
      <alignment vertical="center"/>
    </xf>
    <xf numFmtId="165" fontId="30" fillId="49" borderId="135" xfId="44" applyFont="1" applyFill="1" applyBorder="1" applyAlignment="1" applyProtection="1">
      <alignment vertical="center"/>
    </xf>
    <xf numFmtId="0" fontId="69" fillId="49" borderId="135" xfId="49" applyFont="1" applyFill="1" applyBorder="1" applyAlignment="1">
      <alignment horizontal="center" vertical="center" wrapText="1"/>
    </xf>
    <xf numFmtId="0" fontId="69" fillId="49" borderId="136" xfId="49" applyFont="1" applyFill="1" applyBorder="1" applyAlignment="1">
      <alignment horizontal="center" vertical="center" wrapText="1"/>
    </xf>
    <xf numFmtId="166" fontId="49" fillId="0" borderId="0" xfId="44" applyNumberFormat="1" applyFont="1" applyBorder="1" applyAlignment="1" applyProtection="1">
      <alignment vertical="center"/>
    </xf>
    <xf numFmtId="165" fontId="30" fillId="49" borderId="137" xfId="44" applyFont="1" applyFill="1" applyBorder="1" applyAlignment="1" applyProtection="1">
      <alignment vertical="center"/>
    </xf>
    <xf numFmtId="165" fontId="85" fillId="49" borderId="0" xfId="44" applyFont="1" applyFill="1" applyBorder="1" applyAlignment="1" applyProtection="1">
      <alignment vertical="center"/>
    </xf>
    <xf numFmtId="165" fontId="30" fillId="49" borderId="0" xfId="44" applyFont="1" applyFill="1" applyBorder="1" applyAlignment="1" applyProtection="1">
      <alignment vertical="center"/>
    </xf>
    <xf numFmtId="165" fontId="30" fillId="49" borderId="139" xfId="44" applyFont="1" applyFill="1" applyBorder="1" applyAlignment="1" applyProtection="1">
      <alignment vertical="center"/>
    </xf>
    <xf numFmtId="165" fontId="30" fillId="49" borderId="140" xfId="44" applyFont="1" applyFill="1" applyBorder="1" applyAlignment="1" applyProtection="1">
      <alignment vertical="center"/>
    </xf>
    <xf numFmtId="0" fontId="29" fillId="49" borderId="140" xfId="43" applyFont="1" applyFill="1" applyBorder="1" applyAlignment="1">
      <alignment horizontal="left" vertical="center" wrapText="1"/>
    </xf>
    <xf numFmtId="0" fontId="34" fillId="49" borderId="141" xfId="45" applyFont="1" applyFill="1" applyBorder="1" applyAlignment="1">
      <alignment horizontal="left" vertical="center"/>
    </xf>
    <xf numFmtId="166" fontId="30" fillId="0" borderId="35" xfId="44" applyNumberFormat="1" applyFont="1" applyBorder="1" applyAlignment="1" applyProtection="1">
      <alignment vertical="center"/>
    </xf>
    <xf numFmtId="165" fontId="29" fillId="0" borderId="35" xfId="44" applyFont="1" applyBorder="1" applyAlignment="1" applyProtection="1">
      <alignment vertical="center"/>
      <protection locked="0"/>
    </xf>
    <xf numFmtId="165" fontId="29" fillId="0" borderId="0" xfId="44" applyFont="1" applyBorder="1" applyAlignment="1" applyProtection="1">
      <alignment vertical="center"/>
      <protection locked="0"/>
    </xf>
    <xf numFmtId="165" fontId="29" fillId="0" borderId="31" xfId="44" applyFont="1" applyBorder="1" applyAlignment="1" applyProtection="1">
      <alignment vertical="center"/>
      <protection locked="0"/>
    </xf>
    <xf numFmtId="165" fontId="67" fillId="0" borderId="0" xfId="44" applyFont="1" applyBorder="1" applyAlignment="1" applyProtection="1">
      <alignment horizontal="center" vertical="center"/>
    </xf>
    <xf numFmtId="0" fontId="34" fillId="0" borderId="0" xfId="45" applyFont="1" applyProtection="1">
      <alignment horizontal="left" vertical="center" wrapText="1"/>
      <protection locked="0"/>
    </xf>
    <xf numFmtId="165" fontId="29" fillId="0" borderId="0" xfId="44" applyFont="1" applyFill="1" applyBorder="1" applyAlignment="1" applyProtection="1">
      <alignment vertical="center"/>
    </xf>
    <xf numFmtId="165" fontId="29" fillId="0" borderId="0" xfId="43" applyNumberFormat="1" applyFont="1" applyAlignment="1">
      <alignment vertical="center"/>
    </xf>
    <xf numFmtId="14" fontId="130" fillId="0" borderId="0" xfId="43" applyNumberFormat="1" applyFont="1" applyAlignment="1">
      <alignment vertical="center"/>
    </xf>
    <xf numFmtId="168" fontId="29" fillId="0" borderId="0" xfId="44" applyNumberFormat="1" applyFont="1" applyFill="1" applyBorder="1" applyAlignment="1" applyProtection="1">
      <alignment vertical="center"/>
    </xf>
    <xf numFmtId="165" fontId="29" fillId="0" borderId="23" xfId="44" applyFont="1" applyBorder="1" applyAlignment="1" applyProtection="1">
      <alignment vertical="center"/>
    </xf>
    <xf numFmtId="165" fontId="29" fillId="0" borderId="0" xfId="44" applyFont="1" applyBorder="1" applyAlignment="1" applyProtection="1">
      <alignment vertical="center"/>
    </xf>
    <xf numFmtId="0" fontId="34" fillId="0" borderId="0" xfId="45" applyFont="1">
      <alignment horizontal="left" vertical="center" wrapText="1"/>
    </xf>
    <xf numFmtId="0" fontId="29" fillId="0" borderId="27" xfId="43" applyFont="1" applyBorder="1" applyAlignment="1">
      <alignment vertical="center"/>
    </xf>
    <xf numFmtId="0" fontId="133" fillId="0" borderId="0" xfId="43" applyFont="1" applyAlignment="1">
      <alignment vertical="center"/>
    </xf>
    <xf numFmtId="0" fontId="134" fillId="0" borderId="0" xfId="43" applyFont="1" applyAlignment="1">
      <alignment vertical="center"/>
    </xf>
    <xf numFmtId="0" fontId="135" fillId="0" borderId="0" xfId="49" applyFont="1" applyAlignment="1">
      <alignment vertical="center" wrapText="1"/>
    </xf>
    <xf numFmtId="0" fontId="135" fillId="0" borderId="23" xfId="49" applyFont="1" applyBorder="1" applyAlignment="1">
      <alignment vertical="center" wrapText="1"/>
    </xf>
    <xf numFmtId="0" fontId="135" fillId="0" borderId="25" xfId="43" applyFont="1" applyBorder="1" applyAlignment="1">
      <alignment horizontal="left" vertical="center" indent="2"/>
    </xf>
    <xf numFmtId="0" fontId="2" fillId="0" borderId="0" xfId="43" applyAlignment="1">
      <alignment horizontal="left" indent="2"/>
    </xf>
    <xf numFmtId="169" fontId="15" fillId="47" borderId="32" xfId="50" applyNumberFormat="1" applyFill="1" applyBorder="1">
      <alignment horizontal="center" vertical="center"/>
    </xf>
    <xf numFmtId="0" fontId="54" fillId="0" borderId="18" xfId="43" applyFont="1" applyBorder="1" applyAlignment="1">
      <alignment vertical="center"/>
    </xf>
    <xf numFmtId="0" fontId="2" fillId="0" borderId="20" xfId="43" applyBorder="1" applyAlignment="1">
      <alignment horizontal="left" vertical="center" indent="2"/>
    </xf>
    <xf numFmtId="0" fontId="2" fillId="0" borderId="142" xfId="43" applyBorder="1" applyAlignment="1">
      <alignment vertical="center"/>
    </xf>
    <xf numFmtId="0" fontId="34" fillId="0" borderId="0" xfId="54" applyFill="1" applyBorder="1" applyAlignment="1">
      <alignment vertical="center" wrapText="1"/>
      <protection locked="0"/>
    </xf>
    <xf numFmtId="0" fontId="93" fillId="0" borderId="0" xfId="54" applyFont="1" applyFill="1" applyBorder="1" applyAlignment="1">
      <alignment vertical="center" wrapText="1"/>
      <protection locked="0"/>
    </xf>
    <xf numFmtId="0" fontId="91" fillId="0" borderId="0" xfId="43" applyFont="1" applyAlignment="1">
      <alignment vertical="center"/>
    </xf>
    <xf numFmtId="0" fontId="2" fillId="0" borderId="143" xfId="43" applyBorder="1" applyAlignment="1">
      <alignment vertical="center"/>
    </xf>
    <xf numFmtId="0" fontId="18" fillId="0" borderId="31" xfId="43" applyFont="1" applyBorder="1" applyAlignment="1">
      <alignment vertical="center"/>
    </xf>
    <xf numFmtId="0" fontId="45" fillId="0" borderId="0" xfId="51" applyFont="1" applyFill="1" applyBorder="1" applyAlignment="1" applyProtection="1">
      <alignment horizontal="center" vertical="center" wrapText="1"/>
    </xf>
    <xf numFmtId="169" fontId="31" fillId="0" borderId="0" xfId="46" applyNumberFormat="1">
      <alignment horizontal="center" vertical="center" wrapText="1"/>
    </xf>
    <xf numFmtId="0" fontId="86" fillId="0" borderId="0" xfId="49" applyFont="1" applyAlignment="1">
      <alignment horizontal="left" vertical="center" wrapText="1"/>
    </xf>
    <xf numFmtId="0" fontId="86" fillId="0" borderId="0" xfId="43" applyFont="1"/>
    <xf numFmtId="0" fontId="38" fillId="0" borderId="0" xfId="49" applyFont="1" applyAlignment="1">
      <alignment horizontal="left" wrapText="1" indent="2"/>
    </xf>
    <xf numFmtId="0" fontId="86" fillId="0" borderId="0" xfId="49" applyFont="1" applyAlignment="1">
      <alignment horizontal="left" wrapText="1" indent="2"/>
    </xf>
    <xf numFmtId="0" fontId="86" fillId="0" borderId="0" xfId="43" applyFont="1" applyAlignment="1">
      <alignment horizontal="left" indent="2"/>
    </xf>
    <xf numFmtId="0" fontId="42" fillId="0" borderId="0" xfId="43" applyFont="1"/>
    <xf numFmtId="0" fontId="57" fillId="0" borderId="27" xfId="55" applyBorder="1" applyAlignment="1" applyProtection="1">
      <alignment horizontal="left" vertical="center" wrapText="1" indent="2"/>
    </xf>
    <xf numFmtId="0" fontId="2" fillId="0" borderId="144" xfId="43" applyBorder="1"/>
    <xf numFmtId="0" fontId="15" fillId="42" borderId="92" xfId="51" applyFont="1" applyFill="1" applyBorder="1" applyAlignment="1">
      <alignment horizontal="center" vertical="center" wrapText="1"/>
    </xf>
    <xf numFmtId="0" fontId="86" fillId="0" borderId="0" xfId="43" applyFont="1" applyAlignment="1">
      <alignment vertical="top"/>
    </xf>
    <xf numFmtId="0" fontId="137" fillId="0" borderId="145" xfId="43" applyFont="1" applyBorder="1" applyAlignment="1">
      <alignment vertical="center"/>
    </xf>
    <xf numFmtId="164" fontId="61" fillId="0" borderId="0" xfId="56" applyFont="1" applyFill="1" applyBorder="1" applyAlignment="1">
      <alignment vertical="top"/>
    </xf>
    <xf numFmtId="0" fontId="59" fillId="48" borderId="0" xfId="43" applyFont="1" applyFill="1" applyAlignment="1">
      <alignment horizontal="right"/>
    </xf>
    <xf numFmtId="0" fontId="91" fillId="0" borderId="0" xfId="57" applyFont="1" applyFill="1" applyBorder="1" applyAlignment="1"/>
    <xf numFmtId="0" fontId="91" fillId="0" borderId="0" xfId="57" applyFont="1" applyFill="1" applyBorder="1" applyAlignment="1">
      <alignment horizontal="left"/>
    </xf>
    <xf numFmtId="0" fontId="138" fillId="0" borderId="0" xfId="55" applyFont="1" applyAlignment="1" applyProtection="1">
      <alignment horizontal="left" vertical="center"/>
    </xf>
    <xf numFmtId="0" fontId="45" fillId="0" borderId="0" xfId="43" applyFont="1" applyAlignment="1">
      <alignment horizontal="right" vertical="center"/>
    </xf>
    <xf numFmtId="0" fontId="63" fillId="45" borderId="92" xfId="42" applyFont="1" applyFill="1" applyBorder="1" applyAlignment="1">
      <alignment horizontal="center" vertical="center" wrapText="1"/>
    </xf>
    <xf numFmtId="176" fontId="2" fillId="0" borderId="0" xfId="43" applyNumberFormat="1"/>
    <xf numFmtId="176" fontId="54" fillId="0" borderId="0" xfId="43" applyNumberFormat="1" applyFont="1"/>
    <xf numFmtId="0" fontId="48" fillId="0" borderId="0" xfId="43" applyFont="1"/>
    <xf numFmtId="177" fontId="54" fillId="0" borderId="0" xfId="43" applyNumberFormat="1" applyFont="1"/>
    <xf numFmtId="0" fontId="48" fillId="0" borderId="0" xfId="43" applyFont="1" applyAlignment="1">
      <alignment horizontal="left" vertical="center"/>
    </xf>
    <xf numFmtId="0" fontId="95" fillId="0" borderId="0" xfId="48" applyNumberFormat="1" applyFont="1" applyFill="1" applyBorder="1" applyAlignment="1" applyProtection="1">
      <alignment horizontal="left" vertical="center"/>
    </xf>
    <xf numFmtId="0" fontId="2" fillId="0" borderId="82" xfId="43" applyBorder="1"/>
    <xf numFmtId="0" fontId="2" fillId="0" borderId="146" xfId="43" applyBorder="1"/>
    <xf numFmtId="0" fontId="34" fillId="0" borderId="107" xfId="62" applyNumberFormat="1" applyFill="1" applyBorder="1" applyAlignment="1">
      <alignment horizontal="center" vertical="center"/>
      <protection locked="0"/>
    </xf>
    <xf numFmtId="0" fontId="34" fillId="0" borderId="147" xfId="62" applyNumberFormat="1" applyFill="1" applyBorder="1" applyAlignment="1">
      <alignment horizontal="center" vertical="center"/>
      <protection locked="0"/>
    </xf>
    <xf numFmtId="0" fontId="34" fillId="0" borderId="57" xfId="48" quotePrefix="1" applyNumberFormat="1" applyFill="1" applyBorder="1" applyAlignment="1">
      <alignment horizontal="left" vertical="center"/>
      <protection locked="0"/>
    </xf>
    <xf numFmtId="0" fontId="2" fillId="0" borderId="45" xfId="43" applyBorder="1"/>
    <xf numFmtId="0" fontId="2" fillId="0" borderId="82" xfId="43" applyBorder="1" applyAlignment="1">
      <alignment wrapText="1"/>
    </xf>
    <xf numFmtId="0" fontId="2" fillId="0" borderId="127" xfId="43" applyBorder="1"/>
    <xf numFmtId="0" fontId="2" fillId="0" borderId="25" xfId="43" applyBorder="1" applyAlignment="1">
      <alignment wrapText="1"/>
    </xf>
    <xf numFmtId="0" fontId="34" fillId="0" borderId="97" xfId="48" applyNumberFormat="1" applyFill="1" applyBorder="1" applyAlignment="1">
      <alignment horizontal="left" vertical="center"/>
      <protection locked="0"/>
    </xf>
    <xf numFmtId="0" fontId="29" fillId="0" borderId="148" xfId="43" applyFont="1" applyBorder="1" applyAlignment="1" applyProtection="1">
      <alignment horizontal="left" vertical="center"/>
      <protection locked="0"/>
    </xf>
    <xf numFmtId="0" fontId="34" fillId="0" borderId="149" xfId="48" applyNumberFormat="1" applyFill="1" applyBorder="1" applyAlignment="1">
      <alignment horizontal="left" vertical="center"/>
      <protection locked="0"/>
    </xf>
    <xf numFmtId="0" fontId="2" fillId="0" borderId="150" xfId="43" applyBorder="1"/>
    <xf numFmtId="0" fontId="2" fillId="0" borderId="151" xfId="43" applyBorder="1"/>
    <xf numFmtId="0" fontId="29" fillId="0" borderId="79" xfId="43" applyFont="1" applyBorder="1"/>
    <xf numFmtId="166" fontId="34" fillId="47" borderId="152" xfId="73" applyNumberFormat="1" applyFill="1" applyBorder="1">
      <alignment vertical="center"/>
    </xf>
    <xf numFmtId="174" fontId="31" fillId="0" borderId="0" xfId="71" applyNumberFormat="1" applyFont="1" applyFill="1" applyBorder="1" applyAlignment="1" applyProtection="1">
      <alignment horizontal="left" vertical="center"/>
    </xf>
    <xf numFmtId="166" fontId="34" fillId="0" borderId="0" xfId="73" applyNumberFormat="1" applyFill="1" applyBorder="1" applyAlignment="1">
      <alignment horizontal="right" vertical="center"/>
    </xf>
    <xf numFmtId="0" fontId="15" fillId="0" borderId="0" xfId="51" applyFont="1" applyFill="1" applyBorder="1" applyAlignment="1" applyProtection="1">
      <alignment horizontal="center" vertical="center" wrapText="1"/>
    </xf>
    <xf numFmtId="9" fontId="19" fillId="0" borderId="65" xfId="71" applyFont="1" applyBorder="1" applyAlignment="1">
      <alignment wrapText="1"/>
    </xf>
    <xf numFmtId="0" fontId="31" fillId="0" borderId="126" xfId="46" applyBorder="1">
      <alignment horizontal="center" vertical="center" wrapText="1"/>
    </xf>
    <xf numFmtId="0" fontId="31" fillId="0" borderId="153" xfId="46" applyBorder="1">
      <alignment horizontal="center" vertical="center" wrapText="1"/>
    </xf>
    <xf numFmtId="0" fontId="29" fillId="0" borderId="65" xfId="43" applyFont="1" applyBorder="1"/>
    <xf numFmtId="0" fontId="55" fillId="45" borderId="47" xfId="51" applyFont="1" applyFill="1" applyBorder="1" applyAlignment="1" applyProtection="1">
      <alignment horizontal="center" vertical="center" wrapText="1"/>
    </xf>
    <xf numFmtId="0" fontId="29" fillId="0" borderId="42" xfId="43" applyFont="1" applyBorder="1"/>
    <xf numFmtId="49" fontId="96" fillId="0" borderId="31" xfId="66" applyBorder="1">
      <alignment vertical="center" wrapText="1"/>
    </xf>
    <xf numFmtId="0" fontId="31" fillId="0" borderId="47" xfId="61" applyFill="1" applyProtection="1">
      <alignment horizontal="center" vertical="center" wrapText="1"/>
    </xf>
    <xf numFmtId="0" fontId="15" fillId="47" borderId="0" xfId="51" applyFont="1" applyFill="1" applyAlignment="1">
      <alignment horizontal="center" vertical="center" wrapText="1"/>
    </xf>
    <xf numFmtId="0" fontId="59" fillId="0" borderId="47" xfId="53" applyFont="1" applyFill="1" applyAlignment="1" applyProtection="1">
      <alignment horizontal="right"/>
    </xf>
    <xf numFmtId="0" fontId="63" fillId="45" borderId="158" xfId="42" applyFont="1" applyFill="1" applyBorder="1" applyAlignment="1">
      <alignment horizontal="center" vertical="center" wrapText="1"/>
    </xf>
    <xf numFmtId="0" fontId="19" fillId="0" borderId="19" xfId="43" applyFont="1" applyBorder="1" applyAlignment="1">
      <alignment horizontal="center"/>
    </xf>
    <xf numFmtId="166" fontId="71" fillId="42" borderId="24" xfId="44" applyNumberFormat="1" applyFont="1" applyFill="1" applyBorder="1" applyAlignment="1">
      <alignment vertical="center"/>
    </xf>
    <xf numFmtId="169" fontId="2" fillId="0" borderId="25" xfId="43" applyNumberFormat="1" applyBorder="1"/>
    <xf numFmtId="166" fontId="74" fillId="35" borderId="24" xfId="44" applyNumberFormat="1" applyFont="1" applyFill="1" applyBorder="1" applyAlignment="1" applyProtection="1">
      <alignment vertical="center"/>
      <protection locked="0"/>
    </xf>
    <xf numFmtId="166" fontId="74" fillId="43" borderId="24" xfId="44" applyNumberFormat="1" applyFont="1" applyFill="1" applyBorder="1" applyAlignment="1">
      <alignment vertical="center"/>
    </xf>
    <xf numFmtId="0" fontId="43" fillId="0" borderId="0" xfId="49" applyFont="1">
      <alignment vertical="center"/>
    </xf>
    <xf numFmtId="166" fontId="139" fillId="42" borderId="24" xfId="44" applyNumberFormat="1" applyFont="1" applyFill="1" applyBorder="1" applyAlignment="1">
      <alignment horizontal="center" vertical="center"/>
    </xf>
    <xf numFmtId="166" fontId="19" fillId="0" borderId="0" xfId="43" applyNumberFormat="1" applyFont="1" applyAlignment="1">
      <alignment horizontal="center"/>
    </xf>
    <xf numFmtId="0" fontId="34" fillId="35" borderId="24" xfId="45" applyFont="1" applyFill="1" applyBorder="1" applyAlignment="1" applyProtection="1">
      <alignment horizontal="left" vertical="center" wrapText="1" indent="1"/>
      <protection locked="0"/>
    </xf>
    <xf numFmtId="0" fontId="19" fillId="0" borderId="0" xfId="43" applyFont="1" applyAlignment="1">
      <alignment horizontal="center"/>
    </xf>
    <xf numFmtId="178" fontId="66" fillId="0" borderId="0" xfId="71" applyNumberFormat="1" applyFont="1" applyAlignment="1">
      <alignment horizontal="left" vertical="center" wrapText="1"/>
    </xf>
    <xf numFmtId="0" fontId="67" fillId="0" borderId="19" xfId="43" applyFont="1" applyBorder="1"/>
    <xf numFmtId="0" fontId="66" fillId="0" borderId="19" xfId="43" applyFont="1" applyBorder="1" applyAlignment="1">
      <alignment horizontal="left" vertical="center" wrapText="1"/>
    </xf>
    <xf numFmtId="0" fontId="30" fillId="0" borderId="0" xfId="43" applyFont="1" applyAlignment="1">
      <alignment horizontal="right" indent="1"/>
    </xf>
    <xf numFmtId="178" fontId="29" fillId="35" borderId="24" xfId="71" applyNumberFormat="1" applyFont="1" applyFill="1" applyBorder="1" applyAlignment="1" applyProtection="1">
      <alignment vertical="center"/>
    </xf>
    <xf numFmtId="178" fontId="74" fillId="0" borderId="24" xfId="71" applyNumberFormat="1" applyFont="1" applyFill="1" applyBorder="1" applyAlignment="1" applyProtection="1">
      <alignment vertical="center"/>
      <protection locked="0"/>
    </xf>
    <xf numFmtId="166" fontId="34" fillId="35" borderId="24" xfId="44" applyNumberFormat="1" applyFont="1" applyFill="1" applyBorder="1" applyAlignment="1">
      <alignment vertical="center"/>
    </xf>
    <xf numFmtId="0" fontId="74" fillId="0" borderId="0" xfId="43" applyFont="1" applyAlignment="1">
      <alignment horizontal="center" vertical="center"/>
    </xf>
    <xf numFmtId="0" fontId="93" fillId="35" borderId="24" xfId="45" applyFont="1" applyFill="1" applyBorder="1" applyAlignment="1" applyProtection="1">
      <alignment horizontal="left" vertical="center" wrapText="1" indent="1"/>
      <protection locked="0"/>
    </xf>
    <xf numFmtId="0" fontId="94" fillId="35" borderId="24" xfId="43" applyFont="1" applyFill="1" applyBorder="1" applyAlignment="1">
      <alignment horizontal="left" vertical="center" wrapText="1" indent="1"/>
    </xf>
    <xf numFmtId="0" fontId="36" fillId="0" borderId="0" xfId="43" applyFont="1" applyAlignment="1">
      <alignment horizontal="left" vertical="center" wrapText="1"/>
    </xf>
    <xf numFmtId="14" fontId="69" fillId="0" borderId="0" xfId="49" applyNumberFormat="1" applyFont="1" applyAlignment="1">
      <alignment vertical="center" wrapText="1"/>
    </xf>
    <xf numFmtId="0" fontId="83" fillId="0" borderId="0" xfId="43" applyFont="1" applyAlignment="1">
      <alignment horizontal="left" vertical="center"/>
    </xf>
    <xf numFmtId="14" fontId="74" fillId="35" borderId="24" xfId="44" applyNumberFormat="1" applyFont="1" applyFill="1" applyBorder="1" applyAlignment="1" applyProtection="1">
      <alignment vertical="center"/>
    </xf>
    <xf numFmtId="14" fontId="74" fillId="0" borderId="24" xfId="44" applyNumberFormat="1" applyFont="1" applyFill="1" applyBorder="1" applyAlignment="1" applyProtection="1">
      <alignment vertical="center"/>
      <protection locked="0"/>
    </xf>
    <xf numFmtId="167" fontId="94" fillId="35" borderId="24" xfId="43" applyNumberFormat="1" applyFont="1" applyFill="1" applyBorder="1" applyAlignment="1">
      <alignment horizontal="left" vertical="center" wrapText="1" indent="1"/>
    </xf>
    <xf numFmtId="0" fontId="18" fillId="0" borderId="31" xfId="43" applyFont="1" applyBorder="1"/>
    <xf numFmtId="0" fontId="32" fillId="0" borderId="159" xfId="43" applyFont="1" applyBorder="1" applyAlignment="1">
      <alignment horizontal="center" vertical="center" wrapText="1"/>
    </xf>
    <xf numFmtId="0" fontId="2" fillId="0" borderId="33" xfId="43" applyBorder="1" applyAlignment="1">
      <alignment vertical="center" wrapText="1"/>
    </xf>
    <xf numFmtId="0" fontId="31" fillId="0" borderId="29" xfId="46" applyBorder="1">
      <alignment horizontal="center" vertical="center" wrapText="1"/>
    </xf>
    <xf numFmtId="0" fontId="52" fillId="0" borderId="0" xfId="49" applyFont="1">
      <alignment vertical="center"/>
    </xf>
    <xf numFmtId="0" fontId="2" fillId="0" borderId="74" xfId="43" applyBorder="1"/>
    <xf numFmtId="0" fontId="18" fillId="0" borderId="0" xfId="43" applyFont="1" applyAlignment="1" applyProtection="1">
      <alignment vertical="center"/>
      <protection locked="0"/>
    </xf>
    <xf numFmtId="0" fontId="18" fillId="0" borderId="24" xfId="43" applyFont="1" applyBorder="1" applyAlignment="1" applyProtection="1">
      <alignment vertical="center"/>
      <protection locked="0"/>
    </xf>
    <xf numFmtId="0" fontId="15" fillId="47" borderId="92" xfId="51" applyFont="1" applyFill="1" applyBorder="1" applyAlignment="1">
      <alignment horizontal="center" vertical="center" wrapText="1"/>
    </xf>
    <xf numFmtId="0" fontId="38" fillId="0" borderId="0" xfId="53" applyFont="1" applyFill="1" applyBorder="1" applyAlignment="1" applyProtection="1">
      <alignment horizontal="center" vertical="center"/>
    </xf>
    <xf numFmtId="0" fontId="38" fillId="0" borderId="68" xfId="53" applyFont="1" applyFill="1" applyBorder="1" applyAlignment="1" applyProtection="1">
      <alignment horizontal="center" vertical="center"/>
    </xf>
    <xf numFmtId="0" fontId="30" fillId="35" borderId="21" xfId="43" applyFont="1" applyFill="1" applyBorder="1" applyAlignment="1">
      <alignment horizontal="left" vertical="center"/>
    </xf>
    <xf numFmtId="0" fontId="30" fillId="35" borderId="22" xfId="43" applyFont="1" applyFill="1" applyBorder="1" applyAlignment="1">
      <alignment horizontal="right" vertical="center"/>
    </xf>
    <xf numFmtId="0" fontId="63" fillId="45" borderId="0" xfId="42" applyFont="1" applyFill="1" applyAlignment="1">
      <alignment horizontal="center" vertical="center" wrapText="1"/>
    </xf>
    <xf numFmtId="0" fontId="81" fillId="0" borderId="49" xfId="43" applyFont="1" applyBorder="1"/>
    <xf numFmtId="0" fontId="81" fillId="0" borderId="49" xfId="43" applyFont="1" applyBorder="1" applyAlignment="1">
      <alignment horizontal="right"/>
    </xf>
    <xf numFmtId="49" fontId="96" fillId="0" borderId="49" xfId="76" applyBorder="1">
      <alignment vertical="center" wrapText="1"/>
    </xf>
    <xf numFmtId="49" fontId="96" fillId="0" borderId="100" xfId="76" applyBorder="1">
      <alignment vertical="center" wrapText="1"/>
    </xf>
    <xf numFmtId="179" fontId="74" fillId="0" borderId="0" xfId="77" applyFont="1" applyAlignment="1">
      <alignment horizontal="right" vertical="center" wrapText="1"/>
    </xf>
    <xf numFmtId="0" fontId="81" fillId="0" borderId="0" xfId="43" applyFont="1"/>
    <xf numFmtId="49" fontId="74" fillId="0" borderId="0" xfId="76" applyFont="1">
      <alignment vertical="center" wrapText="1"/>
    </xf>
    <xf numFmtId="49" fontId="96" fillId="0" borderId="46" xfId="76" applyBorder="1">
      <alignment vertical="center" wrapText="1"/>
    </xf>
    <xf numFmtId="0" fontId="81" fillId="0" borderId="79" xfId="43" applyFont="1" applyBorder="1"/>
    <xf numFmtId="0" fontId="81" fillId="0" borderId="79" xfId="43" applyFont="1" applyBorder="1" applyAlignment="1">
      <alignment horizontal="right"/>
    </xf>
    <xf numFmtId="49" fontId="96" fillId="0" borderId="79" xfId="76" applyBorder="1">
      <alignment vertical="center" wrapText="1"/>
    </xf>
    <xf numFmtId="49" fontId="96" fillId="0" borderId="80" xfId="76" applyBorder="1">
      <alignment vertical="center" wrapText="1"/>
    </xf>
    <xf numFmtId="0" fontId="81" fillId="0" borderId="0" xfId="43" applyFont="1" applyAlignment="1">
      <alignment horizontal="right"/>
    </xf>
    <xf numFmtId="0" fontId="81" fillId="0" borderId="100" xfId="43" applyFont="1" applyBorder="1"/>
    <xf numFmtId="180" fontId="74" fillId="0" borderId="0" xfId="78" applyFont="1">
      <alignment vertical="center" wrapText="1"/>
    </xf>
    <xf numFmtId="0" fontId="81" fillId="0" borderId="46" xfId="43" applyFont="1" applyBorder="1"/>
    <xf numFmtId="9" fontId="96" fillId="0" borderId="79" xfId="76" applyNumberFormat="1" applyBorder="1" applyAlignment="1">
      <alignment horizontal="right" vertical="center" wrapText="1"/>
    </xf>
    <xf numFmtId="3" fontId="96" fillId="0" borderId="79" xfId="76" applyNumberFormat="1" applyBorder="1" applyAlignment="1">
      <alignment horizontal="left" vertical="center" wrapText="1"/>
    </xf>
    <xf numFmtId="49" fontId="96" fillId="0" borderId="79" xfId="76" quotePrefix="1" applyBorder="1" applyAlignment="1">
      <alignment horizontal="center" vertical="center" wrapText="1"/>
    </xf>
    <xf numFmtId="3" fontId="96" fillId="0" borderId="79" xfId="76" applyNumberFormat="1" applyBorder="1">
      <alignment vertical="center" wrapText="1"/>
    </xf>
    <xf numFmtId="0" fontId="81" fillId="0" borderId="80" xfId="43" applyFont="1" applyBorder="1"/>
    <xf numFmtId="49" fontId="96" fillId="0" borderId="0" xfId="76">
      <alignment vertical="center" wrapText="1"/>
    </xf>
    <xf numFmtId="9" fontId="96" fillId="0" borderId="0" xfId="76" applyNumberFormat="1" applyAlignment="1">
      <alignment horizontal="right" vertical="center" wrapText="1"/>
    </xf>
    <xf numFmtId="181" fontId="74" fillId="0" borderId="0" xfId="76" applyNumberFormat="1" applyFont="1">
      <alignment vertical="center" wrapText="1"/>
    </xf>
    <xf numFmtId="44" fontId="74" fillId="0" borderId="0" xfId="79" applyFont="1">
      <alignment vertical="center" wrapText="1"/>
    </xf>
    <xf numFmtId="49" fontId="74" fillId="0" borderId="0" xfId="76" applyFont="1" applyAlignment="1">
      <alignment horizontal="right" vertical="center" wrapText="1"/>
    </xf>
    <xf numFmtId="3" fontId="74" fillId="0" borderId="0" xfId="80" applyFont="1" applyAlignment="1">
      <alignment horizontal="left" vertical="center" wrapText="1"/>
    </xf>
    <xf numFmtId="3" fontId="74" fillId="0" borderId="0" xfId="80" applyFont="1" applyAlignment="1">
      <alignment horizontal="right" vertical="center" wrapText="1"/>
    </xf>
    <xf numFmtId="10" fontId="74" fillId="0" borderId="0" xfId="82" applyNumberFormat="1" applyFont="1">
      <alignment horizontal="right" vertical="center" wrapText="1"/>
    </xf>
    <xf numFmtId="164" fontId="74" fillId="0" borderId="0" xfId="83" applyFont="1">
      <alignment horizontal="center" vertical="center" wrapText="1"/>
    </xf>
    <xf numFmtId="164" fontId="74" fillId="0" borderId="0" xfId="83" applyFont="1" applyAlignment="1">
      <alignment horizontal="right" vertical="center" wrapText="1"/>
    </xf>
    <xf numFmtId="49" fontId="74" fillId="0" borderId="0" xfId="76" applyFont="1" applyAlignment="1">
      <alignment horizontal="center" vertical="center" wrapText="1"/>
    </xf>
    <xf numFmtId="10" fontId="74" fillId="0" borderId="0" xfId="84" applyFont="1">
      <alignment horizontal="right" vertical="center" wrapText="1"/>
    </xf>
    <xf numFmtId="10" fontId="74" fillId="0" borderId="0" xfId="85" applyNumberFormat="1" applyFont="1">
      <alignment horizontal="right" vertical="center" wrapText="1"/>
    </xf>
    <xf numFmtId="3" fontId="74" fillId="0" borderId="0" xfId="80" applyFont="1">
      <alignment horizontal="center" vertical="center" wrapText="1"/>
    </xf>
    <xf numFmtId="49" fontId="66" fillId="0" borderId="0" xfId="76" applyFont="1">
      <alignment vertical="center" wrapText="1"/>
    </xf>
    <xf numFmtId="182" fontId="74" fillId="0" borderId="0" xfId="78" applyNumberFormat="1" applyFont="1">
      <alignment vertical="center" wrapText="1"/>
    </xf>
    <xf numFmtId="4" fontId="74" fillId="0" borderId="0" xfId="86" applyFont="1">
      <alignment horizontal="center" vertical="center" wrapText="1"/>
    </xf>
    <xf numFmtId="0" fontId="2" fillId="0" borderId="33" xfId="43" applyBorder="1" applyAlignment="1">
      <alignment vertical="center"/>
    </xf>
    <xf numFmtId="0" fontId="2" fillId="0" borderId="124" xfId="43" applyBorder="1"/>
    <xf numFmtId="183" fontId="74" fillId="0" borderId="0" xfId="87" applyFont="1" applyAlignment="1">
      <alignment horizontal="right" vertical="center" wrapText="1"/>
    </xf>
    <xf numFmtId="49" fontId="34" fillId="0" borderId="0" xfId="81" applyFont="1">
      <alignment horizontal="left" vertical="center" wrapText="1"/>
    </xf>
    <xf numFmtId="0" fontId="45" fillId="35" borderId="117" xfId="51" applyFont="1" applyFill="1" applyBorder="1" applyAlignment="1" applyProtection="1">
      <alignment horizontal="center" vertical="center" wrapText="1"/>
      <protection hidden="1"/>
    </xf>
    <xf numFmtId="49" fontId="96" fillId="0" borderId="48" xfId="76" applyBorder="1">
      <alignment vertical="center" wrapText="1"/>
    </xf>
    <xf numFmtId="49" fontId="96" fillId="0" borderId="51" xfId="76" applyBorder="1">
      <alignment vertical="center" wrapText="1"/>
    </xf>
    <xf numFmtId="49" fontId="96" fillId="0" borderId="95" xfId="76" applyBorder="1">
      <alignment vertical="center" wrapText="1"/>
    </xf>
    <xf numFmtId="49" fontId="96" fillId="0" borderId="37" xfId="76" applyBorder="1">
      <alignment vertical="center" wrapText="1"/>
    </xf>
    <xf numFmtId="9" fontId="96" fillId="0" borderId="27" xfId="85" applyBorder="1">
      <alignment horizontal="right" vertical="center" wrapText="1"/>
    </xf>
    <xf numFmtId="49" fontId="96" fillId="0" borderId="27" xfId="76" applyBorder="1">
      <alignment vertical="center" wrapText="1"/>
    </xf>
    <xf numFmtId="49" fontId="96" fillId="0" borderId="38" xfId="76" applyBorder="1">
      <alignment vertical="center" wrapText="1"/>
    </xf>
    <xf numFmtId="49" fontId="96" fillId="0" borderId="65" xfId="76" applyBorder="1">
      <alignment vertical="center" wrapText="1"/>
    </xf>
    <xf numFmtId="0" fontId="2" fillId="0" borderId="33" xfId="43" applyBorder="1" applyAlignment="1">
      <alignment wrapText="1"/>
    </xf>
    <xf numFmtId="0" fontId="2" fillId="0" borderId="43" xfId="43" applyBorder="1" applyAlignment="1">
      <alignment vertical="center" wrapText="1"/>
    </xf>
    <xf numFmtId="0" fontId="2" fillId="0" borderId="0" xfId="43" applyAlignment="1">
      <alignment vertical="center" wrapText="1"/>
    </xf>
    <xf numFmtId="180" fontId="74" fillId="0" borderId="0" xfId="76" applyNumberFormat="1" applyFont="1">
      <alignment vertical="center" wrapText="1"/>
    </xf>
    <xf numFmtId="0" fontId="2" fillId="0" borderId="65" xfId="43" applyBorder="1" applyAlignment="1">
      <alignment horizontal="center" vertical="top"/>
    </xf>
    <xf numFmtId="10" fontId="74" fillId="0" borderId="0" xfId="85" applyNumberFormat="1" applyFont="1" applyAlignment="1">
      <alignment vertical="center" wrapText="1"/>
    </xf>
    <xf numFmtId="49" fontId="31" fillId="0" borderId="0" xfId="81" applyAlignment="1">
      <alignment horizontal="right" vertical="center"/>
    </xf>
    <xf numFmtId="49" fontId="31" fillId="0" borderId="0" xfId="81" applyAlignment="1">
      <alignment vertical="center" wrapText="1"/>
    </xf>
    <xf numFmtId="0" fontId="2" fillId="0" borderId="79" xfId="43" applyBorder="1" applyAlignment="1">
      <alignment wrapText="1"/>
    </xf>
    <xf numFmtId="0" fontId="2" fillId="0" borderId="79" xfId="43" applyBorder="1" applyAlignment="1">
      <alignment vertical="center" wrapText="1"/>
    </xf>
    <xf numFmtId="0" fontId="2" fillId="0" borderId="80" xfId="43" applyBorder="1" applyAlignment="1">
      <alignment vertical="center" wrapText="1"/>
    </xf>
    <xf numFmtId="9" fontId="74" fillId="0" borderId="0" xfId="85" applyFont="1">
      <alignment horizontal="right" vertical="center" wrapText="1"/>
    </xf>
    <xf numFmtId="180" fontId="74" fillId="0" borderId="0" xfId="78" applyFont="1" applyAlignment="1">
      <alignment horizontal="right" vertical="center" wrapText="1"/>
    </xf>
    <xf numFmtId="178" fontId="96" fillId="0" borderId="27" xfId="82" applyBorder="1">
      <alignment horizontal="right" vertical="center" wrapText="1"/>
    </xf>
    <xf numFmtId="180" fontId="96" fillId="0" borderId="27" xfId="89" applyBorder="1">
      <alignment vertical="center" wrapText="1"/>
    </xf>
    <xf numFmtId="9" fontId="96" fillId="0" borderId="0" xfId="85">
      <alignment horizontal="right" vertical="center" wrapText="1"/>
    </xf>
    <xf numFmtId="180" fontId="96" fillId="0" borderId="0" xfId="89">
      <alignment vertical="center" wrapText="1"/>
    </xf>
    <xf numFmtId="178" fontId="96" fillId="0" borderId="0" xfId="82">
      <alignment horizontal="right" vertical="center" wrapText="1"/>
    </xf>
    <xf numFmtId="49" fontId="144" fillId="0" borderId="0" xfId="76" applyFont="1" applyAlignment="1">
      <alignment horizontal="center" vertical="center" wrapText="1"/>
    </xf>
    <xf numFmtId="180" fontId="2" fillId="0" borderId="0" xfId="43" applyNumberFormat="1"/>
    <xf numFmtId="0" fontId="2" fillId="0" borderId="96" xfId="43" applyBorder="1" applyAlignment="1">
      <alignment vertical="center" wrapText="1"/>
    </xf>
    <xf numFmtId="49" fontId="96" fillId="0" borderId="50" xfId="76" applyBorder="1">
      <alignment vertical="center" wrapText="1"/>
    </xf>
    <xf numFmtId="49" fontId="96" fillId="0" borderId="52" xfId="76" applyBorder="1">
      <alignment vertical="center" wrapText="1"/>
    </xf>
    <xf numFmtId="0" fontId="2" fillId="0" borderId="52" xfId="43" applyBorder="1" applyAlignment="1">
      <alignment vertical="center" wrapText="1"/>
    </xf>
    <xf numFmtId="164" fontId="57" fillId="0" borderId="0" xfId="90" applyAlignment="1">
      <alignment horizontal="left" vertical="center" wrapText="1"/>
    </xf>
    <xf numFmtId="0" fontId="63" fillId="39" borderId="47" xfId="42" applyFont="1" applyFill="1" applyBorder="1" applyAlignment="1">
      <alignment horizontal="center" vertical="center" wrapText="1"/>
    </xf>
    <xf numFmtId="0" fontId="86" fillId="0" borderId="0" xfId="43" applyFont="1" applyAlignment="1">
      <alignment wrapText="1"/>
    </xf>
    <xf numFmtId="0" fontId="86" fillId="0" borderId="0" xfId="43" applyFont="1" applyAlignment="1">
      <alignment vertical="center" wrapText="1"/>
    </xf>
    <xf numFmtId="0" fontId="145" fillId="0" borderId="0" xfId="43" applyFont="1"/>
    <xf numFmtId="0" fontId="145" fillId="0" borderId="0" xfId="43" applyFont="1" applyAlignment="1">
      <alignment horizontal="center" vertical="center"/>
    </xf>
    <xf numFmtId="170" fontId="146" fillId="48" borderId="24" xfId="91" applyNumberFormat="1" applyFont="1" applyFill="1" applyBorder="1" applyAlignment="1" applyProtection="1">
      <alignment vertical="center"/>
      <protection locked="0"/>
    </xf>
    <xf numFmtId="170" fontId="30" fillId="0" borderId="0" xfId="43" applyNumberFormat="1" applyFont="1" applyAlignment="1">
      <alignment vertical="center"/>
    </xf>
    <xf numFmtId="170" fontId="70" fillId="35" borderId="24" xfId="91" applyNumberFormat="1" applyFont="1" applyFill="1" applyBorder="1" applyAlignment="1" applyProtection="1">
      <alignment vertical="center"/>
    </xf>
    <xf numFmtId="170" fontId="145" fillId="0" borderId="70" xfId="91" applyNumberFormat="1" applyFont="1" applyBorder="1" applyAlignment="1">
      <alignment vertical="center"/>
    </xf>
    <xf numFmtId="0" fontId="145" fillId="0" borderId="0" xfId="43" applyFont="1" applyAlignment="1">
      <alignment vertical="center"/>
    </xf>
    <xf numFmtId="0" fontId="18" fillId="0" borderId="0" xfId="43" applyFont="1" applyAlignment="1">
      <alignment vertical="center" wrapText="1"/>
    </xf>
    <xf numFmtId="0" fontId="29" fillId="0" borderId="0" xfId="43" applyFont="1" applyProtection="1">
      <protection locked="0"/>
    </xf>
    <xf numFmtId="165" fontId="2" fillId="0" borderId="0" xfId="44" applyFont="1" applyFill="1" applyProtection="1"/>
    <xf numFmtId="170" fontId="34" fillId="0" borderId="0" xfId="91" applyNumberFormat="1" applyFont="1" applyFill="1" applyBorder="1" applyAlignment="1" applyProtection="1">
      <alignment vertical="center"/>
    </xf>
    <xf numFmtId="170" fontId="34" fillId="0" borderId="69" xfId="91" applyNumberFormat="1" applyFont="1" applyFill="1" applyBorder="1" applyAlignment="1" applyProtection="1">
      <alignment vertical="center"/>
      <protection locked="0"/>
    </xf>
    <xf numFmtId="0" fontId="29" fillId="0" borderId="0" xfId="43" applyFont="1" applyAlignment="1">
      <alignment vertical="center" wrapText="1"/>
    </xf>
    <xf numFmtId="0" fontId="2" fillId="50" borderId="0" xfId="43" applyFill="1"/>
    <xf numFmtId="165" fontId="2" fillId="50" borderId="0" xfId="44" applyFont="1" applyFill="1" applyProtection="1"/>
    <xf numFmtId="165" fontId="2" fillId="51" borderId="0" xfId="44" applyFont="1" applyFill="1" applyProtection="1"/>
    <xf numFmtId="165" fontId="0" fillId="51" borderId="0" xfId="44" applyFont="1" applyFill="1" applyProtection="1"/>
    <xf numFmtId="0" fontId="77" fillId="49" borderId="59" xfId="92" applyFont="1" applyFill="1" applyBorder="1">
      <alignment horizontal="center" vertical="center" wrapText="1"/>
    </xf>
    <xf numFmtId="166" fontId="29" fillId="0" borderId="24" xfId="44" applyNumberFormat="1" applyFont="1" applyBorder="1" applyAlignment="1" applyProtection="1">
      <alignment horizontal="center" vertical="center"/>
      <protection locked="0"/>
    </xf>
    <xf numFmtId="170" fontId="29" fillId="48" borderId="24" xfId="91" applyNumberFormat="1" applyFont="1" applyFill="1" applyBorder="1" applyAlignment="1" applyProtection="1">
      <alignment vertical="center"/>
      <protection locked="0"/>
    </xf>
    <xf numFmtId="170" fontId="34" fillId="35" borderId="24" xfId="91" applyNumberFormat="1" applyFont="1" applyFill="1" applyBorder="1" applyAlignment="1" applyProtection="1">
      <alignment vertical="center"/>
    </xf>
    <xf numFmtId="170" fontId="34" fillId="48" borderId="24" xfId="91" applyNumberFormat="1" applyFont="1" applyFill="1" applyBorder="1" applyAlignment="1" applyProtection="1">
      <alignment vertical="center"/>
      <protection locked="0"/>
    </xf>
    <xf numFmtId="170" fontId="29" fillId="0" borderId="0" xfId="43" applyNumberFormat="1" applyFont="1"/>
    <xf numFmtId="170" fontId="30" fillId="0" borderId="0" xfId="43" applyNumberFormat="1" applyFont="1"/>
    <xf numFmtId="170" fontId="2" fillId="0" borderId="0" xfId="43" applyNumberFormat="1"/>
    <xf numFmtId="168" fontId="0" fillId="0" borderId="0" xfId="44" applyNumberFormat="1" applyFont="1" applyFill="1" applyBorder="1" applyProtection="1">
      <protection locked="0"/>
    </xf>
    <xf numFmtId="170" fontId="30" fillId="0" borderId="0" xfId="43" applyNumberFormat="1" applyFont="1" applyAlignment="1" applyProtection="1">
      <alignment vertical="center"/>
      <protection locked="0"/>
    </xf>
    <xf numFmtId="170" fontId="0" fillId="0" borderId="0" xfId="91" applyNumberFormat="1" applyFont="1" applyBorder="1" applyAlignment="1">
      <alignment vertical="center"/>
    </xf>
    <xf numFmtId="0" fontId="36" fillId="35" borderId="21" xfId="51" quotePrefix="1" applyFont="1" applyFill="1" applyBorder="1" applyAlignment="1">
      <alignment vertical="center" wrapText="1"/>
    </xf>
    <xf numFmtId="0" fontId="36" fillId="35" borderId="35" xfId="51" applyFont="1" applyFill="1" applyBorder="1" applyAlignment="1">
      <alignment vertical="center" wrapText="1"/>
    </xf>
    <xf numFmtId="0" fontId="36" fillId="35" borderId="22" xfId="51" applyFont="1" applyFill="1" applyBorder="1" applyAlignment="1">
      <alignment vertical="center" wrapText="1"/>
    </xf>
    <xf numFmtId="0" fontId="36" fillId="35" borderId="24" xfId="51" quotePrefix="1" applyFont="1" applyFill="1" applyBorder="1" applyAlignment="1">
      <alignment horizontal="center" vertical="center" wrapText="1"/>
    </xf>
    <xf numFmtId="170" fontId="31" fillId="35" borderId="24" xfId="91" applyNumberFormat="1" applyFont="1" applyFill="1" applyBorder="1" applyAlignment="1" applyProtection="1">
      <alignment vertical="center"/>
    </xf>
    <xf numFmtId="170" fontId="148" fillId="0" borderId="0" xfId="91" applyNumberFormat="1" applyFont="1" applyBorder="1" applyAlignment="1">
      <alignment horizontal="right" vertical="center"/>
    </xf>
    <xf numFmtId="170" fontId="85" fillId="0" borderId="0" xfId="43" applyNumberFormat="1" applyFont="1" applyAlignment="1">
      <alignment vertical="center"/>
    </xf>
    <xf numFmtId="170" fontId="34" fillId="48" borderId="24" xfId="91" applyNumberFormat="1" applyFont="1" applyFill="1" applyBorder="1" applyAlignment="1" applyProtection="1">
      <alignment vertical="center" wrapText="1"/>
      <protection locked="0"/>
    </xf>
    <xf numFmtId="0" fontId="29" fillId="0" borderId="0" xfId="43" applyFont="1" applyAlignment="1">
      <alignment wrapText="1"/>
    </xf>
    <xf numFmtId="170" fontId="29" fillId="0" borderId="0" xfId="43" applyNumberFormat="1" applyFont="1" applyAlignment="1">
      <alignment vertical="center"/>
    </xf>
    <xf numFmtId="0" fontId="45" fillId="0" borderId="0" xfId="51" applyFont="1" applyFill="1" applyAlignment="1">
      <alignment horizontal="left" vertical="center" wrapText="1"/>
    </xf>
    <xf numFmtId="170" fontId="85" fillId="35" borderId="21" xfId="51" applyNumberFormat="1" applyFont="1" applyFill="1" applyBorder="1" applyAlignment="1">
      <alignment vertical="center" wrapText="1"/>
    </xf>
    <xf numFmtId="170" fontId="85" fillId="35" borderId="35" xfId="51" applyNumberFormat="1" applyFont="1" applyFill="1" applyBorder="1" applyAlignment="1">
      <alignment vertical="center" wrapText="1"/>
    </xf>
    <xf numFmtId="170" fontId="45" fillId="35" borderId="35" xfId="51" applyNumberFormat="1" applyFont="1" applyFill="1" applyBorder="1" applyAlignment="1">
      <alignment vertical="center" wrapText="1"/>
    </xf>
    <xf numFmtId="0" fontId="45" fillId="35" borderId="35" xfId="51" applyFont="1" applyFill="1" applyBorder="1" applyAlignment="1">
      <alignment vertical="center" wrapText="1"/>
    </xf>
    <xf numFmtId="0" fontId="86" fillId="35" borderId="35" xfId="51" applyFont="1" applyFill="1" applyBorder="1" applyAlignment="1">
      <alignment vertical="center" wrapText="1"/>
    </xf>
    <xf numFmtId="0" fontId="85" fillId="35" borderId="35" xfId="51" applyFont="1" applyFill="1" applyBorder="1" applyAlignment="1">
      <alignment horizontal="center" vertical="center" wrapText="1"/>
    </xf>
    <xf numFmtId="0" fontId="45" fillId="35" borderId="22" xfId="51" applyFont="1" applyFill="1" applyBorder="1" applyAlignment="1">
      <alignment horizontal="center" vertical="center" wrapText="1"/>
    </xf>
    <xf numFmtId="0" fontId="45" fillId="0" borderId="0" xfId="51" quotePrefix="1" applyFont="1" applyFill="1" applyBorder="1" applyAlignment="1">
      <alignment horizontal="center" vertical="center" wrapText="1"/>
    </xf>
    <xf numFmtId="0" fontId="45" fillId="0" borderId="0" xfId="51" applyFont="1" applyFill="1" applyAlignment="1">
      <alignment horizontal="center" vertical="center" wrapText="1"/>
    </xf>
    <xf numFmtId="170" fontId="85" fillId="0" borderId="0" xfId="51" applyNumberFormat="1" applyFont="1" applyFill="1" applyAlignment="1">
      <alignment horizontal="left" vertical="center" wrapText="1"/>
    </xf>
    <xf numFmtId="170" fontId="45" fillId="0" borderId="0" xfId="51" applyNumberFormat="1" applyFont="1" applyFill="1" applyAlignment="1">
      <alignment horizontal="left" vertical="center" wrapText="1"/>
    </xf>
    <xf numFmtId="0" fontId="86" fillId="0" borderId="0" xfId="51" applyFont="1" applyFill="1" applyAlignment="1">
      <alignment horizontal="left" vertical="center" wrapText="1"/>
    </xf>
    <xf numFmtId="0" fontId="85" fillId="0" borderId="0" xfId="51" applyFont="1" applyFill="1" applyAlignment="1">
      <alignment horizontal="center" vertical="center" wrapText="1"/>
    </xf>
    <xf numFmtId="0" fontId="2" fillId="0" borderId="0" xfId="43" quotePrefix="1"/>
    <xf numFmtId="168" fontId="0" fillId="0" borderId="0" xfId="44" applyNumberFormat="1" applyFont="1" applyFill="1" applyBorder="1" applyAlignment="1" applyProtection="1">
      <alignment horizontal="center" vertical="center"/>
      <protection locked="0"/>
    </xf>
    <xf numFmtId="170" fontId="29" fillId="0" borderId="0" xfId="91" applyNumberFormat="1" applyFont="1" applyAlignment="1">
      <alignment vertical="center"/>
    </xf>
    <xf numFmtId="0" fontId="30" fillId="0" borderId="0" xfId="43" applyFont="1" applyAlignment="1">
      <alignment vertical="center" wrapText="1"/>
    </xf>
    <xf numFmtId="170" fontId="29" fillId="48" borderId="24" xfId="91" applyNumberFormat="1" applyFont="1" applyFill="1" applyBorder="1" applyAlignment="1" applyProtection="1">
      <alignment horizontal="center" vertical="center"/>
      <protection locked="0"/>
    </xf>
    <xf numFmtId="170" fontId="34" fillId="48" borderId="24" xfId="44" applyNumberFormat="1" applyFont="1" applyFill="1" applyBorder="1" applyAlignment="1" applyProtection="1">
      <alignment horizontal="center" vertical="center"/>
      <protection locked="0"/>
    </xf>
    <xf numFmtId="170" fontId="29" fillId="0" borderId="163" xfId="91" applyNumberFormat="1" applyFont="1" applyFill="1" applyBorder="1" applyAlignment="1" applyProtection="1">
      <alignment vertical="center"/>
      <protection locked="0"/>
    </xf>
    <xf numFmtId="170" fontId="34" fillId="0" borderId="28" xfId="44" applyNumberFormat="1" applyFont="1" applyFill="1" applyBorder="1" applyAlignment="1" applyProtection="1">
      <alignment vertical="center"/>
      <protection locked="0"/>
    </xf>
    <xf numFmtId="0" fontId="18" fillId="0" borderId="0" xfId="43" applyFont="1" applyProtection="1">
      <protection locked="0"/>
    </xf>
    <xf numFmtId="0" fontId="45" fillId="35" borderId="35" xfId="51" applyFont="1" applyFill="1" applyBorder="1" applyAlignment="1">
      <alignment horizontal="center" vertical="center" wrapText="1"/>
    </xf>
    <xf numFmtId="0" fontId="45" fillId="35" borderId="24" xfId="51" quotePrefix="1" applyFont="1" applyFill="1" applyBorder="1" applyAlignment="1">
      <alignment horizontal="center" vertical="center" wrapText="1"/>
    </xf>
    <xf numFmtId="0" fontId="2" fillId="0" borderId="0" xfId="43" applyAlignment="1" applyProtection="1">
      <alignment horizontal="center" vertical="center"/>
      <protection locked="0"/>
    </xf>
    <xf numFmtId="170" fontId="29" fillId="0" borderId="0" xfId="43" applyNumberFormat="1" applyFont="1" applyAlignment="1" applyProtection="1">
      <alignment vertical="center"/>
      <protection locked="0"/>
    </xf>
    <xf numFmtId="170" fontId="2" fillId="0" borderId="0" xfId="43" applyNumberFormat="1" applyAlignment="1" applyProtection="1">
      <alignment vertical="center"/>
      <protection locked="0"/>
    </xf>
    <xf numFmtId="0" fontId="86" fillId="0" borderId="0" xfId="43" applyFont="1" applyAlignment="1" applyProtection="1">
      <alignment vertical="center" wrapText="1"/>
      <protection locked="0"/>
    </xf>
    <xf numFmtId="0" fontId="2" fillId="0" borderId="0" xfId="43" applyAlignment="1" applyProtection="1">
      <alignment vertical="center" wrapText="1"/>
      <protection locked="0"/>
    </xf>
    <xf numFmtId="0" fontId="2" fillId="51" borderId="0" xfId="43" applyFill="1"/>
    <xf numFmtId="170" fontId="34" fillId="0" borderId="24" xfId="91" applyNumberFormat="1" applyFont="1" applyFill="1" applyBorder="1" applyAlignment="1" applyProtection="1">
      <alignment vertical="center"/>
      <protection locked="0"/>
    </xf>
    <xf numFmtId="170" fontId="34" fillId="48" borderId="24" xfId="91" applyNumberFormat="1" applyFont="1" applyFill="1" applyBorder="1" applyAlignment="1" applyProtection="1">
      <alignment horizontal="center" vertical="center"/>
      <protection locked="0"/>
    </xf>
    <xf numFmtId="170" fontId="29" fillId="48" borderId="24" xfId="44" applyNumberFormat="1" applyFont="1" applyFill="1" applyBorder="1" applyAlignment="1" applyProtection="1">
      <alignment horizontal="center" vertical="center"/>
      <protection locked="0"/>
    </xf>
    <xf numFmtId="170" fontId="29" fillId="48" borderId="24" xfId="44" applyNumberFormat="1" applyFont="1" applyFill="1" applyBorder="1" applyAlignment="1" applyProtection="1">
      <alignment vertical="center"/>
      <protection locked="0"/>
    </xf>
    <xf numFmtId="170" fontId="34" fillId="48" borderId="24" xfId="44" applyNumberFormat="1" applyFont="1" applyFill="1" applyBorder="1" applyAlignment="1" applyProtection="1">
      <alignment vertical="center"/>
      <protection locked="0"/>
    </xf>
    <xf numFmtId="0" fontId="34" fillId="0" borderId="28" xfId="48" applyNumberFormat="1" applyFill="1" applyAlignment="1">
      <alignment horizontal="left" vertical="center" wrapText="1"/>
      <protection locked="0"/>
    </xf>
    <xf numFmtId="0" fontId="18" fillId="0" borderId="0" xfId="43" applyFont="1" applyAlignment="1" applyProtection="1">
      <alignment horizontal="center" vertical="center"/>
      <protection locked="0"/>
    </xf>
    <xf numFmtId="170" fontId="30" fillId="48" borderId="24" xfId="43" applyNumberFormat="1" applyFont="1" applyFill="1" applyBorder="1" applyAlignment="1" applyProtection="1">
      <alignment vertical="center"/>
      <protection locked="0"/>
    </xf>
    <xf numFmtId="170" fontId="31" fillId="35" borderId="24" xfId="48" applyNumberFormat="1" applyFont="1" applyBorder="1" applyProtection="1">
      <alignment vertical="center"/>
    </xf>
    <xf numFmtId="0" fontId="29" fillId="0" borderId="0" xfId="43" applyFont="1" applyAlignment="1" applyProtection="1">
      <alignment vertical="center" wrapText="1"/>
      <protection locked="0"/>
    </xf>
    <xf numFmtId="170" fontId="29" fillId="48" borderId="24" xfId="43" applyNumberFormat="1" applyFont="1" applyFill="1" applyBorder="1" applyProtection="1">
      <protection locked="0"/>
    </xf>
    <xf numFmtId="165" fontId="2" fillId="51" borderId="0" xfId="44" applyFont="1" applyFill="1" applyAlignment="1" applyProtection="1">
      <alignment vertical="center"/>
    </xf>
    <xf numFmtId="170" fontId="34" fillId="0" borderId="70" xfId="48" applyNumberFormat="1" applyFill="1" applyBorder="1" applyProtection="1">
      <alignment vertical="center"/>
    </xf>
    <xf numFmtId="170" fontId="34" fillId="0" borderId="70" xfId="48" applyNumberFormat="1" applyFill="1" applyBorder="1">
      <alignment vertical="center"/>
      <protection locked="0"/>
    </xf>
    <xf numFmtId="170" fontId="2" fillId="48" borderId="26" xfId="43" applyNumberFormat="1" applyFill="1" applyBorder="1" applyAlignment="1" applyProtection="1">
      <alignment vertical="center"/>
      <protection locked="0"/>
    </xf>
    <xf numFmtId="170" fontId="2" fillId="48" borderId="24" xfId="43" applyNumberFormat="1" applyFill="1" applyBorder="1" applyAlignment="1" applyProtection="1">
      <alignment vertical="center"/>
      <protection locked="0"/>
    </xf>
    <xf numFmtId="170" fontId="34" fillId="0" borderId="0" xfId="48" applyNumberFormat="1" applyFill="1" applyBorder="1" applyProtection="1">
      <alignment vertical="center"/>
    </xf>
    <xf numFmtId="170" fontId="34" fillId="0" borderId="28" xfId="48" applyNumberFormat="1" applyFill="1">
      <alignment vertical="center"/>
      <protection locked="0"/>
    </xf>
    <xf numFmtId="0" fontId="30" fillId="0" borderId="0" xfId="43" applyFont="1" applyProtection="1">
      <protection locked="0"/>
    </xf>
    <xf numFmtId="170" fontId="18" fillId="0" borderId="0" xfId="43" applyNumberFormat="1" applyFont="1" applyAlignment="1">
      <alignment vertical="center"/>
    </xf>
    <xf numFmtId="170" fontId="31" fillId="48" borderId="24" xfId="48" applyNumberFormat="1" applyFont="1" applyFill="1" applyBorder="1">
      <alignment vertical="center"/>
      <protection locked="0"/>
    </xf>
    <xf numFmtId="170" fontId="31" fillId="0" borderId="28" xfId="48" applyNumberFormat="1" applyFont="1" applyFill="1">
      <alignment vertical="center"/>
      <protection locked="0"/>
    </xf>
    <xf numFmtId="165" fontId="2" fillId="50" borderId="0" xfId="43" applyNumberFormat="1" applyFill="1"/>
    <xf numFmtId="168" fontId="0" fillId="0" borderId="0" xfId="44" applyNumberFormat="1" applyFont="1" applyAlignment="1" applyProtection="1">
      <alignment vertical="center"/>
      <protection locked="0"/>
    </xf>
    <xf numFmtId="0" fontId="86" fillId="0" borderId="69" xfId="43" applyFont="1" applyBorder="1" applyAlignment="1">
      <alignment vertical="center" wrapText="1"/>
    </xf>
    <xf numFmtId="0" fontId="29" fillId="0" borderId="69" xfId="43" applyFont="1" applyBorder="1" applyAlignment="1">
      <alignment vertical="center" wrapText="1"/>
    </xf>
    <xf numFmtId="0" fontId="34" fillId="0" borderId="28" xfId="48" applyNumberFormat="1" applyFill="1">
      <alignment vertical="center"/>
      <protection locked="0"/>
    </xf>
    <xf numFmtId="0" fontId="18" fillId="0" borderId="0" xfId="43" applyFont="1" applyAlignment="1" applyProtection="1">
      <alignment horizontal="center" wrapText="1"/>
      <protection locked="0"/>
    </xf>
    <xf numFmtId="170" fontId="30" fillId="0" borderId="19" xfId="43" applyNumberFormat="1" applyFont="1" applyBorder="1" applyAlignment="1" applyProtection="1">
      <alignment horizontal="center" vertical="center" wrapText="1"/>
      <protection locked="0"/>
    </xf>
    <xf numFmtId="170" fontId="18" fillId="0" borderId="19" xfId="43" applyNumberFormat="1" applyFont="1" applyBorder="1" applyAlignment="1" applyProtection="1">
      <alignment horizontal="center" vertical="center" wrapText="1"/>
      <protection locked="0"/>
    </xf>
    <xf numFmtId="0" fontId="18" fillId="0" borderId="19" xfId="43" applyFont="1" applyBorder="1" applyAlignment="1" applyProtection="1">
      <alignment horizontal="center" vertical="center" wrapText="1"/>
      <protection locked="0"/>
    </xf>
    <xf numFmtId="0" fontId="86" fillId="0" borderId="19" xfId="43" applyFont="1" applyBorder="1" applyAlignment="1">
      <alignment vertical="center" wrapText="1"/>
    </xf>
    <xf numFmtId="0" fontId="30" fillId="0" borderId="19" xfId="43" applyFont="1" applyBorder="1" applyAlignment="1">
      <alignment vertical="center" wrapText="1"/>
    </xf>
    <xf numFmtId="165" fontId="54" fillId="51" borderId="0" xfId="44" applyFont="1" applyFill="1" applyProtection="1"/>
    <xf numFmtId="0" fontId="2" fillId="0" borderId="164" xfId="43" applyBorder="1"/>
    <xf numFmtId="0" fontId="34" fillId="0" borderId="70" xfId="48" applyNumberFormat="1" applyFill="1" applyBorder="1">
      <alignment vertical="center"/>
      <protection locked="0"/>
    </xf>
    <xf numFmtId="0" fontId="30" fillId="0" borderId="0" xfId="43" applyFont="1" applyAlignment="1" applyProtection="1">
      <alignment vertical="center"/>
      <protection locked="0"/>
    </xf>
    <xf numFmtId="0" fontId="18" fillId="0" borderId="0" xfId="43" applyFont="1" applyAlignment="1">
      <alignment horizontal="center" vertical="center" wrapText="1"/>
    </xf>
    <xf numFmtId="0" fontId="30" fillId="0" borderId="0" xfId="43" applyFont="1" applyAlignment="1">
      <alignment horizontal="center" vertical="center" wrapText="1"/>
    </xf>
    <xf numFmtId="0" fontId="18" fillId="0" borderId="0" xfId="43" applyFont="1" applyAlignment="1" applyProtection="1">
      <alignment horizontal="center" vertical="center" wrapText="1"/>
      <protection locked="0"/>
    </xf>
    <xf numFmtId="0" fontId="30" fillId="0" borderId="19" xfId="43" applyFont="1" applyBorder="1" applyAlignment="1" applyProtection="1">
      <alignment horizontal="center" vertical="center" wrapText="1"/>
      <protection locked="0"/>
    </xf>
    <xf numFmtId="0" fontId="86" fillId="0" borderId="19" xfId="43" applyFont="1" applyBorder="1" applyAlignment="1">
      <alignment horizontal="left" vertical="center" wrapText="1"/>
    </xf>
    <xf numFmtId="0" fontId="30" fillId="0" borderId="19" xfId="43" applyFont="1" applyBorder="1" applyAlignment="1">
      <alignment horizontal="left" vertical="center" wrapText="1"/>
    </xf>
    <xf numFmtId="0" fontId="30" fillId="0" borderId="0" xfId="43" applyFont="1" applyAlignment="1" applyProtection="1">
      <alignment horizontal="center" vertical="center" wrapText="1"/>
      <protection locked="0"/>
    </xf>
    <xf numFmtId="0" fontId="151" fillId="0" borderId="0" xfId="43" applyFont="1"/>
    <xf numFmtId="0" fontId="151" fillId="0" borderId="0" xfId="43" applyFont="1" applyProtection="1">
      <protection locked="0"/>
    </xf>
    <xf numFmtId="0" fontId="151" fillId="0" borderId="0" xfId="43" applyFont="1" applyAlignment="1" applyProtection="1">
      <alignment horizontal="center" vertical="center"/>
      <protection locked="0"/>
    </xf>
    <xf numFmtId="0" fontId="145" fillId="0" borderId="0" xfId="43" applyFont="1" applyAlignment="1">
      <alignment wrapText="1"/>
    </xf>
    <xf numFmtId="0" fontId="145" fillId="0" borderId="0" xfId="43" applyFont="1" applyProtection="1">
      <protection locked="0"/>
    </xf>
    <xf numFmtId="0" fontId="45" fillId="0" borderId="0" xfId="51" applyFont="1" applyFill="1" applyAlignment="1" applyProtection="1">
      <alignment horizontal="left" vertical="center" wrapText="1"/>
    </xf>
    <xf numFmtId="0" fontId="45" fillId="35" borderId="21" xfId="51" applyFont="1" applyFill="1" applyBorder="1" applyAlignment="1">
      <alignment vertical="center" wrapText="1"/>
    </xf>
    <xf numFmtId="0" fontId="85" fillId="35" borderId="35" xfId="51" applyFont="1" applyFill="1" applyBorder="1" applyAlignment="1">
      <alignment vertical="center" wrapText="1"/>
    </xf>
    <xf numFmtId="0" fontId="18" fillId="0" borderId="0" xfId="43" applyFont="1" applyAlignment="1">
      <alignment horizontal="center" vertical="center"/>
    </xf>
    <xf numFmtId="0" fontId="30" fillId="0" borderId="24" xfId="43" applyFont="1" applyBorder="1" applyAlignment="1">
      <alignment horizontal="center" vertical="center"/>
    </xf>
    <xf numFmtId="0" fontId="30" fillId="0" borderId="165" xfId="43" applyFont="1" applyBorder="1" applyAlignment="1">
      <alignment vertical="center"/>
    </xf>
    <xf numFmtId="0" fontId="29" fillId="35" borderId="24" xfId="43" applyFont="1" applyFill="1" applyBorder="1" applyAlignment="1">
      <alignment horizontal="center" vertical="center"/>
    </xf>
    <xf numFmtId="0" fontId="30" fillId="0" borderId="0" xfId="43" applyFont="1" applyAlignment="1">
      <alignment horizontal="right" vertical="center"/>
    </xf>
    <xf numFmtId="49" fontId="96" fillId="0" borderId="25" xfId="66" applyBorder="1">
      <alignment vertical="center" wrapText="1"/>
    </xf>
    <xf numFmtId="1" fontId="29" fillId="48" borderId="24" xfId="43" applyNumberFormat="1" applyFont="1" applyFill="1" applyBorder="1" applyAlignment="1" applyProtection="1">
      <alignment horizontal="center" vertical="center"/>
      <protection locked="0"/>
    </xf>
    <xf numFmtId="49" fontId="143" fillId="0" borderId="0" xfId="66" applyFont="1">
      <alignment vertical="center" wrapText="1"/>
    </xf>
    <xf numFmtId="0" fontId="152" fillId="0" borderId="0" xfId="49" applyFont="1">
      <alignment vertical="center"/>
    </xf>
    <xf numFmtId="0" fontId="152" fillId="0" borderId="0" xfId="49" applyFont="1" applyAlignment="1">
      <alignment vertical="center" wrapText="1"/>
    </xf>
    <xf numFmtId="0" fontId="27" fillId="0" borderId="0" xfId="43" applyFont="1"/>
    <xf numFmtId="0" fontId="154" fillId="0" borderId="0" xfId="43" applyFont="1"/>
    <xf numFmtId="0" fontId="118" fillId="0" borderId="0" xfId="43" applyFont="1"/>
    <xf numFmtId="0" fontId="27" fillId="0" borderId="0" xfId="43" applyFont="1" applyAlignment="1">
      <alignment horizontal="left" vertical="center" indent="2"/>
    </xf>
    <xf numFmtId="0" fontId="27" fillId="0" borderId="0" xfId="43" applyFont="1" applyAlignment="1">
      <alignment vertical="center"/>
    </xf>
    <xf numFmtId="0" fontId="154" fillId="0" borderId="0" xfId="43" applyFont="1" applyAlignment="1">
      <alignment vertical="center"/>
    </xf>
    <xf numFmtId="0" fontId="47" fillId="0" borderId="0" xfId="43" applyFont="1" applyAlignment="1">
      <alignment vertical="center"/>
    </xf>
    <xf numFmtId="0" fontId="155" fillId="0" borderId="0" xfId="43" applyFont="1" applyAlignment="1">
      <alignment vertical="center"/>
    </xf>
    <xf numFmtId="0" fontId="27" fillId="0" borderId="27" xfId="43" applyFont="1" applyBorder="1" applyAlignment="1">
      <alignment vertical="center"/>
    </xf>
    <xf numFmtId="0" fontId="47" fillId="0" borderId="27" xfId="43" applyFont="1" applyBorder="1" applyAlignment="1">
      <alignment vertical="center"/>
    </xf>
    <xf numFmtId="0" fontId="156" fillId="0" borderId="27" xfId="55" applyFont="1" applyBorder="1" applyProtection="1">
      <alignment vertical="center" wrapText="1"/>
    </xf>
    <xf numFmtId="0" fontId="102" fillId="0" borderId="0" xfId="43" applyFont="1" applyAlignment="1">
      <alignment vertical="center"/>
    </xf>
    <xf numFmtId="0" fontId="103" fillId="0" borderId="0" xfId="43" applyFont="1" applyAlignment="1">
      <alignment vertical="top"/>
    </xf>
    <xf numFmtId="0" fontId="157" fillId="0" borderId="145" xfId="43" applyFont="1" applyBorder="1" applyAlignment="1">
      <alignment vertical="center"/>
    </xf>
    <xf numFmtId="0" fontId="47" fillId="0" borderId="0" xfId="43" applyFont="1"/>
    <xf numFmtId="164" fontId="60" fillId="0" borderId="0" xfId="56" applyFill="1" applyBorder="1" applyAlignment="1">
      <alignment vertical="top"/>
    </xf>
    <xf numFmtId="164" fontId="155" fillId="0" borderId="0" xfId="56" applyFont="1" applyFill="1" applyBorder="1" applyAlignment="1">
      <alignment vertical="top"/>
    </xf>
    <xf numFmtId="164" fontId="106" fillId="0" borderId="34" xfId="56" applyFont="1" applyFill="1" applyBorder="1" applyAlignment="1">
      <alignment horizontal="left" vertical="top"/>
    </xf>
    <xf numFmtId="0" fontId="60" fillId="0" borderId="0" xfId="57" applyFill="1" applyBorder="1" applyAlignment="1"/>
    <xf numFmtId="0" fontId="155" fillId="0" borderId="0" xfId="57" applyFont="1" applyFill="1" applyBorder="1" applyAlignment="1"/>
    <xf numFmtId="0" fontId="106" fillId="0" borderId="0" xfId="57" applyFont="1" applyFill="1" applyBorder="1" applyAlignment="1">
      <alignment horizontal="left"/>
    </xf>
    <xf numFmtId="0" fontId="156" fillId="0" borderId="0" xfId="55" applyFont="1">
      <alignment vertical="center" wrapText="1"/>
      <protection locked="0"/>
    </xf>
    <xf numFmtId="0" fontId="103" fillId="0" borderId="0" xfId="55" applyFont="1">
      <alignment vertical="center" wrapText="1"/>
      <protection locked="0"/>
    </xf>
    <xf numFmtId="0" fontId="29" fillId="0" borderId="0" xfId="43" applyFont="1" applyAlignment="1">
      <alignment horizontal="center" vertical="center"/>
    </xf>
    <xf numFmtId="0" fontId="30" fillId="0" borderId="0" xfId="43" applyFont="1" applyAlignment="1">
      <alignment horizontal="right" wrapText="1"/>
    </xf>
    <xf numFmtId="0" fontId="63" fillId="45" borderId="0" xfId="42" applyFont="1" applyFill="1" applyAlignment="1">
      <alignment horizontal="center" vertical="center"/>
    </xf>
    <xf numFmtId="0" fontId="32" fillId="0" borderId="0" xfId="43" applyFont="1"/>
    <xf numFmtId="0" fontId="158" fillId="0" borderId="27" xfId="43" applyFont="1" applyBorder="1"/>
    <xf numFmtId="0" fontId="34" fillId="0" borderId="166" xfId="47" applyBorder="1">
      <alignment horizontal="left" vertical="center" wrapText="1"/>
    </xf>
    <xf numFmtId="49" fontId="34" fillId="0" borderId="21" xfId="48" applyFill="1" applyBorder="1">
      <alignment vertical="center"/>
      <protection locked="0"/>
    </xf>
    <xf numFmtId="49" fontId="35" fillId="0" borderId="22" xfId="48" applyFont="1" applyFill="1" applyBorder="1">
      <alignment vertical="center"/>
      <protection locked="0"/>
    </xf>
    <xf numFmtId="169" fontId="31" fillId="35" borderId="24" xfId="62" applyFont="1" applyBorder="1" applyProtection="1">
      <alignment vertical="center"/>
    </xf>
    <xf numFmtId="0" fontId="158" fillId="0" borderId="0" xfId="43" applyFont="1"/>
    <xf numFmtId="0" fontId="159" fillId="0" borderId="34" xfId="93" applyFont="1" applyBorder="1" applyAlignment="1">
      <alignment horizontal="left" vertical="center"/>
    </xf>
    <xf numFmtId="169" fontId="34" fillId="35" borderId="21" xfId="62" applyBorder="1" applyProtection="1">
      <alignment vertical="center"/>
    </xf>
    <xf numFmtId="0" fontId="160" fillId="53" borderId="167" xfId="94" quotePrefix="1" applyFont="1" applyFill="1" applyBorder="1">
      <alignment horizontal="center" vertical="center" wrapText="1"/>
    </xf>
    <xf numFmtId="169" fontId="34" fillId="35" borderId="24" xfId="62" applyBorder="1" applyProtection="1">
      <alignment vertical="center"/>
    </xf>
    <xf numFmtId="49" fontId="34" fillId="0" borderId="0" xfId="48" applyFill="1" applyBorder="1">
      <alignment vertical="center"/>
      <protection locked="0"/>
    </xf>
    <xf numFmtId="49" fontId="35" fillId="0" borderId="0" xfId="48" applyFont="1" applyFill="1" applyBorder="1">
      <alignment vertical="center"/>
      <protection locked="0"/>
    </xf>
    <xf numFmtId="169" fontId="31" fillId="0" borderId="0" xfId="62" applyFont="1" applyFill="1" applyBorder="1" applyProtection="1">
      <alignment vertical="center"/>
    </xf>
    <xf numFmtId="169" fontId="34" fillId="0" borderId="0" xfId="62" applyFill="1" applyBorder="1">
      <alignment vertical="center"/>
      <protection locked="0"/>
    </xf>
    <xf numFmtId="0" fontId="34" fillId="0" borderId="0" xfId="70" applyFill="1" applyBorder="1">
      <alignment vertical="center" wrapText="1"/>
      <protection locked="0"/>
    </xf>
    <xf numFmtId="0" fontId="34" fillId="0" borderId="0" xfId="54" applyFill="1" applyBorder="1">
      <alignment horizontal="center" vertical="center" wrapText="1"/>
      <protection locked="0"/>
    </xf>
    <xf numFmtId="0" fontId="34" fillId="0" borderId="24" xfId="54" applyFill="1" applyBorder="1">
      <alignment horizontal="center" vertical="center" wrapText="1"/>
      <protection locked="0"/>
    </xf>
    <xf numFmtId="166" fontId="46" fillId="0" borderId="24" xfId="44" applyNumberFormat="1" applyFont="1" applyFill="1" applyBorder="1" applyAlignment="1" applyProtection="1">
      <alignment vertical="center"/>
      <protection locked="0"/>
    </xf>
    <xf numFmtId="0" fontId="31" fillId="0" borderId="0" xfId="70" applyFont="1" applyFill="1" applyBorder="1" applyAlignment="1">
      <alignment horizontal="right" vertical="center" wrapText="1" indent="1"/>
      <protection locked="0"/>
    </xf>
    <xf numFmtId="0" fontId="122" fillId="35" borderId="24" xfId="95" applyFont="1" applyFill="1" applyBorder="1" applyAlignment="1" applyProtection="1">
      <alignment horizontal="center" vertical="center" wrapText="1"/>
      <protection hidden="1"/>
    </xf>
    <xf numFmtId="0" fontId="34" fillId="0" borderId="19" xfId="70" applyFill="1" applyBorder="1">
      <alignment vertical="center" wrapText="1"/>
      <protection locked="0"/>
    </xf>
    <xf numFmtId="49" fontId="86" fillId="0" borderId="0" xfId="66" applyFont="1" applyAlignment="1">
      <alignment horizontal="left" vertical="center" wrapText="1"/>
    </xf>
    <xf numFmtId="0" fontId="40" fillId="0" borderId="0" xfId="43" applyFont="1"/>
    <xf numFmtId="0" fontId="163" fillId="0" borderId="0" xfId="43" applyFont="1"/>
    <xf numFmtId="0" fontId="32" fillId="0" borderId="0" xfId="43" applyFont="1" applyAlignment="1">
      <alignment vertical="center"/>
    </xf>
    <xf numFmtId="0" fontId="164" fillId="0" borderId="145" xfId="43" applyFont="1" applyBorder="1" applyAlignment="1">
      <alignment vertical="center"/>
    </xf>
    <xf numFmtId="0" fontId="86" fillId="48" borderId="0" xfId="43" applyFont="1" applyFill="1" applyAlignment="1">
      <alignment horizontal="right"/>
    </xf>
    <xf numFmtId="0" fontId="34" fillId="0" borderId="91" xfId="47" applyBorder="1" applyAlignment="1">
      <alignment horizontal="left" vertical="center" wrapText="1" indent="1"/>
    </xf>
    <xf numFmtId="0" fontId="2" fillId="0" borderId="169" xfId="43" applyBorder="1"/>
    <xf numFmtId="0" fontId="34" fillId="0" borderId="148" xfId="48" applyNumberFormat="1" applyFill="1" applyBorder="1" applyAlignment="1">
      <alignment horizontal="left" vertical="center" indent="1"/>
      <protection locked="0"/>
    </xf>
    <xf numFmtId="0" fontId="34" fillId="0" borderId="149" xfId="48" applyNumberFormat="1" applyFill="1" applyBorder="1" applyAlignment="1">
      <alignment horizontal="left" vertical="center" indent="1"/>
      <protection locked="0"/>
    </xf>
    <xf numFmtId="0" fontId="18" fillId="0" borderId="52" xfId="43" applyFont="1" applyBorder="1" applyAlignment="1">
      <alignment horizontal="center" vertical="center"/>
    </xf>
    <xf numFmtId="0" fontId="74" fillId="0" borderId="51" xfId="43" applyFont="1" applyBorder="1" applyAlignment="1">
      <alignment vertical="center"/>
    </xf>
    <xf numFmtId="184" fontId="31" fillId="35" borderId="30" xfId="44" applyNumberFormat="1" applyFont="1" applyFill="1" applyBorder="1" applyAlignment="1" applyProtection="1">
      <alignment horizontal="center" vertical="center"/>
    </xf>
    <xf numFmtId="184" fontId="31" fillId="35" borderId="132" xfId="44" applyNumberFormat="1" applyFont="1" applyFill="1" applyBorder="1" applyAlignment="1" applyProtection="1">
      <alignment horizontal="center" vertical="center"/>
    </xf>
    <xf numFmtId="184" fontId="34" fillId="35" borderId="30" xfId="44" applyNumberFormat="1" applyFont="1" applyFill="1" applyBorder="1" applyAlignment="1" applyProtection="1">
      <alignment horizontal="center" vertical="center"/>
    </xf>
    <xf numFmtId="0" fontId="2" fillId="0" borderId="51" xfId="43" applyBorder="1" applyAlignment="1">
      <alignment vertical="center"/>
    </xf>
    <xf numFmtId="166" fontId="18" fillId="0" borderId="0" xfId="43" applyNumberFormat="1" applyFont="1" applyAlignment="1">
      <alignment horizontal="center" vertical="center" wrapText="1"/>
    </xf>
    <xf numFmtId="0" fontId="66" fillId="0" borderId="0" xfId="43" applyFont="1" applyAlignment="1">
      <alignment horizontal="center" vertical="center" wrapText="1"/>
    </xf>
    <xf numFmtId="0" fontId="66" fillId="0" borderId="52" xfId="43" applyFont="1" applyBorder="1" applyAlignment="1">
      <alignment horizontal="center" vertical="center" wrapText="1"/>
    </xf>
    <xf numFmtId="0" fontId="66" fillId="0" borderId="170" xfId="43" applyFont="1" applyBorder="1" applyAlignment="1">
      <alignment horizontal="center" vertical="center" wrapText="1"/>
    </xf>
    <xf numFmtId="166" fontId="66" fillId="0" borderId="171" xfId="43" applyNumberFormat="1" applyFont="1" applyBorder="1" applyAlignment="1">
      <alignment horizontal="center" vertical="center" wrapText="1"/>
    </xf>
    <xf numFmtId="0" fontId="2" fillId="0" borderId="52" xfId="43" applyBorder="1" applyAlignment="1">
      <alignment vertical="center"/>
    </xf>
    <xf numFmtId="0" fontId="31" fillId="0" borderId="0" xfId="46" quotePrefix="1">
      <alignment horizontal="center" vertical="center" wrapText="1"/>
    </xf>
    <xf numFmtId="178" fontId="29" fillId="35" borderId="24" xfId="71" applyNumberFormat="1" applyFont="1" applyFill="1" applyBorder="1" applyAlignment="1" applyProtection="1">
      <alignment horizontal="center" vertical="center"/>
    </xf>
    <xf numFmtId="0" fontId="165" fillId="0" borderId="0" xfId="49" applyFont="1" applyAlignment="1">
      <alignment horizontal="left" vertical="center"/>
    </xf>
    <xf numFmtId="0" fontId="165" fillId="0" borderId="52" xfId="49" applyFont="1" applyBorder="1" applyAlignment="1">
      <alignment horizontal="left" vertical="center"/>
    </xf>
    <xf numFmtId="0" fontId="165" fillId="0" borderId="51" xfId="49" applyFont="1" applyBorder="1" applyAlignment="1">
      <alignment horizontal="left" vertical="center"/>
    </xf>
    <xf numFmtId="0" fontId="166" fillId="0" borderId="71" xfId="49" applyFont="1" applyBorder="1" applyAlignment="1" applyProtection="1">
      <alignment horizontal="center" vertical="center"/>
      <protection locked="0"/>
    </xf>
    <xf numFmtId="0" fontId="94" fillId="0" borderId="0" xfId="49" applyFont="1" applyAlignment="1">
      <alignment horizontal="left" vertical="center"/>
    </xf>
    <xf numFmtId="0" fontId="52" fillId="0" borderId="52" xfId="49" applyFont="1" applyBorder="1">
      <alignment vertical="center"/>
    </xf>
    <xf numFmtId="0" fontId="37" fillId="0" borderId="51" xfId="49" applyBorder="1" applyAlignment="1">
      <alignment vertical="center" wrapText="1"/>
    </xf>
    <xf numFmtId="0" fontId="37" fillId="0" borderId="52" xfId="49" applyBorder="1" applyAlignment="1">
      <alignment vertical="center" wrapText="1"/>
    </xf>
    <xf numFmtId="0" fontId="122" fillId="35" borderId="22" xfId="51" applyFont="1" applyFill="1" applyBorder="1" applyAlignment="1" applyProtection="1">
      <alignment horizontal="center" vertical="center" wrapText="1"/>
    </xf>
    <xf numFmtId="166" fontId="18" fillId="0" borderId="27" xfId="43" applyNumberFormat="1" applyFont="1" applyBorder="1"/>
    <xf numFmtId="0" fontId="61" fillId="0" borderId="27" xfId="43" applyFont="1" applyBorder="1"/>
    <xf numFmtId="0" fontId="34" fillId="0" borderId="56" xfId="48" applyNumberFormat="1" applyFill="1" applyBorder="1" applyAlignment="1">
      <alignment horizontal="left" vertical="center" indent="1"/>
      <protection locked="0"/>
    </xf>
    <xf numFmtId="0" fontId="34" fillId="0" borderId="57" xfId="48" applyNumberFormat="1" applyFill="1" applyBorder="1" applyAlignment="1">
      <alignment horizontal="left" vertical="center" indent="1"/>
      <protection locked="0"/>
    </xf>
    <xf numFmtId="166" fontId="30" fillId="0" borderId="0" xfId="43" applyNumberFormat="1" applyFont="1" applyAlignment="1">
      <alignment horizontal="center" vertical="center" wrapText="1"/>
    </xf>
    <xf numFmtId="169" fontId="93" fillId="0" borderId="0" xfId="44" applyNumberFormat="1" applyFont="1" applyFill="1" applyBorder="1" applyAlignment="1" applyProtection="1">
      <alignment horizontal="center" vertical="center" wrapText="1"/>
    </xf>
    <xf numFmtId="0" fontId="34" fillId="0" borderId="27" xfId="48" applyNumberFormat="1" applyFill="1" applyBorder="1" applyAlignment="1" applyProtection="1">
      <alignment horizontal="left" vertical="center"/>
    </xf>
    <xf numFmtId="0" fontId="19" fillId="0" borderId="79" xfId="43" applyFont="1" applyBorder="1"/>
    <xf numFmtId="166" fontId="30" fillId="0" borderId="0" xfId="43" applyNumberFormat="1" applyFont="1" applyAlignment="1">
      <alignment horizontal="center"/>
    </xf>
    <xf numFmtId="166" fontId="30" fillId="0" borderId="0" xfId="43" applyNumberFormat="1" applyFont="1"/>
    <xf numFmtId="0" fontId="34" fillId="0" borderId="56" xfId="48" applyNumberFormat="1" applyFill="1" applyBorder="1" applyAlignment="1">
      <alignment horizontal="left" vertical="center"/>
      <protection locked="0"/>
    </xf>
    <xf numFmtId="166" fontId="30" fillId="0" borderId="51" xfId="43" applyNumberFormat="1" applyFont="1" applyBorder="1" applyAlignment="1">
      <alignment horizontal="center" vertical="center" wrapText="1"/>
    </xf>
    <xf numFmtId="169" fontId="92" fillId="35" borderId="147" xfId="44" applyNumberFormat="1" applyFont="1" applyFill="1" applyBorder="1" applyAlignment="1" applyProtection="1">
      <alignment horizontal="center" vertical="center" wrapText="1"/>
    </xf>
    <xf numFmtId="166" fontId="30" fillId="0" borderId="0" xfId="43" applyNumberFormat="1" applyFont="1" applyAlignment="1">
      <alignment vertical="center" wrapText="1"/>
    </xf>
    <xf numFmtId="169" fontId="93" fillId="0" borderId="175" xfId="44" applyNumberFormat="1" applyFont="1" applyFill="1" applyBorder="1" applyAlignment="1" applyProtection="1">
      <alignment horizontal="center" vertical="center" wrapText="1"/>
      <protection locked="0"/>
    </xf>
    <xf numFmtId="169" fontId="92" fillId="35" borderId="24" xfId="44" applyNumberFormat="1" applyFont="1" applyFill="1" applyBorder="1" applyAlignment="1" applyProtection="1">
      <alignment horizontal="center" vertical="center" wrapText="1"/>
    </xf>
    <xf numFmtId="0" fontId="66" fillId="0" borderId="0" xfId="97" applyFont="1" applyAlignment="1">
      <alignment horizontal="left" vertical="center"/>
    </xf>
    <xf numFmtId="0" fontId="35" fillId="35" borderId="0" xfId="70" applyFont="1" applyBorder="1" applyAlignment="1" applyProtection="1">
      <alignment horizontal="center" vertical="center"/>
    </xf>
    <xf numFmtId="166" fontId="34" fillId="0" borderId="24" xfId="44" applyNumberFormat="1" applyFont="1" applyFill="1" applyBorder="1" applyAlignment="1" applyProtection="1">
      <alignment horizontal="center" vertical="center"/>
      <protection locked="0"/>
    </xf>
    <xf numFmtId="166" fontId="34" fillId="35" borderId="24" xfId="44" applyNumberFormat="1" applyFont="1" applyFill="1" applyBorder="1" applyAlignment="1" applyProtection="1">
      <alignment horizontal="center" vertical="center"/>
    </xf>
    <xf numFmtId="49" fontId="34" fillId="0" borderId="0" xfId="48" applyFill="1" applyBorder="1" applyAlignment="1" applyProtection="1">
      <alignment horizontal="left" vertical="center"/>
    </xf>
    <xf numFmtId="14" fontId="29" fillId="35" borderId="21" xfId="43" applyNumberFormat="1" applyFont="1" applyFill="1" applyBorder="1" applyAlignment="1">
      <alignment vertical="center"/>
    </xf>
    <xf numFmtId="14" fontId="29" fillId="35" borderId="35" xfId="43" applyNumberFormat="1" applyFont="1" applyFill="1" applyBorder="1" applyAlignment="1">
      <alignment vertical="center"/>
    </xf>
    <xf numFmtId="14" fontId="29" fillId="35" borderId="22" xfId="43" applyNumberFormat="1" applyFont="1" applyFill="1" applyBorder="1" applyAlignment="1">
      <alignment horizontal="left" vertical="center" indent="1"/>
    </xf>
    <xf numFmtId="14" fontId="29" fillId="35" borderId="21" xfId="43" applyNumberFormat="1" applyFont="1" applyFill="1" applyBorder="1" applyAlignment="1">
      <alignment horizontal="center" vertical="center"/>
    </xf>
    <xf numFmtId="14" fontId="29" fillId="35" borderId="35" xfId="43" applyNumberFormat="1" applyFont="1" applyFill="1" applyBorder="1" applyAlignment="1">
      <alignment horizontal="center" vertical="center"/>
    </xf>
    <xf numFmtId="0" fontId="2" fillId="0" borderId="28" xfId="43" applyBorder="1" applyAlignment="1">
      <alignment vertical="center"/>
    </xf>
    <xf numFmtId="0" fontId="29" fillId="35" borderId="21" xfId="43" applyFont="1" applyFill="1" applyBorder="1" applyAlignment="1">
      <alignment vertical="center"/>
    </xf>
    <xf numFmtId="0" fontId="29" fillId="35" borderId="35" xfId="43" applyFont="1" applyFill="1" applyBorder="1" applyAlignment="1">
      <alignment vertical="center"/>
    </xf>
    <xf numFmtId="0" fontId="29" fillId="35" borderId="22" xfId="43" applyFont="1" applyFill="1" applyBorder="1" applyAlignment="1">
      <alignment horizontal="left" vertical="center" indent="1"/>
    </xf>
    <xf numFmtId="0" fontId="61" fillId="0" borderId="51" xfId="43" applyFont="1" applyBorder="1"/>
    <xf numFmtId="0" fontId="31" fillId="0" borderId="48" xfId="46" applyBorder="1">
      <alignment horizontal="center" vertical="center" wrapText="1"/>
    </xf>
    <xf numFmtId="0" fontId="31" fillId="0" borderId="49" xfId="46" applyBorder="1">
      <alignment horizontal="center" vertical="center" wrapText="1"/>
    </xf>
    <xf numFmtId="0" fontId="31" fillId="0" borderId="50" xfId="46" applyBorder="1">
      <alignment horizontal="center" vertical="center" wrapText="1"/>
    </xf>
    <xf numFmtId="0" fontId="2" fillId="0" borderId="0" xfId="43" quotePrefix="1" applyAlignment="1">
      <alignment vertical="center"/>
    </xf>
    <xf numFmtId="0" fontId="15" fillId="0" borderId="28" xfId="53" applyFill="1" applyBorder="1" applyProtection="1">
      <alignment horizontal="center" vertical="center" wrapText="1"/>
    </xf>
    <xf numFmtId="169" fontId="68" fillId="0" borderId="0" xfId="46" applyNumberFormat="1" applyFont="1">
      <alignment horizontal="center" vertical="center" wrapText="1"/>
    </xf>
    <xf numFmtId="0" fontId="68" fillId="0" borderId="0" xfId="46" applyFont="1">
      <alignment horizontal="center" vertical="center" wrapText="1"/>
    </xf>
    <xf numFmtId="0" fontId="19" fillId="0" borderId="0" xfId="97" applyFont="1" applyAlignment="1">
      <alignment vertical="center"/>
    </xf>
    <xf numFmtId="0" fontId="15" fillId="0" borderId="47" xfId="53" applyFill="1" applyProtection="1">
      <alignment horizontal="center" vertical="center" wrapText="1"/>
    </xf>
    <xf numFmtId="0" fontId="15" fillId="0" borderId="68" xfId="53" applyFill="1" applyBorder="1" applyProtection="1">
      <alignment horizontal="center" vertical="center" wrapText="1"/>
    </xf>
    <xf numFmtId="0" fontId="49" fillId="0" borderId="0" xfId="43" applyFont="1" applyAlignment="1">
      <alignment horizontal="left" vertical="center"/>
    </xf>
    <xf numFmtId="0" fontId="169" fillId="0" borderId="0" xfId="49" applyFont="1" applyAlignment="1">
      <alignment horizontal="right" vertical="center" indent="1"/>
    </xf>
    <xf numFmtId="0" fontId="140" fillId="0" borderId="0" xfId="43" applyFont="1" applyAlignment="1">
      <alignment horizontal="left" vertical="center" indent="1"/>
    </xf>
    <xf numFmtId="0" fontId="74" fillId="0" borderId="71" xfId="43" applyFont="1" applyBorder="1" applyAlignment="1" applyProtection="1">
      <alignment horizontal="center" vertical="center"/>
      <protection locked="0"/>
    </xf>
    <xf numFmtId="0" fontId="31" fillId="0" borderId="0" xfId="46" applyAlignment="1">
      <alignment horizontal="left" vertical="center" wrapText="1"/>
    </xf>
    <xf numFmtId="173" fontId="34" fillId="40" borderId="47" xfId="73" applyAlignment="1">
      <alignment horizontal="center" vertical="center"/>
    </xf>
    <xf numFmtId="165" fontId="34" fillId="0" borderId="0" xfId="44" applyFont="1" applyBorder="1" applyAlignment="1">
      <alignment horizontal="center" vertical="center" wrapText="1"/>
    </xf>
    <xf numFmtId="0" fontId="29" fillId="0" borderId="46" xfId="43" applyFont="1" applyBorder="1" applyAlignment="1">
      <alignment horizontal="center"/>
    </xf>
    <xf numFmtId="0" fontId="29" fillId="0" borderId="179" xfId="43" applyFont="1" applyBorder="1" applyAlignment="1">
      <alignment horizontal="center"/>
    </xf>
    <xf numFmtId="0" fontId="29" fillId="0" borderId="19" xfId="43" applyFont="1" applyBorder="1" applyAlignment="1">
      <alignment horizontal="center"/>
    </xf>
    <xf numFmtId="0" fontId="29" fillId="0" borderId="20" xfId="43" applyFont="1" applyBorder="1" applyAlignment="1">
      <alignment horizontal="center"/>
    </xf>
    <xf numFmtId="166" fontId="34" fillId="0" borderId="0" xfId="44" applyNumberFormat="1" applyFont="1" applyFill="1" applyBorder="1" applyAlignment="1">
      <alignment horizontal="center" vertical="center"/>
    </xf>
    <xf numFmtId="166" fontId="34" fillId="0" borderId="46" xfId="44" applyNumberFormat="1" applyFont="1" applyFill="1" applyBorder="1" applyAlignment="1">
      <alignment horizontal="center" vertical="center"/>
    </xf>
    <xf numFmtId="166" fontId="34" fillId="35" borderId="24" xfId="44" applyNumberFormat="1" applyFont="1" applyFill="1" applyBorder="1" applyAlignment="1">
      <alignment horizontal="center" vertical="center"/>
    </xf>
    <xf numFmtId="169" fontId="29" fillId="0" borderId="24" xfId="43" applyNumberFormat="1" applyFont="1" applyBorder="1" applyAlignment="1" applyProtection="1">
      <alignment horizontal="center" vertical="center"/>
      <protection locked="0"/>
    </xf>
    <xf numFmtId="166" fontId="34" fillId="35" borderId="24" xfId="44" applyNumberFormat="1" applyFont="1" applyFill="1" applyBorder="1" applyAlignment="1">
      <alignment horizontal="right" vertical="center" indent="1"/>
    </xf>
    <xf numFmtId="0" fontId="29" fillId="0" borderId="0" xfId="43" applyFont="1" applyAlignment="1">
      <alignment horizontal="center" vertical="center" wrapText="1"/>
    </xf>
    <xf numFmtId="14" fontId="31" fillId="0" borderId="0" xfId="44" applyNumberFormat="1" applyFont="1" applyBorder="1" applyAlignment="1" applyProtection="1">
      <alignment horizontal="left" vertical="center"/>
    </xf>
    <xf numFmtId="0" fontId="29" fillId="0" borderId="25" xfId="43" applyFont="1" applyBorder="1" applyAlignment="1">
      <alignment horizontal="center"/>
    </xf>
    <xf numFmtId="0" fontId="29" fillId="0" borderId="46" xfId="43" applyFont="1" applyBorder="1" applyAlignment="1">
      <alignment horizontal="center" vertical="center" wrapText="1"/>
    </xf>
    <xf numFmtId="185" fontId="31" fillId="0" borderId="0" xfId="44" applyNumberFormat="1" applyFont="1" applyFill="1" applyBorder="1" applyAlignment="1" applyProtection="1">
      <alignment horizontal="center" vertical="center"/>
    </xf>
    <xf numFmtId="185" fontId="31" fillId="0" borderId="46" xfId="44" applyNumberFormat="1" applyFont="1" applyFill="1" applyBorder="1" applyAlignment="1" applyProtection="1">
      <alignment horizontal="center" vertical="center"/>
    </xf>
    <xf numFmtId="185" fontId="31" fillId="0" borderId="0" xfId="44" applyNumberFormat="1" applyFont="1" applyFill="1" applyBorder="1" applyAlignment="1">
      <alignment horizontal="center" vertical="center"/>
    </xf>
    <xf numFmtId="185" fontId="31" fillId="0" borderId="46" xfId="44" applyNumberFormat="1" applyFont="1" applyFill="1" applyBorder="1" applyAlignment="1">
      <alignment horizontal="center" vertical="center"/>
    </xf>
    <xf numFmtId="184" fontId="31" fillId="0" borderId="21" xfId="44" applyNumberFormat="1" applyFont="1" applyFill="1" applyBorder="1" applyAlignment="1">
      <alignment horizontal="center" vertical="center"/>
    </xf>
    <xf numFmtId="0" fontId="29" fillId="0" borderId="35" xfId="43" applyFont="1" applyBorder="1" applyAlignment="1">
      <alignment horizontal="center" vertical="center" wrapText="1"/>
    </xf>
    <xf numFmtId="0" fontId="31" fillId="0" borderId="35" xfId="45" applyBorder="1" applyAlignment="1">
      <alignment horizontal="center" vertical="center" wrapText="1"/>
    </xf>
    <xf numFmtId="14" fontId="31" fillId="0" borderId="22" xfId="44" applyNumberFormat="1" applyFont="1" applyBorder="1" applyAlignment="1" applyProtection="1">
      <alignment horizontal="left" vertical="center" indent="1"/>
    </xf>
    <xf numFmtId="166" fontId="34" fillId="0" borderId="0" xfId="44" applyNumberFormat="1" applyFont="1" applyFill="1" applyBorder="1" applyAlignment="1" applyProtection="1">
      <alignment horizontal="center" vertical="center"/>
    </xf>
    <xf numFmtId="166" fontId="34" fillId="0" borderId="46" xfId="44" applyNumberFormat="1" applyFont="1" applyFill="1" applyBorder="1" applyAlignment="1" applyProtection="1">
      <alignment horizontal="center" vertical="center"/>
    </xf>
    <xf numFmtId="0" fontId="29" fillId="0" borderId="65" xfId="43" applyFont="1" applyBorder="1" applyAlignment="1">
      <alignment horizontal="center"/>
    </xf>
    <xf numFmtId="49" fontId="96" fillId="0" borderId="0" xfId="66" applyAlignment="1">
      <alignment horizontal="center" vertical="center" wrapText="1"/>
    </xf>
    <xf numFmtId="14" fontId="34" fillId="0" borderId="0" xfId="44" applyNumberFormat="1" applyFont="1" applyBorder="1" applyAlignment="1" applyProtection="1">
      <alignment horizontal="center" vertical="center" wrapText="1"/>
    </xf>
    <xf numFmtId="166" fontId="31" fillId="0" borderId="0" xfId="44" applyNumberFormat="1" applyFont="1" applyFill="1" applyBorder="1" applyAlignment="1" applyProtection="1">
      <alignment horizontal="center" vertical="center"/>
    </xf>
    <xf numFmtId="14" fontId="31" fillId="0" borderId="0" xfId="44" applyNumberFormat="1" applyFont="1" applyBorder="1" applyAlignment="1" applyProtection="1">
      <alignment horizontal="left" vertical="center" wrapText="1"/>
    </xf>
    <xf numFmtId="14" fontId="29" fillId="0" borderId="24" xfId="43" applyNumberFormat="1" applyFont="1" applyBorder="1" applyAlignment="1" applyProtection="1">
      <alignment horizontal="center"/>
      <protection locked="0"/>
    </xf>
    <xf numFmtId="0" fontId="34" fillId="54" borderId="0" xfId="47" applyFill="1" applyAlignment="1">
      <alignment horizontal="center" vertical="center" wrapText="1"/>
    </xf>
    <xf numFmtId="165" fontId="34" fillId="0" borderId="0" xfId="47" applyNumberFormat="1" applyAlignment="1">
      <alignment horizontal="center" vertical="center" wrapText="1"/>
    </xf>
    <xf numFmtId="0" fontId="34" fillId="0" borderId="0" xfId="47" applyAlignment="1">
      <alignment horizontal="center" vertical="center" wrapText="1"/>
    </xf>
    <xf numFmtId="0" fontId="77" fillId="44" borderId="59" xfId="59">
      <alignment horizontal="center" vertical="center" wrapText="1"/>
    </xf>
    <xf numFmtId="166" fontId="34" fillId="0" borderId="0" xfId="47" applyNumberFormat="1" applyAlignment="1">
      <alignment horizontal="center" vertical="center" wrapText="1"/>
    </xf>
    <xf numFmtId="0" fontId="31" fillId="0" borderId="0" xfId="47" applyFont="1" applyAlignment="1">
      <alignment horizontal="center" vertical="center" wrapText="1"/>
    </xf>
    <xf numFmtId="166" fontId="74" fillId="0" borderId="0" xfId="44" applyNumberFormat="1" applyFont="1" applyBorder="1" applyAlignment="1">
      <alignment vertical="center"/>
    </xf>
    <xf numFmtId="165" fontId="74" fillId="0" borderId="0" xfId="44" applyFont="1" applyBorder="1" applyAlignment="1">
      <alignment vertical="center"/>
    </xf>
    <xf numFmtId="0" fontId="34" fillId="0" borderId="28" xfId="48" applyNumberFormat="1" applyFill="1" applyAlignment="1" applyProtection="1">
      <alignment horizontal="left" vertical="center"/>
    </xf>
    <xf numFmtId="14" fontId="34" fillId="0" borderId="0" xfId="44" applyNumberFormat="1" applyFont="1" applyFill="1" applyBorder="1" applyAlignment="1">
      <alignment horizontal="center" vertical="center" wrapText="1"/>
    </xf>
    <xf numFmtId="0" fontId="74" fillId="35" borderId="21" xfId="43" applyFont="1" applyFill="1" applyBorder="1" applyAlignment="1">
      <alignment horizontal="left" vertical="center" indent="1"/>
    </xf>
    <xf numFmtId="0" fontId="74" fillId="35" borderId="22" xfId="43" applyFont="1" applyFill="1" applyBorder="1" applyAlignment="1">
      <alignment horizontal="left" vertical="center" indent="1"/>
    </xf>
    <xf numFmtId="0" fontId="34" fillId="0" borderId="69" xfId="48" applyNumberFormat="1" applyFill="1" applyBorder="1" applyAlignment="1" applyProtection="1">
      <alignment horizontal="left" vertical="center"/>
    </xf>
    <xf numFmtId="14" fontId="34" fillId="35" borderId="24" xfId="44" applyNumberFormat="1" applyFont="1" applyFill="1" applyBorder="1" applyAlignment="1">
      <alignment horizontal="center" vertical="center" wrapText="1"/>
    </xf>
    <xf numFmtId="0" fontId="31" fillId="0" borderId="46" xfId="46" applyBorder="1">
      <alignment horizontal="center" vertical="center" wrapText="1"/>
    </xf>
    <xf numFmtId="0" fontId="31" fillId="0" borderId="65" xfId="46" applyBorder="1">
      <alignment horizontal="center" vertical="center" wrapText="1"/>
    </xf>
    <xf numFmtId="0" fontId="2" fillId="0" borderId="46" xfId="43" applyBorder="1" applyAlignment="1">
      <alignment horizontal="center"/>
    </xf>
    <xf numFmtId="0" fontId="2" fillId="0" borderId="180" xfId="43" applyBorder="1" applyAlignment="1">
      <alignment horizontal="center"/>
    </xf>
    <xf numFmtId="0" fontId="2" fillId="0" borderId="32" xfId="43" applyBorder="1" applyAlignment="1">
      <alignment horizontal="center"/>
    </xf>
    <xf numFmtId="169" fontId="15" fillId="0" borderId="0" xfId="50" applyNumberFormat="1" applyFill="1" applyBorder="1">
      <alignment horizontal="center" vertical="center"/>
    </xf>
    <xf numFmtId="169" fontId="31" fillId="0" borderId="179" xfId="46" applyNumberFormat="1" applyBorder="1">
      <alignment horizontal="center" vertical="center" wrapText="1"/>
    </xf>
    <xf numFmtId="169" fontId="31" fillId="0" borderId="46" xfId="46" applyNumberFormat="1" applyBorder="1">
      <alignment horizontal="center" vertical="center" wrapText="1"/>
    </xf>
    <xf numFmtId="169" fontId="31" fillId="0" borderId="65" xfId="46" applyNumberFormat="1" applyBorder="1">
      <alignment horizontal="center" vertical="center" wrapText="1"/>
    </xf>
    <xf numFmtId="186" fontId="74" fillId="0" borderId="24" xfId="44" applyNumberFormat="1" applyFont="1" applyBorder="1" applyAlignment="1" applyProtection="1">
      <alignment horizontal="center" vertical="center"/>
      <protection locked="0"/>
    </xf>
    <xf numFmtId="169" fontId="31" fillId="0" borderId="180" xfId="46" applyNumberFormat="1" applyBorder="1">
      <alignment horizontal="center" vertical="center" wrapText="1"/>
    </xf>
    <xf numFmtId="0" fontId="51" fillId="0" borderId="0" xfId="49" quotePrefix="1" applyFont="1">
      <alignment vertical="center"/>
    </xf>
    <xf numFmtId="0" fontId="15" fillId="47" borderId="0" xfId="51" applyFont="1" applyFill="1" applyBorder="1" applyAlignment="1">
      <alignment horizontal="center" vertical="center" wrapText="1"/>
    </xf>
    <xf numFmtId="0" fontId="59" fillId="0" borderId="0" xfId="43" applyFont="1" applyAlignment="1">
      <alignment horizontal="center"/>
    </xf>
    <xf numFmtId="0" fontId="62" fillId="0" borderId="0" xfId="55" applyFont="1" applyAlignment="1" applyProtection="1">
      <alignment horizontal="left" vertical="center" wrapText="1"/>
    </xf>
    <xf numFmtId="0" fontId="57" fillId="0" borderId="0" xfId="55" applyAlignment="1" applyProtection="1">
      <alignment horizontal="left" vertical="center"/>
    </xf>
    <xf numFmtId="0" fontId="177" fillId="0" borderId="0" xfId="43" applyFont="1" applyAlignment="1">
      <alignment horizontal="left" vertical="center"/>
    </xf>
    <xf numFmtId="0" fontId="31" fillId="0" borderId="0" xfId="55" applyFont="1" applyAlignment="1">
      <alignment horizontal="left" vertical="center"/>
      <protection locked="0"/>
    </xf>
    <xf numFmtId="0" fontId="2" fillId="0" borderId="0" xfId="97"/>
    <xf numFmtId="0" fontId="2" fillId="0" borderId="181" xfId="97" applyBorder="1"/>
    <xf numFmtId="0" fontId="29" fillId="0" borderId="182" xfId="97" applyFont="1" applyBorder="1"/>
    <xf numFmtId="0" fontId="29" fillId="0" borderId="183" xfId="97" applyFont="1" applyBorder="1"/>
    <xf numFmtId="0" fontId="34" fillId="35" borderId="24" xfId="54" quotePrefix="1" applyBorder="1" applyProtection="1">
      <alignment horizontal="center" vertical="center" wrapText="1"/>
    </xf>
    <xf numFmtId="0" fontId="29" fillId="0" borderId="21" xfId="97" applyFont="1" applyBorder="1" applyProtection="1">
      <protection locked="0"/>
    </xf>
    <xf numFmtId="0" fontId="29" fillId="0" borderId="22" xfId="97" applyFont="1" applyBorder="1" applyProtection="1">
      <protection locked="0"/>
    </xf>
    <xf numFmtId="0" fontId="2" fillId="0" borderId="184" xfId="97" applyBorder="1"/>
    <xf numFmtId="0" fontId="34" fillId="0" borderId="185" xfId="54" quotePrefix="1" applyFill="1" applyBorder="1" applyAlignment="1">
      <alignment vertical="center" wrapText="1"/>
      <protection locked="0"/>
    </xf>
    <xf numFmtId="14" fontId="34" fillId="35" borderId="22" xfId="54" quotePrefix="1" applyNumberFormat="1" applyBorder="1" applyAlignment="1" applyProtection="1">
      <alignment vertical="center" wrapText="1"/>
    </xf>
    <xf numFmtId="14" fontId="34" fillId="35" borderId="22" xfId="54" quotePrefix="1" applyNumberFormat="1" applyBorder="1" applyProtection="1">
      <alignment horizontal="center" vertical="center" wrapText="1"/>
    </xf>
    <xf numFmtId="14" fontId="34" fillId="35" borderId="21" xfId="54" quotePrefix="1" applyNumberFormat="1" applyBorder="1" applyProtection="1">
      <alignment horizontal="center" vertical="center" wrapText="1"/>
    </xf>
    <xf numFmtId="0" fontId="29" fillId="0" borderId="186" xfId="97" applyFont="1" applyBorder="1"/>
    <xf numFmtId="0" fontId="29" fillId="0" borderId="0" xfId="97" applyFont="1"/>
    <xf numFmtId="0" fontId="29" fillId="0" borderId="187" xfId="97" applyFont="1" applyBorder="1"/>
    <xf numFmtId="169" fontId="31" fillId="0" borderId="188" xfId="46" applyNumberFormat="1" applyBorder="1">
      <alignment horizontal="center" vertical="center" wrapText="1"/>
    </xf>
    <xf numFmtId="169" fontId="31" fillId="0" borderId="125" xfId="46" applyNumberFormat="1" applyBorder="1" applyAlignment="1">
      <alignment horizontal="center" wrapText="1"/>
    </xf>
    <xf numFmtId="169" fontId="31" fillId="0" borderId="157" xfId="46" applyNumberFormat="1" applyBorder="1">
      <alignment horizontal="center" vertical="center" wrapText="1"/>
    </xf>
    <xf numFmtId="0" fontId="31" fillId="0" borderId="189" xfId="46" applyBorder="1">
      <alignment horizontal="center" vertical="center" wrapText="1"/>
    </xf>
    <xf numFmtId="0" fontId="31" fillId="0" borderId="125" xfId="46" applyBorder="1">
      <alignment horizontal="center" vertical="center" wrapText="1"/>
    </xf>
    <xf numFmtId="0" fontId="31" fillId="0" borderId="157" xfId="46" applyBorder="1">
      <alignment horizontal="center" vertical="center" wrapText="1"/>
    </xf>
    <xf numFmtId="14" fontId="29" fillId="0" borderId="0" xfId="97" applyNumberFormat="1" applyFont="1"/>
    <xf numFmtId="0" fontId="179" fillId="45" borderId="0" xfId="95" applyFont="1" applyFill="1" applyBorder="1" applyAlignment="1">
      <alignment horizontal="center" vertical="center" wrapText="1"/>
    </xf>
    <xf numFmtId="0" fontId="2" fillId="0" borderId="190" xfId="97" applyBorder="1"/>
    <xf numFmtId="0" fontId="29" fillId="0" borderId="191" xfId="97" applyFont="1" applyBorder="1"/>
    <xf numFmtId="0" fontId="29" fillId="0" borderId="54" xfId="97" applyFont="1" applyBorder="1"/>
    <xf numFmtId="0" fontId="29" fillId="0" borderId="45" xfId="97" applyFont="1" applyBorder="1"/>
    <xf numFmtId="0" fontId="182" fillId="0" borderId="0" xfId="97" applyFont="1"/>
    <xf numFmtId="0" fontId="2" fillId="0" borderId="37" xfId="97" applyBorder="1"/>
    <xf numFmtId="0" fontId="29" fillId="0" borderId="27" xfId="97" applyFont="1" applyBorder="1"/>
    <xf numFmtId="0" fontId="67" fillId="0" borderId="74" xfId="97" applyFont="1" applyBorder="1"/>
    <xf numFmtId="0" fontId="29" fillId="0" borderId="38" xfId="97" applyFont="1" applyBorder="1"/>
    <xf numFmtId="0" fontId="2" fillId="0" borderId="65" xfId="97" applyBorder="1"/>
    <xf numFmtId="0" fontId="30" fillId="0" borderId="0" xfId="97" applyFont="1"/>
    <xf numFmtId="0" fontId="29" fillId="0" borderId="46" xfId="97" applyFont="1" applyBorder="1"/>
    <xf numFmtId="0" fontId="29" fillId="0" borderId="0" xfId="97" applyFont="1" applyProtection="1">
      <protection locked="0"/>
    </xf>
    <xf numFmtId="166" fontId="29" fillId="48" borderId="35" xfId="44" applyNumberFormat="1" applyFont="1" applyFill="1" applyBorder="1" applyAlignment="1" applyProtection="1">
      <alignment vertical="center"/>
      <protection locked="0"/>
    </xf>
    <xf numFmtId="166" fontId="29" fillId="48" borderId="24" xfId="44" applyNumberFormat="1" applyFont="1" applyFill="1" applyBorder="1" applyAlignment="1" applyProtection="1">
      <alignment vertical="center"/>
      <protection locked="0"/>
    </xf>
    <xf numFmtId="0" fontId="86" fillId="0" borderId="0" xfId="98" applyFont="1"/>
    <xf numFmtId="0" fontId="42" fillId="0" borderId="0" xfId="98" applyFont="1" applyAlignment="1">
      <alignment vertical="center"/>
    </xf>
    <xf numFmtId="0" fontId="37" fillId="0" borderId="0" xfId="98" applyFont="1" applyAlignment="1">
      <alignment vertical="center"/>
    </xf>
    <xf numFmtId="0" fontId="45" fillId="35" borderId="24" xfId="95" applyFont="1" applyFill="1" applyBorder="1" applyAlignment="1" applyProtection="1">
      <alignment horizontal="center" vertical="center" wrapText="1"/>
    </xf>
    <xf numFmtId="0" fontId="67" fillId="0" borderId="31" xfId="97" applyFont="1" applyBorder="1"/>
    <xf numFmtId="187" fontId="74" fillId="0" borderId="24" xfId="44" applyNumberFormat="1" applyFont="1" applyBorder="1" applyAlignment="1" applyProtection="1">
      <alignment vertical="center"/>
      <protection locked="0"/>
    </xf>
    <xf numFmtId="0" fontId="67" fillId="0" borderId="0" xfId="97" applyFont="1"/>
    <xf numFmtId="187" fontId="74" fillId="43" borderId="24" xfId="44" applyNumberFormat="1" applyFont="1" applyFill="1" applyBorder="1" applyAlignment="1" applyProtection="1">
      <alignment vertical="center"/>
    </xf>
    <xf numFmtId="166" fontId="29" fillId="0" borderId="0" xfId="97" applyNumberFormat="1" applyFont="1"/>
    <xf numFmtId="166" fontId="30" fillId="0" borderId="0" xfId="97" applyNumberFormat="1" applyFont="1"/>
    <xf numFmtId="0" fontId="30" fillId="0" borderId="0" xfId="97" applyFont="1" applyAlignment="1">
      <alignment vertical="center"/>
    </xf>
    <xf numFmtId="166" fontId="30" fillId="0" borderId="0" xfId="97" applyNumberFormat="1" applyFont="1" applyAlignment="1">
      <alignment horizontal="right"/>
    </xf>
    <xf numFmtId="0" fontId="29" fillId="0" borderId="0" xfId="97" applyFont="1" applyAlignment="1">
      <alignment horizontal="center"/>
    </xf>
    <xf numFmtId="166" fontId="29" fillId="0" borderId="0" xfId="97" applyNumberFormat="1" applyFont="1" applyAlignment="1">
      <alignment horizontal="center"/>
    </xf>
    <xf numFmtId="0" fontId="29" fillId="0" borderId="21" xfId="97" applyFont="1" applyBorder="1"/>
    <xf numFmtId="0" fontId="29" fillId="0" borderId="22" xfId="97" applyFont="1" applyBorder="1"/>
    <xf numFmtId="0" fontId="30" fillId="0" borderId="65" xfId="97" applyFont="1" applyBorder="1" applyAlignment="1">
      <alignment horizontal="center" vertical="center" wrapText="1"/>
    </xf>
    <xf numFmtId="0" fontId="85" fillId="0" borderId="0" xfId="97" applyFont="1" applyAlignment="1">
      <alignment horizontal="center" vertical="center" wrapText="1"/>
    </xf>
    <xf numFmtId="0" fontId="31" fillId="0" borderId="170" xfId="45" applyBorder="1" applyAlignment="1">
      <alignment horizontal="center" vertical="center"/>
    </xf>
    <xf numFmtId="0" fontId="31" fillId="0" borderId="35" xfId="45" applyBorder="1" applyAlignment="1">
      <alignment vertical="center"/>
    </xf>
    <xf numFmtId="0" fontId="31" fillId="0" borderId="22" xfId="45" applyBorder="1" applyAlignment="1">
      <alignment vertical="center"/>
    </xf>
    <xf numFmtId="0" fontId="2" fillId="0" borderId="42" xfId="97" applyBorder="1"/>
    <xf numFmtId="0" fontId="29" fillId="0" borderId="33" xfId="97" applyFont="1" applyBorder="1"/>
    <xf numFmtId="0" fontId="29" fillId="0" borderId="43" xfId="97" applyFont="1" applyBorder="1"/>
    <xf numFmtId="0" fontId="2" fillId="0" borderId="0" xfId="97" applyAlignment="1">
      <alignment vertical="center"/>
    </xf>
    <xf numFmtId="0" fontId="2" fillId="0" borderId="0" xfId="97" applyAlignment="1">
      <alignment horizontal="left" vertical="center" indent="2"/>
    </xf>
    <xf numFmtId="0" fontId="2" fillId="0" borderId="27" xfId="97" applyBorder="1" applyAlignment="1">
      <alignment vertical="center"/>
    </xf>
    <xf numFmtId="0" fontId="15" fillId="55" borderId="92" xfId="95" applyFont="1" applyFill="1" applyBorder="1" applyAlignment="1">
      <alignment horizontal="center" vertical="center" wrapText="1"/>
    </xf>
    <xf numFmtId="0" fontId="86" fillId="0" borderId="0" xfId="97" applyFont="1" applyAlignment="1">
      <alignment vertical="top"/>
    </xf>
    <xf numFmtId="0" fontId="137" fillId="0" borderId="145" xfId="97" applyFont="1" applyBorder="1" applyAlignment="1">
      <alignment vertical="center"/>
    </xf>
    <xf numFmtId="0" fontId="59" fillId="48" borderId="0" xfId="97" applyFont="1" applyFill="1" applyAlignment="1">
      <alignment horizontal="right"/>
    </xf>
    <xf numFmtId="0" fontId="15" fillId="0" borderId="92" xfId="95" applyFont="1" applyFill="1" applyBorder="1" applyAlignment="1">
      <alignment horizontal="center" vertical="center" wrapText="1"/>
    </xf>
    <xf numFmtId="0" fontId="2" fillId="0" borderId="0" xfId="97" applyAlignment="1">
      <alignment horizontal="center"/>
    </xf>
    <xf numFmtId="0" fontId="18" fillId="0" borderId="0" xfId="97" applyFont="1"/>
    <xf numFmtId="0" fontId="18" fillId="0" borderId="0" xfId="97" applyFont="1" applyAlignment="1">
      <alignment horizontal="right"/>
    </xf>
    <xf numFmtId="0" fontId="29" fillId="0" borderId="192" xfId="97" applyFont="1" applyBorder="1"/>
    <xf numFmtId="0" fontId="67" fillId="0" borderId="27" xfId="97" applyFont="1" applyBorder="1"/>
    <xf numFmtId="0" fontId="29" fillId="0" borderId="120" xfId="97" applyFont="1" applyBorder="1"/>
    <xf numFmtId="0" fontId="29" fillId="0" borderId="52" xfId="97" applyFont="1" applyBorder="1"/>
    <xf numFmtId="0" fontId="86" fillId="48" borderId="0" xfId="97" applyFont="1" applyFill="1" applyAlignment="1">
      <alignment horizontal="right"/>
    </xf>
    <xf numFmtId="0" fontId="63" fillId="45" borderId="92" xfId="42" applyFont="1" applyFill="1" applyBorder="1" applyAlignment="1" applyProtection="1">
      <alignment horizontal="center" vertical="center" wrapText="1"/>
    </xf>
    <xf numFmtId="10" fontId="2" fillId="0" borderId="0" xfId="97" applyNumberFormat="1"/>
    <xf numFmtId="0" fontId="34" fillId="40" borderId="47" xfId="99">
      <alignment horizontal="center" vertical="center" wrapText="1"/>
    </xf>
    <xf numFmtId="10" fontId="35" fillId="40" borderId="47" xfId="100">
      <alignment horizontal="center" vertical="center" wrapText="1"/>
    </xf>
    <xf numFmtId="0" fontId="184" fillId="0" borderId="0" xfId="97" applyFont="1" applyAlignment="1">
      <alignment horizontal="center"/>
    </xf>
    <xf numFmtId="14" fontId="2" fillId="0" borderId="0" xfId="97" applyNumberFormat="1"/>
    <xf numFmtId="14" fontId="184" fillId="0" borderId="0" xfId="97" applyNumberFormat="1" applyFont="1"/>
    <xf numFmtId="0" fontId="2" fillId="0" borderId="160" xfId="97" applyBorder="1"/>
    <xf numFmtId="0" fontId="2" fillId="0" borderId="49" xfId="97" applyBorder="1"/>
    <xf numFmtId="0" fontId="2" fillId="0" borderId="50" xfId="97" applyBorder="1"/>
    <xf numFmtId="0" fontId="2" fillId="0" borderId="56" xfId="97" applyBorder="1" applyAlignment="1" applyProtection="1">
      <alignment horizontal="left"/>
      <protection locked="0"/>
    </xf>
    <xf numFmtId="169" fontId="34" fillId="35" borderId="71" xfId="74" applyFill="1" applyBorder="1">
      <alignment vertical="center"/>
    </xf>
    <xf numFmtId="165" fontId="120" fillId="0" borderId="0" xfId="97" applyNumberFormat="1" applyFont="1"/>
    <xf numFmtId="1" fontId="34" fillId="35" borderId="71" xfId="101" applyFill="1" applyBorder="1">
      <alignment horizontal="center" vertical="center" wrapText="1"/>
    </xf>
    <xf numFmtId="0" fontId="2" fillId="0" borderId="52" xfId="97" applyBorder="1"/>
    <xf numFmtId="165" fontId="2" fillId="0" borderId="65" xfId="97" applyNumberFormat="1" applyBorder="1"/>
    <xf numFmtId="0" fontId="34" fillId="40" borderId="0" xfId="65" applyBorder="1">
      <alignment horizontal="left" vertical="center" wrapText="1"/>
    </xf>
    <xf numFmtId="0" fontId="34" fillId="40" borderId="28" xfId="65" applyBorder="1">
      <alignment horizontal="left" vertical="center" wrapText="1"/>
    </xf>
    <xf numFmtId="0" fontId="4" fillId="0" borderId="0" xfId="1" applyBorder="1" applyAlignment="1">
      <alignment horizontal="center" vertical="center" wrapText="1"/>
    </xf>
    <xf numFmtId="181" fontId="2" fillId="0" borderId="65" xfId="97" applyNumberFormat="1" applyBorder="1"/>
    <xf numFmtId="181" fontId="2" fillId="0" borderId="193" xfId="97" applyNumberFormat="1" applyBorder="1"/>
    <xf numFmtId="49" fontId="96" fillId="0" borderId="79" xfId="66" applyBorder="1">
      <alignment vertical="center" wrapText="1"/>
    </xf>
    <xf numFmtId="0" fontId="2" fillId="0" borderId="79" xfId="97" applyBorder="1" applyAlignment="1">
      <alignment vertical="center" wrapText="1"/>
    </xf>
    <xf numFmtId="0" fontId="2" fillId="0" borderId="96" xfId="97" applyBorder="1" applyAlignment="1">
      <alignment vertical="center" wrapText="1"/>
    </xf>
    <xf numFmtId="181" fontId="2" fillId="0" borderId="0" xfId="97" applyNumberFormat="1"/>
    <xf numFmtId="0" fontId="122" fillId="35" borderId="57" xfId="51" applyFont="1" applyFill="1" applyBorder="1" applyAlignment="1">
      <alignment horizontal="center" vertical="center" wrapText="1"/>
    </xf>
    <xf numFmtId="165" fontId="2" fillId="0" borderId="0" xfId="97" applyNumberFormat="1"/>
    <xf numFmtId="173" fontId="34" fillId="35" borderId="71" xfId="73" applyFill="1" applyBorder="1">
      <alignment vertical="center"/>
    </xf>
    <xf numFmtId="165" fontId="2" fillId="0" borderId="0" xfId="97" applyNumberFormat="1" applyAlignment="1">
      <alignment horizontal="center" vertical="center"/>
    </xf>
    <xf numFmtId="14" fontId="34" fillId="0" borderId="0" xfId="102">
      <alignment horizontal="center" vertical="center" wrapText="1"/>
    </xf>
    <xf numFmtId="169" fontId="34" fillId="35" borderId="108" xfId="74" applyFill="1" applyBorder="1">
      <alignment vertical="center"/>
    </xf>
    <xf numFmtId="0" fontId="2" fillId="0" borderId="193" xfId="97" applyBorder="1"/>
    <xf numFmtId="0" fontId="2" fillId="0" borderId="79" xfId="97" applyBorder="1"/>
    <xf numFmtId="0" fontId="2" fillId="0" borderId="96" xfId="97" applyBorder="1"/>
    <xf numFmtId="0" fontId="185" fillId="0" borderId="0" xfId="97" applyFont="1" applyAlignment="1">
      <alignment vertical="top" wrapText="1"/>
    </xf>
    <xf numFmtId="0" fontId="2" fillId="0" borderId="121" xfId="97" applyBorder="1"/>
    <xf numFmtId="0" fontId="2" fillId="0" borderId="111" xfId="97" applyBorder="1"/>
    <xf numFmtId="0" fontId="67" fillId="0" borderId="111" xfId="97" applyFont="1" applyBorder="1" applyAlignment="1">
      <alignment horizontal="center"/>
    </xf>
    <xf numFmtId="0" fontId="2" fillId="0" borderId="122" xfId="97" applyBorder="1"/>
    <xf numFmtId="0" fontId="68" fillId="0" borderId="0" xfId="93" applyFont="1" applyAlignment="1">
      <alignment horizontal="center" vertical="center" wrapText="1"/>
    </xf>
    <xf numFmtId="0" fontId="68" fillId="0" borderId="0" xfId="93" quotePrefix="1" applyFont="1" applyAlignment="1">
      <alignment horizontal="center" vertical="center" wrapText="1"/>
    </xf>
    <xf numFmtId="166" fontId="71" fillId="42" borderId="24" xfId="104" applyNumberFormat="1" applyFont="1" applyFill="1" applyBorder="1" applyAlignment="1" applyProtection="1">
      <alignment vertical="center"/>
    </xf>
    <xf numFmtId="166" fontId="74" fillId="0" borderId="24" xfId="104" applyNumberFormat="1" applyFont="1" applyFill="1" applyBorder="1" applyAlignment="1" applyProtection="1">
      <alignment vertical="center"/>
      <protection locked="0"/>
    </xf>
    <xf numFmtId="166" fontId="74" fillId="43" borderId="24" xfId="104" applyNumberFormat="1" applyFont="1" applyFill="1" applyBorder="1" applyAlignment="1" applyProtection="1">
      <alignment vertical="center"/>
    </xf>
    <xf numFmtId="0" fontId="2" fillId="0" borderId="0" xfId="97" applyAlignment="1" applyProtection="1">
      <alignment horizontal="left"/>
      <protection locked="0"/>
    </xf>
    <xf numFmtId="0" fontId="34" fillId="0" borderId="0" xfId="48" applyNumberFormat="1" applyFill="1" applyBorder="1" applyAlignment="1">
      <alignment horizontal="left" vertical="center"/>
      <protection locked="0"/>
    </xf>
    <xf numFmtId="0" fontId="31" fillId="0" borderId="65" xfId="45" applyBorder="1" applyAlignment="1">
      <alignment horizontal="left" vertical="center"/>
    </xf>
    <xf numFmtId="0" fontId="2" fillId="0" borderId="78" xfId="97" applyBorder="1" applyAlignment="1" applyProtection="1">
      <alignment horizontal="left"/>
      <protection locked="0"/>
    </xf>
    <xf numFmtId="0" fontId="34" fillId="0" borderId="78" xfId="48" applyNumberFormat="1" applyFill="1" applyBorder="1" applyAlignment="1">
      <alignment horizontal="left" vertical="center"/>
      <protection locked="0"/>
    </xf>
    <xf numFmtId="0" fontId="70" fillId="0" borderId="0" xfId="93" applyFont="1" applyAlignment="1">
      <alignment horizontal="center" vertical="center" wrapText="1"/>
    </xf>
    <xf numFmtId="0" fontId="70" fillId="0" borderId="78" xfId="93" applyFont="1" applyBorder="1" applyAlignment="1">
      <alignment horizontal="center" vertical="center" wrapText="1"/>
    </xf>
    <xf numFmtId="10" fontId="34" fillId="35" borderId="71" xfId="100" applyFont="1" applyFill="1" applyBorder="1">
      <alignment horizontal="center" vertical="center" wrapText="1"/>
    </xf>
    <xf numFmtId="14" fontId="34" fillId="0" borderId="175" xfId="62" applyNumberFormat="1" applyFill="1" applyBorder="1" applyAlignment="1">
      <alignment horizontal="center" vertical="center"/>
      <protection locked="0"/>
    </xf>
    <xf numFmtId="0" fontId="34" fillId="0" borderId="65" xfId="45" applyFont="1" applyBorder="1" applyAlignment="1">
      <alignment vertical="center" wrapText="1"/>
    </xf>
    <xf numFmtId="0" fontId="19" fillId="0" borderId="0" xfId="97" applyFont="1"/>
    <xf numFmtId="169" fontId="34" fillId="0" borderId="117" xfId="62" applyFill="1" applyBorder="1">
      <alignment vertical="center"/>
      <protection locked="0"/>
    </xf>
    <xf numFmtId="0" fontId="34" fillId="35" borderId="108" xfId="54" applyBorder="1" applyProtection="1">
      <alignment horizontal="center" vertical="center" wrapText="1"/>
    </xf>
    <xf numFmtId="0" fontId="31" fillId="0" borderId="0" xfId="93">
      <alignment horizontal="left" vertical="center" wrapText="1"/>
    </xf>
    <xf numFmtId="0" fontId="34" fillId="0" borderId="71" xfId="54" applyFill="1" applyBorder="1">
      <alignment horizontal="center" vertical="center" wrapText="1"/>
      <protection locked="0"/>
    </xf>
    <xf numFmtId="0" fontId="34" fillId="35" borderId="71" xfId="54" applyBorder="1" applyProtection="1">
      <alignment horizontal="center" vertical="center" wrapText="1"/>
    </xf>
    <xf numFmtId="0" fontId="2" fillId="0" borderId="0" xfId="97" applyAlignment="1">
      <alignment vertical="top" wrapText="1"/>
    </xf>
    <xf numFmtId="0" fontId="2" fillId="0" borderId="197" xfId="97" applyBorder="1"/>
    <xf numFmtId="0" fontId="2" fillId="0" borderId="54" xfId="97" applyBorder="1"/>
    <xf numFmtId="0" fontId="2" fillId="0" borderId="55" xfId="97" applyBorder="1"/>
    <xf numFmtId="10" fontId="186" fillId="0" borderId="49" xfId="97" applyNumberFormat="1" applyFont="1" applyBorder="1" applyAlignment="1">
      <alignment horizontal="center"/>
    </xf>
    <xf numFmtId="0" fontId="2" fillId="0" borderId="49" xfId="97" applyBorder="1" applyAlignment="1">
      <alignment horizontal="center"/>
    </xf>
    <xf numFmtId="14" fontId="119" fillId="0" borderId="49" xfId="97" applyNumberFormat="1" applyFont="1" applyBorder="1"/>
    <xf numFmtId="10" fontId="31" fillId="0" borderId="0" xfId="105" applyBorder="1">
      <alignment horizontal="center" vertical="center"/>
    </xf>
    <xf numFmtId="0" fontId="34" fillId="0" borderId="0" xfId="69">
      <alignment horizontal="center" vertical="center" wrapText="1"/>
    </xf>
    <xf numFmtId="10" fontId="31" fillId="0" borderId="47" xfId="105">
      <alignment horizontal="center" vertical="center"/>
    </xf>
    <xf numFmtId="0" fontId="187" fillId="0" borderId="0" xfId="97" applyFont="1" applyAlignment="1">
      <alignment vertical="top" wrapText="1"/>
    </xf>
    <xf numFmtId="0" fontId="188" fillId="0" borderId="0" xfId="97" applyFont="1" applyAlignment="1">
      <alignment vertical="top" wrapText="1"/>
    </xf>
    <xf numFmtId="0" fontId="58" fillId="0" borderId="0" xfId="97" applyFont="1"/>
    <xf numFmtId="0" fontId="190" fillId="0" borderId="0" xfId="49" applyFont="1" applyAlignment="1">
      <alignment horizontal="left" vertical="center" wrapText="1"/>
    </xf>
    <xf numFmtId="0" fontId="45" fillId="35" borderId="71" xfId="51" applyFont="1" applyFill="1" applyBorder="1" applyAlignment="1">
      <alignment horizontal="center" vertical="center" wrapText="1"/>
    </xf>
    <xf numFmtId="0" fontId="2" fillId="0" borderId="27" xfId="97" applyBorder="1"/>
    <xf numFmtId="0" fontId="15" fillId="0" borderId="71" xfId="53" applyFill="1" applyBorder="1" applyProtection="1">
      <alignment horizontal="center" vertical="center" wrapText="1"/>
      <protection locked="0"/>
    </xf>
    <xf numFmtId="0" fontId="31" fillId="0" borderId="71" xfId="61" applyFill="1" applyBorder="1">
      <alignment horizontal="center" vertical="center" wrapText="1"/>
      <protection locked="0"/>
    </xf>
    <xf numFmtId="164" fontId="59" fillId="0" borderId="0" xfId="56" applyFont="1" applyFill="1" applyBorder="1" applyAlignment="1">
      <alignment horizontal="left" vertical="top"/>
    </xf>
    <xf numFmtId="0" fontId="31" fillId="0" borderId="0" xfId="61" applyFill="1" applyBorder="1">
      <alignment horizontal="center" vertical="center" wrapText="1"/>
      <protection locked="0"/>
    </xf>
    <xf numFmtId="0" fontId="19" fillId="0" borderId="0" xfId="106" applyFont="1"/>
    <xf numFmtId="0" fontId="59" fillId="0" borderId="0" xfId="53" applyFont="1" applyFill="1" applyBorder="1" applyAlignment="1" applyProtection="1">
      <alignment horizontal="right"/>
    </xf>
    <xf numFmtId="0" fontId="30" fillId="35" borderId="21" xfId="97" applyFont="1" applyFill="1" applyBorder="1" applyAlignment="1">
      <alignment horizontal="left" vertical="center"/>
    </xf>
    <xf numFmtId="0" fontId="30" fillId="35" borderId="22" xfId="97" applyFont="1" applyFill="1" applyBorder="1" applyAlignment="1">
      <alignment horizontal="right" vertical="center"/>
    </xf>
    <xf numFmtId="0" fontId="29" fillId="0" borderId="0" xfId="97" applyFont="1" applyAlignment="1">
      <alignment vertical="center"/>
    </xf>
    <xf numFmtId="0" fontId="177" fillId="0" borderId="0" xfId="97" applyFont="1" applyAlignment="1">
      <alignment vertical="center"/>
    </xf>
    <xf numFmtId="0" fontId="31" fillId="0" borderId="0" xfId="55" applyFont="1">
      <alignment vertical="center" wrapText="1"/>
      <protection locked="0"/>
    </xf>
    <xf numFmtId="0" fontId="15" fillId="45" borderId="47" xfId="53" applyFill="1">
      <alignment horizontal="center" vertical="center" wrapText="1"/>
    </xf>
    <xf numFmtId="0" fontId="63" fillId="45" borderId="68" xfId="42" applyFont="1" applyFill="1" applyBorder="1" applyAlignment="1">
      <alignment horizontal="center" vertical="center" wrapText="1"/>
    </xf>
    <xf numFmtId="11" fontId="0" fillId="0" borderId="0" xfId="0" applyNumberFormat="1"/>
    <xf numFmtId="49" fontId="31" fillId="0" borderId="0" xfId="81">
      <alignment horizontal="left" vertical="center" wrapText="1"/>
    </xf>
    <xf numFmtId="0" fontId="31" fillId="0" borderId="91" xfId="46" applyBorder="1">
      <alignment horizontal="center" vertical="center" wrapText="1"/>
    </xf>
    <xf numFmtId="164" fontId="60" fillId="0" borderId="0" xfId="56" applyFill="1" applyBorder="1">
      <alignment horizontal="left" vertical="center" wrapText="1"/>
    </xf>
    <xf numFmtId="0" fontId="31" fillId="0" borderId="33" xfId="46" applyBorder="1">
      <alignment horizontal="center" vertical="center" wrapText="1"/>
    </xf>
    <xf numFmtId="0" fontId="31" fillId="0" borderId="20" xfId="46" applyBorder="1">
      <alignment horizontal="center" vertical="center" wrapText="1"/>
    </xf>
    <xf numFmtId="0" fontId="31" fillId="0" borderId="18" xfId="46" applyBorder="1">
      <alignment horizontal="center" vertical="center" wrapText="1"/>
    </xf>
    <xf numFmtId="0" fontId="21" fillId="0" borderId="0" xfId="0" applyFont="1" applyAlignment="1">
      <alignment horizontal="center" vertical="center"/>
    </xf>
    <xf numFmtId="164" fontId="23" fillId="0" borderId="0" xfId="0" applyNumberFormat="1" applyFont="1" applyAlignment="1">
      <alignment horizontal="center" vertical="center"/>
    </xf>
    <xf numFmtId="0" fontId="22" fillId="0" borderId="0" xfId="0" applyFont="1" applyAlignment="1">
      <alignment horizontal="center" vertical="center"/>
    </xf>
    <xf numFmtId="0" fontId="45" fillId="35" borderId="117" xfId="51" applyFont="1" applyFill="1" applyBorder="1" applyAlignment="1">
      <alignment horizontal="left" vertical="center" wrapText="1" indent="1"/>
    </xf>
    <xf numFmtId="0" fontId="2" fillId="0" borderId="43" xfId="43" applyBorder="1"/>
    <xf numFmtId="0" fontId="2" fillId="0" borderId="33" xfId="43" applyBorder="1"/>
    <xf numFmtId="0" fontId="2" fillId="0" borderId="42" xfId="43" applyBorder="1"/>
    <xf numFmtId="49" fontId="74" fillId="0" borderId="0" xfId="76" applyFont="1">
      <alignment vertical="center" wrapText="1"/>
    </xf>
    <xf numFmtId="0" fontId="70" fillId="35" borderId="156" xfId="58" applyFill="1" applyBorder="1" applyAlignment="1">
      <alignment horizontal="left" vertical="center" wrapText="1" indent="1"/>
    </xf>
    <xf numFmtId="0" fontId="2" fillId="35" borderId="155" xfId="43" applyFill="1" applyBorder="1" applyAlignment="1">
      <alignment horizontal="left" vertical="center" wrapText="1" indent="1"/>
    </xf>
    <xf numFmtId="0" fontId="2" fillId="35" borderId="154" xfId="43" applyFill="1" applyBorder="1" applyAlignment="1">
      <alignment horizontal="left" wrapText="1" indent="1"/>
    </xf>
    <xf numFmtId="49" fontId="96" fillId="0" borderId="43" xfId="76" applyBorder="1">
      <alignment vertical="center" wrapText="1"/>
    </xf>
    <xf numFmtId="49" fontId="96" fillId="0" borderId="33" xfId="76" applyBorder="1">
      <alignment vertical="center" wrapText="1"/>
    </xf>
    <xf numFmtId="49" fontId="96" fillId="0" borderId="42" xfId="76" applyBorder="1">
      <alignment vertical="center" wrapText="1"/>
    </xf>
    <xf numFmtId="0" fontId="2" fillId="0" borderId="0" xfId="43"/>
    <xf numFmtId="0" fontId="70" fillId="40" borderId="57" xfId="58">
      <alignment vertical="center" wrapText="1"/>
    </xf>
    <xf numFmtId="0" fontId="2" fillId="0" borderId="0" xfId="43" applyAlignment="1">
      <alignment vertical="center" wrapText="1"/>
    </xf>
    <xf numFmtId="0" fontId="2" fillId="0" borderId="0" xfId="43" applyAlignment="1">
      <alignment wrapText="1"/>
    </xf>
    <xf numFmtId="49" fontId="96" fillId="0" borderId="0" xfId="76">
      <alignment vertical="center" wrapText="1"/>
    </xf>
    <xf numFmtId="49" fontId="31" fillId="0" borderId="0" xfId="81">
      <alignment horizontal="left" vertical="center" wrapText="1"/>
    </xf>
    <xf numFmtId="0" fontId="2" fillId="0" borderId="80" xfId="43" applyBorder="1"/>
    <xf numFmtId="0" fontId="2" fillId="0" borderId="79" xfId="43" applyBorder="1"/>
    <xf numFmtId="49" fontId="66" fillId="0" borderId="0" xfId="88" applyFont="1">
      <alignment vertical="center" wrapText="1"/>
    </xf>
    <xf numFmtId="49" fontId="66" fillId="0" borderId="0" xfId="76" applyFont="1">
      <alignment vertical="center" wrapText="1"/>
    </xf>
    <xf numFmtId="0" fontId="31" fillId="0" borderId="22" xfId="46" applyBorder="1">
      <alignment horizontal="center" vertical="center" wrapText="1"/>
    </xf>
    <xf numFmtId="0" fontId="31" fillId="0" borderId="21" xfId="46" applyBorder="1">
      <alignment horizontal="center" vertical="center" wrapText="1"/>
    </xf>
    <xf numFmtId="0" fontId="40" fillId="49" borderId="162" xfId="51" applyFont="1" applyFill="1" applyBorder="1" applyAlignment="1">
      <alignment horizontal="center" vertical="center"/>
    </xf>
    <xf numFmtId="0" fontId="40" fillId="49" borderId="161" xfId="51" applyFont="1" applyFill="1" applyBorder="1" applyAlignment="1">
      <alignment horizontal="center" vertical="center"/>
    </xf>
    <xf numFmtId="0" fontId="149" fillId="49" borderId="162" xfId="92" applyFont="1" applyFill="1" applyBorder="1">
      <alignment horizontal="center" vertical="center" wrapText="1"/>
    </xf>
    <xf numFmtId="0" fontId="149" fillId="49" borderId="161" xfId="92" applyFont="1" applyFill="1" applyBorder="1">
      <alignment horizontal="center" vertical="center" wrapText="1"/>
    </xf>
    <xf numFmtId="0" fontId="30" fillId="0" borderId="22" xfId="43" applyFont="1" applyBorder="1" applyAlignment="1">
      <alignment horizontal="center" vertical="center"/>
    </xf>
    <xf numFmtId="0" fontId="30" fillId="0" borderId="21" xfId="43" applyFont="1" applyBorder="1" applyAlignment="1">
      <alignment horizontal="center" vertical="center"/>
    </xf>
    <xf numFmtId="0" fontId="117" fillId="0" borderId="0" xfId="43" applyFont="1"/>
    <xf numFmtId="0" fontId="103" fillId="0" borderId="0" xfId="49" applyFont="1" applyAlignment="1">
      <alignment horizontal="left" vertical="center" wrapText="1"/>
    </xf>
    <xf numFmtId="0" fontId="103" fillId="0" borderId="0" xfId="49" applyFont="1" applyAlignment="1">
      <alignment horizontal="left" vertical="center"/>
    </xf>
    <xf numFmtId="0" fontId="31" fillId="0" borderId="0" xfId="45">
      <alignment horizontal="left" vertical="center" wrapText="1"/>
    </xf>
    <xf numFmtId="0" fontId="34" fillId="0" borderId="22" xfId="70" applyFill="1" applyBorder="1" applyAlignment="1">
      <alignment horizontal="left" vertical="center" wrapText="1"/>
      <protection locked="0"/>
    </xf>
    <xf numFmtId="0" fontId="34" fillId="0" borderId="35" xfId="70" applyFill="1" applyBorder="1" applyAlignment="1">
      <alignment horizontal="left" vertical="center" wrapText="1"/>
      <protection locked="0"/>
    </xf>
    <xf numFmtId="0" fontId="34" fillId="0" borderId="21" xfId="70" applyFill="1" applyBorder="1" applyAlignment="1">
      <alignment horizontal="left" vertical="center" wrapText="1"/>
      <protection locked="0"/>
    </xf>
    <xf numFmtId="0" fontId="34" fillId="0" borderId="0" xfId="47">
      <alignment horizontal="left" vertical="center" wrapText="1"/>
    </xf>
    <xf numFmtId="0" fontId="31" fillId="0" borderId="35" xfId="46" applyBorder="1">
      <alignment horizontal="center" vertical="center" wrapText="1"/>
    </xf>
    <xf numFmtId="0" fontId="122" fillId="35" borderId="24" xfId="95" applyFont="1" applyFill="1" applyBorder="1" applyAlignment="1" applyProtection="1">
      <alignment horizontal="left" vertical="center" wrapText="1" indent="1"/>
    </xf>
    <xf numFmtId="0" fontId="161" fillId="0" borderId="168" xfId="43" applyFont="1" applyBorder="1" applyAlignment="1">
      <alignment horizontal="left" vertical="center" wrapText="1"/>
    </xf>
    <xf numFmtId="0" fontId="2" fillId="0" borderId="33" xfId="43" applyBorder="1" applyAlignment="1">
      <alignment horizontal="left" vertical="center" wrapText="1"/>
    </xf>
    <xf numFmtId="0" fontId="31" fillId="0" borderId="0" xfId="46">
      <alignment horizontal="center" vertical="center" wrapText="1"/>
    </xf>
    <xf numFmtId="164" fontId="91" fillId="0" borderId="34" xfId="56" applyFont="1" applyFill="1" applyBorder="1" applyAlignment="1">
      <alignment horizontal="left" vertical="center"/>
    </xf>
    <xf numFmtId="164" fontId="91" fillId="0" borderId="0" xfId="56" applyFont="1" applyFill="1" applyBorder="1" applyAlignment="1">
      <alignment horizontal="left" vertical="center"/>
    </xf>
    <xf numFmtId="0" fontId="37" fillId="0" borderId="0" xfId="43" applyFont="1" applyAlignment="1">
      <alignment horizontal="left"/>
    </xf>
    <xf numFmtId="49" fontId="86" fillId="0" borderId="0" xfId="66" applyFont="1" applyAlignment="1">
      <alignment horizontal="left" wrapText="1"/>
    </xf>
    <xf numFmtId="49" fontId="86" fillId="0" borderId="0" xfId="66" applyFont="1" applyAlignment="1">
      <alignment horizontal="left" vertical="center" wrapText="1"/>
    </xf>
    <xf numFmtId="0" fontId="37" fillId="0" borderId="0" xfId="49">
      <alignment vertical="center"/>
    </xf>
    <xf numFmtId="0" fontId="66" fillId="0" borderId="0" xfId="43" applyFont="1" applyAlignment="1">
      <alignment vertical="center"/>
    </xf>
    <xf numFmtId="0" fontId="66" fillId="0" borderId="0" xfId="43" applyFont="1" applyAlignment="1">
      <alignment horizontal="left" vertical="center" wrapText="1"/>
    </xf>
    <xf numFmtId="0" fontId="34" fillId="0" borderId="22" xfId="45" applyFont="1" applyBorder="1" applyAlignment="1" applyProtection="1">
      <alignment horizontal="left" vertical="center" wrapText="1" indent="1"/>
      <protection locked="0"/>
    </xf>
    <xf numFmtId="0" fontId="34" fillId="0" borderId="21" xfId="45" applyFont="1" applyBorder="1" applyAlignment="1" applyProtection="1">
      <alignment horizontal="left" vertical="center" wrapText="1" indent="1"/>
      <protection locked="0"/>
    </xf>
    <xf numFmtId="0" fontId="34" fillId="35" borderId="24" xfId="47" applyFill="1" applyBorder="1" applyAlignment="1">
      <alignment horizontal="left" vertical="center" wrapText="1" indent="1"/>
    </xf>
    <xf numFmtId="0" fontId="122" fillId="35" borderId="174" xfId="51" applyFont="1" applyFill="1" applyBorder="1" applyAlignment="1" applyProtection="1">
      <alignment horizontal="left" vertical="center" wrapText="1" indent="1"/>
    </xf>
    <xf numFmtId="0" fontId="122" fillId="35" borderId="173" xfId="51" applyFont="1" applyFill="1" applyBorder="1" applyAlignment="1" applyProtection="1">
      <alignment horizontal="left" vertical="center" wrapText="1" indent="1"/>
    </xf>
    <xf numFmtId="0" fontId="122" fillId="35" borderId="172" xfId="51" applyFont="1" applyFill="1" applyBorder="1" applyAlignment="1" applyProtection="1">
      <alignment horizontal="left" vertical="center" wrapText="1" indent="1"/>
    </xf>
    <xf numFmtId="0" fontId="52" fillId="0" borderId="0" xfId="49" applyFont="1" applyAlignment="1">
      <alignment horizontal="left" vertical="center"/>
    </xf>
    <xf numFmtId="0" fontId="66" fillId="0" borderId="0" xfId="43" applyFont="1" applyAlignment="1">
      <alignment horizontal="left" vertical="center"/>
    </xf>
    <xf numFmtId="0" fontId="70" fillId="35" borderId="24" xfId="58" applyFill="1" applyBorder="1" applyAlignment="1">
      <alignment horizontal="left" vertical="center" wrapText="1" indent="1"/>
    </xf>
    <xf numFmtId="0" fontId="31" fillId="0" borderId="96" xfId="46" applyBorder="1">
      <alignment horizontal="center" vertical="center" wrapText="1"/>
    </xf>
    <xf numFmtId="0" fontId="31" fillId="0" borderId="79" xfId="46" applyBorder="1">
      <alignment horizontal="center" vertical="center" wrapText="1"/>
    </xf>
    <xf numFmtId="0" fontId="31" fillId="0" borderId="95" xfId="46" applyBorder="1">
      <alignment horizontal="center" vertical="center" wrapText="1"/>
    </xf>
    <xf numFmtId="0" fontId="31" fillId="0" borderId="50" xfId="46" applyBorder="1">
      <alignment horizontal="center" vertical="center" wrapText="1"/>
    </xf>
    <xf numFmtId="0" fontId="31" fillId="0" borderId="49" xfId="46" applyBorder="1">
      <alignment horizontal="center" vertical="center" wrapText="1"/>
    </xf>
    <xf numFmtId="0" fontId="31" fillId="0" borderId="48" xfId="46" applyBorder="1">
      <alignment horizontal="center" vertical="center" wrapText="1"/>
    </xf>
    <xf numFmtId="0" fontId="55" fillId="45" borderId="178" xfId="51" applyFont="1" applyFill="1" applyBorder="1" applyAlignment="1" applyProtection="1">
      <alignment horizontal="center" vertical="center" wrapText="1"/>
    </xf>
    <xf numFmtId="0" fontId="15" fillId="45" borderId="177" xfId="51" applyFont="1" applyFill="1" applyBorder="1" applyAlignment="1" applyProtection="1">
      <alignment horizontal="center" vertical="center" wrapText="1"/>
    </xf>
    <xf numFmtId="0" fontId="74" fillId="35" borderId="22" xfId="43" applyFont="1" applyFill="1" applyBorder="1" applyAlignment="1">
      <alignment horizontal="left" vertical="center" indent="1"/>
    </xf>
    <xf numFmtId="0" fontId="74" fillId="35" borderId="21" xfId="43" applyFont="1" applyFill="1" applyBorder="1" applyAlignment="1">
      <alignment horizontal="left" vertical="center" indent="1"/>
    </xf>
    <xf numFmtId="0" fontId="29" fillId="0" borderId="0" xfId="43" applyFont="1" applyAlignment="1">
      <alignment horizontal="left" vertical="center"/>
    </xf>
    <xf numFmtId="0" fontId="37" fillId="0" borderId="0" xfId="49" applyAlignment="1">
      <alignment vertical="center" wrapText="1"/>
    </xf>
    <xf numFmtId="0" fontId="52" fillId="0" borderId="0" xfId="49" applyFont="1">
      <alignment vertical="center"/>
    </xf>
    <xf numFmtId="0" fontId="31" fillId="0" borderId="43" xfId="46" applyBorder="1">
      <alignment horizontal="center" vertical="center" wrapText="1"/>
    </xf>
    <xf numFmtId="0" fontId="31" fillId="0" borderId="100" xfId="46" applyBorder="1">
      <alignment horizontal="center" vertical="center" wrapText="1"/>
    </xf>
    <xf numFmtId="0" fontId="31" fillId="0" borderId="27" xfId="46" applyBorder="1">
      <alignment horizontal="center" vertical="center" wrapText="1"/>
    </xf>
    <xf numFmtId="0" fontId="122" fillId="35" borderId="174" xfId="51" applyFont="1" applyFill="1" applyBorder="1" applyAlignment="1">
      <alignment horizontal="left" vertical="center" wrapText="1" indent="1"/>
    </xf>
    <xf numFmtId="0" fontId="122" fillId="35" borderId="173" xfId="51" applyFont="1" applyFill="1" applyBorder="1" applyAlignment="1">
      <alignment horizontal="left" vertical="center" wrapText="1" indent="1"/>
    </xf>
    <xf numFmtId="0" fontId="122" fillId="35" borderId="172" xfId="51" applyFont="1" applyFill="1" applyBorder="1" applyAlignment="1">
      <alignment horizontal="left" vertical="center" wrapText="1" indent="1"/>
    </xf>
    <xf numFmtId="0" fontId="31" fillId="0" borderId="176" xfId="46" applyBorder="1">
      <alignment horizontal="center" vertical="center" wrapText="1"/>
    </xf>
    <xf numFmtId="0" fontId="31" fillId="0" borderId="128" xfId="46" applyBorder="1">
      <alignment horizontal="center" vertical="center" wrapText="1"/>
    </xf>
    <xf numFmtId="0" fontId="34" fillId="0" borderId="35" xfId="45" applyFont="1" applyBorder="1" applyAlignment="1" applyProtection="1">
      <alignment horizontal="left" vertical="center" wrapText="1" indent="1"/>
      <protection locked="0"/>
    </xf>
    <xf numFmtId="0" fontId="34" fillId="0" borderId="170" xfId="45" applyFont="1" applyBorder="1" applyAlignment="1" applyProtection="1">
      <alignment horizontal="left" vertical="center" wrapText="1" indent="1"/>
      <protection locked="0"/>
    </xf>
    <xf numFmtId="166" fontId="30" fillId="0" borderId="0" xfId="43" applyNumberFormat="1" applyFont="1" applyAlignment="1">
      <alignment horizontal="center" vertical="center" wrapText="1"/>
    </xf>
    <xf numFmtId="0" fontId="55" fillId="45" borderId="0" xfId="51" applyFont="1" applyFill="1" applyAlignment="1">
      <alignment horizontal="center" vertical="center" wrapText="1"/>
    </xf>
    <xf numFmtId="0" fontId="15" fillId="45" borderId="0" xfId="51" applyFont="1" applyFill="1" applyAlignment="1">
      <alignment horizontal="center" vertical="center" wrapText="1"/>
    </xf>
    <xf numFmtId="0" fontId="52" fillId="0" borderId="0" xfId="49" applyFont="1" applyAlignment="1">
      <alignment vertical="center" wrapText="1"/>
    </xf>
    <xf numFmtId="0" fontId="31" fillId="0" borderId="57" xfId="46" applyBorder="1">
      <alignment horizontal="center" vertical="center" wrapText="1"/>
    </xf>
    <xf numFmtId="0" fontId="31" fillId="0" borderId="56" xfId="46" applyBorder="1">
      <alignment horizontal="center" vertical="center" wrapText="1"/>
    </xf>
    <xf numFmtId="0" fontId="34" fillId="35" borderId="22" xfId="47" applyFill="1" applyBorder="1" applyAlignment="1">
      <alignment horizontal="left" vertical="center" wrapText="1" indent="1"/>
    </xf>
    <xf numFmtId="0" fontId="34" fillId="35" borderId="21" xfId="47" applyFill="1" applyBorder="1" applyAlignment="1">
      <alignment horizontal="left" vertical="center" wrapText="1" indent="1"/>
    </xf>
    <xf numFmtId="0" fontId="18" fillId="0" borderId="0" xfId="43" applyFont="1" applyAlignment="1">
      <alignment horizontal="center" vertical="center" wrapText="1"/>
    </xf>
    <xf numFmtId="0" fontId="15" fillId="36" borderId="24" xfId="50" applyBorder="1">
      <alignment horizontal="center" vertical="center"/>
    </xf>
    <xf numFmtId="0" fontId="45" fillId="35" borderId="24" xfId="51" applyFont="1" applyFill="1" applyBorder="1" applyAlignment="1" applyProtection="1">
      <alignment horizontal="left" vertical="center" wrapText="1" indent="1"/>
    </xf>
    <xf numFmtId="0" fontId="30" fillId="0" borderId="22" xfId="51" applyFont="1" applyBorder="1" applyAlignment="1">
      <alignment horizontal="center" vertical="center"/>
    </xf>
    <xf numFmtId="0" fontId="30" fillId="0" borderId="35" xfId="51" applyFont="1" applyBorder="1" applyAlignment="1">
      <alignment horizontal="center" vertical="center"/>
    </xf>
    <xf numFmtId="0" fontId="30" fillId="0" borderId="21" xfId="51" applyFont="1" applyBorder="1" applyAlignment="1">
      <alignment horizontal="center" vertical="center"/>
    </xf>
    <xf numFmtId="0" fontId="30" fillId="0" borderId="35" xfId="43" applyFont="1" applyBorder="1" applyAlignment="1">
      <alignment horizontal="center" vertical="center"/>
    </xf>
    <xf numFmtId="0" fontId="30" fillId="0" borderId="29" xfId="43" applyFont="1" applyBorder="1" applyAlignment="1">
      <alignment horizontal="center" vertical="center"/>
    </xf>
    <xf numFmtId="167" fontId="29" fillId="35" borderId="22" xfId="43" applyNumberFormat="1" applyFont="1" applyFill="1" applyBorder="1" applyAlignment="1">
      <alignment horizontal="left" vertical="center"/>
    </xf>
    <xf numFmtId="167" fontId="29" fillId="35" borderId="35" xfId="43" applyNumberFormat="1" applyFont="1" applyFill="1" applyBorder="1" applyAlignment="1">
      <alignment horizontal="left" vertical="center"/>
    </xf>
    <xf numFmtId="167" fontId="29" fillId="35" borderId="21" xfId="43" applyNumberFormat="1" applyFont="1" applyFill="1" applyBorder="1" applyAlignment="1">
      <alignment horizontal="left" vertical="center"/>
    </xf>
    <xf numFmtId="0" fontId="31" fillId="0" borderId="42" xfId="46" applyBorder="1">
      <alignment horizontal="center" vertical="center" wrapText="1"/>
    </xf>
    <xf numFmtId="0" fontId="31" fillId="0" borderId="38" xfId="46" applyBorder="1">
      <alignment horizontal="center" vertical="center" wrapText="1"/>
    </xf>
    <xf numFmtId="0" fontId="31" fillId="0" borderId="37" xfId="46" applyBorder="1">
      <alignment horizontal="center" vertical="center" wrapText="1"/>
    </xf>
    <xf numFmtId="164" fontId="61" fillId="0" borderId="34" xfId="56" applyFont="1" applyFill="1" applyBorder="1" applyAlignment="1">
      <alignment horizontal="left" vertical="center"/>
    </xf>
    <xf numFmtId="164" fontId="61" fillId="0" borderId="0" xfId="56" applyFont="1" applyFill="1" applyBorder="1" applyAlignment="1">
      <alignment horizontal="left" vertical="center"/>
    </xf>
    <xf numFmtId="0" fontId="63" fillId="39" borderId="0" xfId="42" applyFont="1" applyFill="1" applyBorder="1" applyAlignment="1" applyProtection="1">
      <alignment horizontal="center" vertical="center" wrapText="1"/>
    </xf>
    <xf numFmtId="0" fontId="37" fillId="0" borderId="0" xfId="49" applyAlignment="1">
      <alignment horizontal="left" vertical="center" wrapText="1"/>
    </xf>
    <xf numFmtId="0" fontId="52" fillId="0" borderId="0" xfId="49" applyFont="1" applyAlignment="1">
      <alignment horizontal="left" wrapText="1"/>
    </xf>
    <xf numFmtId="0" fontId="34" fillId="0" borderId="22" xfId="54" applyFill="1" applyBorder="1">
      <alignment horizontal="center" vertical="center" wrapText="1"/>
      <protection locked="0"/>
    </xf>
    <xf numFmtId="0" fontId="34" fillId="0" borderId="21" xfId="54" applyFill="1" applyBorder="1">
      <alignment horizontal="center" vertical="center" wrapText="1"/>
      <protection locked="0"/>
    </xf>
    <xf numFmtId="0" fontId="58" fillId="0" borderId="0" xfId="43" quotePrefix="1" applyFont="1" applyAlignment="1">
      <alignment horizontal="right" vertical="center" wrapText="1"/>
    </xf>
    <xf numFmtId="164" fontId="29" fillId="0" borderId="22" xfId="43" applyNumberFormat="1" applyFont="1" applyBorder="1" applyAlignment="1" applyProtection="1">
      <alignment horizontal="center" vertical="center"/>
      <protection locked="0"/>
    </xf>
    <xf numFmtId="164" fontId="29" fillId="0" borderId="21" xfId="43" applyNumberFormat="1" applyFont="1" applyBorder="1" applyAlignment="1" applyProtection="1">
      <alignment horizontal="center" vertical="center"/>
      <protection locked="0"/>
    </xf>
    <xf numFmtId="0" fontId="55" fillId="38" borderId="34" xfId="53" applyFont="1" applyFill="1" applyBorder="1" applyProtection="1">
      <alignment horizontal="center" vertical="center" wrapText="1"/>
    </xf>
    <xf numFmtId="0" fontId="15" fillId="38" borderId="0" xfId="53" applyFill="1" applyBorder="1" applyProtection="1">
      <alignment horizontal="center" vertical="center" wrapText="1"/>
    </xf>
    <xf numFmtId="0" fontId="29" fillId="0" borderId="0" xfId="43" applyFont="1" applyAlignment="1">
      <alignment horizontal="left" vertical="center" wrapText="1"/>
    </xf>
    <xf numFmtId="0" fontId="30" fillId="0" borderId="32" xfId="43" applyFont="1" applyBorder="1" applyAlignment="1">
      <alignment horizontal="center" vertical="center"/>
    </xf>
    <xf numFmtId="0" fontId="30" fillId="0" borderId="31" xfId="43" applyFont="1" applyBorder="1" applyAlignment="1">
      <alignment horizontal="center" vertical="center"/>
    </xf>
    <xf numFmtId="0" fontId="30" fillId="0" borderId="30" xfId="43" applyFont="1" applyBorder="1" applyAlignment="1">
      <alignment horizontal="center" vertical="center"/>
    </xf>
    <xf numFmtId="0" fontId="34" fillId="35" borderId="22" xfId="54" quotePrefix="1" applyBorder="1" applyAlignment="1" applyProtection="1">
      <alignment vertical="center"/>
    </xf>
    <xf numFmtId="0" fontId="34" fillId="35" borderId="35" xfId="54" quotePrefix="1" applyBorder="1" applyAlignment="1" applyProtection="1">
      <alignment vertical="center"/>
    </xf>
    <xf numFmtId="0" fontId="2" fillId="0" borderId="0" xfId="97"/>
    <xf numFmtId="0" fontId="31" fillId="0" borderId="125" xfId="46" applyBorder="1">
      <alignment horizontal="center" vertical="center" wrapText="1"/>
    </xf>
    <xf numFmtId="0" fontId="31" fillId="0" borderId="171" xfId="46" applyBorder="1">
      <alignment horizontal="center" vertical="center" wrapText="1"/>
    </xf>
    <xf numFmtId="0" fontId="37" fillId="0" borderId="0" xfId="49" applyAlignment="1">
      <alignment horizontal="left" vertical="center"/>
    </xf>
    <xf numFmtId="0" fontId="70" fillId="35" borderId="22" xfId="58" applyFill="1" applyBorder="1" applyAlignment="1">
      <alignment horizontal="left" vertical="center" wrapText="1" indent="1"/>
    </xf>
    <xf numFmtId="0" fontId="70" fillId="35" borderId="35" xfId="58" applyFill="1" applyBorder="1" applyAlignment="1">
      <alignment horizontal="left" vertical="center" wrapText="1" indent="1"/>
    </xf>
    <xf numFmtId="0" fontId="70" fillId="35" borderId="170" xfId="58" applyFill="1" applyBorder="1" applyAlignment="1">
      <alignment horizontal="left" vertical="center" wrapText="1" indent="1"/>
    </xf>
    <xf numFmtId="164" fontId="91" fillId="0" borderId="34" xfId="56" applyFont="1" applyFill="1" applyBorder="1" applyAlignment="1">
      <alignment horizontal="left" vertical="top"/>
    </xf>
    <xf numFmtId="164" fontId="91" fillId="0" borderId="0" xfId="56" applyFont="1" applyFill="1" applyBorder="1" applyAlignment="1">
      <alignment horizontal="left" vertical="top"/>
    </xf>
    <xf numFmtId="0" fontId="86" fillId="0" borderId="0" xfId="98" applyFont="1"/>
    <xf numFmtId="0" fontId="70" fillId="35" borderId="32" xfId="58" applyFill="1" applyBorder="1" applyAlignment="1">
      <alignment horizontal="left" vertical="center" wrapText="1" indent="1"/>
    </xf>
    <xf numFmtId="0" fontId="70" fillId="35" borderId="31" xfId="58" applyFill="1" applyBorder="1" applyAlignment="1">
      <alignment horizontal="left" vertical="center" wrapText="1" indent="1"/>
    </xf>
    <xf numFmtId="0" fontId="70" fillId="35" borderId="180" xfId="58" applyFill="1" applyBorder="1" applyAlignment="1">
      <alignment horizontal="left" vertical="center" wrapText="1" indent="1"/>
    </xf>
    <xf numFmtId="0" fontId="180" fillId="45" borderId="0" xfId="95" applyFont="1" applyFill="1" applyBorder="1" applyAlignment="1">
      <alignment horizontal="center" vertical="center" wrapText="1"/>
    </xf>
    <xf numFmtId="0" fontId="179" fillId="45" borderId="0" xfId="95" applyFont="1" applyFill="1" applyBorder="1" applyAlignment="1">
      <alignment horizontal="center" vertical="center" wrapText="1"/>
    </xf>
    <xf numFmtId="0" fontId="31" fillId="0" borderId="35" xfId="45" applyBorder="1" applyAlignment="1">
      <alignment horizontal="center" vertical="center"/>
    </xf>
    <xf numFmtId="0" fontId="34" fillId="35" borderId="170" xfId="54" quotePrefix="1" applyBorder="1" applyAlignment="1" applyProtection="1">
      <alignment vertical="center"/>
    </xf>
    <xf numFmtId="0" fontId="180" fillId="0" borderId="0" xfId="95" applyFont="1" applyFill="1" applyBorder="1" applyAlignment="1">
      <alignment horizontal="center" vertical="center" wrapText="1"/>
    </xf>
    <xf numFmtId="0" fontId="179" fillId="0" borderId="0" xfId="95" applyFont="1" applyFill="1" applyBorder="1" applyAlignment="1">
      <alignment horizontal="center" vertical="center" wrapText="1"/>
    </xf>
    <xf numFmtId="0" fontId="31" fillId="0" borderId="78" xfId="46" applyBorder="1">
      <alignment horizontal="center" vertical="center" wrapText="1"/>
    </xf>
    <xf numFmtId="49" fontId="37" fillId="0" borderId="0" xfId="66" applyFont="1">
      <alignment vertical="center" wrapText="1"/>
    </xf>
    <xf numFmtId="49" fontId="42" fillId="0" borderId="0" xfId="66" applyFont="1">
      <alignment vertical="center" wrapText="1"/>
    </xf>
    <xf numFmtId="49" fontId="31" fillId="0" borderId="0" xfId="103" applyAlignment="1">
      <alignment horizontal="right" vertical="center" wrapText="1" indent="1"/>
    </xf>
    <xf numFmtId="49" fontId="37" fillId="0" borderId="0" xfId="88" applyFont="1">
      <alignment vertical="center" wrapText="1"/>
    </xf>
    <xf numFmtId="49" fontId="42" fillId="0" borderId="0" xfId="88" applyFont="1">
      <alignment vertical="center" wrapText="1"/>
    </xf>
    <xf numFmtId="0" fontId="122" fillId="35" borderId="91" xfId="51" applyFont="1" applyFill="1" applyBorder="1" applyAlignment="1">
      <alignment horizontal="left" vertical="center" wrapText="1" indent="1"/>
    </xf>
    <xf numFmtId="0" fontId="122" fillId="35" borderId="90" xfId="51" applyFont="1" applyFill="1" applyBorder="1" applyAlignment="1">
      <alignment horizontal="left" vertical="center" wrapText="1" indent="1"/>
    </xf>
    <xf numFmtId="0" fontId="122" fillId="35" borderId="94" xfId="51" applyFont="1" applyFill="1" applyBorder="1" applyAlignment="1">
      <alignment horizontal="left" vertical="center" wrapText="1" indent="1"/>
    </xf>
    <xf numFmtId="164" fontId="60" fillId="0" borderId="34" xfId="56" applyFill="1" applyBorder="1">
      <alignment horizontal="left" vertical="center" wrapText="1"/>
    </xf>
    <xf numFmtId="164" fontId="60" fillId="0" borderId="0" xfId="56" applyFill="1" applyBorder="1">
      <alignment horizontal="left" vertical="center" wrapText="1"/>
    </xf>
    <xf numFmtId="0" fontId="31" fillId="0" borderId="0" xfId="93">
      <alignment horizontal="left" vertical="center" wrapText="1"/>
    </xf>
    <xf numFmtId="0" fontId="2" fillId="0" borderId="65" xfId="97" applyBorder="1"/>
    <xf numFmtId="0" fontId="55" fillId="45" borderId="34" xfId="51" applyFont="1" applyFill="1" applyBorder="1" applyAlignment="1" applyProtection="1">
      <alignment horizontal="center" vertical="center" wrapText="1"/>
      <protection locked="0"/>
    </xf>
    <xf numFmtId="0" fontId="15" fillId="45" borderId="0" xfId="51" applyFont="1" applyFill="1" applyBorder="1" applyAlignment="1" applyProtection="1">
      <alignment horizontal="center" vertical="center" wrapText="1"/>
      <protection locked="0"/>
    </xf>
    <xf numFmtId="0" fontId="57" fillId="0" borderId="0" xfId="55">
      <alignment vertical="center" wrapText="1"/>
      <protection locked="0"/>
    </xf>
    <xf numFmtId="0" fontId="91" fillId="0" borderId="0" xfId="57" applyFont="1" applyFill="1" applyBorder="1" applyAlignment="1">
      <alignment horizontal="left"/>
    </xf>
    <xf numFmtId="0" fontId="34" fillId="0" borderId="196" xfId="70" applyFill="1" applyBorder="1">
      <alignment vertical="center" wrapText="1"/>
      <protection locked="0"/>
    </xf>
    <xf numFmtId="0" fontId="34" fillId="0" borderId="195" xfId="70" applyFill="1" applyBorder="1">
      <alignment vertical="center" wrapText="1"/>
      <protection locked="0"/>
    </xf>
    <xf numFmtId="0" fontId="34" fillId="0" borderId="194" xfId="70" applyFill="1" applyBorder="1">
      <alignment vertical="center" wrapText="1"/>
      <protection locked="0"/>
    </xf>
    <xf numFmtId="0" fontId="31" fillId="0" borderId="91" xfId="46" applyBorder="1">
      <alignment horizontal="center" vertical="center" wrapText="1"/>
    </xf>
    <xf numFmtId="0" fontId="31" fillId="0" borderId="94" xfId="46" applyBorder="1">
      <alignment horizontal="center" vertical="center" wrapText="1"/>
    </xf>
    <xf numFmtId="0" fontId="70" fillId="35" borderId="176" xfId="58" applyFill="1" applyBorder="1" applyAlignment="1">
      <alignment horizontal="left" vertical="center" wrapText="1" indent="1"/>
    </xf>
    <xf numFmtId="0" fontId="70" fillId="35" borderId="54" xfId="58" applyFill="1" applyBorder="1" applyAlignment="1">
      <alignment horizontal="left" vertical="center" wrapText="1" indent="1"/>
    </xf>
    <xf numFmtId="0" fontId="70" fillId="35" borderId="128" xfId="58" applyFill="1" applyBorder="1" applyAlignment="1">
      <alignment horizontal="left" vertical="center" wrapText="1" indent="1"/>
    </xf>
    <xf numFmtId="0" fontId="31" fillId="0" borderId="46" xfId="93" applyBorder="1" applyAlignment="1">
      <alignment horizontal="center" vertical="center" wrapText="1"/>
    </xf>
    <xf numFmtId="0" fontId="31" fillId="0" borderId="0" xfId="93" applyAlignment="1">
      <alignment horizontal="center" vertical="center" wrapText="1"/>
    </xf>
    <xf numFmtId="0" fontId="34" fillId="0" borderId="0" xfId="45" applyFont="1" applyAlignment="1">
      <alignment horizontal="left" vertical="center"/>
    </xf>
    <xf numFmtId="49" fontId="86" fillId="0" borderId="0" xfId="66" applyFont="1">
      <alignment vertical="center" wrapText="1"/>
    </xf>
    <xf numFmtId="0" fontId="189" fillId="0" borderId="28" xfId="51" applyFont="1" applyBorder="1" applyAlignment="1">
      <alignment horizontal="left" vertical="center" wrapText="1"/>
    </xf>
    <xf numFmtId="0" fontId="68" fillId="0" borderId="46" xfId="93" quotePrefix="1" applyFont="1" applyBorder="1" applyAlignment="1">
      <alignment horizontal="center" vertical="center" wrapText="1"/>
    </xf>
    <xf numFmtId="0" fontId="68" fillId="0" borderId="0" xfId="93" applyFont="1" applyAlignment="1">
      <alignment horizontal="center" vertical="center" wrapText="1"/>
    </xf>
    <xf numFmtId="0" fontId="67" fillId="0" borderId="46" xfId="97" applyFont="1" applyBorder="1" applyAlignment="1">
      <alignment horizontal="center" wrapText="1"/>
    </xf>
    <xf numFmtId="0" fontId="67" fillId="0" borderId="0" xfId="97" applyFont="1" applyAlignment="1">
      <alignment horizontal="center" wrapText="1"/>
    </xf>
    <xf numFmtId="0" fontId="31" fillId="0" borderId="0" xfId="45" applyAlignment="1">
      <alignment horizontal="left" vertical="center"/>
    </xf>
    <xf numFmtId="0" fontId="31" fillId="0" borderId="70" xfId="45" applyBorder="1">
      <alignment horizontal="left" vertical="center" wrapText="1"/>
    </xf>
    <xf numFmtId="0" fontId="2" fillId="0" borderId="70" xfId="43" applyBorder="1" applyAlignment="1">
      <alignment wrapText="1"/>
    </xf>
    <xf numFmtId="0" fontId="92" fillId="0" borderId="35" xfId="46" applyFont="1" applyBorder="1">
      <alignment horizontal="center" vertical="center" wrapText="1"/>
    </xf>
    <xf numFmtId="0" fontId="94" fillId="0" borderId="22" xfId="43" applyFont="1" applyBorder="1" applyAlignment="1" applyProtection="1">
      <alignment horizontal="left" indent="1"/>
      <protection locked="0"/>
    </xf>
    <xf numFmtId="0" fontId="94" fillId="0" borderId="35" xfId="43" applyFont="1" applyBorder="1" applyAlignment="1" applyProtection="1">
      <alignment horizontal="left" indent="1"/>
      <protection locked="0"/>
    </xf>
    <xf numFmtId="0" fontId="94" fillId="0" borderId="21" xfId="43" applyFont="1" applyBorder="1" applyAlignment="1" applyProtection="1">
      <alignment horizontal="left" indent="1"/>
      <protection locked="0"/>
    </xf>
    <xf numFmtId="0" fontId="92" fillId="0" borderId="0" xfId="45" applyFont="1">
      <alignment horizontal="left" vertical="center" wrapText="1"/>
    </xf>
    <xf numFmtId="0" fontId="91" fillId="0" borderId="0" xfId="43" applyFont="1" applyAlignment="1">
      <alignment wrapText="1"/>
    </xf>
    <xf numFmtId="0" fontId="95" fillId="0" borderId="24" xfId="65" applyFont="1" applyFill="1" applyBorder="1" applyAlignment="1" applyProtection="1">
      <alignment horizontal="left" vertical="center" wrapText="1" indent="1"/>
      <protection locked="0"/>
    </xf>
    <xf numFmtId="49" fontId="34" fillId="0" borderId="22" xfId="63" applyFill="1" applyBorder="1" applyAlignment="1">
      <alignment horizontal="left" vertical="center" wrapText="1"/>
      <protection locked="0"/>
    </xf>
    <xf numFmtId="49" fontId="34" fillId="0" borderId="21" xfId="63" applyFill="1" applyBorder="1" applyAlignment="1">
      <alignment horizontal="left" vertical="center" wrapText="1"/>
      <protection locked="0"/>
    </xf>
    <xf numFmtId="49" fontId="34" fillId="0" borderId="24" xfId="63" applyFill="1" applyBorder="1" applyAlignment="1">
      <alignment horizontal="left" vertical="center" wrapText="1"/>
      <protection locked="0"/>
    </xf>
    <xf numFmtId="0" fontId="2" fillId="0" borderId="22" xfId="43" applyBorder="1" applyAlignment="1" applyProtection="1">
      <alignment horizontal="left" indent="1"/>
      <protection locked="0"/>
    </xf>
    <xf numFmtId="0" fontId="2" fillId="0" borderId="35" xfId="43" applyBorder="1" applyAlignment="1" applyProtection="1">
      <alignment horizontal="left" indent="1"/>
      <protection locked="0"/>
    </xf>
    <xf numFmtId="0" fontId="2" fillId="0" borderId="21" xfId="43" applyBorder="1" applyAlignment="1" applyProtection="1">
      <alignment horizontal="left" indent="1"/>
      <protection locked="0"/>
    </xf>
    <xf numFmtId="0" fontId="45" fillId="35" borderId="75" xfId="51" applyFont="1" applyFill="1" applyBorder="1" applyAlignment="1" applyProtection="1">
      <alignment horizontal="left" vertical="center" wrapText="1" indent="1"/>
    </xf>
    <xf numFmtId="0" fontId="45" fillId="35" borderId="74" xfId="51" applyFont="1" applyFill="1" applyBorder="1" applyAlignment="1" applyProtection="1">
      <alignment horizontal="left" vertical="center" wrapText="1" indent="1"/>
    </xf>
    <xf numFmtId="0" fontId="95" fillId="35" borderId="73" xfId="65" applyFont="1" applyFill="1" applyBorder="1" applyAlignment="1">
      <alignment horizontal="left" vertical="center" wrapText="1" indent="1"/>
    </xf>
    <xf numFmtId="0" fontId="95" fillId="35" borderId="72" xfId="65" applyFont="1" applyFill="1" applyBorder="1" applyAlignment="1">
      <alignment horizontal="left" vertical="center" wrapText="1" indent="1"/>
    </xf>
    <xf numFmtId="0" fontId="95" fillId="0" borderId="24" xfId="65" applyFont="1" applyFill="1" applyBorder="1" applyProtection="1">
      <alignment horizontal="left" vertical="center" wrapText="1"/>
      <protection locked="0"/>
    </xf>
    <xf numFmtId="0" fontId="95" fillId="35" borderId="22" xfId="65" applyFont="1" applyFill="1" applyBorder="1" applyAlignment="1">
      <alignment horizontal="left" vertical="center" wrapText="1" indent="1"/>
    </xf>
    <xf numFmtId="0" fontId="95" fillId="35" borderId="35" xfId="65" applyFont="1" applyFill="1" applyBorder="1" applyAlignment="1">
      <alignment horizontal="left" vertical="center" wrapText="1" indent="1"/>
    </xf>
    <xf numFmtId="0" fontId="95" fillId="35" borderId="21" xfId="65" applyFont="1" applyFill="1" applyBorder="1" applyAlignment="1">
      <alignment horizontal="left" vertical="center" wrapText="1" indent="1"/>
    </xf>
    <xf numFmtId="0" fontId="36" fillId="0" borderId="91" xfId="43" applyFont="1" applyBorder="1" applyAlignment="1">
      <alignment horizontal="center" vertical="center" wrapText="1"/>
    </xf>
    <xf numFmtId="0" fontId="36" fillId="0" borderId="90" xfId="43" applyFont="1" applyBorder="1" applyAlignment="1">
      <alignment horizontal="center" vertical="center" wrapText="1"/>
    </xf>
    <xf numFmtId="0" fontId="95" fillId="35" borderId="77" xfId="65" applyFont="1" applyFill="1" applyBorder="1" applyAlignment="1">
      <alignment horizontal="left" vertical="center" wrapText="1" indent="1"/>
    </xf>
    <xf numFmtId="0" fontId="95" fillId="35" borderId="76" xfId="65" applyFont="1" applyFill="1" applyBorder="1" applyAlignment="1">
      <alignment horizontal="left" vertical="center" wrapText="1" indent="1"/>
    </xf>
    <xf numFmtId="0" fontId="34" fillId="0" borderId="57" xfId="62" applyNumberFormat="1" applyFill="1" applyBorder="1" applyAlignment="1">
      <alignment horizontal="left" vertical="center" wrapText="1" indent="1"/>
      <protection locked="0"/>
    </xf>
    <xf numFmtId="0" fontId="34" fillId="0" borderId="78" xfId="62" applyNumberFormat="1" applyFill="1" applyBorder="1" applyAlignment="1">
      <alignment horizontal="left" vertical="center" wrapText="1" indent="1"/>
      <protection locked="0"/>
    </xf>
    <xf numFmtId="0" fontId="34" fillId="0" borderId="56" xfId="62" applyNumberFormat="1" applyFill="1" applyBorder="1" applyAlignment="1">
      <alignment horizontal="left" vertical="center" wrapText="1" indent="1"/>
      <protection locked="0"/>
    </xf>
    <xf numFmtId="0" fontId="45" fillId="35" borderId="35" xfId="51" applyFont="1" applyFill="1" applyBorder="1" applyAlignment="1">
      <alignment horizontal="left" vertical="center" wrapText="1"/>
    </xf>
    <xf numFmtId="0" fontId="45" fillId="35" borderId="21" xfId="51" applyFont="1" applyFill="1" applyBorder="1" applyAlignment="1">
      <alignment horizontal="left" vertical="center" wrapText="1"/>
    </xf>
    <xf numFmtId="0" fontId="31" fillId="0" borderId="33" xfId="46" applyBorder="1">
      <alignment horizontal="center" vertical="center" wrapText="1"/>
    </xf>
    <xf numFmtId="0" fontId="31" fillId="0" borderId="111" xfId="46" applyBorder="1">
      <alignment horizontal="center" vertical="center" wrapText="1"/>
    </xf>
    <xf numFmtId="0" fontId="31" fillId="0" borderId="115" xfId="46" applyBorder="1">
      <alignment horizontal="center" vertical="center" wrapText="1"/>
    </xf>
    <xf numFmtId="0" fontId="31" fillId="0" borderId="110" xfId="46" applyBorder="1">
      <alignment horizontal="center" vertical="center" wrapText="1"/>
    </xf>
    <xf numFmtId="0" fontId="34" fillId="35" borderId="57" xfId="62" applyNumberFormat="1" applyBorder="1" applyAlignment="1" applyProtection="1">
      <alignment horizontal="left" vertical="center" wrapText="1" indent="1"/>
    </xf>
    <xf numFmtId="0" fontId="34" fillId="35" borderId="78" xfId="62" applyNumberFormat="1" applyBorder="1" applyAlignment="1" applyProtection="1">
      <alignment horizontal="left" vertical="center" wrapText="1" indent="1"/>
    </xf>
    <xf numFmtId="0" fontId="34" fillId="35" borderId="56" xfId="62" applyNumberFormat="1" applyBorder="1" applyAlignment="1" applyProtection="1">
      <alignment horizontal="left" vertical="center" wrapText="1" indent="1"/>
    </xf>
    <xf numFmtId="166" fontId="34" fillId="0" borderId="119" xfId="62" applyNumberFormat="1" applyFill="1" applyBorder="1" applyAlignment="1">
      <alignment horizontal="center" vertical="center"/>
      <protection locked="0"/>
    </xf>
    <xf numFmtId="166" fontId="34" fillId="0" borderId="118" xfId="62" applyNumberFormat="1" applyFill="1" applyBorder="1" applyAlignment="1">
      <alignment horizontal="center" vertical="center"/>
      <protection locked="0"/>
    </xf>
    <xf numFmtId="0" fontId="109" fillId="0" borderId="0" xfId="47" applyFont="1" applyAlignment="1">
      <alignment horizontal="left" vertical="center"/>
    </xf>
    <xf numFmtId="0" fontId="2" fillId="0" borderId="0" xfId="43" applyAlignment="1">
      <alignment horizontal="left" vertical="center" wrapText="1"/>
    </xf>
    <xf numFmtId="0" fontId="34" fillId="35" borderId="22" xfId="47" applyFill="1" applyBorder="1" applyAlignment="1">
      <alignment horizontal="left" vertical="center" indent="1"/>
    </xf>
    <xf numFmtId="0" fontId="34" fillId="35" borderId="35" xfId="47" applyFill="1" applyBorder="1" applyAlignment="1">
      <alignment horizontal="left" vertical="center" indent="1"/>
    </xf>
    <xf numFmtId="0" fontId="34" fillId="35" borderId="21" xfId="47" applyFill="1" applyBorder="1" applyAlignment="1">
      <alignment horizontal="left" vertical="center" indent="1"/>
    </xf>
    <xf numFmtId="0" fontId="31" fillId="0" borderId="19" xfId="45" applyBorder="1" applyAlignment="1">
      <alignment horizontal="center" vertical="center" wrapText="1"/>
    </xf>
    <xf numFmtId="0" fontId="70" fillId="35" borderId="21" xfId="58" applyFill="1" applyBorder="1" applyAlignment="1">
      <alignment horizontal="left" vertical="center" wrapText="1" indent="1"/>
    </xf>
    <xf numFmtId="0" fontId="74" fillId="0" borderId="57" xfId="66" applyNumberFormat="1" applyFont="1" applyBorder="1" applyAlignment="1" applyProtection="1">
      <alignment horizontal="center" vertical="center" wrapText="1"/>
      <protection locked="0"/>
    </xf>
    <xf numFmtId="0" fontId="74" fillId="0" borderId="56" xfId="66" applyNumberFormat="1" applyFont="1" applyBorder="1" applyAlignment="1" applyProtection="1">
      <alignment horizontal="center" vertical="center" wrapText="1"/>
      <protection locked="0"/>
    </xf>
    <xf numFmtId="0" fontId="2" fillId="0" borderId="78" xfId="43" applyBorder="1" applyAlignment="1">
      <alignment horizontal="center" vertical="center" wrapText="1"/>
    </xf>
    <xf numFmtId="10" fontId="34" fillId="0" borderId="57" xfId="75" applyFill="1" applyBorder="1">
      <alignment horizontal="center" vertical="center"/>
      <protection locked="0"/>
    </xf>
    <xf numFmtId="0" fontId="2" fillId="0" borderId="56" xfId="43" applyBorder="1" applyAlignment="1">
      <alignment horizontal="center" vertical="center"/>
    </xf>
    <xf numFmtId="0" fontId="34" fillId="0" borderId="0" xfId="47" applyAlignment="1">
      <alignment horizontal="left" vertical="center"/>
    </xf>
    <xf numFmtId="0" fontId="49" fillId="0" borderId="0" xfId="43" applyFont="1" applyAlignment="1">
      <alignment horizontal="center" vertical="center" wrapText="1"/>
    </xf>
    <xf numFmtId="0" fontId="111" fillId="0" borderId="0" xfId="43" applyFont="1" applyAlignment="1">
      <alignment vertical="center"/>
    </xf>
    <xf numFmtId="0" fontId="31" fillId="0" borderId="123" xfId="46" applyBorder="1">
      <alignment horizontal="center" vertical="center" wrapText="1"/>
    </xf>
    <xf numFmtId="0" fontId="31" fillId="0" borderId="124" xfId="46" applyBorder="1">
      <alignment horizontal="center" vertical="center" wrapText="1"/>
    </xf>
    <xf numFmtId="0" fontId="31" fillId="0" borderId="122" xfId="46" applyBorder="1">
      <alignment horizontal="center" vertical="center" wrapText="1"/>
    </xf>
    <xf numFmtId="0" fontId="31" fillId="0" borderId="32" xfId="46" applyBorder="1">
      <alignment horizontal="center" vertical="center" wrapText="1"/>
    </xf>
    <xf numFmtId="0" fontId="31" fillId="0" borderId="30" xfId="46" applyBorder="1">
      <alignment horizontal="center" vertical="center" wrapText="1"/>
    </xf>
    <xf numFmtId="0" fontId="31" fillId="0" borderId="20" xfId="46" applyBorder="1">
      <alignment horizontal="center" vertical="center" wrapText="1"/>
    </xf>
    <xf numFmtId="0" fontId="31" fillId="0" borderId="18" xfId="46" applyBorder="1">
      <alignment horizontal="center" vertical="center" wrapText="1"/>
    </xf>
    <xf numFmtId="0" fontId="31" fillId="0" borderId="31" xfId="46" applyBorder="1">
      <alignment horizontal="center" vertical="center" wrapText="1"/>
    </xf>
    <xf numFmtId="0" fontId="34" fillId="0" borderId="22" xfId="45" applyFont="1" applyBorder="1" applyProtection="1">
      <alignment horizontal="left" vertical="center" wrapText="1"/>
      <protection locked="0"/>
    </xf>
    <xf numFmtId="0" fontId="34" fillId="0" borderId="35" xfId="45" applyFont="1" applyBorder="1" applyProtection="1">
      <alignment horizontal="left" vertical="center" wrapText="1"/>
      <protection locked="0"/>
    </xf>
    <xf numFmtId="0" fontId="34" fillId="0" borderId="21" xfId="45" applyFont="1" applyBorder="1" applyProtection="1">
      <alignment horizontal="left" vertical="center" wrapText="1"/>
      <protection locked="0"/>
    </xf>
    <xf numFmtId="0" fontId="29" fillId="35" borderId="22" xfId="43" applyFont="1" applyFill="1" applyBorder="1" applyAlignment="1">
      <alignment horizontal="left" vertical="center" wrapText="1"/>
    </xf>
    <xf numFmtId="0" fontId="29" fillId="35" borderId="35" xfId="43" applyFont="1" applyFill="1" applyBorder="1" applyAlignment="1">
      <alignment horizontal="left" vertical="center" wrapText="1"/>
    </xf>
    <xf numFmtId="0" fontId="29" fillId="35" borderId="22" xfId="43" applyFont="1" applyFill="1" applyBorder="1" applyAlignment="1">
      <alignment horizontal="left" vertical="center"/>
    </xf>
    <xf numFmtId="0" fontId="29" fillId="35" borderId="35" xfId="43" applyFont="1" applyFill="1" applyBorder="1" applyAlignment="1">
      <alignment horizontal="left" vertical="center"/>
    </xf>
    <xf numFmtId="0" fontId="29" fillId="35" borderId="21" xfId="43" applyFont="1" applyFill="1" applyBorder="1" applyAlignment="1">
      <alignment horizontal="left" vertical="center"/>
    </xf>
    <xf numFmtId="0" fontId="122" fillId="35" borderId="24" xfId="51" applyFont="1" applyFill="1" applyBorder="1" applyAlignment="1" applyProtection="1">
      <alignment horizontal="left" vertical="center" wrapText="1" indent="1"/>
    </xf>
    <xf numFmtId="0" fontId="29" fillId="35" borderId="22" xfId="44" applyNumberFormat="1" applyFont="1" applyFill="1" applyBorder="1" applyAlignment="1" applyProtection="1">
      <alignment horizontal="left" vertical="center" wrapText="1"/>
    </xf>
    <xf numFmtId="0" fontId="29" fillId="35" borderId="35" xfId="44" applyNumberFormat="1" applyFont="1" applyFill="1" applyBorder="1" applyAlignment="1" applyProtection="1">
      <alignment horizontal="left" vertical="center" wrapText="1"/>
    </xf>
    <xf numFmtId="0" fontId="29" fillId="35" borderId="21" xfId="44" applyNumberFormat="1" applyFont="1" applyFill="1" applyBorder="1" applyAlignment="1" applyProtection="1">
      <alignment horizontal="left" vertical="center" wrapText="1"/>
    </xf>
    <xf numFmtId="0" fontId="29" fillId="35" borderId="21" xfId="43" applyFont="1" applyFill="1" applyBorder="1" applyAlignment="1">
      <alignment horizontal="left" vertical="center" wrapText="1"/>
    </xf>
    <xf numFmtId="0" fontId="95" fillId="0" borderId="22" xfId="45" applyFont="1" applyBorder="1" applyProtection="1">
      <alignment horizontal="left" vertical="center" wrapText="1"/>
      <protection locked="0"/>
    </xf>
    <xf numFmtId="0" fontId="95" fillId="0" borderId="35" xfId="45" applyFont="1" applyBorder="1" applyProtection="1">
      <alignment horizontal="left" vertical="center" wrapText="1"/>
      <protection locked="0"/>
    </xf>
    <xf numFmtId="0" fontId="95" fillId="0" borderId="21" xfId="45" applyFont="1" applyBorder="1" applyProtection="1">
      <alignment horizontal="left" vertical="center" wrapText="1"/>
      <protection locked="0"/>
    </xf>
    <xf numFmtId="0" fontId="31" fillId="0" borderId="22" xfId="45" applyBorder="1" applyAlignment="1">
      <alignment horizontal="center" vertical="center"/>
    </xf>
    <xf numFmtId="0" fontId="103" fillId="0" borderId="0" xfId="45" applyFont="1">
      <alignment horizontal="left" vertical="center" wrapText="1"/>
    </xf>
    <xf numFmtId="0" fontId="30" fillId="0" borderId="0" xfId="43" applyFont="1" applyAlignment="1">
      <alignment horizontal="left" vertical="center"/>
    </xf>
    <xf numFmtId="167" fontId="48" fillId="35" borderId="24" xfId="43" applyNumberFormat="1" applyFont="1" applyFill="1" applyBorder="1" applyAlignment="1">
      <alignment horizontal="left" vertical="center"/>
    </xf>
    <xf numFmtId="0" fontId="95" fillId="0" borderId="22" xfId="44" applyNumberFormat="1" applyFont="1" applyFill="1" applyBorder="1" applyAlignment="1" applyProtection="1">
      <alignment horizontal="left" vertical="center" wrapText="1"/>
      <protection locked="0"/>
    </xf>
    <xf numFmtId="0" fontId="95" fillId="0" borderId="35" xfId="44" applyNumberFormat="1" applyFont="1" applyFill="1" applyBorder="1" applyAlignment="1" applyProtection="1">
      <alignment horizontal="left" vertical="center" wrapText="1"/>
      <protection locked="0"/>
    </xf>
    <xf numFmtId="0" fontId="95" fillId="0" borderId="21" xfId="44" applyNumberFormat="1" applyFont="1" applyFill="1" applyBorder="1" applyAlignment="1" applyProtection="1">
      <alignment horizontal="left" vertical="center" wrapText="1"/>
      <protection locked="0"/>
    </xf>
    <xf numFmtId="0" fontId="86" fillId="0" borderId="0" xfId="49" applyFont="1" applyAlignment="1">
      <alignment horizontal="left" wrapText="1"/>
    </xf>
    <xf numFmtId="0" fontId="86" fillId="0" borderId="0" xfId="51" applyFont="1" applyAlignment="1">
      <alignment horizontal="left"/>
    </xf>
    <xf numFmtId="0" fontId="86" fillId="0" borderId="0" xfId="43" applyFont="1" applyAlignment="1">
      <alignment horizontal="left"/>
    </xf>
    <xf numFmtId="0" fontId="37" fillId="0" borderId="0" xfId="43" applyFont="1" applyAlignment="1">
      <alignment horizontal="left" vertical="center"/>
    </xf>
    <xf numFmtId="0" fontId="42" fillId="0" borderId="0" xfId="43" applyFont="1" applyAlignment="1">
      <alignment horizontal="left" vertical="center"/>
    </xf>
    <xf numFmtId="0" fontId="30" fillId="0" borderId="19" xfId="43" applyFont="1" applyBorder="1" applyAlignment="1">
      <alignment horizontal="left" vertical="center"/>
    </xf>
    <xf numFmtId="0" fontId="29" fillId="35" borderId="24" xfId="43" applyFont="1" applyFill="1" applyBorder="1" applyAlignment="1">
      <alignment horizontal="left" vertical="center" wrapText="1"/>
    </xf>
    <xf numFmtId="0" fontId="37" fillId="49" borderId="138" xfId="49" applyFill="1" applyBorder="1" applyAlignment="1">
      <alignment horizontal="center" vertical="center" wrapText="1"/>
    </xf>
    <xf numFmtId="0" fontId="37" fillId="49" borderId="0" xfId="49" applyFill="1" applyAlignment="1">
      <alignment horizontal="center" vertical="center" wrapText="1"/>
    </xf>
    <xf numFmtId="0" fontId="34" fillId="35" borderId="22" xfId="45" applyFont="1" applyFill="1" applyBorder="1">
      <alignment horizontal="left" vertical="center" wrapText="1"/>
    </xf>
    <xf numFmtId="0" fontId="34" fillId="35" borderId="35" xfId="45" applyFont="1" applyFill="1" applyBorder="1">
      <alignment horizontal="left" vertical="center" wrapText="1"/>
    </xf>
    <xf numFmtId="0" fontId="34" fillId="35" borderId="21" xfId="45" applyFont="1" applyFill="1" applyBorder="1">
      <alignment horizontal="left" vertical="center" wrapText="1"/>
    </xf>
    <xf numFmtId="0" fontId="42" fillId="0" borderId="0" xfId="49" applyFont="1" applyAlignment="1">
      <alignment horizontal="left" vertical="center" wrapText="1"/>
    </xf>
    <xf numFmtId="0" fontId="87" fillId="0" borderId="0" xfId="49" applyFont="1" applyAlignment="1">
      <alignment horizontal="left" wrapText="1" indent="2"/>
    </xf>
    <xf numFmtId="0" fontId="87" fillId="0" borderId="0" xfId="49" applyFont="1" applyAlignment="1">
      <alignment horizontal="left" vertical="top" wrapText="1" indent="2"/>
    </xf>
    <xf numFmtId="0" fontId="86" fillId="0" borderId="0" xfId="49" applyFont="1" applyAlignment="1">
      <alignment horizontal="left" vertical="center" wrapText="1"/>
    </xf>
    <xf numFmtId="0" fontId="93" fillId="0" borderId="22" xfId="54" applyFont="1" applyFill="1" applyBorder="1">
      <alignment horizontal="center" vertical="center" wrapText="1"/>
      <protection locked="0"/>
    </xf>
    <xf numFmtId="0" fontId="93" fillId="0" borderId="21" xfId="54" applyFont="1" applyFill="1" applyBorder="1">
      <alignment horizontal="center" vertical="center" wrapText="1"/>
      <protection locked="0"/>
    </xf>
    <xf numFmtId="164" fontId="94" fillId="35" borderId="22" xfId="43" applyNumberFormat="1" applyFont="1" applyFill="1" applyBorder="1" applyAlignment="1" applyProtection="1">
      <alignment horizontal="center" vertical="center"/>
      <protection locked="0"/>
    </xf>
    <xf numFmtId="164" fontId="94" fillId="35" borderId="21" xfId="43" applyNumberFormat="1" applyFont="1" applyFill="1" applyBorder="1" applyAlignment="1" applyProtection="1">
      <alignment horizontal="center" vertical="center"/>
      <protection locked="0"/>
    </xf>
    <xf numFmtId="0" fontId="92" fillId="0" borderId="43" xfId="46" applyFont="1" applyBorder="1">
      <alignment horizontal="center" vertical="center" wrapText="1"/>
    </xf>
    <xf numFmtId="0" fontId="92" fillId="0" borderId="42" xfId="46" applyFont="1" applyBorder="1">
      <alignment horizontal="center" vertical="center" wrapText="1"/>
    </xf>
    <xf numFmtId="0" fontId="92" fillId="0" borderId="38" xfId="46" applyFont="1" applyBorder="1">
      <alignment horizontal="center" vertical="center" wrapText="1"/>
    </xf>
    <xf numFmtId="0" fontId="92" fillId="0" borderId="37" xfId="46" applyFont="1" applyBorder="1">
      <alignment horizontal="center" vertical="center" wrapText="1"/>
    </xf>
    <xf numFmtId="0" fontId="103" fillId="0" borderId="0" xfId="45" applyFont="1" applyAlignment="1">
      <alignment horizontal="left"/>
    </xf>
    <xf numFmtId="0" fontId="37" fillId="0" borderId="0" xfId="49" applyAlignment="1" applyProtection="1">
      <alignment horizontal="left" vertical="center" wrapText="1"/>
      <protection locked="0"/>
    </xf>
    <xf numFmtId="0" fontId="42" fillId="0" borderId="0" xfId="49" applyFont="1" applyAlignment="1" applyProtection="1">
      <alignment horizontal="left" vertical="center" wrapText="1"/>
      <protection locked="0"/>
    </xf>
    <xf numFmtId="0" fontId="42" fillId="0" borderId="36" xfId="49" applyFont="1" applyBorder="1" applyAlignment="1">
      <alignment horizontal="left" vertical="center" wrapText="1"/>
    </xf>
    <xf numFmtId="0" fontId="37" fillId="0" borderId="36" xfId="49" applyBorder="1" applyAlignment="1">
      <alignment horizontal="left" vertical="center" wrapText="1"/>
    </xf>
    <xf numFmtId="0" fontId="92" fillId="0" borderId="0" xfId="45" applyFont="1" applyAlignment="1">
      <alignment horizontal="left" vertical="center"/>
    </xf>
    <xf numFmtId="0" fontId="93" fillId="0" borderId="0" xfId="45" applyFont="1" applyAlignment="1">
      <alignment horizontal="left" vertical="center"/>
    </xf>
    <xf numFmtId="0" fontId="29" fillId="35" borderId="32" xfId="43" applyFont="1" applyFill="1" applyBorder="1" applyAlignment="1">
      <alignment horizontal="left" vertical="center" wrapText="1"/>
    </xf>
    <xf numFmtId="0" fontId="29" fillId="35" borderId="31" xfId="43" applyFont="1" applyFill="1" applyBorder="1" applyAlignment="1">
      <alignment horizontal="left" vertical="center" wrapText="1"/>
    </xf>
    <xf numFmtId="0" fontId="29" fillId="35" borderId="30" xfId="43" applyFont="1" applyFill="1" applyBorder="1" applyAlignment="1">
      <alignment horizontal="left" vertical="center" wrapText="1"/>
    </xf>
    <xf numFmtId="0" fontId="29" fillId="35" borderId="20" xfId="43" applyFont="1" applyFill="1" applyBorder="1" applyAlignment="1">
      <alignment horizontal="left" vertical="center" wrapText="1"/>
    </xf>
    <xf numFmtId="0" fontId="29" fillId="35" borderId="19" xfId="43" applyFont="1" applyFill="1" applyBorder="1" applyAlignment="1">
      <alignment horizontal="left" vertical="center" wrapText="1"/>
    </xf>
    <xf numFmtId="0" fontId="29" fillId="35" borderId="18" xfId="43" applyFont="1" applyFill="1" applyBorder="1" applyAlignment="1">
      <alignment horizontal="left" vertical="center" wrapText="1"/>
    </xf>
    <xf numFmtId="0" fontId="117" fillId="0" borderId="0" xfId="45" applyFont="1" applyAlignment="1">
      <alignment horizontal="left" vertical="center"/>
    </xf>
    <xf numFmtId="0" fontId="118" fillId="0" borderId="0" xfId="45" applyFont="1" applyAlignment="1">
      <alignment horizontal="left" vertical="center"/>
    </xf>
    <xf numFmtId="0" fontId="29" fillId="35" borderId="57" xfId="43" applyFont="1" applyFill="1" applyBorder="1" applyAlignment="1">
      <alignment horizontal="left" vertical="center" wrapText="1"/>
    </xf>
    <xf numFmtId="0" fontId="29" fillId="35" borderId="78" xfId="43" applyFont="1" applyFill="1" applyBorder="1" applyAlignment="1">
      <alignment horizontal="left" vertical="center" wrapText="1"/>
    </xf>
    <xf numFmtId="0" fontId="29" fillId="35" borderId="56" xfId="43" applyFont="1" applyFill="1" applyBorder="1" applyAlignment="1">
      <alignment horizontal="left" vertical="center" wrapText="1"/>
    </xf>
    <xf numFmtId="164" fontId="61" fillId="0" borderId="34" xfId="56" applyFont="1" applyFill="1" applyBorder="1" applyAlignment="1">
      <alignment horizontal="left" vertical="top"/>
    </xf>
    <xf numFmtId="164" fontId="61" fillId="0" borderId="0" xfId="56" applyFont="1" applyFill="1" applyBorder="1" applyAlignment="1">
      <alignment horizontal="left" vertical="top"/>
    </xf>
    <xf numFmtId="0" fontId="86" fillId="0" borderId="0" xfId="43" applyFont="1" applyAlignment="1">
      <alignment vertical="center"/>
    </xf>
    <xf numFmtId="0" fontId="70" fillId="35" borderId="29" xfId="58" applyFill="1" applyBorder="1" applyAlignment="1">
      <alignment horizontal="left" vertical="center" wrapText="1" indent="1"/>
    </xf>
    <xf numFmtId="0" fontId="32" fillId="0" borderId="0" xfId="43" applyFont="1" applyAlignment="1">
      <alignment horizontal="center" vertical="center"/>
    </xf>
    <xf numFmtId="0" fontId="32" fillId="0" borderId="19" xfId="43" applyFont="1" applyBorder="1" applyAlignment="1">
      <alignment horizontal="center"/>
    </xf>
    <xf numFmtId="0" fontId="55" fillId="38" borderId="34" xfId="51" applyFont="1" applyFill="1" applyBorder="1" applyAlignment="1" applyProtection="1">
      <alignment horizontal="center" vertical="center" wrapText="1"/>
    </xf>
    <xf numFmtId="0" fontId="15" fillId="38" borderId="0" xfId="51" applyFont="1" applyFill="1" applyBorder="1" applyAlignment="1" applyProtection="1">
      <alignment horizontal="center" vertical="center" wrapText="1"/>
    </xf>
    <xf numFmtId="0" fontId="55" fillId="0" borderId="0" xfId="43" applyFont="1" applyAlignment="1">
      <alignment horizontal="left" vertical="center" wrapText="1"/>
    </xf>
    <xf numFmtId="0" fontId="15" fillId="0" borderId="0" xfId="43" applyFont="1" applyAlignment="1">
      <alignment horizontal="left" vertical="center" wrapText="1"/>
    </xf>
    <xf numFmtId="0" fontId="31" fillId="0" borderId="64" xfId="46" applyBorder="1">
      <alignment horizontal="center" vertical="center" wrapText="1"/>
    </xf>
    <xf numFmtId="0" fontId="31" fillId="0" borderId="63" xfId="46" applyBorder="1">
      <alignment horizontal="center" vertical="center" wrapText="1"/>
    </xf>
    <xf numFmtId="0" fontId="43" fillId="0" borderId="0" xfId="49" applyFont="1" applyAlignment="1">
      <alignment horizontal="left" vertical="center" wrapText="1"/>
    </xf>
    <xf numFmtId="0" fontId="55" fillId="45" borderId="34" xfId="51" applyFont="1" applyFill="1" applyBorder="1" applyAlignment="1" applyProtection="1">
      <alignment horizontal="center" vertical="center" wrapText="1"/>
    </xf>
    <xf numFmtId="0" fontId="15" fillId="45" borderId="0" xfId="51" applyFont="1" applyFill="1" applyBorder="1" applyAlignment="1" applyProtection="1">
      <alignment horizontal="center" vertical="center" wrapText="1"/>
    </xf>
    <xf numFmtId="0" fontId="52" fillId="0" borderId="0" xfId="49" applyFont="1" applyAlignment="1">
      <alignment horizontal="left" vertical="top" wrapText="1"/>
    </xf>
    <xf numFmtId="0" fontId="55" fillId="38" borderId="0" xfId="51" applyFont="1" applyFill="1" applyAlignment="1">
      <alignment horizontal="center" vertical="center" wrapText="1"/>
    </xf>
    <xf numFmtId="0" fontId="15" fillId="38" borderId="0" xfId="51" applyFont="1" applyFill="1" applyAlignment="1">
      <alignment horizontal="center" vertical="center" wrapText="1"/>
    </xf>
    <xf numFmtId="0" fontId="87" fillId="0" borderId="0" xfId="49" applyFont="1" applyAlignment="1">
      <alignment horizontal="left" vertical="center" wrapText="1" indent="2"/>
    </xf>
    <xf numFmtId="0" fontId="32" fillId="0" borderId="20" xfId="43" applyFont="1" applyBorder="1" applyAlignment="1">
      <alignment horizontal="center" vertical="center" wrapText="1"/>
    </xf>
    <xf numFmtId="0" fontId="32" fillId="0" borderId="18" xfId="43" applyFont="1" applyBorder="1" applyAlignment="1">
      <alignment horizontal="center" vertical="center" wrapText="1"/>
    </xf>
    <xf numFmtId="0" fontId="18" fillId="0" borderId="32" xfId="43" applyFont="1" applyBorder="1" applyAlignment="1">
      <alignment horizontal="center" vertical="center"/>
    </xf>
    <xf numFmtId="0" fontId="18" fillId="0" borderId="30" xfId="43" applyFont="1" applyBorder="1" applyAlignment="1">
      <alignment horizontal="center" vertical="center"/>
    </xf>
    <xf numFmtId="0" fontId="18" fillId="0" borderId="31" xfId="43" applyFont="1" applyBorder="1" applyAlignment="1">
      <alignment horizontal="center" vertical="center"/>
    </xf>
    <xf numFmtId="0" fontId="32" fillId="0" borderId="19" xfId="43" applyFont="1" applyBorder="1" applyAlignment="1">
      <alignment horizontal="center" vertical="center" wrapText="1"/>
    </xf>
    <xf numFmtId="0" fontId="115" fillId="0" borderId="0" xfId="49" applyFont="1">
      <alignment vertical="center"/>
    </xf>
    <xf numFmtId="0" fontId="117" fillId="0" borderId="0" xfId="43" applyFont="1" applyAlignment="1">
      <alignment horizontal="left"/>
    </xf>
    <xf numFmtId="0" fontId="31" fillId="0" borderId="120" xfId="46" applyBorder="1">
      <alignment horizontal="center" vertical="center" wrapText="1"/>
    </xf>
    <xf numFmtId="0" fontId="31" fillId="35" borderId="0" xfId="45" applyFill="1">
      <alignment horizontal="left" vertical="center" wrapText="1"/>
    </xf>
    <xf numFmtId="0" fontId="31" fillId="0" borderId="156" xfId="46" applyBorder="1">
      <alignment horizontal="center" vertical="center" wrapText="1"/>
    </xf>
    <xf numFmtId="0" fontId="31" fillId="0" borderId="155" xfId="46" applyBorder="1">
      <alignment horizontal="center" vertical="center" wrapText="1"/>
    </xf>
    <xf numFmtId="0" fontId="31" fillId="0" borderId="154" xfId="46" applyBorder="1">
      <alignment horizontal="center" vertical="center" wrapText="1"/>
    </xf>
    <xf numFmtId="0" fontId="2" fillId="0" borderId="49" xfId="43" applyBorder="1"/>
    <xf numFmtId="0" fontId="106" fillId="0" borderId="0" xfId="55" applyFont="1" applyAlignment="1" applyProtection="1">
      <alignment horizontal="left"/>
    </xf>
    <xf numFmtId="0" fontId="106" fillId="0" borderId="36" xfId="55" applyFont="1" applyBorder="1" applyAlignment="1" applyProtection="1">
      <alignment horizontal="left"/>
    </xf>
    <xf numFmtId="164" fontId="91" fillId="0" borderId="36" xfId="56" applyFont="1" applyFill="1" applyBorder="1" applyAlignment="1">
      <alignment horizontal="left" vertical="top"/>
    </xf>
    <xf numFmtId="0" fontId="86" fillId="0" borderId="0" xfId="49" applyFont="1" applyAlignment="1">
      <alignment vertical="center" wrapText="1"/>
    </xf>
    <xf numFmtId="0" fontId="86" fillId="0" borderId="0" xfId="49" applyFont="1" applyAlignment="1">
      <alignment vertical="top"/>
    </xf>
    <xf numFmtId="0" fontId="93" fillId="0" borderId="0" xfId="69" applyFont="1" applyAlignment="1">
      <alignment horizontal="right" vertical="center" wrapText="1"/>
    </xf>
    <xf numFmtId="14" fontId="93" fillId="0" borderId="91" xfId="64" applyFont="1" applyFill="1" applyBorder="1" applyAlignment="1">
      <alignment horizontal="left" vertical="center"/>
      <protection locked="0"/>
    </xf>
    <xf numFmtId="14" fontId="93" fillId="0" borderId="90" xfId="64" applyFont="1" applyFill="1" applyBorder="1" applyAlignment="1">
      <alignment horizontal="left" vertical="center"/>
      <protection locked="0"/>
    </xf>
    <xf numFmtId="14" fontId="93" fillId="0" borderId="94" xfId="64" applyFont="1" applyFill="1" applyBorder="1" applyAlignment="1">
      <alignment horizontal="left" vertical="center"/>
      <protection locked="0"/>
    </xf>
    <xf numFmtId="0" fontId="31" fillId="0" borderId="34" xfId="45" applyBorder="1">
      <alignment horizontal="left" vertical="center" wrapText="1"/>
    </xf>
    <xf numFmtId="0" fontId="45" fillId="35" borderId="96" xfId="51" applyFont="1" applyFill="1" applyBorder="1" applyAlignment="1">
      <alignment horizontal="left" vertical="center" wrapText="1" indent="1"/>
    </xf>
    <xf numFmtId="0" fontId="45" fillId="35" borderId="79" xfId="51" applyFont="1" applyFill="1" applyBorder="1" applyAlignment="1">
      <alignment horizontal="left" vertical="center" wrapText="1" indent="1"/>
    </xf>
    <xf numFmtId="0" fontId="45" fillId="35" borderId="95" xfId="51" applyFont="1" applyFill="1" applyBorder="1" applyAlignment="1">
      <alignment horizontal="left" vertical="center" wrapText="1" indent="1"/>
    </xf>
    <xf numFmtId="0" fontId="93" fillId="0" borderId="91" xfId="70" applyFont="1" applyFill="1" applyBorder="1" applyAlignment="1">
      <alignment horizontal="left" vertical="center" wrapText="1"/>
      <protection locked="0"/>
    </xf>
    <xf numFmtId="0" fontId="93" fillId="0" borderId="90" xfId="70" applyFont="1" applyFill="1" applyBorder="1" applyAlignment="1">
      <alignment horizontal="left" vertical="center" wrapText="1"/>
      <protection locked="0"/>
    </xf>
    <xf numFmtId="0" fontId="93" fillId="0" borderId="94" xfId="70" applyFont="1" applyFill="1" applyBorder="1" applyAlignment="1">
      <alignment horizontal="left" vertical="center" wrapText="1"/>
      <protection locked="0"/>
    </xf>
    <xf numFmtId="0" fontId="93" fillId="0" borderId="91" xfId="54" applyFont="1" applyFill="1" applyBorder="1" applyAlignment="1">
      <alignment horizontal="left" vertical="center" wrapText="1"/>
      <protection locked="0"/>
    </xf>
    <xf numFmtId="0" fontId="93" fillId="0" borderId="90" xfId="54" applyFont="1" applyFill="1" applyBorder="1" applyAlignment="1">
      <alignment horizontal="left" vertical="center" wrapText="1"/>
      <protection locked="0"/>
    </xf>
    <xf numFmtId="0" fontId="93" fillId="0" borderId="94" xfId="54" applyFont="1" applyFill="1" applyBorder="1" applyAlignment="1">
      <alignment horizontal="left" vertical="center" wrapText="1"/>
      <protection locked="0"/>
    </xf>
    <xf numFmtId="0" fontId="55" fillId="39" borderId="0" xfId="51" applyFont="1" applyFill="1" applyBorder="1" applyAlignment="1" applyProtection="1">
      <alignment horizontal="center" vertical="center" wrapText="1"/>
    </xf>
    <xf numFmtId="0" fontId="15" fillId="39" borderId="0" xfId="51" applyFont="1" applyFill="1" applyBorder="1" applyAlignment="1" applyProtection="1">
      <alignment horizontal="center" vertical="center" wrapText="1"/>
    </xf>
    <xf numFmtId="0" fontId="36" fillId="0" borderId="0" xfId="43" applyFont="1" applyAlignment="1">
      <alignment horizontal="left" vertical="center" wrapText="1"/>
    </xf>
    <xf numFmtId="0" fontId="59" fillId="0" borderId="0" xfId="43" applyFont="1" applyAlignment="1">
      <alignment horizontal="left"/>
    </xf>
    <xf numFmtId="0" fontId="52" fillId="0" borderId="0" xfId="49" applyFont="1" applyAlignment="1">
      <alignment horizontal="left" vertical="center" wrapText="1"/>
    </xf>
    <xf numFmtId="0" fontId="2" fillId="0" borderId="33" xfId="43" applyBorder="1" applyAlignment="1">
      <alignment vertical="center" wrapText="1"/>
    </xf>
    <xf numFmtId="0" fontId="2" fillId="0" borderId="115" xfId="43" applyBorder="1" applyAlignment="1">
      <alignment vertical="center" wrapText="1"/>
    </xf>
    <xf numFmtId="0" fontId="140" fillId="0" borderId="0" xfId="49" applyFont="1" applyAlignment="1">
      <alignment horizontal="left" vertical="center" wrapText="1"/>
    </xf>
    <xf numFmtId="0" fontId="67" fillId="0" borderId="0" xfId="49" applyFont="1" applyAlignment="1">
      <alignment horizontal="left" vertical="center" wrapText="1"/>
    </xf>
    <xf numFmtId="0" fontId="25" fillId="34" borderId="0" xfId="0" applyFont="1" applyFill="1"/>
    <xf numFmtId="0" fontId="1" fillId="0" borderId="0" xfId="107"/>
    <xf numFmtId="10" fontId="1" fillId="0" borderId="0" xfId="107" applyNumberFormat="1"/>
    <xf numFmtId="0" fontId="184" fillId="0" borderId="0" xfId="107" applyFont="1" applyAlignment="1">
      <alignment horizontal="center"/>
    </xf>
    <xf numFmtId="14" fontId="1" fillId="0" borderId="0" xfId="107" applyNumberFormat="1"/>
    <xf numFmtId="14" fontId="184" fillId="0" borderId="0" xfId="107" applyNumberFormat="1" applyFont="1"/>
    <xf numFmtId="0" fontId="1" fillId="0" borderId="160" xfId="107" applyBorder="1"/>
    <xf numFmtId="0" fontId="1" fillId="0" borderId="49" xfId="107" applyBorder="1"/>
    <xf numFmtId="0" fontId="1" fillId="0" borderId="50" xfId="107" applyBorder="1"/>
    <xf numFmtId="0" fontId="1" fillId="0" borderId="56" xfId="107" applyBorder="1" applyAlignment="1" applyProtection="1">
      <alignment horizontal="left"/>
      <protection locked="0"/>
    </xf>
    <xf numFmtId="0" fontId="1" fillId="0" borderId="65" xfId="107" applyBorder="1"/>
    <xf numFmtId="165" fontId="120" fillId="0" borderId="0" xfId="107" applyNumberFormat="1" applyFont="1"/>
    <xf numFmtId="0" fontId="1" fillId="0" borderId="52" xfId="107" applyBorder="1"/>
    <xf numFmtId="165" fontId="1" fillId="0" borderId="65" xfId="107" applyNumberFormat="1" applyBorder="1"/>
    <xf numFmtId="181" fontId="1" fillId="0" borderId="65" xfId="107" applyNumberFormat="1" applyBorder="1"/>
    <xf numFmtId="181" fontId="1" fillId="0" borderId="193" xfId="107" applyNumberFormat="1" applyBorder="1"/>
    <xf numFmtId="0" fontId="1" fillId="0" borderId="79" xfId="107" applyBorder="1" applyAlignment="1">
      <alignment vertical="center" wrapText="1"/>
    </xf>
    <xf numFmtId="0" fontId="1" fillId="0" borderId="96" xfId="107" applyBorder="1" applyAlignment="1">
      <alignment vertical="center" wrapText="1"/>
    </xf>
    <xf numFmtId="181" fontId="1" fillId="0" borderId="0" xfId="107" applyNumberFormat="1"/>
    <xf numFmtId="165" fontId="1" fillId="0" borderId="0" xfId="107" applyNumberFormat="1"/>
    <xf numFmtId="165" fontId="1" fillId="0" borderId="0" xfId="107" applyNumberFormat="1" applyAlignment="1">
      <alignment horizontal="center" vertical="center"/>
    </xf>
    <xf numFmtId="0" fontId="1" fillId="0" borderId="193" xfId="107" applyBorder="1"/>
    <xf numFmtId="0" fontId="1" fillId="0" borderId="79" xfId="107" applyBorder="1"/>
    <xf numFmtId="0" fontId="1" fillId="0" borderId="96" xfId="107" applyBorder="1"/>
    <xf numFmtId="0" fontId="185" fillId="0" borderId="0" xfId="107" applyFont="1" applyAlignment="1">
      <alignment vertical="top" wrapText="1"/>
    </xf>
    <xf numFmtId="0" fontId="1" fillId="0" borderId="121" xfId="107" applyBorder="1"/>
    <xf numFmtId="0" fontId="1" fillId="0" borderId="111" xfId="107" applyBorder="1"/>
    <xf numFmtId="0" fontId="67" fillId="0" borderId="111" xfId="107" applyFont="1" applyBorder="1" applyAlignment="1">
      <alignment horizontal="center"/>
    </xf>
    <xf numFmtId="0" fontId="1" fillId="0" borderId="122" xfId="107" applyBorder="1"/>
    <xf numFmtId="166" fontId="71" fillId="42" borderId="24" xfId="108" applyNumberFormat="1" applyFont="1" applyFill="1" applyBorder="1" applyAlignment="1" applyProtection="1">
      <alignment vertical="center"/>
    </xf>
    <xf numFmtId="166" fontId="74" fillId="0" borderId="24" xfId="108" applyNumberFormat="1" applyFont="1" applyFill="1" applyBorder="1" applyAlignment="1" applyProtection="1">
      <alignment vertical="center"/>
      <protection locked="0"/>
    </xf>
    <xf numFmtId="166" fontId="74" fillId="43" borderId="24" xfId="108" applyNumberFormat="1" applyFont="1" applyFill="1" applyBorder="1" applyAlignment="1" applyProtection="1">
      <alignment vertical="center"/>
    </xf>
    <xf numFmtId="0" fontId="1" fillId="0" borderId="0" xfId="107" applyAlignment="1" applyProtection="1">
      <alignment horizontal="left"/>
      <protection locked="0"/>
    </xf>
    <xf numFmtId="0" fontId="29" fillId="0" borderId="0" xfId="107" applyFont="1"/>
    <xf numFmtId="0" fontId="1" fillId="0" borderId="78" xfId="107" applyBorder="1" applyAlignment="1" applyProtection="1">
      <alignment horizontal="left"/>
      <protection locked="0"/>
    </xf>
    <xf numFmtId="0" fontId="67" fillId="0" borderId="0" xfId="107" applyFont="1" applyAlignment="1">
      <alignment horizontal="center" wrapText="1"/>
    </xf>
    <xf numFmtId="0" fontId="67" fillId="0" borderId="46" xfId="107" applyFont="1" applyBorder="1" applyAlignment="1">
      <alignment horizontal="center" wrapText="1"/>
    </xf>
    <xf numFmtId="0" fontId="19" fillId="0" borderId="0" xfId="107" applyFont="1"/>
    <xf numFmtId="0" fontId="1" fillId="0" borderId="0" xfId="107" applyAlignment="1">
      <alignment horizontal="center"/>
    </xf>
    <xf numFmtId="0" fontId="1" fillId="0" borderId="0" xfId="107" applyAlignment="1">
      <alignment vertical="top" wrapText="1"/>
    </xf>
    <xf numFmtId="0" fontId="1" fillId="0" borderId="65" xfId="107" applyBorder="1"/>
    <xf numFmtId="0" fontId="1" fillId="0" borderId="197" xfId="107" applyBorder="1"/>
    <xf numFmtId="0" fontId="1" fillId="0" borderId="54" xfId="107" applyBorder="1"/>
    <xf numFmtId="0" fontId="1" fillId="0" borderId="55" xfId="107" applyBorder="1"/>
    <xf numFmtId="10" fontId="186" fillId="0" borderId="49" xfId="107" applyNumberFormat="1" applyFont="1" applyBorder="1" applyAlignment="1">
      <alignment horizontal="center"/>
    </xf>
    <xf numFmtId="0" fontId="1" fillId="0" borderId="49" xfId="107" applyBorder="1" applyAlignment="1">
      <alignment horizontal="center"/>
    </xf>
    <xf numFmtId="14" fontId="119" fillId="0" borderId="49" xfId="107" applyNumberFormat="1" applyFont="1" applyBorder="1"/>
    <xf numFmtId="0" fontId="187" fillId="0" borderId="0" xfId="107" applyFont="1" applyAlignment="1">
      <alignment vertical="top" wrapText="1"/>
    </xf>
    <xf numFmtId="0" fontId="188" fillId="0" borderId="0" xfId="107" applyFont="1" applyAlignment="1">
      <alignment vertical="top" wrapText="1"/>
    </xf>
    <xf numFmtId="0" fontId="58" fillId="0" borderId="0" xfId="107" applyFont="1"/>
    <xf numFmtId="0" fontId="1" fillId="0" borderId="27" xfId="107" applyBorder="1"/>
    <xf numFmtId="0" fontId="15" fillId="0" borderId="0" xfId="53" applyFill="1" applyBorder="1" applyProtection="1">
      <alignment horizontal="center" vertical="center" wrapText="1"/>
      <protection locked="0"/>
    </xf>
    <xf numFmtId="0" fontId="19" fillId="0" borderId="0" xfId="109" applyFont="1"/>
    <xf numFmtId="0" fontId="30" fillId="35" borderId="21" xfId="107" applyFont="1" applyFill="1" applyBorder="1" applyAlignment="1">
      <alignment horizontal="left" vertical="center"/>
    </xf>
    <xf numFmtId="0" fontId="30" fillId="35" borderId="22" xfId="107" applyFont="1" applyFill="1" applyBorder="1" applyAlignment="1">
      <alignment horizontal="right" vertical="center"/>
    </xf>
    <xf numFmtId="0" fontId="29" fillId="0" borderId="0" xfId="107" applyFont="1" applyAlignment="1">
      <alignment vertical="center"/>
    </xf>
    <xf numFmtId="0" fontId="30" fillId="0" borderId="0" xfId="107" applyFont="1" applyAlignment="1">
      <alignment vertical="center"/>
    </xf>
    <xf numFmtId="0" fontId="177" fillId="0" borderId="0" xfId="107" applyFont="1" applyAlignment="1">
      <alignment vertical="center"/>
    </xf>
    <xf numFmtId="0" fontId="1" fillId="0" borderId="0" xfId="109"/>
    <xf numFmtId="0" fontId="1" fillId="0" borderId="48" xfId="109" applyBorder="1"/>
    <xf numFmtId="0" fontId="1" fillId="0" borderId="49" xfId="109" applyBorder="1"/>
    <xf numFmtId="0" fontId="1" fillId="0" borderId="49" xfId="109" applyBorder="1"/>
    <xf numFmtId="0" fontId="1" fillId="0" borderId="50" xfId="109" applyBorder="1"/>
    <xf numFmtId="0" fontId="94" fillId="0" borderId="57" xfId="109" applyFont="1" applyBorder="1" applyProtection="1">
      <protection locked="0"/>
    </xf>
    <xf numFmtId="0" fontId="1" fillId="0" borderId="51" xfId="109" applyBorder="1"/>
    <xf numFmtId="0" fontId="1" fillId="0" borderId="52" xfId="109" applyBorder="1"/>
    <xf numFmtId="0" fontId="94" fillId="0" borderId="27" xfId="109" applyFont="1" applyBorder="1" applyProtection="1">
      <protection locked="0"/>
    </xf>
    <xf numFmtId="0" fontId="94" fillId="0" borderId="33" xfId="109" applyFont="1" applyBorder="1" applyProtection="1">
      <protection locked="0"/>
    </xf>
    <xf numFmtId="0" fontId="94" fillId="0" borderId="78" xfId="109" applyFont="1" applyBorder="1" applyProtection="1">
      <protection locked="0"/>
    </xf>
    <xf numFmtId="0" fontId="1" fillId="0" borderId="0" xfId="109" applyProtection="1">
      <protection locked="0"/>
    </xf>
    <xf numFmtId="0" fontId="1" fillId="0" borderId="33" xfId="109" applyBorder="1"/>
    <xf numFmtId="0" fontId="1" fillId="0" borderId="95" xfId="109" applyBorder="1"/>
    <xf numFmtId="0" fontId="1" fillId="0" borderId="79" xfId="109" applyBorder="1"/>
    <xf numFmtId="0" fontId="1" fillId="0" borderId="96" xfId="109" applyBorder="1"/>
    <xf numFmtId="0" fontId="1" fillId="0" borderId="0" xfId="109" applyAlignment="1">
      <alignment wrapText="1"/>
    </xf>
    <xf numFmtId="0" fontId="1" fillId="0" borderId="27" xfId="109" applyBorder="1"/>
    <xf numFmtId="0" fontId="1" fillId="0" borderId="38" xfId="109" applyBorder="1"/>
    <xf numFmtId="0" fontId="45" fillId="0" borderId="0" xfId="109" applyFont="1" applyAlignment="1">
      <alignment horizontal="center" vertical="center" wrapText="1"/>
    </xf>
    <xf numFmtId="0" fontId="1" fillId="0" borderId="46" xfId="109" applyBorder="1"/>
    <xf numFmtId="0" fontId="1" fillId="0" borderId="0" xfId="109" applyAlignment="1">
      <alignment vertical="top"/>
    </xf>
    <xf numFmtId="0" fontId="1" fillId="0" borderId="0" xfId="109" applyAlignment="1">
      <alignment vertical="center"/>
    </xf>
    <xf numFmtId="0" fontId="1" fillId="0" borderId="71" xfId="109" applyBorder="1"/>
    <xf numFmtId="0" fontId="105" fillId="48" borderId="0" xfId="109" applyFont="1" applyFill="1" applyAlignment="1">
      <alignment horizontal="right"/>
    </xf>
    <xf numFmtId="0" fontId="59" fillId="0" borderId="0" xfId="109" applyFont="1" applyAlignment="1">
      <alignment horizontal="right"/>
    </xf>
    <xf numFmtId="0" fontId="18" fillId="0" borderId="0" xfId="109" applyFont="1" applyAlignment="1">
      <alignment horizontal="right" vertical="center"/>
    </xf>
    <xf numFmtId="0" fontId="107" fillId="0" borderId="0" xfId="109" applyFont="1" applyAlignment="1">
      <alignment vertical="center"/>
    </xf>
    <xf numFmtId="0" fontId="18" fillId="0" borderId="0" xfId="109" applyFont="1" applyAlignment="1">
      <alignment vertical="center"/>
    </xf>
    <xf numFmtId="1" fontId="34" fillId="0" borderId="47" xfId="101" applyFill="1">
      <alignment horizontal="center" vertical="center" wrapText="1"/>
    </xf>
    <xf numFmtId="0" fontId="1" fillId="0" borderId="200" xfId="109" applyBorder="1"/>
    <xf numFmtId="0" fontId="1" fillId="0" borderId="182" xfId="109" applyBorder="1"/>
    <xf numFmtId="0" fontId="1" fillId="0" borderId="201" xfId="109" applyBorder="1"/>
    <xf numFmtId="0" fontId="15" fillId="0" borderId="0" xfId="109" applyFont="1" applyAlignment="1">
      <alignment horizontal="left"/>
    </xf>
    <xf numFmtId="0" fontId="1" fillId="0" borderId="127" xfId="109" applyBorder="1"/>
    <xf numFmtId="169" fontId="34" fillId="35" borderId="71" xfId="62" applyBorder="1" applyProtection="1">
      <alignment vertical="center"/>
    </xf>
    <xf numFmtId="166" fontId="29" fillId="0" borderId="24" xfId="110" applyNumberFormat="1" applyFont="1" applyBorder="1" applyAlignment="1" applyProtection="1">
      <alignment horizontal="center" vertical="center"/>
      <protection locked="0"/>
    </xf>
    <xf numFmtId="169" fontId="191" fillId="0" borderId="28" xfId="62" applyFont="1" applyFill="1" applyBorder="1" applyProtection="1">
      <alignment vertical="center"/>
    </xf>
    <xf numFmtId="188" fontId="34" fillId="35" borderId="71" xfId="62" applyNumberFormat="1" applyBorder="1" applyAlignment="1" applyProtection="1">
      <alignment horizontal="center" vertical="center"/>
    </xf>
    <xf numFmtId="189" fontId="29" fillId="0" borderId="24" xfId="110" applyNumberFormat="1" applyFont="1" applyBorder="1" applyAlignment="1" applyProtection="1">
      <alignment horizontal="center" vertical="center"/>
      <protection locked="0"/>
    </xf>
    <xf numFmtId="0" fontId="1" fillId="0" borderId="82" xfId="109" applyBorder="1"/>
    <xf numFmtId="169" fontId="1" fillId="0" borderId="0" xfId="109" applyNumberFormat="1"/>
    <xf numFmtId="14" fontId="34" fillId="0" borderId="47" xfId="101" applyNumberFormat="1" applyFill="1">
      <alignment horizontal="center" vertical="center" wrapText="1"/>
    </xf>
    <xf numFmtId="166" fontId="1" fillId="0" borderId="0" xfId="109" applyNumberFormat="1"/>
    <xf numFmtId="14" fontId="34" fillId="35" borderId="71" xfId="64" applyBorder="1" applyProtection="1">
      <alignment horizontal="center" vertical="center"/>
    </xf>
    <xf numFmtId="0" fontId="58" fillId="0" borderId="0" xfId="109" applyFont="1"/>
    <xf numFmtId="165" fontId="86" fillId="0" borderId="0" xfId="111" applyNumberFormat="1" applyFont="1" applyAlignment="1">
      <alignment vertical="center"/>
    </xf>
    <xf numFmtId="181" fontId="54" fillId="0" borderId="0" xfId="112" applyFont="1" applyFill="1" applyBorder="1" applyAlignment="1" applyProtection="1">
      <alignment vertical="center"/>
    </xf>
    <xf numFmtId="14" fontId="192" fillId="56" borderId="0" xfId="109" applyNumberFormat="1" applyFont="1" applyFill="1" applyAlignment="1">
      <alignment horizontal="center" vertical="center"/>
    </xf>
    <xf numFmtId="14" fontId="192" fillId="56" borderId="68" xfId="109" applyNumberFormat="1" applyFont="1" applyFill="1" applyBorder="1" applyAlignment="1">
      <alignment horizontal="center" vertical="center"/>
    </xf>
    <xf numFmtId="0" fontId="193" fillId="56" borderId="68" xfId="109" applyFont="1" applyFill="1" applyBorder="1" applyAlignment="1">
      <alignment horizontal="left"/>
    </xf>
    <xf numFmtId="165" fontId="1" fillId="0" borderId="0" xfId="109" applyNumberFormat="1"/>
    <xf numFmtId="165" fontId="81" fillId="0" borderId="0" xfId="111" applyNumberFormat="1"/>
    <xf numFmtId="181" fontId="54" fillId="0" borderId="0" xfId="112" applyFont="1" applyFill="1" applyBorder="1"/>
    <xf numFmtId="14" fontId="192" fillId="56" borderId="0" xfId="109" applyNumberFormat="1" applyFont="1" applyFill="1" applyAlignment="1">
      <alignment horizontal="center"/>
    </xf>
    <xf numFmtId="14" fontId="192" fillId="56" borderId="202" xfId="109" applyNumberFormat="1" applyFont="1" applyFill="1" applyBorder="1" applyAlignment="1">
      <alignment horizontal="center"/>
    </xf>
    <xf numFmtId="0" fontId="193" fillId="56" borderId="202" xfId="109" applyFont="1" applyFill="1" applyBorder="1" applyAlignment="1">
      <alignment horizontal="left"/>
    </xf>
    <xf numFmtId="1" fontId="34" fillId="0" borderId="0" xfId="101" applyFill="1" applyBorder="1">
      <alignment horizontal="center" vertical="center" wrapText="1"/>
    </xf>
    <xf numFmtId="1" fontId="34" fillId="0" borderId="202" xfId="101" applyFill="1" applyBorder="1">
      <alignment horizontal="center" vertical="center" wrapText="1"/>
    </xf>
    <xf numFmtId="0" fontId="1" fillId="0" borderId="203" xfId="109" applyBorder="1"/>
    <xf numFmtId="49" fontId="31" fillId="0" borderId="90" xfId="103" applyBorder="1">
      <alignment horizontal="center" vertical="center" wrapText="1"/>
    </xf>
    <xf numFmtId="0" fontId="1" fillId="0" borderId="82" xfId="109" applyBorder="1" applyAlignment="1">
      <alignment wrapText="1"/>
    </xf>
    <xf numFmtId="0" fontId="86" fillId="0" borderId="0" xfId="51" applyFont="1" applyAlignment="1">
      <alignment horizontal="left" wrapText="1"/>
    </xf>
    <xf numFmtId="0" fontId="42" fillId="0" borderId="0" xfId="109" applyFont="1" applyAlignment="1">
      <alignment horizontal="left" wrapText="1"/>
    </xf>
    <xf numFmtId="0" fontId="37" fillId="0" borderId="0" xfId="109" applyFont="1" applyAlignment="1">
      <alignment horizontal="left" wrapText="1"/>
    </xf>
    <xf numFmtId="0" fontId="1" fillId="0" borderId="128" xfId="109" applyBorder="1"/>
    <xf numFmtId="0" fontId="1" fillId="0" borderId="54" xfId="109" applyBorder="1"/>
    <xf numFmtId="0" fontId="1" fillId="0" borderId="54" xfId="109" applyBorder="1" applyAlignment="1">
      <alignment wrapText="1"/>
    </xf>
    <xf numFmtId="0" fontId="1" fillId="0" borderId="176" xfId="109" applyBorder="1" applyAlignment="1">
      <alignment wrapText="1"/>
    </xf>
    <xf numFmtId="1" fontId="34" fillId="0" borderId="68" xfId="101" applyFill="1" applyBorder="1">
      <alignment horizontal="center" vertical="center" wrapText="1"/>
    </xf>
    <xf numFmtId="49" fontId="122" fillId="35" borderId="117" xfId="51" applyNumberFormat="1" applyFont="1" applyFill="1" applyBorder="1" applyAlignment="1">
      <alignment horizontal="left" vertical="center" wrapText="1" indent="1"/>
    </xf>
    <xf numFmtId="169" fontId="31" fillId="35" borderId="71" xfId="74" applyFont="1" applyFill="1" applyBorder="1">
      <alignment vertical="center"/>
    </xf>
    <xf numFmtId="0" fontId="31" fillId="0" borderId="0" xfId="69" applyFont="1" applyAlignment="1">
      <alignment horizontal="right" vertical="center" indent="1"/>
    </xf>
    <xf numFmtId="169" fontId="30" fillId="35" borderId="24" xfId="109" applyNumberFormat="1" applyFont="1" applyFill="1" applyBorder="1"/>
    <xf numFmtId="0" fontId="31" fillId="0" borderId="0" xfId="47" applyFont="1" applyAlignment="1">
      <alignment horizontal="right" vertical="center" wrapText="1" indent="1"/>
    </xf>
    <xf numFmtId="0" fontId="1" fillId="0" borderId="37" xfId="109" applyBorder="1"/>
    <xf numFmtId="0" fontId="34" fillId="0" borderId="27" xfId="47" applyBorder="1">
      <alignment horizontal="left" vertical="center" wrapText="1"/>
    </xf>
    <xf numFmtId="0" fontId="91" fillId="0" borderId="56" xfId="109" applyFont="1" applyBorder="1" applyAlignment="1" applyProtection="1">
      <alignment horizontal="left"/>
      <protection locked="0"/>
    </xf>
    <xf numFmtId="0" fontId="93" fillId="0" borderId="57" xfId="48" applyNumberFormat="1" applyFont="1" applyFill="1" applyBorder="1" applyAlignment="1">
      <alignment horizontal="left" vertical="center"/>
      <protection locked="0"/>
    </xf>
    <xf numFmtId="0" fontId="1" fillId="0" borderId="65" xfId="109" applyBorder="1"/>
    <xf numFmtId="169" fontId="34" fillId="35" borderId="204" xfId="62" applyBorder="1" applyProtection="1">
      <alignment vertical="center"/>
    </xf>
    <xf numFmtId="169" fontId="34" fillId="0" borderId="28" xfId="62" applyFill="1" applyBorder="1" applyProtection="1">
      <alignment vertical="center"/>
    </xf>
    <xf numFmtId="1" fontId="34" fillId="35" borderId="71" xfId="113" applyBorder="1" applyProtection="1">
      <alignment horizontal="center" vertical="center"/>
    </xf>
    <xf numFmtId="169" fontId="34" fillId="0" borderId="69" xfId="62" applyFill="1" applyBorder="1" applyProtection="1">
      <alignment vertical="center"/>
    </xf>
    <xf numFmtId="169" fontId="103" fillId="0" borderId="0" xfId="62" applyFont="1" applyFill="1" applyBorder="1" applyProtection="1">
      <alignment vertical="center"/>
    </xf>
    <xf numFmtId="0" fontId="103" fillId="0" borderId="0" xfId="47" applyFont="1">
      <alignment horizontal="left" vertical="center" wrapText="1"/>
    </xf>
    <xf numFmtId="1" fontId="34" fillId="0" borderId="61" xfId="101" applyFill="1" applyBorder="1">
      <alignment horizontal="center" vertical="center" wrapText="1"/>
    </xf>
    <xf numFmtId="0" fontId="31" fillId="0" borderId="117" xfId="46" applyBorder="1">
      <alignment horizontal="center" vertical="center" wrapText="1"/>
    </xf>
    <xf numFmtId="0" fontId="1" fillId="0" borderId="42" xfId="109" applyBorder="1"/>
    <xf numFmtId="0" fontId="34" fillId="0" borderId="33" xfId="47" applyBorder="1">
      <alignment horizontal="left" vertical="center" wrapText="1"/>
    </xf>
    <xf numFmtId="0" fontId="1" fillId="0" borderId="43" xfId="109" applyBorder="1"/>
    <xf numFmtId="0" fontId="1" fillId="0" borderId="110" xfId="109" applyBorder="1"/>
    <xf numFmtId="0" fontId="1" fillId="0" borderId="111" xfId="109" applyBorder="1"/>
    <xf numFmtId="0" fontId="34" fillId="0" borderId="111" xfId="47" applyBorder="1">
      <alignment horizontal="left" vertical="center" wrapText="1"/>
    </xf>
    <xf numFmtId="0" fontId="1" fillId="0" borderId="122" xfId="109" applyBorder="1"/>
    <xf numFmtId="1" fontId="34" fillId="35" borderId="47" xfId="113">
      <alignment horizontal="center" vertical="center"/>
      <protection locked="0"/>
    </xf>
    <xf numFmtId="0" fontId="34" fillId="35" borderId="0" xfId="47" applyFill="1">
      <alignment horizontal="left" vertical="center" wrapText="1"/>
    </xf>
    <xf numFmtId="0" fontId="34" fillId="35" borderId="0" xfId="47" applyFill="1" applyAlignment="1">
      <alignment horizontal="left" vertical="center"/>
    </xf>
    <xf numFmtId="169" fontId="34" fillId="35" borderId="174" xfId="74" applyFill="1" applyBorder="1">
      <alignment vertical="center"/>
    </xf>
    <xf numFmtId="169" fontId="34" fillId="35" borderId="24" xfId="74" applyFill="1" applyBorder="1">
      <alignment vertical="center"/>
    </xf>
    <xf numFmtId="49" fontId="34" fillId="0" borderId="71" xfId="62" applyNumberFormat="1" applyFill="1" applyBorder="1" applyAlignment="1">
      <alignment horizontal="center" vertical="center"/>
      <protection locked="0"/>
    </xf>
    <xf numFmtId="0" fontId="34" fillId="0" borderId="0" xfId="69" applyAlignment="1">
      <alignment horizontal="right" vertical="center" indent="1"/>
    </xf>
    <xf numFmtId="49" fontId="1" fillId="0" borderId="0" xfId="109" applyNumberFormat="1" applyAlignment="1">
      <alignment horizontal="center"/>
    </xf>
    <xf numFmtId="0" fontId="34" fillId="0" borderId="0" xfId="47" applyAlignment="1">
      <alignment horizontal="right" vertical="center" wrapText="1" indent="1"/>
    </xf>
    <xf numFmtId="0" fontId="91" fillId="0" borderId="27" xfId="109" applyFont="1" applyBorder="1" applyAlignment="1">
      <alignment horizontal="left"/>
    </xf>
    <xf numFmtId="0" fontId="93" fillId="0" borderId="27" xfId="48" applyNumberFormat="1" applyFont="1" applyFill="1" applyBorder="1" applyAlignment="1">
      <alignment horizontal="left" vertical="center"/>
      <protection locked="0"/>
    </xf>
    <xf numFmtId="0" fontId="34" fillId="0" borderId="31" xfId="47" applyBorder="1">
      <alignment horizontal="left" vertical="center" wrapText="1"/>
    </xf>
    <xf numFmtId="0" fontId="1" fillId="0" borderId="25" xfId="109" applyBorder="1"/>
    <xf numFmtId="0" fontId="1" fillId="0" borderId="27" xfId="109" applyBorder="1" applyAlignment="1">
      <alignment wrapText="1"/>
    </xf>
    <xf numFmtId="0" fontId="1" fillId="0" borderId="27" xfId="109" applyBorder="1" applyAlignment="1">
      <alignment wrapText="1"/>
    </xf>
    <xf numFmtId="0" fontId="1" fillId="0" borderId="19" xfId="109" applyBorder="1"/>
    <xf numFmtId="0" fontId="1" fillId="0" borderId="120" xfId="109" applyBorder="1" applyAlignment="1">
      <alignment wrapText="1"/>
    </xf>
    <xf numFmtId="0" fontId="1" fillId="0" borderId="46" xfId="109" applyBorder="1" applyAlignment="1">
      <alignment wrapText="1"/>
    </xf>
    <xf numFmtId="0" fontId="1" fillId="0" borderId="165" xfId="109" applyBorder="1"/>
    <xf numFmtId="0" fontId="1" fillId="0" borderId="31" xfId="109" applyBorder="1"/>
    <xf numFmtId="0" fontId="1" fillId="0" borderId="33" xfId="109" applyBorder="1" applyAlignment="1">
      <alignment horizontal="center" vertical="center" wrapText="1"/>
    </xf>
    <xf numFmtId="0" fontId="60" fillId="0" borderId="0" xfId="47" applyFont="1">
      <alignment horizontal="left" vertical="center" wrapText="1"/>
    </xf>
    <xf numFmtId="0" fontId="41" fillId="0" borderId="0" xfId="47" applyFont="1">
      <alignment horizontal="left" vertical="center" wrapText="1"/>
    </xf>
    <xf numFmtId="0" fontId="1" fillId="0" borderId="115" xfId="109" applyBorder="1"/>
    <xf numFmtId="0" fontId="127" fillId="0" borderId="27" xfId="109" applyFont="1" applyBorder="1" applyAlignment="1">
      <alignment vertical="top" wrapText="1"/>
    </xf>
    <xf numFmtId="0" fontId="91" fillId="0" borderId="0" xfId="109" applyFont="1" applyAlignment="1">
      <alignment horizontal="left"/>
    </xf>
    <xf numFmtId="0" fontId="93" fillId="0" borderId="0" xfId="48" applyNumberFormat="1" applyFont="1" applyFill="1" applyBorder="1" applyAlignment="1">
      <alignment horizontal="left" vertical="center"/>
      <protection locked="0"/>
    </xf>
    <xf numFmtId="0" fontId="127" fillId="0" borderId="0" xfId="109" applyFont="1" applyAlignment="1">
      <alignment horizontal="center" vertical="center" wrapText="1"/>
    </xf>
    <xf numFmtId="190" fontId="1" fillId="0" borderId="0" xfId="109" applyNumberFormat="1"/>
    <xf numFmtId="0" fontId="34" fillId="0" borderId="0" xfId="69" applyAlignment="1">
      <alignment horizontal="right" vertical="center" wrapText="1" indent="1"/>
    </xf>
    <xf numFmtId="0" fontId="31" fillId="0" borderId="0" xfId="69" applyFont="1" applyAlignment="1">
      <alignment horizontal="right" vertical="center" wrapText="1"/>
    </xf>
    <xf numFmtId="0" fontId="194" fillId="0" borderId="0" xfId="109" applyFont="1" applyAlignment="1">
      <alignment horizontal="center" vertical="top" wrapText="1"/>
    </xf>
    <xf numFmtId="0" fontId="31" fillId="0" borderId="97" xfId="46" applyBorder="1">
      <alignment horizontal="center" vertical="center" wrapText="1"/>
    </xf>
    <xf numFmtId="10" fontId="34" fillId="35" borderId="24" xfId="114" applyFill="1" applyBorder="1">
      <alignment horizontal="center" vertical="center" wrapText="1"/>
    </xf>
    <xf numFmtId="10" fontId="34" fillId="0" borderId="24" xfId="115" applyNumberFormat="1" applyFont="1" applyFill="1" applyBorder="1" applyAlignment="1" applyProtection="1">
      <alignment horizontal="center" vertical="center"/>
      <protection locked="0"/>
    </xf>
    <xf numFmtId="0" fontId="34" fillId="0" borderId="23" xfId="69" applyBorder="1" applyAlignment="1">
      <alignment horizontal="right" vertical="center" indent="1"/>
    </xf>
    <xf numFmtId="0" fontId="34" fillId="0" borderId="0" xfId="69" applyAlignment="1">
      <alignment horizontal="right" vertical="center" indent="1"/>
    </xf>
    <xf numFmtId="0" fontId="18" fillId="0" borderId="0" xfId="109" applyFont="1" applyAlignment="1">
      <alignment horizontal="right" indent="1"/>
    </xf>
    <xf numFmtId="0" fontId="59" fillId="0" borderId="0" xfId="109" applyFont="1"/>
    <xf numFmtId="0" fontId="31" fillId="0" borderId="0" xfId="69" applyFont="1" applyAlignment="1">
      <alignment horizontal="right" vertical="center" wrapText="1"/>
    </xf>
    <xf numFmtId="191" fontId="34" fillId="35" borderId="24" xfId="114" applyNumberFormat="1" applyFill="1" applyBorder="1">
      <alignment horizontal="center" vertical="center" wrapText="1"/>
    </xf>
    <xf numFmtId="0" fontId="34" fillId="0" borderId="0" xfId="69" applyAlignment="1">
      <alignment vertical="center" wrapText="1"/>
    </xf>
    <xf numFmtId="0" fontId="30" fillId="0" borderId="0" xfId="109" applyFont="1" applyAlignment="1">
      <alignment horizontal="center"/>
    </xf>
    <xf numFmtId="1" fontId="34" fillId="0" borderId="47" xfId="101" applyFill="1" applyAlignment="1">
      <alignment horizontal="left" vertical="center" wrapText="1"/>
    </xf>
    <xf numFmtId="0" fontId="34" fillId="0" borderId="0" xfId="69" applyAlignment="1">
      <alignment horizontal="right" vertical="center" indent="2"/>
    </xf>
    <xf numFmtId="1" fontId="34" fillId="0" borderId="71" xfId="113" applyFill="1" applyBorder="1">
      <alignment horizontal="center" vertical="center"/>
      <protection locked="0"/>
    </xf>
    <xf numFmtId="10" fontId="34" fillId="35" borderId="22" xfId="114" applyFill="1" applyBorder="1">
      <alignment horizontal="center" vertical="center" wrapText="1"/>
    </xf>
    <xf numFmtId="1" fontId="34" fillId="0" borderId="205" xfId="101" applyFill="1" applyBorder="1">
      <alignment horizontal="center" vertical="center" wrapText="1"/>
    </xf>
    <xf numFmtId="0" fontId="1" fillId="0" borderId="0" xfId="109" applyAlignment="1">
      <alignment horizontal="right" indent="1"/>
    </xf>
    <xf numFmtId="0" fontId="191" fillId="0" borderId="0" xfId="54" applyFont="1" applyFill="1" applyBorder="1" applyAlignment="1" applyProtection="1">
      <alignment vertical="center" wrapText="1"/>
    </xf>
    <xf numFmtId="14" fontId="29" fillId="0" borderId="24" xfId="110" applyNumberFormat="1" applyFont="1" applyBorder="1" applyAlignment="1" applyProtection="1">
      <alignment horizontal="center" vertical="center"/>
      <protection locked="0"/>
    </xf>
    <xf numFmtId="14" fontId="34" fillId="35" borderId="35" xfId="64" applyBorder="1" applyProtection="1">
      <alignment horizontal="center" vertical="center"/>
    </xf>
    <xf numFmtId="14" fontId="34" fillId="35" borderId="22" xfId="64" applyBorder="1" applyProtection="1">
      <alignment horizontal="center" vertical="center"/>
    </xf>
    <xf numFmtId="1" fontId="34" fillId="0" borderId="47" xfId="101" applyFill="1" applyAlignment="1">
      <alignment horizontal="left" vertical="center"/>
    </xf>
    <xf numFmtId="1" fontId="34" fillId="0" borderId="24" xfId="113" applyFill="1" applyBorder="1" applyAlignment="1">
      <alignment horizontal="center" vertical="center" wrapText="1"/>
      <protection locked="0"/>
    </xf>
    <xf numFmtId="0" fontId="1" fillId="35" borderId="22" xfId="109" applyFill="1" applyBorder="1"/>
    <xf numFmtId="1" fontId="34" fillId="0" borderId="206" xfId="101" applyFill="1" applyBorder="1" applyAlignment="1">
      <alignment horizontal="right" vertical="center"/>
    </xf>
    <xf numFmtId="0" fontId="34" fillId="0" borderId="0" xfId="69" applyAlignment="1">
      <alignment horizontal="right" vertical="center" wrapText="1"/>
    </xf>
    <xf numFmtId="0" fontId="34" fillId="0" borderId="0" xfId="69" applyAlignment="1">
      <alignment horizontal="right" vertical="center" wrapText="1"/>
    </xf>
    <xf numFmtId="165" fontId="34" fillId="0" borderId="207" xfId="110" applyFont="1" applyFill="1" applyBorder="1" applyAlignment="1">
      <alignment horizontal="center" vertical="center" wrapText="1"/>
    </xf>
    <xf numFmtId="165" fontId="34" fillId="0" borderId="208" xfId="110" applyFont="1" applyFill="1" applyBorder="1" applyAlignment="1">
      <alignment horizontal="center" vertical="center" wrapText="1"/>
    </xf>
    <xf numFmtId="0" fontId="34" fillId="35" borderId="60" xfId="70" applyBorder="1">
      <alignment vertical="center" wrapText="1"/>
      <protection locked="0"/>
    </xf>
    <xf numFmtId="0" fontId="34" fillId="0" borderId="47" xfId="54" applyFill="1" applyAlignment="1">
      <alignment vertical="center" wrapText="1"/>
      <protection locked="0"/>
    </xf>
    <xf numFmtId="0" fontId="34" fillId="0" borderId="61" xfId="54" applyFill="1" applyBorder="1" applyAlignment="1">
      <alignment vertical="center" wrapText="1"/>
      <protection locked="0"/>
    </xf>
    <xf numFmtId="14" fontId="34" fillId="0" borderId="175" xfId="64" applyFill="1" applyBorder="1">
      <alignment horizontal="center" vertical="center"/>
      <protection locked="0"/>
    </xf>
    <xf numFmtId="0" fontId="94" fillId="48" borderId="24" xfId="109" applyFont="1" applyFill="1" applyBorder="1" applyAlignment="1" applyProtection="1">
      <alignment horizontal="center" vertical="center"/>
      <protection locked="0"/>
    </xf>
    <xf numFmtId="0" fontId="1" fillId="35" borderId="24" xfId="109" applyFill="1" applyBorder="1"/>
    <xf numFmtId="1" fontId="34" fillId="0" borderId="205" xfId="101" applyFill="1" applyBorder="1" applyAlignment="1">
      <alignment horizontal="right" vertical="center"/>
    </xf>
    <xf numFmtId="0" fontId="197" fillId="0" borderId="0" xfId="70" applyFont="1" applyFill="1" applyBorder="1">
      <alignment vertical="center" wrapText="1"/>
      <protection locked="0"/>
    </xf>
    <xf numFmtId="0" fontId="34" fillId="0" borderId="194" xfId="54" applyFill="1" applyBorder="1" applyAlignment="1">
      <alignment horizontal="left" vertical="center" wrapText="1"/>
      <protection locked="0"/>
    </xf>
    <xf numFmtId="0" fontId="34" fillId="0" borderId="196" xfId="54" applyFill="1" applyBorder="1" applyAlignment="1">
      <alignment horizontal="left" vertical="center" wrapText="1"/>
      <protection locked="0"/>
    </xf>
    <xf numFmtId="0" fontId="15" fillId="45" borderId="0" xfId="51" quotePrefix="1" applyFont="1" applyFill="1" applyAlignment="1">
      <alignment horizontal="center" vertical="center" wrapText="1"/>
    </xf>
    <xf numFmtId="0" fontId="70" fillId="35" borderId="99" xfId="58" applyFill="1" applyBorder="1" applyAlignment="1">
      <alignment horizontal="left" vertical="center" wrapText="1" indent="1"/>
    </xf>
    <xf numFmtId="0" fontId="70" fillId="35" borderId="57" xfId="58" applyFill="1" applyAlignment="1">
      <alignment horizontal="left" vertical="center" wrapText="1" indent="1"/>
    </xf>
    <xf numFmtId="0" fontId="122" fillId="35" borderId="24" xfId="51" applyFont="1" applyFill="1" applyBorder="1" applyAlignment="1">
      <alignment horizontal="center" vertical="center" wrapText="1"/>
    </xf>
    <xf numFmtId="0" fontId="86" fillId="0" borderId="0" xfId="51" applyFont="1" applyFill="1"/>
    <xf numFmtId="0" fontId="86" fillId="0" borderId="0" xfId="51" applyFont="1" applyFill="1"/>
    <xf numFmtId="0" fontId="86" fillId="0" borderId="0" xfId="49" applyFont="1">
      <alignment vertical="center"/>
    </xf>
    <xf numFmtId="0" fontId="1" fillId="0" borderId="61" xfId="109" applyBorder="1" applyAlignment="1">
      <alignment horizontal="center" vertical="center" wrapText="1"/>
    </xf>
    <xf numFmtId="0" fontId="60" fillId="0" borderId="0" xfId="57" applyFill="1" applyBorder="1">
      <alignment horizontal="left" vertical="center" wrapText="1"/>
    </xf>
    <xf numFmtId="0" fontId="58" fillId="0" borderId="0" xfId="109" applyFont="1" applyAlignment="1">
      <alignment horizontal="right" vertical="center"/>
    </xf>
    <xf numFmtId="0" fontId="91" fillId="0" borderId="0" xfId="57" applyFont="1" applyFill="1" applyBorder="1" applyAlignment="1">
      <alignment vertical="center" wrapText="1"/>
    </xf>
    <xf numFmtId="0" fontId="30" fillId="35" borderId="21" xfId="109" applyFont="1" applyFill="1" applyBorder="1" applyAlignment="1">
      <alignment horizontal="left" vertical="center"/>
    </xf>
    <xf numFmtId="0" fontId="30" fillId="35" borderId="22" xfId="109" applyFont="1" applyFill="1" applyBorder="1" applyAlignment="1">
      <alignment horizontal="right" vertical="center"/>
    </xf>
    <xf numFmtId="0" fontId="15" fillId="45" borderId="0" xfId="51" applyFont="1" applyFill="1" applyBorder="1" applyAlignment="1">
      <alignment horizontal="center" vertical="center" wrapText="1"/>
    </xf>
    <xf numFmtId="0" fontId="62" fillId="0" borderId="0" xfId="55" applyFont="1" applyAlignment="1">
      <alignment vertical="center"/>
      <protection locked="0"/>
    </xf>
    <xf numFmtId="0" fontId="18" fillId="0" borderId="0" xfId="109" applyFont="1" applyAlignment="1">
      <alignment horizontal="right"/>
    </xf>
    <xf numFmtId="0" fontId="107" fillId="0" borderId="0" xfId="109" applyFont="1"/>
    <xf numFmtId="0" fontId="31" fillId="44" borderId="37" xfId="46" applyFill="1" applyBorder="1">
      <alignment horizontal="center" vertical="center" wrapText="1"/>
    </xf>
    <xf numFmtId="0" fontId="31" fillId="44" borderId="33" xfId="46" applyFill="1" applyBorder="1">
      <alignment horizontal="center" vertical="center" wrapText="1"/>
    </xf>
    <xf numFmtId="0" fontId="63" fillId="45" borderId="209" xfId="42" applyFont="1" applyFill="1" applyBorder="1" applyAlignment="1">
      <alignment horizontal="center" vertical="center" wrapText="1"/>
    </xf>
    <xf numFmtId="0" fontId="199" fillId="0" borderId="0" xfId="109" applyFont="1" applyAlignment="1">
      <alignment horizontal="left" vertical="center" indent="1"/>
    </xf>
    <xf numFmtId="0" fontId="95" fillId="57" borderId="71" xfId="116">
      <alignment vertical="center"/>
    </xf>
    <xf numFmtId="192" fontId="95" fillId="0" borderId="117" xfId="117">
      <alignment vertical="center"/>
      <protection locked="0"/>
    </xf>
    <xf numFmtId="0" fontId="34" fillId="0" borderId="71" xfId="118">
      <alignment horizontal="left" vertical="center" wrapText="1" indent="1"/>
      <protection locked="0"/>
    </xf>
    <xf numFmtId="0" fontId="1" fillId="0" borderId="33" xfId="109" applyBorder="1" applyAlignment="1">
      <alignment wrapText="1"/>
    </xf>
    <xf numFmtId="0" fontId="31" fillId="0" borderId="43" xfId="45" applyBorder="1">
      <alignment horizontal="left" vertical="center" wrapText="1"/>
    </xf>
    <xf numFmtId="0" fontId="45" fillId="35" borderId="148" xfId="51" applyFont="1" applyFill="1" applyBorder="1" applyAlignment="1">
      <alignment horizontal="left" vertical="center" wrapText="1" indent="1"/>
    </xf>
    <xf numFmtId="0" fontId="45" fillId="35" borderId="198" xfId="51" applyFont="1" applyFill="1" applyBorder="1" applyAlignment="1">
      <alignment horizontal="left" vertical="center" wrapText="1" indent="1"/>
    </xf>
    <xf numFmtId="0" fontId="45" fillId="35" borderId="149" xfId="51" applyFont="1" applyFill="1" applyBorder="1" applyAlignment="1">
      <alignment horizontal="left" vertical="center" wrapText="1" indent="1"/>
    </xf>
    <xf numFmtId="0" fontId="200" fillId="0" borderId="0" xfId="109" applyFont="1"/>
    <xf numFmtId="0" fontId="1" fillId="0" borderId="160" xfId="109" applyBorder="1"/>
    <xf numFmtId="0" fontId="200" fillId="0" borderId="27" xfId="109" applyFont="1" applyBorder="1"/>
    <xf numFmtId="0" fontId="34" fillId="0" borderId="71" xfId="119" applyNumberFormat="1">
      <alignment horizontal="left" vertical="center" indent="1"/>
      <protection locked="0"/>
    </xf>
    <xf numFmtId="193" fontId="34" fillId="35" borderId="71" xfId="120">
      <alignment vertical="center"/>
    </xf>
    <xf numFmtId="192" fontId="48" fillId="0" borderId="117" xfId="117" applyFont="1">
      <alignment vertical="center"/>
      <protection locked="0"/>
    </xf>
    <xf numFmtId="0" fontId="1" fillId="0" borderId="0" xfId="109" applyAlignment="1">
      <alignment horizontal="center" vertical="center" wrapText="1"/>
    </xf>
    <xf numFmtId="0" fontId="31" fillId="0" borderId="99" xfId="46" applyBorder="1">
      <alignment horizontal="center" vertical="center" wrapText="1"/>
    </xf>
    <xf numFmtId="0" fontId="1" fillId="0" borderId="193" xfId="109" applyBorder="1"/>
    <xf numFmtId="0" fontId="1" fillId="0" borderId="199" xfId="109" applyBorder="1"/>
    <xf numFmtId="0" fontId="70" fillId="35" borderId="56" xfId="121" applyBorder="1">
      <alignment horizontal="left" vertical="center" wrapText="1" indent="1"/>
    </xf>
    <xf numFmtId="0" fontId="70" fillId="35" borderId="78" xfId="121" applyBorder="1">
      <alignment horizontal="left" vertical="center" wrapText="1" indent="1"/>
    </xf>
    <xf numFmtId="0" fontId="70" fillId="35" borderId="57" xfId="121" applyBorder="1">
      <alignment horizontal="left" vertical="center" wrapText="1" indent="1"/>
    </xf>
    <xf numFmtId="0" fontId="115" fillId="0" borderId="0" xfId="49" applyFont="1" applyAlignment="1">
      <alignment horizontal="left" vertical="center" wrapText="1"/>
    </xf>
    <xf numFmtId="0" fontId="116" fillId="0" borderId="0" xfId="49" applyFont="1" applyAlignment="1">
      <alignment horizontal="left" vertical="center" indent="2"/>
    </xf>
    <xf numFmtId="0" fontId="115" fillId="0" borderId="0" xfId="49" quotePrefix="1" applyFont="1" applyAlignment="1">
      <alignment horizontal="left" vertical="center" indent="6"/>
    </xf>
    <xf numFmtId="0" fontId="116" fillId="0" borderId="0" xfId="49" applyFont="1">
      <alignment vertical="center"/>
    </xf>
    <xf numFmtId="0" fontId="78" fillId="0" borderId="0" xfId="49" applyFont="1" applyAlignment="1">
      <alignment horizontal="left" vertical="center" indent="2"/>
    </xf>
    <xf numFmtId="0" fontId="206" fillId="0" borderId="0" xfId="49" applyFont="1">
      <alignment vertical="center"/>
    </xf>
    <xf numFmtId="49" fontId="96" fillId="0" borderId="0" xfId="66" applyAlignment="1">
      <alignment vertical="center"/>
    </xf>
    <xf numFmtId="0" fontId="34" fillId="35" borderId="205" xfId="123" applyNumberFormat="1" applyBorder="1">
      <alignment horizontal="center" vertical="center" wrapText="1"/>
      <protection locked="0"/>
    </xf>
    <xf numFmtId="0" fontId="34" fillId="35" borderId="47" xfId="123" applyNumberFormat="1">
      <alignment horizontal="center" vertical="center" wrapText="1"/>
      <protection locked="0"/>
    </xf>
    <xf numFmtId="164" fontId="60" fillId="0" borderId="0" xfId="124">
      <alignment horizontal="left" vertical="top" wrapText="1"/>
    </xf>
    <xf numFmtId="0" fontId="60" fillId="0" borderId="0" xfId="125">
      <alignment horizontal="left" wrapText="1"/>
    </xf>
    <xf numFmtId="0" fontId="45" fillId="0" borderId="0" xfId="109" applyFont="1" applyAlignment="1">
      <alignment horizontal="right"/>
    </xf>
    <xf numFmtId="0" fontId="63" fillId="38" borderId="66" xfId="42" applyFont="1" applyFill="1" applyBorder="1" applyAlignment="1" applyProtection="1">
      <alignment horizontal="center" vertical="center" wrapText="1"/>
      <protection locked="0"/>
    </xf>
    <xf numFmtId="0" fontId="29" fillId="0" borderId="0" xfId="109" applyFont="1"/>
    <xf numFmtId="0" fontId="35" fillId="0" borderId="0" xfId="70" applyFont="1" applyFill="1" applyBorder="1" applyAlignment="1">
      <alignment horizontal="center" vertical="center"/>
      <protection locked="0"/>
    </xf>
    <xf numFmtId="49" fontId="66" fillId="0" borderId="0" xfId="66" applyFont="1" applyAlignment="1" applyProtection="1">
      <alignment horizontal="center" vertical="center" wrapText="1"/>
      <protection locked="0"/>
    </xf>
    <xf numFmtId="0" fontId="34" fillId="0" borderId="0" xfId="109" applyFont="1" applyAlignment="1">
      <alignment horizontal="left" indent="1"/>
    </xf>
    <xf numFmtId="0" fontId="29" fillId="0" borderId="0" xfId="109" applyFont="1" applyAlignment="1">
      <alignment vertical="center"/>
    </xf>
    <xf numFmtId="0" fontId="1" fillId="0" borderId="179" xfId="109" applyBorder="1" applyAlignment="1">
      <alignment vertical="center"/>
    </xf>
    <xf numFmtId="0" fontId="35" fillId="0" borderId="19" xfId="70" applyFont="1" applyFill="1" applyBorder="1" applyAlignment="1">
      <alignment horizontal="center" vertical="center"/>
      <protection locked="0"/>
    </xf>
    <xf numFmtId="49" fontId="66" fillId="0" borderId="19" xfId="66" applyFont="1" applyBorder="1" applyAlignment="1" applyProtection="1">
      <alignment horizontal="center" vertical="center" wrapText="1"/>
      <protection locked="0"/>
    </xf>
    <xf numFmtId="0" fontId="208" fillId="0" borderId="19" xfId="109" applyFont="1" applyBorder="1" applyAlignment="1">
      <alignment horizontal="left" vertical="center"/>
    </xf>
    <xf numFmtId="0" fontId="1" fillId="0" borderId="210" xfId="109" applyBorder="1" applyAlignment="1">
      <alignment vertical="center"/>
    </xf>
    <xf numFmtId="0" fontId="29" fillId="0" borderId="21" xfId="109" applyFont="1" applyBorder="1"/>
    <xf numFmtId="0" fontId="29" fillId="0" borderId="22" xfId="109" applyFont="1" applyBorder="1"/>
    <xf numFmtId="0" fontId="1" fillId="0" borderId="65" xfId="109" applyBorder="1" applyAlignment="1">
      <alignment vertical="center"/>
    </xf>
    <xf numFmtId="0" fontId="1" fillId="0" borderId="46" xfId="109" applyBorder="1" applyAlignment="1">
      <alignment vertical="center"/>
    </xf>
    <xf numFmtId="169" fontId="93" fillId="35" borderId="71" xfId="74" applyFont="1" applyFill="1" applyBorder="1">
      <alignment vertical="center"/>
    </xf>
    <xf numFmtId="0" fontId="29" fillId="0" borderId="0" xfId="109" applyFont="1" applyAlignment="1">
      <alignment horizontal="left"/>
    </xf>
    <xf numFmtId="0" fontId="1" fillId="0" borderId="193" xfId="109" applyBorder="1" applyAlignment="1">
      <alignment vertical="center"/>
    </xf>
    <xf numFmtId="0" fontId="35" fillId="0" borderId="211" xfId="70" applyFont="1" applyFill="1" applyBorder="1" applyAlignment="1">
      <alignment horizontal="center" vertical="center"/>
      <protection locked="0"/>
    </xf>
    <xf numFmtId="49" fontId="66" fillId="0" borderId="211" xfId="66" applyFont="1" applyBorder="1" applyAlignment="1" applyProtection="1">
      <alignment horizontal="center" vertical="center" wrapText="1"/>
      <protection locked="0"/>
    </xf>
    <xf numFmtId="0" fontId="45" fillId="0" borderId="79" xfId="51" applyFont="1" applyFill="1" applyBorder="1" applyAlignment="1">
      <alignment horizontal="left" vertical="center" wrapText="1"/>
    </xf>
    <xf numFmtId="0" fontId="45" fillId="0" borderId="80" xfId="51" applyFont="1" applyFill="1" applyBorder="1" applyAlignment="1">
      <alignment horizontal="left" vertical="center" wrapText="1"/>
    </xf>
    <xf numFmtId="0" fontId="35" fillId="0" borderId="163" xfId="70" applyFont="1" applyFill="1" applyBorder="1" applyAlignment="1">
      <alignment horizontal="center" vertical="center"/>
      <protection locked="0"/>
    </xf>
    <xf numFmtId="49" fontId="66" fillId="0" borderId="163" xfId="66" applyFont="1" applyBorder="1" applyAlignment="1" applyProtection="1">
      <alignment horizontal="center" vertical="center" wrapText="1"/>
      <protection locked="0"/>
    </xf>
    <xf numFmtId="49" fontId="66" fillId="0" borderId="36" xfId="66" applyFont="1" applyBorder="1" applyAlignment="1" applyProtection="1">
      <alignment horizontal="center" vertical="center" wrapText="1"/>
      <protection locked="0"/>
    </xf>
    <xf numFmtId="0" fontId="45" fillId="35" borderId="0" xfId="51" applyFont="1" applyFill="1" applyBorder="1" applyAlignment="1">
      <alignment horizontal="left" vertical="center" wrapText="1" indent="1"/>
    </xf>
    <xf numFmtId="0" fontId="45" fillId="35" borderId="94" xfId="51" applyFont="1" applyFill="1" applyBorder="1" applyAlignment="1">
      <alignment horizontal="left" vertical="center" wrapText="1" indent="1"/>
    </xf>
    <xf numFmtId="0" fontId="45" fillId="35" borderId="90" xfId="51" applyFont="1" applyFill="1" applyBorder="1" applyAlignment="1">
      <alignment horizontal="left" vertical="center" wrapText="1" indent="1"/>
    </xf>
    <xf numFmtId="0" fontId="45" fillId="35" borderId="91" xfId="51" applyFont="1" applyFill="1" applyBorder="1" applyAlignment="1">
      <alignment horizontal="left" vertical="center" wrapText="1" indent="1"/>
    </xf>
    <xf numFmtId="0" fontId="208" fillId="0" borderId="0" xfId="109" applyFont="1" applyAlignment="1">
      <alignment horizontal="left" vertical="center" indent="1"/>
    </xf>
    <xf numFmtId="0" fontId="1" fillId="0" borderId="54" xfId="109" applyBorder="1" applyAlignment="1">
      <alignment vertical="center"/>
    </xf>
    <xf numFmtId="0" fontId="35" fillId="0" borderId="212" xfId="70" applyFont="1" applyFill="1" applyBorder="1" applyAlignment="1">
      <alignment horizontal="center" vertical="center"/>
      <protection locked="0"/>
    </xf>
    <xf numFmtId="49" fontId="66" fillId="0" borderId="212" xfId="66" applyFont="1" applyBorder="1" applyAlignment="1" applyProtection="1">
      <alignment horizontal="center" vertical="center" wrapText="1"/>
      <protection locked="0"/>
    </xf>
    <xf numFmtId="49" fontId="66" fillId="0" borderId="54" xfId="66" applyFont="1" applyBorder="1" applyAlignment="1" applyProtection="1">
      <alignment horizontal="center" vertical="center" wrapText="1"/>
      <protection locked="0"/>
    </xf>
    <xf numFmtId="0" fontId="208" fillId="0" borderId="54" xfId="109" applyFont="1" applyBorder="1" applyAlignment="1">
      <alignment horizontal="left" vertical="center" indent="1"/>
    </xf>
    <xf numFmtId="0" fontId="1" fillId="0" borderId="110" xfId="109" applyBorder="1" applyAlignment="1">
      <alignment vertical="center"/>
    </xf>
    <xf numFmtId="0" fontId="35" fillId="0" borderId="213" xfId="70" applyFont="1" applyFill="1" applyBorder="1" applyAlignment="1">
      <alignment horizontal="center" vertical="center"/>
      <protection locked="0"/>
    </xf>
    <xf numFmtId="49" fontId="66" fillId="0" borderId="213" xfId="66" applyFont="1" applyBorder="1" applyAlignment="1" applyProtection="1">
      <alignment horizontal="center" vertical="center" wrapText="1"/>
      <protection locked="0"/>
    </xf>
    <xf numFmtId="49" fontId="66" fillId="0" borderId="111" xfId="66" applyFont="1" applyBorder="1" applyAlignment="1" applyProtection="1">
      <alignment horizontal="center" vertical="center" wrapText="1"/>
      <protection locked="0"/>
    </xf>
    <xf numFmtId="0" fontId="208" fillId="0" borderId="111" xfId="109" applyFont="1" applyBorder="1" applyAlignment="1">
      <alignment horizontal="left" vertical="center" indent="1"/>
    </xf>
    <xf numFmtId="0" fontId="1" fillId="0" borderId="122" xfId="109" applyBorder="1" applyAlignment="1">
      <alignment vertical="center"/>
    </xf>
    <xf numFmtId="0" fontId="1" fillId="0" borderId="51" xfId="109" applyBorder="1" applyAlignment="1">
      <alignment vertical="center"/>
    </xf>
    <xf numFmtId="169" fontId="34" fillId="35" borderId="214" xfId="62" quotePrefix="1" applyBorder="1" applyProtection="1">
      <alignment vertical="center"/>
    </xf>
    <xf numFmtId="0" fontId="170" fillId="48" borderId="0" xfId="92" applyFont="1" applyFill="1" applyBorder="1" applyProtection="1">
      <alignment horizontal="center" vertical="center" wrapText="1"/>
      <protection locked="0"/>
    </xf>
    <xf numFmtId="0" fontId="77" fillId="44" borderId="59" xfId="92" applyFont="1" applyFill="1" applyBorder="1" applyProtection="1">
      <alignment horizontal="center" vertical="center" wrapText="1"/>
      <protection locked="0"/>
    </xf>
    <xf numFmtId="0" fontId="208" fillId="0" borderId="205" xfId="109" applyFont="1" applyBorder="1" applyAlignment="1">
      <alignment horizontal="left" vertical="center" indent="1"/>
    </xf>
    <xf numFmtId="0" fontId="1" fillId="0" borderId="52" xfId="109" applyBorder="1" applyAlignment="1">
      <alignment vertical="center"/>
    </xf>
    <xf numFmtId="0" fontId="34" fillId="0" borderId="0" xfId="109" applyFont="1"/>
    <xf numFmtId="1" fontId="34" fillId="0" borderId="24" xfId="127" applyNumberFormat="1" applyFont="1" applyFill="1" applyBorder="1" applyAlignment="1" applyProtection="1">
      <alignment horizontal="center" vertical="center"/>
      <protection locked="0"/>
    </xf>
    <xf numFmtId="0" fontId="29" fillId="0" borderId="0" xfId="109" applyFont="1" applyAlignment="1">
      <alignment horizontal="right" vertical="center" indent="1"/>
    </xf>
    <xf numFmtId="0" fontId="125" fillId="0" borderId="0" xfId="109" applyFont="1"/>
    <xf numFmtId="0" fontId="31" fillId="0" borderId="205" xfId="61" applyFill="1" applyBorder="1">
      <alignment horizontal="center" vertical="center" wrapText="1"/>
      <protection locked="0"/>
    </xf>
    <xf numFmtId="164" fontId="60" fillId="0" borderId="0" xfId="55" applyNumberFormat="1" applyFont="1" applyAlignment="1" applyProtection="1">
      <alignment horizontal="left" vertical="top"/>
    </xf>
    <xf numFmtId="0" fontId="60" fillId="0" borderId="0" xfId="55" applyFont="1" applyAlignment="1" applyProtection="1"/>
    <xf numFmtId="0" fontId="30" fillId="35" borderId="21" xfId="109" applyFont="1" applyFill="1" applyBorder="1" applyAlignment="1">
      <alignment vertical="center"/>
    </xf>
    <xf numFmtId="0" fontId="1" fillId="0" borderId="0" xfId="128"/>
    <xf numFmtId="0" fontId="63" fillId="45" borderId="68" xfId="42" applyFont="1" applyFill="1" applyBorder="1" applyAlignment="1" applyProtection="1">
      <alignment horizontal="center" vertical="center" wrapText="1"/>
      <protection locked="0"/>
    </xf>
    <xf numFmtId="0" fontId="1" fillId="0" borderId="0" xfId="128" applyProtection="1">
      <protection locked="0"/>
    </xf>
    <xf numFmtId="0" fontId="1" fillId="0" borderId="33" xfId="128" applyBorder="1"/>
    <xf numFmtId="0" fontId="86" fillId="0" borderId="0" xfId="49" applyFont="1" applyAlignment="1">
      <alignment horizontal="left" vertical="center" wrapText="1" indent="1"/>
    </xf>
    <xf numFmtId="0" fontId="1" fillId="0" borderId="27" xfId="128" applyBorder="1"/>
    <xf numFmtId="0" fontId="15" fillId="0" borderId="0" xfId="51" applyFont="1" applyFill="1" applyBorder="1" applyAlignment="1" applyProtection="1">
      <alignment horizontal="center" vertical="center" wrapText="1"/>
      <protection locked="0"/>
    </xf>
    <xf numFmtId="0" fontId="57" fillId="0" borderId="0" xfId="55" applyAlignment="1">
      <alignment horizontal="left" vertical="center" wrapText="1"/>
      <protection locked="0"/>
    </xf>
    <xf numFmtId="164" fontId="106" fillId="0" borderId="47" xfId="56" applyFont="1" applyFill="1" applyAlignment="1">
      <alignment horizontal="left" vertical="top" wrapText="1"/>
    </xf>
    <xf numFmtId="0" fontId="57" fillId="0" borderId="0" xfId="55" applyAlignment="1">
      <alignment horizontal="left" vertical="center" wrapText="1"/>
      <protection locked="0"/>
    </xf>
    <xf numFmtId="0" fontId="45" fillId="0" borderId="0" xfId="128" applyFont="1" applyAlignment="1">
      <alignment horizontal="right"/>
    </xf>
    <xf numFmtId="0" fontId="18" fillId="0" borderId="0" xfId="128" applyFont="1" applyAlignment="1">
      <alignment horizontal="right"/>
    </xf>
    <xf numFmtId="0" fontId="1" fillId="0" borderId="0" xfId="128"/>
    <xf numFmtId="169" fontId="31" fillId="35" borderId="71" xfId="73" applyNumberFormat="1" applyFont="1" applyFill="1" applyBorder="1">
      <alignment vertical="center"/>
    </xf>
    <xf numFmtId="0" fontId="31" fillId="0" borderId="0" xfId="45" applyAlignment="1">
      <alignment horizontal="left" vertical="center" wrapText="1" indent="1"/>
    </xf>
    <xf numFmtId="0" fontId="1" fillId="0" borderId="56" xfId="128" applyBorder="1" applyAlignment="1" applyProtection="1">
      <alignment horizontal="left" indent="1"/>
      <protection locked="0"/>
    </xf>
    <xf numFmtId="0" fontId="34" fillId="0" borderId="71" xfId="70" applyFill="1" applyBorder="1" applyAlignment="1">
      <alignment horizontal="left" vertical="center" wrapText="1" indent="1"/>
      <protection locked="0"/>
    </xf>
    <xf numFmtId="49" fontId="34" fillId="0" borderId="71" xfId="63" applyFill="1" applyBorder="1" applyAlignment="1">
      <alignment horizontal="left" vertical="center" wrapText="1" indent="1"/>
      <protection locked="0"/>
    </xf>
    <xf numFmtId="0" fontId="1" fillId="0" borderId="0" xfId="128" applyAlignment="1">
      <alignment wrapText="1"/>
    </xf>
    <xf numFmtId="0" fontId="1" fillId="0" borderId="0" xfId="128" applyAlignment="1">
      <alignment wrapText="1"/>
    </xf>
    <xf numFmtId="49" fontId="96" fillId="0" borderId="0" xfId="66">
      <alignment vertical="center" wrapText="1"/>
    </xf>
    <xf numFmtId="164" fontId="60" fillId="0" borderId="47" xfId="56" applyFill="1" applyAlignment="1">
      <alignment horizontal="left" vertical="top" wrapText="1"/>
    </xf>
    <xf numFmtId="0" fontId="29" fillId="0" borderId="0" xfId="128" applyFont="1"/>
    <xf numFmtId="14" fontId="34" fillId="40" borderId="47" xfId="68">
      <alignment horizontal="center" vertical="center" wrapText="1"/>
    </xf>
    <xf numFmtId="0" fontId="34" fillId="40" borderId="47" xfId="65">
      <alignment horizontal="left" vertical="center" wrapText="1"/>
    </xf>
    <xf numFmtId="0" fontId="74" fillId="35" borderId="28" xfId="48" applyNumberFormat="1" applyFont="1">
      <alignment vertical="center"/>
      <protection locked="0"/>
    </xf>
    <xf numFmtId="0" fontId="184" fillId="0" borderId="0" xfId="128" applyFont="1" applyAlignment="1">
      <alignment horizontal="center"/>
    </xf>
    <xf numFmtId="14" fontId="1" fillId="0" borderId="0" xfId="128" applyNumberFormat="1"/>
    <xf numFmtId="14" fontId="184" fillId="0" borderId="0" xfId="128" applyNumberFormat="1" applyFont="1"/>
    <xf numFmtId="1" fontId="34" fillId="40" borderId="47" xfId="101">
      <alignment horizontal="center" vertical="center" wrapText="1"/>
    </xf>
    <xf numFmtId="194" fontId="34" fillId="40" borderId="47" xfId="129">
      <alignment horizontal="center" vertical="center" wrapText="1"/>
    </xf>
    <xf numFmtId="0" fontId="74" fillId="0" borderId="28" xfId="48" applyNumberFormat="1" applyFont="1" applyFill="1">
      <alignment vertical="center"/>
      <protection locked="0"/>
    </xf>
    <xf numFmtId="0" fontId="1" fillId="0" borderId="37" xfId="128" applyBorder="1"/>
    <xf numFmtId="0" fontId="1" fillId="0" borderId="38" xfId="128" applyBorder="1"/>
    <xf numFmtId="0" fontId="29" fillId="0" borderId="56" xfId="128" applyFont="1" applyBorder="1" applyProtection="1">
      <protection locked="0"/>
    </xf>
    <xf numFmtId="0" fontId="74" fillId="0" borderId="57" xfId="48" applyNumberFormat="1" applyFont="1" applyFill="1" applyBorder="1">
      <alignment vertical="center"/>
      <protection locked="0"/>
    </xf>
    <xf numFmtId="0" fontId="1" fillId="0" borderId="65" xfId="128" applyBorder="1"/>
    <xf numFmtId="165" fontId="120" fillId="0" borderId="0" xfId="128" applyNumberFormat="1" applyFont="1"/>
    <xf numFmtId="194" fontId="34" fillId="35" borderId="71" xfId="129" applyFill="1" applyBorder="1">
      <alignment horizontal="center" vertical="center" wrapText="1"/>
    </xf>
    <xf numFmtId="0" fontId="1" fillId="0" borderId="46" xfId="128" applyBorder="1"/>
    <xf numFmtId="165" fontId="1" fillId="0" borderId="0" xfId="128" applyNumberFormat="1"/>
    <xf numFmtId="169" fontId="34" fillId="35" borderId="56" xfId="74" applyFill="1" applyBorder="1">
      <alignment vertical="center"/>
    </xf>
    <xf numFmtId="169" fontId="34" fillId="35" borderId="117" xfId="74" applyFill="1" applyBorder="1">
      <alignment vertical="center"/>
    </xf>
    <xf numFmtId="169" fontId="34" fillId="35" borderId="57" xfId="74" applyFill="1" applyBorder="1">
      <alignment vertical="center"/>
    </xf>
    <xf numFmtId="0" fontId="34" fillId="40" borderId="205" xfId="65" applyBorder="1">
      <alignment horizontal="left" vertical="center" wrapText="1"/>
    </xf>
    <xf numFmtId="0" fontId="4" fillId="0" borderId="0" xfId="1" applyFill="1" applyBorder="1" applyAlignment="1">
      <alignment horizontal="center" vertical="center" wrapText="1"/>
    </xf>
    <xf numFmtId="181" fontId="1" fillId="0" borderId="65" xfId="128" applyNumberFormat="1" applyBorder="1"/>
    <xf numFmtId="181" fontId="1" fillId="0" borderId="42" xfId="128" applyNumberFormat="1" applyBorder="1"/>
    <xf numFmtId="0" fontId="1" fillId="0" borderId="43" xfId="128" applyBorder="1"/>
    <xf numFmtId="181" fontId="1" fillId="0" borderId="0" xfId="128" applyNumberFormat="1"/>
    <xf numFmtId="0" fontId="45" fillId="35" borderId="215" xfId="51" applyFont="1" applyFill="1" applyBorder="1" applyAlignment="1">
      <alignment horizontal="left" vertical="center" wrapText="1" indent="1"/>
    </xf>
    <xf numFmtId="0" fontId="45" fillId="35" borderId="216" xfId="51" applyFont="1" applyFill="1" applyBorder="1" applyAlignment="1">
      <alignment horizontal="left" vertical="center" wrapText="1" indent="1"/>
    </xf>
    <xf numFmtId="0" fontId="45" fillId="35" borderId="217" xfId="51" applyFont="1" applyFill="1" applyBorder="1" applyAlignment="1">
      <alignment horizontal="left" vertical="center" wrapText="1" indent="1"/>
    </xf>
    <xf numFmtId="0" fontId="45" fillId="35" borderId="91" xfId="51" applyFont="1" applyFill="1" applyBorder="1" applyAlignment="1">
      <alignment horizontal="center" vertical="center" wrapText="1"/>
    </xf>
    <xf numFmtId="173" fontId="34" fillId="40" borderId="0" xfId="73" applyBorder="1">
      <alignment vertical="center"/>
    </xf>
    <xf numFmtId="165" fontId="1" fillId="0" borderId="0" xfId="128" applyNumberFormat="1" applyAlignment="1">
      <alignment horizontal="left" vertical="center"/>
    </xf>
    <xf numFmtId="169" fontId="34" fillId="40" borderId="0" xfId="74" applyBorder="1">
      <alignment vertical="center"/>
    </xf>
    <xf numFmtId="14" fontId="210" fillId="0" borderId="0" xfId="102" applyFont="1">
      <alignment horizontal="center" vertical="center" wrapText="1"/>
    </xf>
    <xf numFmtId="165" fontId="1" fillId="0" borderId="0" xfId="128" applyNumberFormat="1" applyAlignment="1">
      <alignment horizontal="center" vertical="center"/>
    </xf>
    <xf numFmtId="169" fontId="34" fillId="0" borderId="56" xfId="62" applyFill="1" applyBorder="1">
      <alignment vertical="center"/>
      <protection locked="0"/>
    </xf>
    <xf numFmtId="14" fontId="34" fillId="0" borderId="218" xfId="64" applyFill="1" applyBorder="1">
      <alignment horizontal="center" vertical="center"/>
      <protection locked="0"/>
    </xf>
    <xf numFmtId="14" fontId="34" fillId="0" borderId="98" xfId="64" applyFill="1" applyBorder="1">
      <alignment horizontal="center" vertical="center"/>
      <protection locked="0"/>
    </xf>
    <xf numFmtId="165" fontId="1" fillId="0" borderId="65" xfId="128" applyNumberFormat="1" applyBorder="1"/>
    <xf numFmtId="14" fontId="34" fillId="0" borderId="219" xfId="64" applyFill="1" applyBorder="1">
      <alignment horizontal="center" vertical="center"/>
      <protection locked="0"/>
    </xf>
    <xf numFmtId="0" fontId="31" fillId="0" borderId="0" xfId="45" applyAlignment="1">
      <alignment horizontal="center"/>
    </xf>
    <xf numFmtId="14" fontId="34" fillId="35" borderId="108" xfId="68" applyFill="1" applyBorder="1">
      <alignment horizontal="center" vertical="center" wrapText="1"/>
    </xf>
    <xf numFmtId="165" fontId="210" fillId="0" borderId="33" xfId="128" applyNumberFormat="1" applyFont="1" applyBorder="1" applyAlignment="1">
      <alignment horizontal="center" vertical="center"/>
    </xf>
    <xf numFmtId="0" fontId="31" fillId="0" borderId="33" xfId="45" applyBorder="1">
      <alignment horizontal="left" vertical="center" wrapText="1"/>
    </xf>
    <xf numFmtId="165" fontId="210" fillId="0" borderId="0" xfId="128" applyNumberFormat="1" applyFont="1" applyAlignment="1">
      <alignment horizontal="center" vertical="center"/>
    </xf>
    <xf numFmtId="181" fontId="1" fillId="0" borderId="37" xfId="128" applyNumberFormat="1" applyBorder="1"/>
    <xf numFmtId="165" fontId="210" fillId="0" borderId="27" xfId="128" applyNumberFormat="1" applyFont="1" applyBorder="1" applyAlignment="1">
      <alignment horizontal="center" vertical="center"/>
    </xf>
    <xf numFmtId="0" fontId="31" fillId="0" borderId="27" xfId="45" applyBorder="1">
      <alignment horizontal="left" vertical="center" wrapText="1"/>
    </xf>
    <xf numFmtId="0" fontId="29" fillId="0" borderId="0" xfId="128" applyFont="1" applyProtection="1">
      <protection locked="0"/>
    </xf>
    <xf numFmtId="0" fontId="74" fillId="0" borderId="0" xfId="48" applyNumberFormat="1" applyFont="1" applyFill="1" applyBorder="1">
      <alignment vertical="center"/>
      <protection locked="0"/>
    </xf>
    <xf numFmtId="14" fontId="35" fillId="0" borderId="0" xfId="128" applyNumberFormat="1" applyFont="1" applyAlignment="1">
      <alignment wrapText="1"/>
    </xf>
    <xf numFmtId="14" fontId="184" fillId="0" borderId="0" xfId="45" applyNumberFormat="1" applyFont="1">
      <alignment horizontal="left" vertical="center" wrapText="1"/>
    </xf>
    <xf numFmtId="0" fontId="67" fillId="0" borderId="0" xfId="128" applyFont="1" applyAlignment="1">
      <alignment horizontal="center"/>
    </xf>
    <xf numFmtId="166" fontId="71" fillId="42" borderId="29" xfId="108" applyNumberFormat="1" applyFont="1" applyFill="1" applyBorder="1" applyAlignment="1" applyProtection="1">
      <alignment vertical="center"/>
    </xf>
    <xf numFmtId="166" fontId="94" fillId="0" borderId="117" xfId="128" applyNumberFormat="1" applyFont="1" applyBorder="1" applyAlignment="1" applyProtection="1">
      <alignment vertical="center"/>
      <protection locked="0"/>
    </xf>
    <xf numFmtId="14" fontId="35" fillId="0" borderId="0" xfId="128" applyNumberFormat="1" applyFont="1" applyAlignment="1">
      <alignment wrapText="1"/>
    </xf>
    <xf numFmtId="14" fontId="184" fillId="0" borderId="0" xfId="45" applyNumberFormat="1" applyFont="1">
      <alignment horizontal="left" vertical="center" wrapText="1"/>
    </xf>
    <xf numFmtId="169" fontId="34" fillId="35" borderId="108" xfId="73" applyNumberFormat="1" applyFill="1" applyBorder="1">
      <alignment vertical="center"/>
    </xf>
    <xf numFmtId="0" fontId="185" fillId="0" borderId="0" xfId="128" applyFont="1" applyAlignment="1">
      <alignment vertical="top" wrapText="1"/>
    </xf>
    <xf numFmtId="0" fontId="1" fillId="0" borderId="42" xfId="128" applyBorder="1"/>
    <xf numFmtId="0" fontId="34" fillId="0" borderId="0" xfId="45" applyFont="1">
      <alignment horizontal="left" vertical="center" wrapText="1"/>
    </xf>
    <xf numFmtId="0" fontId="211" fillId="0" borderId="0" xfId="45" applyFont="1">
      <alignment horizontal="left" vertical="center" wrapText="1"/>
    </xf>
    <xf numFmtId="10" fontId="34" fillId="35" borderId="71" xfId="114" applyFill="1" applyBorder="1">
      <alignment horizontal="center" vertical="center" wrapText="1"/>
    </xf>
    <xf numFmtId="0" fontId="212" fillId="0" borderId="0" xfId="128" applyFont="1"/>
    <xf numFmtId="0" fontId="74" fillId="0" borderId="69" xfId="48" applyNumberFormat="1" applyFont="1" applyFill="1" applyBorder="1">
      <alignment vertical="center"/>
      <protection locked="0"/>
    </xf>
    <xf numFmtId="0" fontId="1" fillId="0" borderId="0" xfId="128" applyAlignment="1">
      <alignment vertical="top" wrapText="1"/>
    </xf>
    <xf numFmtId="0" fontId="187" fillId="0" borderId="0" xfId="128" applyFont="1" applyAlignment="1">
      <alignment vertical="top" wrapText="1"/>
    </xf>
    <xf numFmtId="15" fontId="1" fillId="0" borderId="33" xfId="128" applyNumberFormat="1" applyBorder="1"/>
    <xf numFmtId="0" fontId="213" fillId="0" borderId="33" xfId="128" applyFont="1" applyBorder="1"/>
    <xf numFmtId="0" fontId="214" fillId="0" borderId="33" xfId="128" applyFont="1" applyBorder="1"/>
    <xf numFmtId="0" fontId="30" fillId="0" borderId="154" xfId="128" applyFont="1" applyBorder="1" applyAlignment="1">
      <alignment horizontal="center" vertical="center"/>
    </xf>
    <xf numFmtId="0" fontId="30" fillId="0" borderId="156" xfId="128" applyFont="1" applyBorder="1" applyAlignment="1">
      <alignment horizontal="center" vertical="center"/>
    </xf>
    <xf numFmtId="10" fontId="186" fillId="0" borderId="0" xfId="128" applyNumberFormat="1" applyFont="1" applyAlignment="1">
      <alignment horizontal="center"/>
    </xf>
    <xf numFmtId="0" fontId="1" fillId="0" borderId="0" xfId="128" applyAlignment="1">
      <alignment horizontal="center"/>
    </xf>
    <xf numFmtId="14" fontId="119" fillId="0" borderId="0" xfId="128" applyNumberFormat="1" applyFont="1"/>
    <xf numFmtId="10" fontId="186" fillId="0" borderId="27" xfId="128" applyNumberFormat="1" applyFont="1" applyBorder="1" applyAlignment="1">
      <alignment horizontal="center"/>
    </xf>
    <xf numFmtId="0" fontId="1" fillId="0" borderId="27" xfId="128" applyBorder="1" applyAlignment="1">
      <alignment horizontal="center"/>
    </xf>
    <xf numFmtId="14" fontId="119" fillId="0" borderId="27" xfId="128" applyNumberFormat="1" applyFont="1" applyBorder="1"/>
    <xf numFmtId="0" fontId="34" fillId="0" borderId="0" xfId="69" quotePrefix="1">
      <alignment horizontal="center" vertical="center" wrapText="1"/>
    </xf>
    <xf numFmtId="0" fontId="215" fillId="0" borderId="0" xfId="49" applyFont="1" applyAlignment="1">
      <alignment horizontal="left" vertical="center" wrapText="1"/>
    </xf>
    <xf numFmtId="0" fontId="78" fillId="0" borderId="0" xfId="49" applyFont="1" applyAlignment="1">
      <alignment horizontal="left" vertical="center" wrapText="1"/>
    </xf>
    <xf numFmtId="0" fontId="78" fillId="0" borderId="0" xfId="49" applyFont="1" applyAlignment="1">
      <alignment horizontal="left" wrapText="1"/>
    </xf>
    <xf numFmtId="0" fontId="103" fillId="0" borderId="0" xfId="49" applyFont="1" applyAlignment="1">
      <alignment horizontal="left" vertical="top" wrapText="1"/>
    </xf>
    <xf numFmtId="0" fontId="103" fillId="0" borderId="0" xfId="49" applyFont="1" applyAlignment="1">
      <alignment horizontal="left" wrapText="1"/>
    </xf>
    <xf numFmtId="0" fontId="117" fillId="0" borderId="0" xfId="49" applyFont="1" applyAlignment="1">
      <alignment horizontal="left" vertical="center" wrapText="1"/>
    </xf>
    <xf numFmtId="0" fontId="1" fillId="0" borderId="24" xfId="128" applyBorder="1"/>
    <xf numFmtId="0" fontId="105" fillId="0" borderId="0" xfId="128" applyFont="1" applyAlignment="1">
      <alignment horizontal="left"/>
    </xf>
    <xf numFmtId="164" fontId="60" fillId="0" borderId="61" xfId="56" applyFill="1" applyBorder="1">
      <alignment horizontal="left" vertical="center" wrapText="1"/>
    </xf>
    <xf numFmtId="164" fontId="60" fillId="0" borderId="28" xfId="56" applyFill="1" applyBorder="1">
      <alignment horizontal="left" vertical="center" wrapText="1"/>
    </xf>
    <xf numFmtId="164" fontId="60" fillId="0" borderId="205" xfId="56" applyFill="1" applyBorder="1">
      <alignment horizontal="left" vertical="center" wrapText="1"/>
    </xf>
    <xf numFmtId="0" fontId="59" fillId="0" borderId="0" xfId="128" applyFont="1" applyAlignment="1">
      <alignment horizontal="right"/>
    </xf>
    <xf numFmtId="0" fontId="30" fillId="35" borderId="21" xfId="128" applyFont="1" applyFill="1" applyBorder="1" applyAlignment="1">
      <alignment vertical="center"/>
    </xf>
    <xf numFmtId="0" fontId="30" fillId="35" borderId="22" xfId="128" applyFont="1" applyFill="1" applyBorder="1" applyAlignment="1">
      <alignment horizontal="right" vertical="center"/>
    </xf>
    <xf numFmtId="0" fontId="55" fillId="45" borderId="220" xfId="53" applyFont="1" applyFill="1" applyBorder="1">
      <alignment horizontal="center" vertical="center" wrapText="1"/>
    </xf>
    <xf numFmtId="0" fontId="54" fillId="0" borderId="202" xfId="53" applyFont="1" applyFill="1" applyBorder="1">
      <alignment horizontal="center" vertical="center" wrapText="1"/>
    </xf>
    <xf numFmtId="0" fontId="122" fillId="0" borderId="202" xfId="53" applyFont="1" applyFill="1" applyBorder="1">
      <alignment horizontal="center" vertical="center" wrapText="1"/>
    </xf>
    <xf numFmtId="0" fontId="15" fillId="45" borderId="0" xfId="53" applyFill="1" applyBorder="1">
      <alignment horizontal="center" vertical="center" wrapText="1"/>
    </xf>
    <xf numFmtId="0" fontId="15" fillId="45" borderId="59" xfId="53" applyFill="1" applyBorder="1">
      <alignment horizontal="center" vertical="center" wrapText="1"/>
    </xf>
    <xf numFmtId="0" fontId="29" fillId="0" borderId="0" xfId="130" applyFont="1"/>
    <xf numFmtId="0" fontId="1" fillId="0" borderId="0" xfId="130"/>
    <xf numFmtId="49" fontId="31" fillId="0" borderId="27" xfId="81" applyBorder="1">
      <alignment horizontal="left" vertical="center" wrapText="1"/>
    </xf>
    <xf numFmtId="49" fontId="66" fillId="0" borderId="27" xfId="66" applyFont="1" applyBorder="1" applyAlignment="1" applyProtection="1">
      <alignment horizontal="center" vertical="center" wrapText="1"/>
      <protection locked="0"/>
    </xf>
    <xf numFmtId="0" fontId="1" fillId="0" borderId="38" xfId="128" applyBorder="1" applyAlignment="1">
      <alignment vertical="center"/>
    </xf>
    <xf numFmtId="0" fontId="94" fillId="0" borderId="56" xfId="128" applyFont="1" applyBorder="1" applyAlignment="1" applyProtection="1">
      <alignment horizontal="left"/>
      <protection locked="0"/>
    </xf>
    <xf numFmtId="0" fontId="1" fillId="0" borderId="0" xfId="128" applyAlignment="1">
      <alignment vertical="center"/>
    </xf>
    <xf numFmtId="169" fontId="31" fillId="0" borderId="0" xfId="73" applyNumberFormat="1" applyFont="1" applyFill="1" applyBorder="1">
      <alignment vertical="center"/>
    </xf>
    <xf numFmtId="0" fontId="1" fillId="0" borderId="46" xfId="128" applyBorder="1" applyAlignment="1">
      <alignment vertical="center"/>
    </xf>
    <xf numFmtId="169" fontId="34" fillId="35" borderId="71" xfId="73" applyNumberFormat="1" applyFill="1" applyBorder="1">
      <alignment vertical="center"/>
    </xf>
    <xf numFmtId="49" fontId="66" fillId="0" borderId="33" xfId="66" applyFont="1" applyBorder="1" applyAlignment="1" applyProtection="1">
      <alignment horizontal="center" vertical="center" wrapText="1"/>
      <protection locked="0"/>
    </xf>
    <xf numFmtId="49" fontId="66" fillId="0" borderId="31" xfId="66" applyFont="1" applyBorder="1" applyAlignment="1" applyProtection="1">
      <alignment horizontal="center" vertical="center" wrapText="1"/>
      <protection locked="0"/>
    </xf>
    <xf numFmtId="49" fontId="66" fillId="0" borderId="0" xfId="131" applyFont="1" applyFill="1" applyBorder="1" applyAlignment="1">
      <alignment horizontal="left" vertical="center" wrapText="1"/>
    </xf>
    <xf numFmtId="49" fontId="66" fillId="0" borderId="46" xfId="131" applyFont="1" applyFill="1" applyBorder="1" applyAlignment="1">
      <alignment horizontal="left" vertical="center" wrapText="1"/>
    </xf>
    <xf numFmtId="0" fontId="45" fillId="35" borderId="21" xfId="51" applyFont="1" applyFill="1" applyBorder="1" applyAlignment="1">
      <alignment horizontal="left" vertical="center" wrapText="1" indent="1"/>
    </xf>
    <xf numFmtId="0" fontId="45" fillId="35" borderId="35" xfId="51" applyFont="1" applyFill="1" applyBorder="1" applyAlignment="1">
      <alignment horizontal="left" vertical="center" wrapText="1" indent="1"/>
    </xf>
    <xf numFmtId="0" fontId="45" fillId="35" borderId="22" xfId="51" applyFont="1" applyFill="1" applyBorder="1" applyAlignment="1">
      <alignment horizontal="left" vertical="center" wrapText="1" indent="1"/>
    </xf>
    <xf numFmtId="49" fontId="66" fillId="0" borderId="0" xfId="76" applyFont="1" applyAlignment="1" applyProtection="1">
      <alignment horizontal="center" vertical="center" wrapText="1"/>
      <protection locked="0"/>
    </xf>
    <xf numFmtId="0" fontId="208" fillId="0" borderId="0" xfId="130" applyFont="1" applyAlignment="1">
      <alignment horizontal="left" vertical="center"/>
    </xf>
    <xf numFmtId="0" fontId="1" fillId="0" borderId="0" xfId="130" applyAlignment="1">
      <alignment vertical="center"/>
    </xf>
    <xf numFmtId="0" fontId="1" fillId="0" borderId="37" xfId="130" applyBorder="1"/>
    <xf numFmtId="49" fontId="66" fillId="0" borderId="27" xfId="76" applyFont="1" applyBorder="1" applyAlignment="1" applyProtection="1">
      <alignment horizontal="center" vertical="center" wrapText="1"/>
      <protection locked="0"/>
    </xf>
    <xf numFmtId="0" fontId="1" fillId="0" borderId="38" xfId="130" applyBorder="1" applyAlignment="1">
      <alignment vertical="center"/>
    </xf>
    <xf numFmtId="0" fontId="1" fillId="0" borderId="65" xfId="130" applyBorder="1"/>
    <xf numFmtId="0" fontId="1" fillId="0" borderId="46" xfId="130" applyBorder="1" applyAlignment="1">
      <alignment vertical="center"/>
    </xf>
    <xf numFmtId="0" fontId="34" fillId="0" borderId="0" xfId="81" applyNumberFormat="1" applyFont="1">
      <alignment horizontal="left" vertical="center" wrapText="1"/>
    </xf>
    <xf numFmtId="0" fontId="15" fillId="45" borderId="0" xfId="53" applyFill="1" applyBorder="1" applyProtection="1">
      <alignment horizontal="center" vertical="center" wrapText="1"/>
      <protection locked="0"/>
    </xf>
    <xf numFmtId="0" fontId="55" fillId="45" borderId="34" xfId="53" applyFont="1" applyFill="1" applyBorder="1" applyProtection="1">
      <alignment horizontal="center" vertical="center" wrapText="1"/>
      <protection locked="0"/>
    </xf>
    <xf numFmtId="0" fontId="30" fillId="0" borderId="0" xfId="128" applyFont="1" applyAlignment="1">
      <alignment horizontal="right" vertical="center" indent="1"/>
    </xf>
    <xf numFmtId="0" fontId="1" fillId="0" borderId="42" xfId="130" applyBorder="1"/>
    <xf numFmtId="49" fontId="66" fillId="0" borderId="33" xfId="76" applyFont="1" applyBorder="1" applyAlignment="1" applyProtection="1">
      <alignment horizontal="center" vertical="center" wrapText="1"/>
      <protection locked="0"/>
    </xf>
    <xf numFmtId="49" fontId="66" fillId="0" borderId="31" xfId="76" applyFont="1" applyBorder="1" applyAlignment="1" applyProtection="1">
      <alignment horizontal="center" vertical="center" wrapText="1"/>
      <protection locked="0"/>
    </xf>
    <xf numFmtId="0" fontId="34" fillId="0" borderId="0" xfId="128" applyFont="1" applyAlignment="1">
      <alignment horizontal="left" indent="1"/>
    </xf>
    <xf numFmtId="0" fontId="1" fillId="0" borderId="160" xfId="128" applyBorder="1"/>
    <xf numFmtId="49" fontId="66" fillId="0" borderId="49" xfId="66" applyFont="1" applyBorder="1" applyAlignment="1" applyProtection="1">
      <alignment horizontal="center" vertical="center" wrapText="1"/>
      <protection locked="0"/>
    </xf>
    <xf numFmtId="0" fontId="1" fillId="0" borderId="49" xfId="128" applyBorder="1"/>
    <xf numFmtId="0" fontId="1" fillId="0" borderId="100" xfId="128" applyBorder="1" applyAlignment="1">
      <alignment vertical="center"/>
    </xf>
    <xf numFmtId="0" fontId="147" fillId="48" borderId="0" xfId="92" applyFill="1" applyBorder="1" applyProtection="1">
      <alignment horizontal="center" vertical="center" wrapText="1"/>
      <protection locked="0"/>
    </xf>
    <xf numFmtId="0" fontId="208" fillId="0" borderId="0" xfId="128" applyFont="1" applyAlignment="1">
      <alignment horizontal="left" vertical="center" indent="1"/>
    </xf>
    <xf numFmtId="0" fontId="31" fillId="0" borderId="94" xfId="46" applyBorder="1" applyProtection="1">
      <alignment horizontal="center" vertical="center" wrapText="1"/>
      <protection locked="0"/>
    </xf>
    <xf numFmtId="0" fontId="31" fillId="0" borderId="91" xfId="46" applyBorder="1" applyProtection="1">
      <alignment horizontal="center" vertical="center" wrapText="1"/>
      <protection locked="0"/>
    </xf>
    <xf numFmtId="0" fontId="34" fillId="0" borderId="0" xfId="128" applyFont="1"/>
    <xf numFmtId="0" fontId="34" fillId="0" borderId="65" xfId="128" applyFont="1" applyBorder="1"/>
    <xf numFmtId="0" fontId="34" fillId="0" borderId="42" xfId="128" applyFont="1" applyBorder="1"/>
    <xf numFmtId="0" fontId="45" fillId="0" borderId="36" xfId="51" applyFont="1" applyFill="1" applyBorder="1" applyAlignment="1">
      <alignment horizontal="left" vertical="center" wrapText="1"/>
    </xf>
    <xf numFmtId="0" fontId="45" fillId="0" borderId="0" xfId="128" applyFont="1" applyAlignment="1">
      <alignment horizontal="center" vertical="center" wrapText="1"/>
    </xf>
    <xf numFmtId="0" fontId="18" fillId="0" borderId="0" xfId="128" applyFont="1"/>
    <xf numFmtId="0" fontId="26" fillId="0" borderId="0" xfId="0" applyFont="1" applyBorder="1" applyAlignment="1">
      <alignment horizontal="center"/>
    </xf>
    <xf numFmtId="0" fontId="0" fillId="0" borderId="0" xfId="0" applyBorder="1"/>
    <xf numFmtId="0" fontId="26" fillId="34" borderId="0" xfId="0" applyFont="1" applyFill="1" applyBorder="1" applyAlignment="1">
      <alignment horizontal="center"/>
    </xf>
    <xf numFmtId="0" fontId="26" fillId="34" borderId="12" xfId="0" applyFont="1" applyFill="1" applyBorder="1" applyAlignment="1">
      <alignment horizontal="center"/>
    </xf>
    <xf numFmtId="0" fontId="0" fillId="34" borderId="0" xfId="0" applyFill="1" applyBorder="1"/>
    <xf numFmtId="0" fontId="26" fillId="0" borderId="0" xfId="0" applyFont="1" applyBorder="1"/>
    <xf numFmtId="0" fontId="216" fillId="0" borderId="0" xfId="0" applyFont="1" applyBorder="1"/>
    <xf numFmtId="195" fontId="0" fillId="0" borderId="0" xfId="0" applyNumberFormat="1" applyBorder="1"/>
    <xf numFmtId="195" fontId="25" fillId="0" borderId="0" xfId="0" applyNumberFormat="1" applyFont="1" applyBorder="1"/>
    <xf numFmtId="195" fontId="0" fillId="0" borderId="16" xfId="0" applyNumberFormat="1" applyBorder="1"/>
    <xf numFmtId="195" fontId="0" fillId="0" borderId="0" xfId="0" applyNumberFormat="1"/>
    <xf numFmtId="195" fontId="0" fillId="0" borderId="10" xfId="0" applyNumberFormat="1" applyBorder="1"/>
    <xf numFmtId="196" fontId="25" fillId="0" borderId="0" xfId="0" applyNumberFormat="1" applyFont="1" applyBorder="1"/>
    <xf numFmtId="0" fontId="28" fillId="34" borderId="0" xfId="42" applyFill="1" applyBorder="1"/>
    <xf numFmtId="0" fontId="0" fillId="0" borderId="0" xfId="0" applyBorder="1" applyAlignment="1">
      <alignment indent="2"/>
    </xf>
    <xf numFmtId="0" fontId="26" fillId="59" borderId="0" xfId="0" applyFont="1" applyFill="1" applyBorder="1" applyAlignment="1">
      <alignment horizontal="center"/>
    </xf>
    <xf numFmtId="0" fontId="0" fillId="59" borderId="0" xfId="0" applyFill="1" applyBorder="1"/>
    <xf numFmtId="0" fontId="0" fillId="59" borderId="0" xfId="0" quotePrefix="1" applyFill="1" applyBorder="1"/>
  </cellXfs>
  <cellStyles count="13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Blank % Bold" xfId="105" xr:uid="{60AB98C6-6B3D-4C21-B6D8-7ACF97032E38}"/>
    <cellStyle name="Blank Bold" xfId="93" xr:uid="{25D3AF5C-BB25-4F02-9ECB-F16484F0517A}"/>
    <cellStyle name="Blank Date" xfId="102" xr:uid="{73C00821-510D-47A0-B373-BA19A571BC72}"/>
    <cellStyle name="Calculation" xfId="11" builtinId="22" customBuiltin="1"/>
    <cellStyle name="Check Cell" xfId="13" builtinId="23" customBuiltin="1"/>
    <cellStyle name="Comma 2" xfId="44" xr:uid="{DE22B6C0-36DF-47B0-81C5-C0ECA3877F38}"/>
    <cellStyle name="Comma 3" xfId="104" xr:uid="{26E38826-FE68-4833-933D-E6426C708CFB}"/>
    <cellStyle name="Comma 4" xfId="108" xr:uid="{FC5E9369-EA1C-42D5-8CC6-A0BB6C71C9AA}"/>
    <cellStyle name="Comma 4 2" xfId="127" xr:uid="{6631580B-B4B4-4181-8AB3-6BB24F8C6876}"/>
    <cellStyle name="Comma 5" xfId="110" xr:uid="{4B05ED6F-E4FB-483F-9AEE-5AA80DFEAC70}"/>
    <cellStyle name="Currency 2" xfId="91" xr:uid="{2F4A9C50-B84F-4587-AF3D-1C74E1F83DF8}"/>
    <cellStyle name="Currency 3" xfId="112" xr:uid="{7D80F19B-4402-429E-9C2D-C7708F5BAB17}"/>
    <cellStyle name="DataField" xfId="70" xr:uid="{309BAA85-7F86-4672-9F89-C641F186CCC0}"/>
    <cellStyle name="DataField 2" xfId="118" xr:uid="{B9072867-E685-4F4B-A29B-9E4DF2F5B43E}"/>
    <cellStyle name="DataField Center" xfId="54" xr:uid="{9BCD3778-6927-4D93-8142-33C61BFB119E}"/>
    <cellStyle name="DataField Center Bold" xfId="61" xr:uid="{9191D3CB-6BAE-44F8-9165-371EEA33007B}"/>
    <cellStyle name="DataField Date" xfId="64" xr:uid="{CD073063-BB2D-4454-A8E7-05B4B236A8A1}"/>
    <cellStyle name="DataField Text Center" xfId="63" xr:uid="{B8D581FF-D89F-41BD-9A2A-68DDAFED00BE}"/>
    <cellStyle name="DataField#" xfId="113" xr:uid="{A2039A9F-24A4-4583-AC1F-DB539AC402C2}"/>
    <cellStyle name="DataField$" xfId="62" xr:uid="{5E59B5DD-9829-4322-87A1-B8620B009336}"/>
    <cellStyle name="DataField%" xfId="75" xr:uid="{8BD4A6A6-D783-4E13-A46F-BB9BDC8E5345}"/>
    <cellStyle name="Explanatory Text" xfId="16" builtinId="53" customBuiltin="1"/>
    <cellStyle name="Formula" xfId="99" xr:uid="{CCF94E45-D880-41E7-A74B-18F4ACC31018}"/>
    <cellStyle name="Formula #" xfId="101" xr:uid="{7CA8F4D4-0AA6-4941-9107-D0279211B60C}"/>
    <cellStyle name="Formula # 1" xfId="72" xr:uid="{6C519CCB-3BCC-42D0-85BB-0E0129C96A0F}"/>
    <cellStyle name="Formula Date" xfId="68" xr:uid="{A89CC126-D94B-4303-935D-7D9D33135FA2}"/>
    <cellStyle name="Formula Text" xfId="65" xr:uid="{497F3A90-075C-4681-9D1D-4BDF5B2CA710}"/>
    <cellStyle name="Formula Year" xfId="129" xr:uid="{A6E2A07E-D03C-4D4F-93CC-3CD05A68B7DD}"/>
    <cellStyle name="Formula$" xfId="74" xr:uid="{014AD5A1-2018-4555-9D6E-A48052F908E8}"/>
    <cellStyle name="Formula$ 2" xfId="120" xr:uid="{42892087-A386-4D8F-B305-F1F5E364690D}"/>
    <cellStyle name="Formula%" xfId="114" xr:uid="{EBCBBC72-C270-4726-869F-00977B39B22F}"/>
    <cellStyle name="Formula% 2" xfId="100" xr:uid="{725B43E6-EC89-41D4-A214-01066571FBE0}"/>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51" xr:uid="{72327BD8-318E-49D6-AE19-3F333D5B5EE5}"/>
    <cellStyle name="Hyperlink 3" xfId="95" xr:uid="{96CFEFC5-E444-4EC1-B94C-91CAE1F829E3}"/>
    <cellStyle name="Hyperlinks" xfId="59" xr:uid="{238482C1-06B7-4686-97C8-436E91117DD5}"/>
    <cellStyle name="Hyperlinks 2" xfId="92" xr:uid="{6C977864-B2AB-45F6-AF7C-AE43D6A4B48B}"/>
    <cellStyle name="Hyperlinks 3" xfId="94" xr:uid="{FC0B1676-CCA3-4AF1-B8D3-D1324B492BDE}"/>
    <cellStyle name="Index" xfId="53" xr:uid="{8E4F1481-7B10-4D8A-998E-4C82957DFF92}"/>
    <cellStyle name="Index 2" xfId="126" xr:uid="{D17A9526-4E93-4B15-8910-B5F7FEE79B8A}"/>
    <cellStyle name="Index Information" xfId="131" xr:uid="{6FEFC80F-5B7E-4486-8607-C9DFE851B02E}"/>
    <cellStyle name="Information" xfId="66" xr:uid="{ECA680D8-8616-4D69-801C-5B8199FB7407}"/>
    <cellStyle name="Information #" xfId="80" xr:uid="{B2F2CD55-BE70-4733-84FC-72198B00493A}"/>
    <cellStyle name="Information # 2" xfId="86" xr:uid="{35228F1C-5EAA-4985-A998-2344A219A958}"/>
    <cellStyle name="Information # 3" xfId="77" xr:uid="{40C6CAF7-A935-4EA2-B06F-BE9C7CA780A6}"/>
    <cellStyle name="Information # 4" xfId="87" xr:uid="{48C19B59-5C46-435A-AF00-BBAB163A49A0}"/>
    <cellStyle name="Information $" xfId="78" xr:uid="{5E7BA5DB-0EFF-4D9F-A98C-01A9FB4BC749}"/>
    <cellStyle name="Information $ 2" xfId="79" xr:uid="{1723DB2E-FC91-45A0-BF75-285D6FF06575}"/>
    <cellStyle name="Information $ 2 2" xfId="89" xr:uid="{CC413B47-2147-4FE8-A486-E2C3A7AE6AD1}"/>
    <cellStyle name="Information %" xfId="85" xr:uid="{05E456C1-EE26-4637-834D-4BCEB16022D3}"/>
    <cellStyle name="Information % 1" xfId="82" xr:uid="{0AFAEB1B-FB41-4ADA-B59E-A20C74D8A0AE}"/>
    <cellStyle name="Information % 2" xfId="84" xr:uid="{A00D0887-2FE1-4050-9339-FEF26363E4C7}"/>
    <cellStyle name="Information 3" xfId="76" xr:uid="{4C384D37-A7B6-4AAF-9985-10B4A24A62F0}"/>
    <cellStyle name="Information Bold" xfId="88" xr:uid="{77F50DAD-D1A2-403E-8287-56258E2249BF}"/>
    <cellStyle name="Information Date" xfId="83" xr:uid="{1A20B04E-58D0-454D-B6A5-3D5677ECD054}"/>
    <cellStyle name="Input" xfId="9" builtinId="20" customBuiltin="1"/>
    <cellStyle name="Linked Cell" xfId="12" builtinId="24" customBuiltin="1"/>
    <cellStyle name="loan matrix blank" xfId="116" xr:uid="{1EA36927-4C7A-4798-9522-A174EB05DF60}"/>
    <cellStyle name="MatrixDataField" xfId="117" xr:uid="{35DF5F5A-0E0D-47BF-B041-4FB52FDCA111}"/>
    <cellStyle name="Neutral" xfId="8" builtinId="28" customBuiltin="1"/>
    <cellStyle name="Normal" xfId="0" builtinId="0" customBuiltin="1"/>
    <cellStyle name="Normal 12" xfId="97" xr:uid="{69AE499B-F4C0-4E15-98C1-A781059AC0EC}"/>
    <cellStyle name="Normal 12 2" xfId="128" xr:uid="{51E0A56C-0074-4DA8-A7D5-38291FCC721D}"/>
    <cellStyle name="Normal 2" xfId="43" xr:uid="{D9ED7B10-C847-4D63-B857-5BF194C7BEF9}"/>
    <cellStyle name="Normal 2 2" xfId="60" xr:uid="{250326F5-3A19-446B-8F15-C57075BF6E22}"/>
    <cellStyle name="Normal 2 3" xfId="111" xr:uid="{E601947F-DD7D-4C41-B91E-088758EDA976}"/>
    <cellStyle name="Normal 2 4" xfId="130" xr:uid="{4C989765-B1A9-490A-B11F-642D87DA10BF}"/>
    <cellStyle name="Normal 23" xfId="106" xr:uid="{A04A8EB4-005F-490F-9FC5-F1DC8B75B4C7}"/>
    <cellStyle name="Normal 23 2" xfId="109" xr:uid="{FFFC7B6C-6351-4FF5-8B8F-E62B0198F197}"/>
    <cellStyle name="Normal 3" xfId="98" xr:uid="{E6AB5D5B-92C7-41C6-8C1A-E4416861B315}"/>
    <cellStyle name="Normal 4" xfId="107" xr:uid="{5AFDE262-77B1-44AA-A584-1DA5CC850C47}"/>
    <cellStyle name="Note" xfId="15" builtinId="10" customBuiltin="1"/>
    <cellStyle name="Notes" xfId="48" xr:uid="{6786570E-6336-49FD-BB35-59D8B21E5642}"/>
    <cellStyle name="Notes 2" xfId="119" xr:uid="{B7F9B1C9-C89A-44C8-9B2F-134EC3D8F03C}"/>
    <cellStyle name="Output" xfId="10" builtinId="21" customBuiltin="1"/>
    <cellStyle name="Page Title" xfId="55" xr:uid="{2C23617C-7346-4D46-848C-F6EA6FFF2413}"/>
    <cellStyle name="Page Title Date" xfId="90" xr:uid="{8E801FA4-2F8E-4CCE-A9A9-58C3DCC2FD4E}"/>
    <cellStyle name="Percent 2" xfId="71" xr:uid="{410CFAD3-9628-4BE9-BEE8-107EA472F12C}"/>
    <cellStyle name="Percent 3" xfId="115" xr:uid="{4F7C9C00-C31C-465F-B6C0-3A567040A95B}"/>
    <cellStyle name="Sheet Title" xfId="46" xr:uid="{2D6FA89D-0096-47A1-8B39-4A85CF42457F}"/>
    <cellStyle name="Subtotal$" xfId="73" xr:uid="{F6A05576-4E39-4EA9-85A7-2410C58CA60C}"/>
    <cellStyle name="Tab Name" xfId="58" xr:uid="{E08D3240-CFEF-49AC-A9F5-1A9B5306E82B}"/>
    <cellStyle name="Tab Name 2" xfId="121" xr:uid="{3587EAB4-CEA3-447A-98DB-12196FA8822A}"/>
    <cellStyle name="TemplateInfoTitle" xfId="49" xr:uid="{ABD9609C-098E-4DB7-B10D-6796566BF389}"/>
    <cellStyle name="TextNoLine" xfId="47" xr:uid="{FF504A88-7B2E-4432-85F0-91D91845119F}"/>
    <cellStyle name="TextNoLine Center" xfId="69" xr:uid="{73CBCBC6-FB7A-4B0D-952C-6BFFAA5E4B1B}"/>
    <cellStyle name="TextNoLineBold" xfId="45" xr:uid="{6F16F0D5-8280-40EC-9D24-9C245AA249FE}"/>
    <cellStyle name="TextNoLineBold 3" xfId="81" xr:uid="{A5B631B2-C57E-4343-888C-D0BCB43744C4}"/>
    <cellStyle name="TextNoLineBold Center" xfId="103" xr:uid="{D2ACF073-474B-4622-9CAB-91140B565A9C}"/>
    <cellStyle name="TextNoLineBoldRight" xfId="52" xr:uid="{C5CFDDB0-8872-4E5B-98F3-C12C8E30B10A}"/>
    <cellStyle name="Tick Boxes" xfId="96" xr:uid="{B02A36AB-B1F3-4C2B-A329-F88D6AFD1C29}"/>
    <cellStyle name="Title" xfId="1" builtinId="15" customBuiltin="1"/>
    <cellStyle name="TL - Grey" xfId="50" xr:uid="{1750D66A-1EC1-41BE-A84A-2420754C714C}"/>
    <cellStyle name="TL - Grey 2" xfId="122" xr:uid="{64FB1C45-EB33-4616-A5F7-2E0622F7ECDA}"/>
    <cellStyle name="TL - Yellow" xfId="67" xr:uid="{D3710EC7-3D93-43D5-81E0-0E0D5A688281}"/>
    <cellStyle name="Total" xfId="17" builtinId="25" customBuiltin="1"/>
    <cellStyle name="Warning Text" xfId="14" builtinId="11" customBuiltin="1"/>
    <cellStyle name="WP Client" xfId="57" xr:uid="{10779EAB-62B2-4124-B215-00FF2D2B9649}"/>
    <cellStyle name="WP Client 2" xfId="125" xr:uid="{E297B5FB-694C-454C-B510-D27E865BC131}"/>
    <cellStyle name="WP Client Date" xfId="56" xr:uid="{117FBD2C-CEE8-4C20-A572-218270F97038}"/>
    <cellStyle name="WP Client Date 2" xfId="124" xr:uid="{881393E4-E750-4FFC-8DBA-37BC32FF46B7}"/>
    <cellStyle name="WP Ref Text" xfId="123" xr:uid="{8FF5D077-1A8B-4323-95AE-C0F1316EF38C}"/>
  </cellStyles>
  <dxfs count="767">
    <dxf>
      <font>
        <color rgb="FF25FF0C"/>
      </font>
      <fill>
        <patternFill patternType="solid">
          <fgColor indexed="64"/>
          <bgColor rgb="FF25FF0C"/>
        </patternFill>
      </fill>
    </dxf>
    <dxf>
      <font>
        <color rgb="FFFF6D0C"/>
      </font>
      <fill>
        <patternFill patternType="solid">
          <fgColor indexed="64"/>
          <bgColor rgb="FFFF6D0C"/>
        </patternFill>
      </fill>
    </dxf>
    <dxf>
      <font>
        <color rgb="FF25FF0C"/>
      </font>
      <fill>
        <patternFill patternType="solid">
          <fgColor indexed="64"/>
          <bgColor rgb="FF25FF0C"/>
        </patternFill>
      </fill>
    </dxf>
    <dxf>
      <font>
        <color rgb="FFFF6D0C"/>
      </font>
      <fill>
        <patternFill patternType="solid">
          <fgColor indexed="64"/>
          <bgColor rgb="FFFF6D0C"/>
        </patternFill>
      </fill>
    </dxf>
    <dxf>
      <font>
        <color theme="0" tint="-0.34998626667073579"/>
      </font>
    </dxf>
    <dxf>
      <font>
        <b/>
        <i val="0"/>
        <color theme="0"/>
      </font>
      <fill>
        <patternFill>
          <bgColor rgb="FFC00000"/>
        </patternFill>
      </fill>
      <border>
        <left style="thin">
          <color theme="0"/>
        </left>
        <right style="thin">
          <color theme="0"/>
        </right>
        <top style="thin">
          <color rgb="FFC00000"/>
        </top>
        <bottom style="thin">
          <color rgb="FFC00000"/>
        </bottom>
        <vertical/>
        <horizontal/>
      </border>
    </dxf>
    <dxf>
      <font>
        <b/>
        <i val="0"/>
        <color theme="0"/>
      </font>
      <fill>
        <patternFill>
          <bgColor theme="9"/>
        </patternFill>
      </fill>
      <border>
        <left style="thin">
          <color theme="0"/>
        </left>
        <right style="thin">
          <color theme="0"/>
        </right>
        <top style="thin">
          <color theme="9"/>
        </top>
        <bottom style="thin">
          <color theme="9"/>
        </bottom>
        <vertical/>
        <horizontal/>
      </border>
    </dxf>
    <dxf>
      <font>
        <color theme="0"/>
      </font>
      <fill>
        <patternFill>
          <bgColor rgb="FFC00000"/>
        </patternFill>
      </fill>
    </dxf>
    <dxf>
      <font>
        <color theme="0" tint="-0.34998626667073579"/>
      </font>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ont>
        <b/>
        <i val="0"/>
        <color theme="0"/>
      </font>
      <fill>
        <patternFill>
          <bgColor rgb="FFC00000"/>
        </patternFill>
      </fill>
      <border>
        <left style="thin">
          <color rgb="FFC00000"/>
        </left>
        <right style="thin">
          <color rgb="FFC00000"/>
        </right>
        <top style="thin">
          <color rgb="FFC00000"/>
        </top>
        <bottom style="thin">
          <color rgb="FFC00000"/>
        </bottom>
      </border>
    </dxf>
    <dxf>
      <font>
        <b/>
        <i val="0"/>
        <color theme="0"/>
      </font>
      <fill>
        <patternFill>
          <bgColor theme="9"/>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ont>
        <color rgb="FFC00000"/>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C00000"/>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b/>
        <i val="0"/>
        <color theme="0"/>
      </font>
      <fill>
        <patternFill>
          <bgColor theme="9"/>
        </patternFill>
      </fill>
      <border>
        <left style="thin">
          <color theme="9"/>
        </left>
        <right style="thin">
          <color theme="9"/>
        </right>
        <top style="thin">
          <color theme="9"/>
        </top>
        <bottom style="thin">
          <color theme="9"/>
        </bottom>
        <vertical/>
        <horizontal/>
      </border>
    </dxf>
    <dxf>
      <font>
        <b/>
        <i val="0"/>
        <color theme="0"/>
      </font>
      <fill>
        <patternFill>
          <bgColor rgb="FFC00000"/>
        </patternFill>
      </fill>
      <border>
        <left style="thin">
          <color rgb="FFC00000"/>
        </left>
        <right style="thin">
          <color rgb="FFC00000"/>
        </right>
        <top style="thin">
          <color rgb="FFC00000"/>
        </top>
        <bottom style="thin">
          <color rgb="FFC00000"/>
        </bottom>
        <vertical/>
        <horizontal/>
      </border>
    </dxf>
    <dxf>
      <border>
        <left style="thin">
          <color theme="9"/>
        </left>
        <right style="thin">
          <color theme="9"/>
        </right>
        <vertical/>
        <horizontal/>
      </border>
    </dxf>
    <dxf>
      <border>
        <left style="thin">
          <color rgb="FFC00000"/>
        </left>
        <right style="thin">
          <color rgb="FFC00000"/>
        </right>
        <vertical/>
        <horizontal/>
      </border>
    </dxf>
    <dxf>
      <border>
        <left style="thin">
          <color theme="9"/>
        </left>
        <right style="thin">
          <color theme="9"/>
        </right>
        <top style="thin">
          <color theme="9"/>
        </top>
        <bottom/>
        <vertical/>
        <horizontal/>
      </border>
    </dxf>
    <dxf>
      <border>
        <left style="thin">
          <color rgb="FFC00000"/>
        </left>
        <right style="thin">
          <color rgb="FFC00000"/>
        </right>
        <top style="thin">
          <color rgb="FFC00000"/>
        </top>
        <vertical/>
        <horizontal/>
      </border>
    </dxf>
    <dxf>
      <font>
        <b/>
        <i val="0"/>
        <color theme="0"/>
      </font>
      <fill>
        <patternFill>
          <bgColor rgb="FFC00000"/>
        </patternFill>
      </fill>
    </dxf>
    <dxf>
      <font>
        <b/>
        <i val="0"/>
        <color theme="0"/>
      </font>
      <fill>
        <patternFill>
          <bgColor theme="9"/>
        </patternFill>
      </fill>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b/>
        <i val="0"/>
        <color rgb="FFC00000"/>
      </font>
      <fill>
        <patternFill>
          <bgColor rgb="FFFCE4D6"/>
        </patternFill>
      </fill>
      <border>
        <left style="thin">
          <color rgb="FFC00000"/>
        </left>
        <right style="thin">
          <color rgb="FFC00000"/>
        </right>
        <top style="thin">
          <color rgb="FFC00000"/>
        </top>
        <bottom style="thin">
          <color rgb="FFC00000"/>
        </bottom>
      </border>
    </dxf>
    <dxf>
      <font>
        <b/>
        <i val="0"/>
        <color rgb="FFC00000"/>
      </font>
      <fill>
        <patternFill>
          <bgColor rgb="FFFCE4D6"/>
        </patternFill>
      </fill>
      <border>
        <left style="thin">
          <color rgb="FFC00000"/>
        </left>
        <right style="thin">
          <color rgb="FFC00000"/>
        </right>
        <top style="thin">
          <color rgb="FFC00000"/>
        </top>
        <bottom style="thin">
          <color rgb="FFC00000"/>
        </bottom>
      </border>
    </dxf>
    <dxf>
      <font>
        <b/>
        <i val="0"/>
        <color theme="0"/>
      </font>
      <fill>
        <patternFill>
          <bgColor theme="9"/>
        </patternFill>
      </fill>
      <border>
        <left style="thin">
          <color theme="9"/>
        </left>
        <right style="thin">
          <color theme="9"/>
        </right>
        <top style="thin">
          <color theme="9"/>
        </top>
        <bottom style="thin">
          <color theme="9"/>
        </bottom>
      </border>
    </dxf>
    <dxf>
      <font>
        <b/>
        <i val="0"/>
        <color theme="0"/>
      </font>
      <fill>
        <patternFill>
          <bgColor rgb="FFC00000"/>
        </patternFill>
      </fill>
      <border>
        <left style="thin">
          <color rgb="FFC00000"/>
        </left>
        <right style="thin">
          <color rgb="FFC00000"/>
        </right>
        <top style="thin">
          <color rgb="FFC00000"/>
        </top>
        <bottom style="thin">
          <color rgb="FFC00000"/>
        </bottom>
      </border>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ont>
        <b/>
        <i val="0"/>
        <color rgb="FFC00000"/>
      </font>
      <fill>
        <patternFill>
          <bgColor rgb="FFFCE4D6"/>
        </patternFill>
      </fill>
      <border>
        <left style="thin">
          <color rgb="FFC00000"/>
        </left>
        <right style="thin">
          <color rgb="FFC00000"/>
        </right>
        <top style="thin">
          <color rgb="FFC00000"/>
        </top>
        <bottom style="thin">
          <color rgb="FFC00000"/>
        </bottom>
      </border>
    </dxf>
    <dxf>
      <fill>
        <patternFill patternType="gray125">
          <fgColor theme="0" tint="-0.14996795556505021"/>
        </patternFill>
      </fill>
    </dxf>
    <dxf>
      <border>
        <right style="thin">
          <color theme="0" tint="-0.14996795556505021"/>
        </right>
        <bottom style="thin">
          <color theme="0" tint="-0.14996795556505021"/>
        </bottom>
        <vertical/>
        <horizontal/>
      </border>
    </dxf>
    <dxf>
      <border>
        <right style="thin">
          <color theme="0" tint="-0.14996795556505021"/>
        </right>
        <vertical/>
        <horizontal/>
      </border>
    </dxf>
    <dxf>
      <border>
        <left/>
        <right style="thin">
          <color theme="0" tint="-0.14996795556505021"/>
        </right>
        <top style="thin">
          <color theme="0" tint="-0.14996795556505021"/>
        </top>
        <vertical/>
        <horizontal/>
      </border>
    </dxf>
    <dxf>
      <font>
        <color theme="0"/>
      </font>
      <fill>
        <patternFill>
          <bgColor rgb="FFC00000"/>
        </patternFill>
      </fill>
      <border>
        <left style="thin">
          <color rgb="FFC00000"/>
        </left>
        <right style="thin">
          <color rgb="FFC00000"/>
        </right>
        <top style="thin">
          <color rgb="FFC00000"/>
        </top>
        <bottom style="thin">
          <color rgb="FFC00000"/>
        </bottom>
      </border>
    </dxf>
    <dxf>
      <font>
        <color theme="0"/>
      </font>
      <fill>
        <patternFill>
          <bgColor theme="9"/>
        </patternFill>
      </fill>
      <border>
        <left style="thin">
          <color theme="9"/>
        </left>
        <right style="thin">
          <color theme="9"/>
        </right>
        <top style="thin">
          <color theme="9"/>
        </top>
        <bottom style="thin">
          <color theme="9"/>
        </bottom>
      </border>
    </dxf>
    <dxf>
      <fill>
        <patternFill patternType="none">
          <bgColor auto="1"/>
        </patternFill>
      </fill>
      <border>
        <left style="thin">
          <color theme="9"/>
        </left>
        <right style="thin">
          <color theme="9"/>
        </right>
        <top/>
        <bottom/>
        <vertical/>
        <horizontal/>
      </border>
    </dxf>
    <dxf>
      <border>
        <left style="thin">
          <color rgb="FFC00000"/>
        </left>
        <right style="thin">
          <color rgb="FFC00000"/>
        </right>
        <vertical/>
        <horizontal/>
      </border>
    </dxf>
    <dxf>
      <border>
        <left style="thin">
          <color theme="9"/>
        </left>
        <right style="thin">
          <color theme="9"/>
        </right>
        <top style="thin">
          <color theme="9"/>
        </top>
        <bottom style="thin">
          <color theme="0" tint="-0.14996795556505021"/>
        </bottom>
        <vertical/>
        <horizontal/>
      </border>
    </dxf>
    <dxf>
      <border>
        <left style="thin">
          <color rgb="FFC00000"/>
        </left>
        <right style="thin">
          <color rgb="FFC00000"/>
        </right>
        <top style="thin">
          <color rgb="FFC00000"/>
        </top>
        <bottom style="thin">
          <color theme="0" tint="-0.14996795556505021"/>
        </bottom>
        <vertical/>
        <horizontal/>
      </border>
    </dxf>
    <dxf>
      <border>
        <bottom style="thin">
          <color theme="0" tint="-0.14996795556505021"/>
        </bottom>
        <vertical/>
        <horizontal/>
      </border>
    </dxf>
    <dxf>
      <border>
        <right/>
        <vertical/>
        <horizontal/>
      </border>
    </dxf>
    <dxf>
      <fill>
        <patternFill patternType="gray125">
          <fgColor theme="0" tint="-0.14996795556505021"/>
          <bgColor theme="0"/>
        </patternFill>
      </fill>
    </dxf>
    <dxf>
      <font>
        <color theme="0"/>
      </font>
    </dxf>
    <dxf>
      <fill>
        <patternFill>
          <bgColor theme="0" tint="-4.9989318521683403E-2"/>
        </patternFill>
      </fill>
    </dxf>
    <dxf>
      <border>
        <left/>
        <right/>
        <top/>
        <bottom style="thin">
          <color theme="0" tint="-0.14993743705557422"/>
        </bottom>
        <vertical/>
        <horizontal/>
      </border>
    </dxf>
    <dxf>
      <font>
        <color theme="7" tint="-0.24994659260841701"/>
      </font>
      <fill>
        <patternFill>
          <bgColor theme="7" tint="0.79998168889431442"/>
        </patternFill>
      </fill>
      <border>
        <left style="thin">
          <color theme="7" tint="-0.24994659260841701"/>
        </left>
        <right style="thin">
          <color theme="7" tint="-0.24994659260841701"/>
        </right>
        <top style="thin">
          <color theme="7" tint="-0.24994659260841701"/>
        </top>
        <bottom style="thin">
          <color theme="7" tint="-0.24994659260841701"/>
        </bottom>
        <vertical/>
        <horizontal/>
      </border>
    </dxf>
    <dxf>
      <font>
        <color theme="0"/>
      </font>
      <fill>
        <patternFill>
          <bgColor theme="0"/>
        </patternFill>
      </fill>
      <border>
        <left/>
        <right/>
        <top/>
        <bottom/>
      </border>
    </dxf>
    <dxf>
      <font>
        <color rgb="FF27A9E1"/>
      </font>
      <fill>
        <patternFill>
          <bgColor rgb="FFDDEBF7"/>
        </patternFill>
      </fill>
      <border>
        <left style="thin">
          <color rgb="FF27A9E1"/>
        </left>
        <right style="thin">
          <color rgb="FF27A9E1"/>
        </right>
        <top style="thin">
          <color rgb="FF27A9E1"/>
        </top>
        <bottom style="thin">
          <color rgb="FF27A9E1"/>
        </bottom>
      </border>
    </dxf>
    <dxf>
      <fill>
        <patternFill patternType="gray125">
          <fgColor theme="0" tint="-0.14996795556505021"/>
        </patternFill>
      </fill>
    </dxf>
    <dxf>
      <border>
        <left/>
        <right/>
        <top/>
        <bottom/>
        <vertical/>
        <horizontal/>
      </border>
    </dxf>
    <dxf>
      <font>
        <color theme="0" tint="-0.34998626667073579"/>
      </font>
    </dxf>
    <dxf>
      <fill>
        <patternFill>
          <bgColor theme="9"/>
        </patternFill>
      </fill>
    </dxf>
    <dxf>
      <fill>
        <patternFill>
          <bgColor rgb="FFC00000"/>
        </patternFill>
      </fill>
    </dxf>
    <dxf>
      <fill>
        <patternFill>
          <bgColor rgb="FFC00000"/>
        </patternFill>
      </fill>
    </dxf>
    <dxf>
      <fill>
        <patternFill>
          <bgColor theme="9"/>
        </patternFill>
      </fill>
    </dxf>
    <dxf>
      <fill>
        <patternFill>
          <bgColor rgb="FFC00000"/>
        </patternFill>
      </fill>
    </dxf>
    <dxf>
      <fill>
        <patternFill>
          <bgColor theme="9"/>
        </patternFill>
      </fill>
    </dxf>
    <dxf>
      <font>
        <color theme="0" tint="-0.34998626667073579"/>
      </font>
    </dxf>
    <dxf>
      <fill>
        <patternFill>
          <bgColor rgb="FFC00000"/>
        </patternFill>
      </fill>
    </dxf>
    <dxf>
      <fill>
        <patternFill>
          <bgColor theme="9"/>
        </patternFill>
      </fill>
    </dxf>
    <dxf>
      <fill>
        <patternFill patternType="gray125">
          <fgColor theme="0" tint="-0.14996795556505021"/>
        </patternFill>
      </fill>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ill>
        <patternFill patternType="gray125">
          <fgColor theme="0" tint="-0.14996795556505021"/>
        </patternFill>
      </fill>
    </dxf>
    <dxf>
      <font>
        <color rgb="FFFF0000"/>
      </font>
      <fill>
        <patternFill patternType="none">
          <bgColor auto="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b/>
        <i val="0"/>
        <color theme="0"/>
      </font>
      <fill>
        <patternFill>
          <bgColor rgb="FFC00000"/>
        </patternFill>
      </fill>
    </dxf>
    <dxf>
      <font>
        <b/>
        <i val="0"/>
        <color theme="0"/>
      </font>
      <fill>
        <patternFill>
          <bgColor theme="9"/>
        </patternFill>
      </fill>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ill>
        <patternFill patternType="gray125">
          <fgColor theme="0" tint="-0.14996795556505021"/>
          <bgColor theme="0"/>
        </patternFill>
      </fill>
    </dxf>
    <dxf>
      <fill>
        <patternFill patternType="gray125">
          <fgColor theme="0" tint="-0.14996795556505021"/>
          <bgColor theme="0"/>
        </patternFill>
      </fill>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border>
    </dxf>
    <dxf>
      <border>
        <left style="thin">
          <color theme="9"/>
        </left>
        <right style="thin">
          <color theme="9"/>
        </right>
      </border>
    </dxf>
    <dxf>
      <font>
        <b/>
        <i val="0"/>
        <color theme="0"/>
      </font>
      <fill>
        <patternFill>
          <bgColor rgb="FFC00000"/>
        </patternFill>
      </fill>
      <border>
        <left style="thin">
          <color rgb="FFC00000"/>
        </left>
        <right style="thin">
          <color rgb="FFC00000"/>
        </right>
        <top style="thin">
          <color rgb="FFC00000"/>
        </top>
        <bottom style="thin">
          <color rgb="FFC00000"/>
        </bottom>
      </border>
    </dxf>
    <dxf>
      <font>
        <b/>
        <i val="0"/>
        <color theme="0"/>
      </font>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ont>
        <color theme="0"/>
      </font>
      <fill>
        <patternFill patternType="none">
          <bgColor auto="1"/>
        </patternFill>
      </fill>
      <border>
        <left style="thin">
          <color theme="0"/>
        </left>
        <right style="thin">
          <color theme="0"/>
        </right>
        <top style="thin">
          <color theme="0"/>
        </top>
        <bottom style="thin">
          <color theme="0"/>
        </bottom>
      </border>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b/>
        <i val="0"/>
        <color rgb="FFC00000"/>
      </font>
      <fill>
        <patternFill>
          <bgColor rgb="FFFCE4D6"/>
        </patternFill>
      </fill>
      <border>
        <left style="thin">
          <color rgb="FFC00000"/>
        </left>
        <right style="thin">
          <color rgb="FFC00000"/>
        </right>
        <top style="thin">
          <color rgb="FFC00000"/>
        </top>
        <bottom style="thin">
          <color rgb="FFC00000"/>
        </bottom>
      </border>
    </dxf>
    <dxf>
      <font>
        <b/>
        <i val="0"/>
        <color rgb="FFC00000"/>
      </font>
      <fill>
        <patternFill>
          <bgColor rgb="FFFCE4D6"/>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border>
        <right style="thin">
          <color theme="0"/>
        </right>
        <top style="thin">
          <color theme="0"/>
        </top>
        <bottom style="thin">
          <color theme="0"/>
        </bottom>
      </border>
    </dxf>
    <dxf>
      <font>
        <b/>
        <i val="0"/>
        <color theme="0"/>
      </font>
      <fill>
        <patternFill>
          <bgColor theme="9"/>
        </patternFill>
      </fill>
      <border>
        <right style="thin">
          <color theme="0"/>
        </right>
        <top style="thin">
          <color theme="0"/>
        </top>
        <bottom style="thin">
          <color theme="0"/>
        </bottom>
      </border>
    </dxf>
    <dxf>
      <font>
        <b/>
        <i val="0"/>
        <color theme="0"/>
      </font>
      <fill>
        <patternFill>
          <bgColor theme="9"/>
        </patternFill>
      </fill>
      <border>
        <left style="thin">
          <color theme="0"/>
        </left>
        <top style="thin">
          <color theme="0"/>
        </top>
        <bottom style="thin">
          <color theme="0"/>
        </bottom>
      </border>
    </dxf>
    <dxf>
      <font>
        <b/>
        <i val="0"/>
        <color theme="0"/>
      </font>
      <fill>
        <patternFill>
          <bgColor rgb="FFC00000"/>
        </patternFill>
      </fill>
      <border>
        <left style="thin">
          <color theme="0"/>
        </left>
        <top style="thin">
          <color theme="0"/>
        </top>
        <bottom style="thin">
          <color theme="0"/>
        </bottom>
      </border>
    </dxf>
    <dxf>
      <font>
        <b/>
        <i val="0"/>
        <color rgb="FFC00000"/>
      </font>
      <fill>
        <patternFill>
          <bgColor rgb="FFFCE4D6"/>
        </patternFill>
      </fill>
      <border>
        <left style="thin">
          <color rgb="FFC00000"/>
        </left>
        <right style="thin">
          <color rgb="FFC00000"/>
        </right>
        <top style="thin">
          <color rgb="FFC00000"/>
        </top>
        <bottom style="thin">
          <color rgb="FFC00000"/>
        </bottom>
      </border>
    </dxf>
    <dxf>
      <border>
        <right style="thin">
          <color theme="0" tint="-0.14996795556505021"/>
        </right>
        <vertical/>
        <horizontal/>
      </border>
    </dxf>
    <dxf>
      <font>
        <color theme="0"/>
      </font>
      <fill>
        <patternFill>
          <bgColor rgb="FFC00000"/>
        </patternFill>
      </fill>
      <border>
        <left style="thin">
          <color rgb="FFC00000"/>
        </left>
        <right style="thin">
          <color rgb="FFC00000"/>
        </right>
        <top style="thin">
          <color rgb="FFC00000"/>
        </top>
        <bottom style="thin">
          <color rgb="FFC00000"/>
        </bottom>
      </border>
    </dxf>
    <dxf>
      <font>
        <color theme="0"/>
      </font>
      <fill>
        <patternFill>
          <bgColor theme="9"/>
        </patternFill>
      </fill>
      <border>
        <left style="thin">
          <color rgb="FF70AD47"/>
        </left>
        <right style="thin">
          <color rgb="FF70AD47"/>
        </right>
        <top style="thin">
          <color rgb="FF70AD47"/>
        </top>
        <bottom style="thin">
          <color rgb="FF70AD47"/>
        </bottom>
      </border>
    </dxf>
    <dxf>
      <border>
        <left style="thin">
          <color theme="9"/>
        </left>
        <right style="thin">
          <color theme="9"/>
        </right>
        <bottom style="thin">
          <color theme="9"/>
        </bottom>
        <vertical/>
        <horizontal/>
      </border>
    </dxf>
    <dxf>
      <border>
        <left style="thin">
          <color rgb="FFC00000"/>
        </left>
        <right style="thin">
          <color rgb="FFC00000"/>
        </right>
        <vertical/>
        <horizontal/>
      </border>
    </dxf>
    <dxf>
      <fill>
        <patternFill patternType="solid">
          <bgColor theme="0" tint="-4.9989318521683403E-2"/>
        </patternFill>
      </fill>
      <border>
        <left style="thin">
          <color theme="9"/>
        </left>
        <right style="thin">
          <color theme="9"/>
        </right>
        <top style="thin">
          <color theme="9"/>
        </top>
        <bottom/>
        <vertical/>
        <horizontal/>
      </border>
    </dxf>
    <dxf>
      <border>
        <left style="thin">
          <color rgb="FFC00000"/>
        </left>
        <right style="thin">
          <color rgb="FFC00000"/>
        </right>
        <top style="thin">
          <color rgb="FFC00000"/>
        </top>
        <vertical/>
        <horizontal/>
      </border>
    </dxf>
    <dxf>
      <fill>
        <patternFill patternType="gray125">
          <fgColor theme="0" tint="-0.14996795556505021"/>
          <bgColor theme="0"/>
        </patternFill>
      </fill>
    </dxf>
    <dxf>
      <border>
        <bottom style="thin">
          <color theme="0" tint="-0.14996795556505021"/>
        </bottom>
        <vertical/>
        <horizontal/>
      </border>
    </dxf>
    <dxf>
      <border>
        <right/>
        <vertical/>
        <horizontal/>
      </border>
    </dxf>
    <dxf>
      <font>
        <color theme="0"/>
      </font>
      <fill>
        <patternFill>
          <bgColor rgb="FFC00000"/>
        </patternFill>
      </fill>
      <border>
        <left style="thin">
          <color rgb="FFC00000"/>
        </left>
        <right style="thin">
          <color rgb="FFC00000"/>
        </right>
        <top style="thin">
          <color rgb="FFC00000"/>
        </top>
        <bottom style="thin">
          <color rgb="FFC00000"/>
        </bottom>
      </border>
    </dxf>
    <dxf>
      <font>
        <color theme="0"/>
      </font>
      <fill>
        <patternFill>
          <bgColor theme="9"/>
        </patternFill>
      </fill>
      <border>
        <left style="thin">
          <color rgb="FF70AD47"/>
        </left>
        <right style="thin">
          <color rgb="FF70AD47"/>
        </right>
        <top style="thin">
          <color rgb="FF70AD47"/>
        </top>
        <bottom style="thin">
          <color rgb="FF70AD47"/>
        </bottom>
      </border>
    </dxf>
    <dxf>
      <border>
        <left style="thin">
          <color theme="9"/>
        </left>
        <right style="thin">
          <color theme="9"/>
        </right>
        <bottom/>
        <vertical/>
        <horizontal/>
      </border>
    </dxf>
    <dxf>
      <border>
        <left style="thin">
          <color rgb="FFC00000"/>
        </left>
        <right style="thin">
          <color rgb="FFC00000"/>
        </right>
        <bottom/>
        <vertical/>
        <horizontal/>
      </border>
    </dxf>
    <dxf>
      <fill>
        <patternFill patternType="solid">
          <bgColor theme="0" tint="-4.9989318521683403E-2"/>
        </patternFill>
      </fill>
      <border>
        <left style="thin">
          <color theme="9"/>
        </left>
        <right style="thin">
          <color theme="9"/>
        </right>
        <top style="thin">
          <color theme="9"/>
        </top>
        <bottom/>
        <vertical/>
        <horizontal/>
      </border>
    </dxf>
    <dxf>
      <border>
        <left style="thin">
          <color rgb="FFC00000"/>
        </left>
        <right style="thin">
          <color rgb="FFC00000"/>
        </right>
        <top style="thin">
          <color rgb="FFC00000"/>
        </top>
        <vertical/>
        <horizontal/>
      </border>
    </dxf>
    <dxf>
      <fill>
        <patternFill patternType="gray125">
          <fgColor theme="0" tint="-0.14996795556505021"/>
          <bgColor theme="0"/>
        </patternFill>
      </fill>
    </dxf>
    <dxf>
      <font>
        <color theme="0"/>
      </font>
    </dxf>
    <dxf>
      <fill>
        <patternFill patternType="gray125">
          <fgColor theme="0" tint="-0.14996795556505021"/>
        </patternFill>
      </fill>
    </dxf>
    <dxf>
      <fill>
        <patternFill>
          <bgColor theme="0" tint="-4.9989318521683403E-2"/>
        </patternFill>
      </fill>
    </dxf>
    <dxf>
      <border>
        <top style="thin">
          <color theme="0" tint="-0.14996795556505021"/>
        </top>
        <vertical/>
        <horizontal/>
      </border>
    </dxf>
    <dxf>
      <border>
        <bottom style="thin">
          <color theme="0" tint="-0.14996795556505021"/>
        </bottom>
        <vertical/>
        <horizontal/>
      </border>
    </dxf>
    <dxf>
      <font>
        <color theme="7" tint="-0.24994659260841701"/>
      </font>
      <fill>
        <patternFill>
          <bgColor theme="7" tint="0.79998168889431442"/>
        </patternFill>
      </fill>
      <border>
        <left style="thin">
          <color theme="7" tint="-0.24994659260841701"/>
        </left>
        <right style="thin">
          <color theme="7" tint="-0.24994659260841701"/>
        </right>
        <top style="thin">
          <color theme="7" tint="-0.24994659260841701"/>
        </top>
        <bottom style="thin">
          <color theme="7" tint="-0.24994659260841701"/>
        </bottom>
        <vertical/>
        <horizontal/>
      </border>
    </dxf>
    <dxf>
      <font>
        <color theme="0"/>
      </font>
      <fill>
        <patternFill>
          <bgColor theme="0"/>
        </patternFill>
      </fill>
      <border>
        <left/>
        <right/>
        <top/>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rgb="FFFCE4D6"/>
        </patternFill>
      </fill>
      <border>
        <left style="thin">
          <color rgb="FFC00000"/>
        </left>
        <right style="thin">
          <color rgb="FFC00000"/>
        </right>
        <top style="thin">
          <color rgb="FFC00000"/>
        </top>
        <bottom style="thin">
          <color rgb="FFC00000"/>
        </bottom>
      </border>
    </dxf>
    <dxf>
      <font>
        <color rgb="FF27A9E1"/>
      </font>
      <fill>
        <patternFill>
          <bgColor rgb="FFDDEBF7"/>
        </patternFill>
      </fill>
      <border>
        <left style="thin">
          <color rgb="FF27A9E1"/>
        </left>
        <right style="thin">
          <color rgb="FF27A9E1"/>
        </right>
        <top style="thin">
          <color rgb="FF27A9E1"/>
        </top>
        <bottom style="thin">
          <color rgb="FF27A9E1"/>
        </bottom>
      </border>
    </dxf>
    <dxf>
      <fill>
        <patternFill patternType="gray125">
          <fgColor theme="0" tint="-0.14996795556505021"/>
        </patternFill>
      </fill>
    </dxf>
    <dxf>
      <fill>
        <patternFill>
          <bgColor theme="0" tint="-4.9989318521683403E-2"/>
        </patternFill>
      </fill>
    </dxf>
    <dxf>
      <fill>
        <patternFill patternType="gray125">
          <fgColor theme="0" tint="-0.14996795556505021"/>
        </patternFill>
      </fill>
    </dxf>
    <dxf>
      <font>
        <color theme="0" tint="-0.499984740745262"/>
      </font>
      <fill>
        <patternFill patternType="none">
          <bgColor auto="1"/>
        </patternFill>
      </fill>
    </dxf>
    <dxf>
      <border>
        <left/>
        <right/>
        <bottom/>
        <vertical/>
        <horizontal/>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dxf>
    <dxf>
      <fill>
        <patternFill>
          <bgColor theme="9"/>
        </patternFill>
      </fill>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color theme="0"/>
      </font>
      <fill>
        <patternFill>
          <bgColor rgb="FFC00000"/>
        </patternFill>
      </fill>
    </dxf>
    <dxf>
      <font>
        <b/>
        <i val="0"/>
        <color theme="0"/>
      </font>
      <fill>
        <patternFill>
          <bgColor theme="9"/>
        </patternFill>
      </fill>
    </dxf>
    <dxf>
      <font>
        <b/>
        <i val="0"/>
        <color rgb="FFBF8F00"/>
      </font>
      <fill>
        <patternFill>
          <bgColor theme="7" tint="0.79998168889431442"/>
        </patternFill>
      </fill>
      <border>
        <left style="thin">
          <color rgb="FFBF8F00"/>
        </left>
        <right style="thin">
          <color rgb="FFBF8F00"/>
        </right>
        <top style="thin">
          <color rgb="FFBF8F00"/>
        </top>
        <bottom style="thin">
          <color rgb="FFBF8F00"/>
        </bottom>
        <vertical/>
        <horizontal/>
      </border>
    </dxf>
    <dxf>
      <font>
        <b/>
        <i val="0"/>
        <color rgb="FFBF8F00"/>
      </font>
      <numFmt numFmtId="0" formatCode="General"/>
      <fill>
        <patternFill>
          <bgColor theme="7" tint="0.79998168889431442"/>
        </patternFill>
      </fill>
      <border>
        <left style="thin">
          <color rgb="FFBF8F00"/>
        </left>
        <right style="thin">
          <color rgb="FFBF8F00"/>
        </right>
        <top style="thin">
          <color rgb="FFBF8F00"/>
        </top>
        <bottom style="thin">
          <color rgb="FFBF8F00"/>
        </bottom>
      </border>
    </dxf>
    <dxf>
      <font>
        <b/>
        <i val="0"/>
        <color rgb="FFBF8F00"/>
      </font>
      <fill>
        <patternFill>
          <bgColor theme="7" tint="0.79998168889431442"/>
        </patternFill>
      </fill>
      <border>
        <left style="thin">
          <color rgb="FFBF8F00"/>
        </left>
        <right style="thin">
          <color rgb="FFBF8F00"/>
        </right>
        <top style="thin">
          <color rgb="FFBF8F00"/>
        </top>
        <bottom style="thin">
          <color rgb="FFBF8F00"/>
        </bottom>
        <vertical/>
        <horizontal/>
      </border>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patternType="lightTrellis">
          <fgColor theme="0" tint="-0.34998626667073579"/>
        </patternFill>
      </fill>
    </dxf>
    <dxf>
      <font>
        <b/>
        <i val="0"/>
        <color theme="0"/>
      </font>
      <numFmt numFmtId="0" formatCode="General"/>
      <fill>
        <patternFill>
          <bgColor theme="7"/>
        </patternFill>
      </fill>
    </dxf>
    <dxf>
      <font>
        <color theme="0" tint="-0.34998626667073579"/>
      </font>
      <fill>
        <patternFill patternType="lightTrellis">
          <fgColor theme="0" tint="-0.34998626667073579"/>
        </patternFill>
      </fill>
    </dxf>
    <dxf>
      <fill>
        <patternFill patternType="lightTrellis">
          <fgColor theme="0" tint="-0.34998626667073579"/>
        </patternFill>
      </fill>
    </dxf>
    <dxf>
      <fill>
        <patternFill>
          <bgColor rgb="FFFF0000"/>
        </patternFill>
      </fill>
    </dxf>
    <dxf>
      <fill>
        <patternFill>
          <bgColor rgb="FFFF0000"/>
        </patternFill>
      </fill>
    </dxf>
    <dxf>
      <fill>
        <patternFill patternType="none">
          <bgColor auto="1"/>
        </patternFill>
      </fill>
      <border>
        <left style="thin">
          <color theme="0" tint="-0.14996795556505021"/>
        </left>
        <right style="thin">
          <color theme="0" tint="-0.14996795556505021"/>
        </right>
        <top style="thin">
          <color theme="0" tint="-0.14996795556505021"/>
        </top>
        <bottom style="thin">
          <color theme="0" tint="-0.14996795556505021"/>
        </bottom>
      </border>
    </dxf>
    <dxf>
      <font>
        <b/>
        <i val="0"/>
        <color theme="0"/>
      </font>
      <fill>
        <patternFill>
          <bgColor rgb="FFC00000"/>
        </patternFill>
      </fill>
    </dxf>
    <dxf>
      <font>
        <b/>
        <i val="0"/>
        <color theme="0"/>
      </font>
      <fill>
        <patternFill>
          <bgColor theme="9"/>
        </patternFill>
      </fill>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top/>
      </border>
    </dxf>
    <dxf>
      <border>
        <left style="thin">
          <color theme="9"/>
        </left>
        <right style="thin">
          <color theme="9"/>
        </right>
        <top/>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ont>
        <b/>
        <i val="0"/>
        <color theme="0"/>
      </font>
      <fill>
        <patternFill>
          <bgColor rgb="FFC00000"/>
        </patternFill>
      </fill>
    </dxf>
    <dxf>
      <font>
        <b/>
        <i val="0"/>
        <color theme="0"/>
      </font>
      <fill>
        <patternFill>
          <bgColor theme="9"/>
        </patternFill>
      </fill>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top/>
      </border>
    </dxf>
    <dxf>
      <border>
        <left style="thin">
          <color theme="9"/>
        </left>
        <right style="thin">
          <color theme="9"/>
        </right>
        <top/>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ont>
        <color rgb="FFC00000"/>
      </font>
      <fill>
        <patternFill>
          <bgColor rgb="FFFCE4D6"/>
        </patternFill>
      </fill>
      <border>
        <left style="thin">
          <color rgb="FFC00000"/>
        </left>
        <right style="thin">
          <color rgb="FFC00000"/>
        </right>
        <top style="thin">
          <color rgb="FFC00000"/>
        </top>
        <bottom style="thin">
          <color rgb="FFC00000"/>
        </bottom>
        <vertical/>
        <horizontal/>
      </border>
    </dxf>
    <dxf>
      <font>
        <color rgb="FFC00000"/>
      </font>
      <fill>
        <patternFill>
          <bgColor rgb="FFFCE4D6"/>
        </patternFill>
      </fill>
      <border>
        <left style="thin">
          <color rgb="FFC00000"/>
        </left>
        <right style="thin">
          <color rgb="FFC00000"/>
        </right>
        <top style="thin">
          <color rgb="FFC00000"/>
        </top>
        <bottom style="thin">
          <color rgb="FFC00000"/>
        </bottom>
        <vertical/>
        <horizontal/>
      </border>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ont>
        <color theme="0"/>
      </font>
      <fill>
        <patternFill>
          <bgColor rgb="FFC00000"/>
        </patternFill>
      </fill>
      <border>
        <left style="thin">
          <color rgb="FFC00000"/>
        </left>
        <right style="thin">
          <color rgb="FFC00000"/>
        </right>
        <top style="thin">
          <color rgb="FFC00000"/>
        </top>
        <bottom style="thin">
          <color rgb="FFC00000"/>
        </bottom>
        <vertical/>
        <horizontal/>
      </border>
    </dxf>
    <dxf>
      <font>
        <color theme="0"/>
      </font>
      <fill>
        <patternFill>
          <bgColor theme="9"/>
        </patternFill>
      </fill>
      <border>
        <left style="thin">
          <color theme="9"/>
        </left>
        <right style="thin">
          <color theme="9"/>
        </right>
        <top style="thin">
          <color theme="9"/>
        </top>
        <bottom style="thin">
          <color theme="9"/>
        </bottom>
        <vertical/>
        <horizontal/>
      </border>
    </dxf>
    <dxf>
      <border>
        <left style="thin">
          <color rgb="FFC00000"/>
        </left>
        <right style="thin">
          <color rgb="FFC00000"/>
        </right>
        <bottom style="thin">
          <color rgb="FFC00000"/>
        </bottom>
        <vertical/>
        <horizontal/>
      </border>
    </dxf>
    <dxf>
      <border>
        <left style="thin">
          <color theme="9"/>
        </left>
        <right style="thin">
          <color theme="9"/>
        </right>
        <bottom style="thin">
          <color theme="9"/>
        </bottom>
        <vertical/>
        <horizontal/>
      </border>
    </dxf>
    <dxf>
      <border>
        <left style="thin">
          <color theme="9"/>
        </left>
        <right style="thin">
          <color theme="9"/>
        </right>
        <top style="thin">
          <color theme="9"/>
        </top>
        <vertical/>
        <horizontal/>
      </border>
    </dxf>
    <dxf>
      <border>
        <left style="thin">
          <color rgb="FFC00000"/>
        </left>
        <right style="thin">
          <color rgb="FFC00000"/>
        </right>
        <top style="thin">
          <color rgb="FFC00000"/>
        </top>
        <vertical/>
        <horizontal/>
      </border>
    </dxf>
    <dxf>
      <font>
        <b/>
        <i val="0"/>
        <color rgb="FFC00000"/>
      </font>
    </dxf>
    <dxf>
      <font>
        <b/>
        <i val="0"/>
        <color rgb="FFC00000"/>
      </font>
    </dxf>
    <dxf>
      <font>
        <color rgb="FFC00000"/>
      </font>
      <fill>
        <patternFill>
          <bgColor rgb="FFFCE4D6"/>
        </patternFill>
      </fill>
      <border>
        <left style="thin">
          <color rgb="FFC00000"/>
        </left>
        <right style="thin">
          <color rgb="FFC00000"/>
        </right>
        <top style="thin">
          <color rgb="FFC00000"/>
        </top>
        <bottom style="thin">
          <color rgb="FFC00000"/>
        </bottom>
        <vertical/>
        <horizontal/>
      </border>
    </dxf>
    <dxf>
      <font>
        <color rgb="FFC00000"/>
      </font>
      <fill>
        <patternFill>
          <bgColor rgb="FFFCE4D6"/>
        </patternFill>
      </fill>
      <border>
        <left style="thin">
          <color rgb="FFC00000"/>
        </left>
        <right style="thin">
          <color rgb="FFC00000"/>
        </right>
        <top style="thin">
          <color rgb="FFC00000"/>
        </top>
        <bottom style="thin">
          <color rgb="FFC00000"/>
        </bottom>
        <vertical/>
        <horizontal/>
      </border>
    </dxf>
    <dxf>
      <border>
        <left style="thin">
          <color theme="9"/>
        </left>
        <right style="thin">
          <color theme="9"/>
        </right>
        <bottom style="thin">
          <color theme="9"/>
        </bottom>
        <vertical/>
        <horizontal/>
      </border>
    </dxf>
    <dxf>
      <border>
        <left style="thin">
          <color rgb="FFC00000"/>
        </left>
        <right style="thin">
          <color rgb="FFC00000"/>
        </right>
        <bottom style="thin">
          <color rgb="FFC00000"/>
        </bottom>
        <vertical/>
        <horizontal/>
      </border>
    </dxf>
    <dxf>
      <border>
        <left style="thin">
          <color theme="9"/>
        </left>
        <right style="thin">
          <color theme="9"/>
        </right>
        <top style="thin">
          <color theme="9"/>
        </top>
        <vertical/>
        <horizontal/>
      </border>
    </dxf>
    <dxf>
      <border>
        <left style="thin">
          <color rgb="FFC00000"/>
        </left>
        <right style="thin">
          <color rgb="FFC00000"/>
        </right>
        <top style="thin">
          <color rgb="FFC00000"/>
        </top>
        <vertical/>
        <horizontal/>
      </border>
    </dxf>
    <dxf>
      <font>
        <color rgb="FFC00000"/>
      </font>
      <fill>
        <patternFill>
          <bgColor rgb="FFFCE4D6"/>
        </patternFill>
      </fill>
      <border>
        <left style="thin">
          <color rgb="FFC00000"/>
        </left>
        <right style="thin">
          <color rgb="FFC00000"/>
        </right>
        <top style="thin">
          <color rgb="FFC00000"/>
        </top>
        <bottom style="thin">
          <color rgb="FFC00000"/>
        </bottom>
        <vertical/>
        <horizontal/>
      </border>
    </dxf>
    <dxf>
      <font>
        <b/>
        <i val="0"/>
        <color theme="0"/>
      </font>
      <fill>
        <patternFill>
          <bgColor rgb="FFC00000"/>
        </patternFill>
      </fill>
      <border>
        <left/>
        <right/>
        <top/>
        <bottom/>
      </border>
    </dxf>
    <dxf>
      <font>
        <b/>
        <i val="0"/>
        <color theme="0"/>
      </font>
      <fill>
        <patternFill>
          <bgColor theme="9"/>
        </patternFill>
      </fill>
      <border>
        <left/>
        <right/>
        <top/>
        <bottom/>
      </border>
    </dxf>
    <dxf>
      <font>
        <b/>
        <i val="0"/>
        <color rgb="FFC00000"/>
      </font>
      <fill>
        <patternFill>
          <bgColor rgb="FFFCE4D6"/>
        </patternFill>
      </fill>
      <border>
        <left style="thin">
          <color rgb="FFC00000"/>
        </left>
        <right style="thin">
          <color rgb="FFC00000"/>
        </right>
        <top style="thin">
          <color rgb="FFC00000"/>
        </top>
        <bottom style="thin">
          <color rgb="FFC00000"/>
        </bottom>
        <vertical/>
        <horizontal/>
      </border>
    </dxf>
    <dxf>
      <font>
        <color theme="0"/>
      </font>
      <fill>
        <patternFill>
          <bgColor theme="9"/>
        </patternFill>
      </fill>
      <border>
        <left style="thin">
          <color theme="9"/>
        </left>
        <right style="thin">
          <color theme="9"/>
        </right>
        <top style="thin">
          <color theme="9"/>
        </top>
        <bottom style="thin">
          <color theme="9"/>
        </bottom>
        <vertical/>
        <horizontal/>
      </border>
    </dxf>
    <dxf>
      <font>
        <color theme="0"/>
      </font>
      <fill>
        <patternFill>
          <bgColor rgb="FFC00000"/>
        </patternFill>
      </fill>
      <border>
        <left style="thin">
          <color rgb="FFC00000"/>
        </left>
        <right style="thin">
          <color rgb="FFC00000"/>
        </right>
        <top style="thin">
          <color rgb="FFC00000"/>
        </top>
        <bottom style="thin">
          <color rgb="FFC00000"/>
        </bottom>
        <vertical/>
        <horizontal/>
      </border>
    </dxf>
    <dxf>
      <border>
        <left style="thin">
          <color theme="9"/>
        </left>
        <right style="thin">
          <color theme="9"/>
        </right>
        <bottom style="thin">
          <color theme="9"/>
        </bottom>
        <vertical/>
        <horizontal/>
      </border>
    </dxf>
    <dxf>
      <border>
        <left style="thin">
          <color rgb="FFC00000"/>
        </left>
        <right style="thin">
          <color rgb="FFC00000"/>
        </right>
        <bottom style="thin">
          <color rgb="FFC00000"/>
        </bottom>
        <vertical/>
        <horizontal/>
      </border>
    </dxf>
    <dxf>
      <border>
        <left style="thin">
          <color rgb="FFC00000"/>
        </left>
        <right style="thin">
          <color rgb="FFC00000"/>
        </right>
        <top style="thin">
          <color rgb="FFC00000"/>
        </top>
        <vertical/>
        <horizontal/>
      </border>
    </dxf>
    <dxf>
      <border>
        <left style="thin">
          <color theme="9"/>
        </left>
        <right style="thin">
          <color theme="9"/>
        </right>
        <top style="thin">
          <color theme="9"/>
        </top>
        <vertical/>
        <horizontal/>
      </border>
    </dxf>
    <dxf>
      <fill>
        <patternFill>
          <bgColor theme="9"/>
        </patternFill>
      </fill>
      <border>
        <left/>
        <right/>
        <top/>
        <bottom/>
        <vertical/>
        <horizontal/>
      </border>
    </dxf>
    <dxf>
      <fill>
        <patternFill>
          <bgColor rgb="FFC00000"/>
        </patternFill>
      </fill>
      <border>
        <left/>
        <right/>
        <top/>
        <bottom/>
        <vertical/>
        <horizontal/>
      </border>
    </dxf>
    <dxf>
      <font>
        <color rgb="FFC00000"/>
      </font>
      <fill>
        <patternFill>
          <bgColor rgb="FFFCE4D6"/>
        </patternFill>
      </fill>
      <border>
        <left style="thin">
          <color rgb="FFC00000"/>
        </left>
        <right style="thin">
          <color rgb="FFC00000"/>
        </right>
        <top style="thin">
          <color rgb="FFC00000"/>
        </top>
        <bottom style="thin">
          <color rgb="FFC00000"/>
        </bottom>
        <vertical/>
        <horizontal/>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ont>
        <b/>
        <i val="0"/>
        <color rgb="FFC00000"/>
      </font>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ill>
        <patternFill patternType="gray125">
          <fgColor theme="0" tint="-0.14996795556505021"/>
          <bgColor theme="0"/>
        </patternFill>
      </fill>
    </dxf>
    <dxf>
      <font>
        <color theme="0" tint="-0.24994659260841701"/>
      </font>
    </dxf>
    <dxf>
      <font>
        <color theme="0" tint="-0.24994659260841701"/>
      </font>
    </dxf>
    <dxf>
      <font>
        <color theme="0" tint="-0.24994659260841701"/>
      </font>
    </dxf>
    <dxf>
      <font>
        <color theme="0" tint="-4.9989318521683403E-2"/>
      </font>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ont>
        <color theme="9"/>
      </font>
      <fill>
        <patternFill>
          <bgColor theme="9" tint="0.79998168889431442"/>
        </patternFill>
      </fill>
      <border>
        <left style="thin">
          <color theme="9"/>
        </left>
        <right style="thin">
          <color theme="9"/>
        </right>
        <top style="thin">
          <color theme="9"/>
        </top>
        <bottom style="thin">
          <color theme="9"/>
        </bottom>
      </border>
    </dxf>
    <dxf>
      <font>
        <color rgb="FFC00000"/>
      </font>
      <fill>
        <patternFill>
          <bgColor theme="5" tint="0.79998168889431442"/>
        </patternFill>
      </fill>
      <border>
        <left style="thin">
          <color rgb="FFC00000"/>
        </left>
        <right style="thin">
          <color rgb="FFC00000"/>
        </right>
        <top style="thin">
          <color rgb="FFC00000"/>
        </top>
        <bottom style="thin">
          <color rgb="FFC00000"/>
        </bottom>
      </border>
    </dxf>
    <dxf>
      <font>
        <color rgb="FF27A9E1"/>
      </font>
      <fill>
        <patternFill>
          <bgColor theme="4" tint="0.79998168889431442"/>
        </patternFill>
      </fill>
      <border>
        <left style="thin">
          <color rgb="FF27A9E1"/>
        </left>
        <right style="thin">
          <color rgb="FF27A9E1"/>
        </right>
        <top style="thin">
          <color rgb="FF27A9E1"/>
        </top>
        <bottom style="thin">
          <color rgb="FF27A9E1"/>
        </bottom>
      </border>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darkTrellis">
          <fgColor theme="1" tint="0.14996795556505021"/>
        </patternFill>
      </fill>
    </dxf>
    <dxf>
      <font>
        <b val="0"/>
        <i val="0"/>
        <color theme="0"/>
      </font>
      <fill>
        <patternFill>
          <bgColor rgb="FFC00000"/>
        </patternFill>
      </fill>
      <border>
        <left style="thin">
          <color rgb="FFC00000"/>
        </left>
        <right style="thin">
          <color rgb="FFC00000"/>
        </right>
        <top style="thin">
          <color rgb="FFC00000"/>
        </top>
        <bottom style="thin">
          <color rgb="FFC00000"/>
        </bottom>
        <vertical/>
        <horizontal/>
      </border>
    </dxf>
    <dxf>
      <font>
        <b val="0"/>
        <i val="0"/>
        <color theme="0"/>
      </font>
      <fill>
        <patternFill>
          <bgColor rgb="FFC00000"/>
        </patternFill>
      </fill>
      <border>
        <left style="thin">
          <color rgb="FFC00000"/>
        </left>
        <right style="thin">
          <color rgb="FFC00000"/>
        </right>
        <top style="thin">
          <color rgb="FFC00000"/>
        </top>
        <bottom style="thin">
          <color rgb="FFC00000"/>
        </bottom>
        <vertical/>
        <horizontal/>
      </border>
    </dxf>
    <dxf>
      <font>
        <b val="0"/>
        <i val="0"/>
        <color theme="0"/>
      </font>
      <fill>
        <patternFill>
          <bgColor rgb="FFC00000"/>
        </patternFill>
      </fill>
      <border>
        <left style="thin">
          <color rgb="FFC00000"/>
        </left>
        <right style="thin">
          <color rgb="FFC00000"/>
        </right>
        <top style="thin">
          <color rgb="FFC00000"/>
        </top>
        <bottom style="thin">
          <color rgb="FFC00000"/>
        </bottom>
        <vertical/>
        <horizontal/>
      </border>
    </dxf>
    <dxf>
      <font>
        <b val="0"/>
        <i val="0"/>
        <color theme="0"/>
      </font>
      <fill>
        <patternFill>
          <bgColor rgb="FFC00000"/>
        </patternFill>
      </fill>
      <border>
        <left style="thin">
          <color rgb="FFC00000"/>
        </left>
        <right style="thin">
          <color rgb="FFC00000"/>
        </right>
        <top style="thin">
          <color rgb="FFC00000"/>
        </top>
        <bottom style="thin">
          <color rgb="FFC00000"/>
        </bottom>
        <vertical/>
        <horizontal/>
      </border>
    </dxf>
    <dxf>
      <font>
        <color rgb="FFC00000"/>
      </font>
    </dxf>
    <dxf>
      <font>
        <color rgb="FFC00000"/>
      </font>
    </dxf>
    <dxf>
      <font>
        <color rgb="FFC00000"/>
      </font>
    </dxf>
    <dxf>
      <font>
        <color rgb="FFC00000"/>
      </font>
    </dxf>
    <dxf>
      <font>
        <b/>
        <i val="0"/>
        <color theme="0"/>
      </font>
      <fill>
        <patternFill>
          <bgColor rgb="FFC00000"/>
        </patternFill>
      </fill>
    </dxf>
    <dxf>
      <font>
        <b/>
        <i val="0"/>
        <color theme="0"/>
      </font>
      <fill>
        <patternFill>
          <bgColor theme="9"/>
        </patternFill>
      </fill>
    </dxf>
    <dxf>
      <font>
        <b/>
        <i val="0"/>
        <color rgb="FFBF8F00"/>
      </font>
      <fill>
        <patternFill>
          <bgColor theme="7" tint="0.79998168889431442"/>
        </patternFill>
      </fill>
      <border>
        <left style="thin">
          <color rgb="FFBF8F00"/>
        </left>
        <right style="thin">
          <color rgb="FFBF8F00"/>
        </right>
        <top style="thin">
          <color rgb="FFBF8F00"/>
        </top>
        <bottom style="thin">
          <color rgb="FFBF8F00"/>
        </bottom>
        <vertical/>
        <horizontal/>
      </border>
    </dxf>
    <dxf>
      <font>
        <b/>
        <i val="0"/>
        <color rgb="FFBF8F00"/>
      </font>
      <numFmt numFmtId="0" formatCode="General"/>
      <fill>
        <patternFill>
          <bgColor theme="7" tint="0.79998168889431442"/>
        </patternFill>
      </fill>
      <border>
        <left style="thin">
          <color rgb="FFBF8F00"/>
        </left>
        <right style="thin">
          <color rgb="FFBF8F00"/>
        </right>
        <top style="thin">
          <color rgb="FFBF8F00"/>
        </top>
        <bottom style="thin">
          <color rgb="FFBF8F00"/>
        </bottom>
      </border>
    </dxf>
    <dxf>
      <font>
        <b/>
        <i val="0"/>
        <color rgb="FFBF8F00"/>
      </font>
      <fill>
        <patternFill>
          <bgColor theme="7" tint="0.79998168889431442"/>
        </patternFill>
      </fill>
      <border>
        <left style="thin">
          <color rgb="FFBF8F00"/>
        </left>
        <right style="thin">
          <color rgb="FFBF8F00"/>
        </right>
        <top style="thin">
          <color rgb="FFBF8F00"/>
        </top>
        <bottom style="thin">
          <color rgb="FFBF8F00"/>
        </bottom>
        <vertical/>
        <horizontal/>
      </border>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ill>
        <patternFill>
          <bgColor rgb="FFC00000"/>
        </patternFill>
      </fill>
      <border>
        <left style="thin">
          <color rgb="FFC00000"/>
        </left>
        <right style="thin">
          <color rgb="FFC00000"/>
        </right>
        <top style="thin">
          <color rgb="FFC00000"/>
        </top>
        <bottom style="thin">
          <color rgb="FFC00000"/>
        </bottom>
      </border>
    </dxf>
    <dxf>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border>
    </dxf>
    <dxf>
      <border>
        <left style="thin">
          <color theme="9"/>
        </left>
        <right style="thin">
          <color theme="9"/>
        </right>
      </border>
    </dxf>
    <dxf>
      <border>
        <left style="thin">
          <color rgb="FFC00000"/>
        </left>
        <right style="thin">
          <color rgb="FFC00000"/>
        </right>
        <top style="thin">
          <color rgb="FFC00000"/>
        </top>
      </border>
    </dxf>
    <dxf>
      <border>
        <left style="thin">
          <color theme="9"/>
        </left>
        <right style="thin">
          <color theme="9"/>
        </right>
        <top style="thin">
          <color theme="9"/>
        </top>
      </border>
    </dxf>
    <dxf>
      <fill>
        <patternFill patternType="lightTrellis">
          <fgColor theme="0" tint="-0.34998626667073579"/>
        </patternFill>
      </fill>
    </dxf>
    <dxf>
      <font>
        <b/>
        <i val="0"/>
        <color theme="0"/>
      </font>
      <numFmt numFmtId="0" formatCode="General"/>
      <fill>
        <patternFill>
          <bgColor theme="7"/>
        </patternFill>
      </fill>
    </dxf>
    <dxf>
      <font>
        <color theme="0" tint="-0.34998626667073579"/>
      </font>
      <fill>
        <patternFill patternType="lightTrellis">
          <fgColor theme="0" tint="-0.34998626667073579"/>
        </patternFill>
      </fill>
    </dxf>
    <dxf>
      <fill>
        <patternFill patternType="lightTrellis">
          <fgColor theme="0" tint="-0.34998626667073579"/>
        </patternFill>
      </fill>
    </dxf>
    <dxf>
      <fill>
        <patternFill>
          <bgColor rgb="FFFF0000"/>
        </patternFill>
      </fill>
    </dxf>
    <dxf>
      <fill>
        <patternFill>
          <bgColor rgb="FFFF0000"/>
        </patternFill>
      </fill>
    </dxf>
    <dxf>
      <fill>
        <patternFill patternType="none">
          <bgColor auto="1"/>
        </patternFill>
      </fill>
      <border>
        <left style="thin">
          <color theme="0" tint="-0.14996795556505021"/>
        </left>
        <right style="thin">
          <color theme="0" tint="-0.14996795556505021"/>
        </right>
        <top style="thin">
          <color theme="0" tint="-0.14996795556505021"/>
        </top>
        <bottom style="thin">
          <color theme="0" tint="-0.14996795556505021"/>
        </bottom>
      </border>
    </dxf>
    <dxf>
      <font>
        <b/>
        <i val="0"/>
        <color theme="0"/>
      </font>
      <fill>
        <patternFill>
          <bgColor rgb="FFFF0000"/>
        </patternFill>
      </fill>
    </dxf>
    <dxf>
      <font>
        <color theme="1"/>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0"/>
        </patternFill>
      </fill>
    </dxf>
    <dxf>
      <font>
        <color theme="1"/>
      </font>
      <fill>
        <patternFill>
          <bgColor theme="0"/>
        </patternFill>
      </fill>
    </dxf>
    <dxf>
      <fill>
        <patternFill>
          <bgColor theme="0" tint="-4.9989318521683403E-2"/>
        </patternFill>
      </fill>
    </dxf>
    <dxf>
      <fill>
        <gradientFill degree="225">
          <stop position="0">
            <color theme="0" tint="-0.1490218817712943"/>
          </stop>
          <stop position="1">
            <color theme="0"/>
          </stop>
        </gradientFill>
      </fill>
    </dxf>
    <dxf>
      <font>
        <b/>
        <i val="0"/>
        <color theme="0"/>
      </font>
      <fill>
        <patternFill>
          <bgColor theme="9"/>
        </patternFill>
      </fill>
      <border>
        <left style="thin">
          <color theme="9"/>
        </left>
        <right style="thin">
          <color theme="9"/>
        </right>
        <top style="thin">
          <color theme="9"/>
        </top>
        <bottom style="thin">
          <color theme="9"/>
        </bottom>
        <vertical/>
        <horizontal/>
      </border>
    </dxf>
    <dxf>
      <font>
        <b/>
        <i val="0"/>
        <color theme="0"/>
      </font>
      <fill>
        <patternFill>
          <bgColor rgb="FFC00000"/>
        </patternFill>
      </fill>
      <border>
        <left style="thin">
          <color rgb="FFC00000"/>
        </left>
        <right style="thin">
          <color rgb="FFC00000"/>
        </right>
        <top style="thin">
          <color rgb="FFC00000"/>
        </top>
        <bottom style="thin">
          <color rgb="FFC00000"/>
        </bottom>
        <vertical/>
        <horizontal/>
      </border>
    </dxf>
    <dxf>
      <border>
        <left style="thin">
          <color theme="9"/>
        </left>
        <right style="thin">
          <color theme="9"/>
        </right>
        <vertical/>
        <horizontal/>
      </border>
    </dxf>
    <dxf>
      <border>
        <left style="thin">
          <color rgb="FFC00000"/>
        </left>
        <right style="thin">
          <color rgb="FFC00000"/>
        </right>
        <vertical/>
        <horizontal/>
      </border>
    </dxf>
    <dxf>
      <border>
        <left style="thin">
          <color theme="9"/>
        </left>
        <right style="thin">
          <color theme="9"/>
        </right>
        <top style="thin">
          <color theme="9"/>
        </top>
        <bottom/>
        <vertical/>
        <horizontal/>
      </border>
    </dxf>
    <dxf>
      <border>
        <left style="thin">
          <color rgb="FFC00000"/>
        </left>
        <right style="thin">
          <color rgb="FFC00000"/>
        </right>
        <top style="thin">
          <color rgb="FFC00000"/>
        </top>
        <vertical/>
        <horizontal/>
      </border>
    </dxf>
    <dxf>
      <font>
        <b/>
        <i val="0"/>
        <color theme="0"/>
      </font>
      <fill>
        <patternFill>
          <bgColor rgb="FFC00000"/>
        </patternFill>
      </fill>
    </dxf>
    <dxf>
      <font>
        <b/>
        <i val="0"/>
        <color theme="0"/>
      </font>
      <fill>
        <patternFill>
          <bgColor theme="9"/>
        </patternFill>
      </fill>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ill>
        <patternFill>
          <bgColor rgb="FFFFF2CC"/>
        </patternFill>
      </fill>
      <border>
        <right style="thin">
          <color rgb="FFBF8F00"/>
        </right>
        <top style="thin">
          <color rgb="FFBF8F00"/>
        </top>
        <bottom style="thin">
          <color rgb="FFBF8F00"/>
        </bottom>
        <vertical/>
        <horizontal/>
      </border>
    </dxf>
    <dxf>
      <fill>
        <patternFill>
          <bgColor rgb="FFFFF2CC"/>
        </patternFill>
      </fill>
      <border>
        <top style="thin">
          <color rgb="FFBF8F00"/>
        </top>
        <bottom style="thin">
          <color rgb="FFBF8F00"/>
        </bottom>
        <vertical/>
        <horizontal/>
      </border>
    </dxf>
    <dxf>
      <font>
        <b/>
        <i val="0"/>
        <color rgb="FFBF8F00"/>
      </font>
      <fill>
        <patternFill>
          <bgColor theme="7" tint="0.79998168889431442"/>
        </patternFill>
      </fill>
      <border>
        <left style="thin">
          <color rgb="FFBF8F00"/>
        </left>
        <right style="thin">
          <color rgb="FFBF8F00"/>
        </right>
        <top style="thin">
          <color rgb="FFBF8F00"/>
        </top>
        <bottom style="thin">
          <color rgb="FFBF8F00"/>
        </bottom>
      </border>
    </dxf>
    <dxf>
      <fill>
        <patternFill>
          <bgColor theme="7" tint="0.59996337778862885"/>
        </patternFill>
      </fill>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ont>
        <b/>
        <i val="0"/>
        <color rgb="FFC00000"/>
      </font>
      <fill>
        <patternFill>
          <bgColor rgb="FFFCE4D6"/>
        </patternFill>
      </fill>
      <border>
        <left style="thin">
          <color rgb="FFC00000"/>
        </left>
        <right style="thin">
          <color rgb="FFC00000"/>
        </right>
        <top style="thin">
          <color rgb="FFC00000"/>
        </top>
        <bottom style="thin">
          <color rgb="FFC00000"/>
        </bottom>
        <vertical/>
        <horizontal/>
      </border>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fill>
        <patternFill patternType="gray125">
          <fgColor theme="0" tint="-0.14996795556505021"/>
          <bgColor theme="0"/>
        </patternFill>
      </fill>
    </dxf>
    <dxf>
      <border>
        <bottom style="thin">
          <color rgb="FF00ACD4"/>
        </bottom>
        <vertical/>
        <horizontal/>
      </border>
    </dxf>
    <dxf>
      <border>
        <bottom style="thin">
          <color rgb="FF00ACD4"/>
        </bottom>
        <vertical/>
        <horizontal/>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color rgb="FFFB8C00"/>
      </font>
      <fill>
        <patternFill patternType="solid">
          <bgColor rgb="FFFFF3E0"/>
        </patternFill>
      </fill>
      <border>
        <left style="thin">
          <color rgb="FFFB8C00"/>
        </left>
        <right style="thin">
          <color rgb="FFFB8C00"/>
        </right>
        <top style="thin">
          <color rgb="FFFB8C00"/>
        </top>
        <bottom style="thin">
          <color rgb="FFFB8C00"/>
        </bottom>
      </border>
    </dxf>
    <dxf>
      <font>
        <color rgb="FF689F38"/>
      </font>
      <fill>
        <patternFill patternType="solid">
          <bgColor rgb="FFF1F8E9"/>
        </patternFill>
      </fill>
      <border>
        <left style="thin">
          <color rgb="FF689F38"/>
        </left>
        <right style="thin">
          <color rgb="FF689F38"/>
        </right>
        <top style="thin">
          <color rgb="FF689F38"/>
        </top>
        <bottom style="thin">
          <color rgb="FF689F38"/>
        </bottom>
      </border>
    </dxf>
    <dxf>
      <font>
        <color rgb="FF00796B"/>
      </font>
      <fill>
        <patternFill patternType="solid">
          <bgColor rgb="FFE0F2F1"/>
        </patternFill>
      </fill>
      <border>
        <left style="thin">
          <color rgb="FF00796B"/>
        </left>
        <right style="thin">
          <color rgb="FF00796B"/>
        </right>
        <top style="thin">
          <color rgb="FF00796B"/>
        </top>
        <bottom style="thin">
          <color rgb="FF00796B"/>
        </bottom>
      </border>
    </dxf>
    <dxf>
      <font>
        <color rgb="FF5E35B1"/>
      </font>
      <fill>
        <patternFill patternType="solid">
          <bgColor rgb="FFEFE7F6"/>
        </patternFill>
      </fill>
      <border>
        <left style="thin">
          <color rgb="FF5E35B1"/>
        </left>
        <right style="thin">
          <color rgb="FF5E35B1"/>
        </right>
        <top style="thin">
          <color rgb="FF5E35B1"/>
        </top>
        <bottom style="thin">
          <color rgb="FF5E35B1"/>
        </bottom>
      </border>
    </dxf>
    <dxf>
      <font>
        <color rgb="FF0288D1"/>
      </font>
      <fill>
        <patternFill patternType="solid">
          <bgColor rgb="FFE1F5FE"/>
        </patternFill>
      </fill>
      <border>
        <left style="thin">
          <color rgb="FF0288D1"/>
        </left>
        <right style="thin">
          <color rgb="FF0288D1"/>
        </right>
        <top style="thin">
          <color rgb="FF0288D1"/>
        </top>
        <bottom style="thin">
          <color rgb="FF0288D1"/>
        </bottom>
      </border>
    </dxf>
    <dxf>
      <font>
        <color rgb="FF7CB342"/>
      </font>
      <fill>
        <patternFill>
          <bgColor rgb="FFF1F8E9"/>
        </patternFill>
      </fill>
      <border>
        <left style="thin">
          <color rgb="FF7CB342"/>
        </left>
        <right style="thin">
          <color rgb="FF7CB342"/>
        </right>
        <top style="thin">
          <color rgb="FF7CB342"/>
        </top>
        <bottom style="thin">
          <color rgb="FF7CB342"/>
        </bottom>
      </border>
    </dxf>
    <dxf>
      <font>
        <color rgb="FF6D4C41"/>
      </font>
      <fill>
        <patternFill>
          <bgColor rgb="FFEFEBE9"/>
        </patternFill>
      </fill>
      <border>
        <left style="thin">
          <color rgb="FF6D4C41"/>
        </left>
        <right style="thin">
          <color rgb="FF6D4C41"/>
        </right>
        <top style="thin">
          <color rgb="FF6D4C41"/>
        </top>
        <bottom style="thin">
          <color rgb="FF6D4C41"/>
        </bottom>
      </border>
    </dxf>
    <dxf>
      <font>
        <color rgb="FFD84315"/>
      </font>
      <fill>
        <patternFill>
          <bgColor rgb="FFFBE9E7"/>
        </patternFill>
      </fill>
      <border>
        <left style="thin">
          <color rgb="FFD84315"/>
        </left>
        <right style="thin">
          <color rgb="FFD84315"/>
        </right>
        <top style="thin">
          <color rgb="FFD84315"/>
        </top>
        <bottom style="thin">
          <color rgb="FFD84315"/>
        </bottom>
      </border>
    </dxf>
    <dxf>
      <font>
        <color rgb="FFAFB42B"/>
      </font>
      <fill>
        <patternFill>
          <bgColor rgb="FFF9FBE7"/>
        </patternFill>
      </fill>
      <border>
        <left style="thin">
          <color rgb="FFAFB42B"/>
        </left>
        <right style="thin">
          <color rgb="FFAFB42B"/>
        </right>
        <top style="thin">
          <color rgb="FFAFB42B"/>
        </top>
        <bottom style="thin">
          <color rgb="FFAFB42B"/>
        </bottom>
      </border>
    </dxf>
    <dxf>
      <font>
        <color rgb="FF0097A7"/>
      </font>
      <fill>
        <patternFill>
          <bgColor rgb="FFE0F7FA"/>
        </patternFill>
      </fill>
      <border>
        <left style="thin">
          <color rgb="FF0097A7"/>
        </left>
        <right style="thin">
          <color rgb="FF0097A7"/>
        </right>
        <top style="thin">
          <color rgb="FF0097A7"/>
        </top>
        <bottom style="thin">
          <color rgb="FF0097A7"/>
        </bottom>
      </border>
    </dxf>
    <dxf>
      <font>
        <color rgb="FF8E24AA"/>
      </font>
      <fill>
        <patternFill>
          <bgColor rgb="FFF3E5F5"/>
        </patternFill>
      </fill>
      <border>
        <left style="thin">
          <color rgb="FF8E24AA"/>
        </left>
        <right style="thin">
          <color rgb="FF8E24AA"/>
        </right>
        <top style="thin">
          <color rgb="FF8E24AA"/>
        </top>
        <bottom style="thin">
          <color rgb="FF8E24AA"/>
        </bottom>
      </border>
    </dxf>
    <dxf>
      <font>
        <color rgb="FF1976D2"/>
      </font>
      <fill>
        <patternFill>
          <bgColor rgb="FFE3F2FD"/>
        </patternFill>
      </fill>
      <border>
        <left style="thin">
          <color rgb="FF1976D2"/>
        </left>
        <right style="thin">
          <color rgb="FF1976D2"/>
        </right>
        <top style="thin">
          <color rgb="FF1976D2"/>
        </top>
        <bottom style="thin">
          <color rgb="FF1976D2"/>
        </bottom>
      </border>
    </dxf>
    <dxf>
      <font>
        <color rgb="FF388E3C"/>
      </font>
      <fill>
        <patternFill>
          <bgColor rgb="FFE8F5E9"/>
        </patternFill>
      </fill>
      <border>
        <left style="thin">
          <color rgb="FF388E3C"/>
        </left>
        <right style="thin">
          <color rgb="FF388E3C"/>
        </right>
        <top style="thin">
          <color rgb="FF388E3C"/>
        </top>
        <bottom style="thin">
          <color rgb="FF388E3C"/>
        </bottom>
      </border>
    </dxf>
    <dxf>
      <font>
        <color rgb="FFD32F2F"/>
      </font>
      <fill>
        <patternFill>
          <bgColor rgb="FFFFEBEE"/>
        </patternFill>
      </fill>
      <border>
        <left style="thin">
          <color rgb="FFD32F2F"/>
        </left>
        <right style="thin">
          <color rgb="FFD32F2F"/>
        </right>
        <top style="thin">
          <color rgb="FFD32F2F"/>
        </top>
        <bottom style="thin">
          <color rgb="FFD32F2F"/>
        </bottom>
      </border>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ill>
        <gradientFill degree="225">
          <stop position="0">
            <color theme="0" tint="-0.1490218817712943"/>
          </stop>
          <stop position="1">
            <color theme="0"/>
          </stop>
        </gradientFill>
      </fill>
    </dxf>
    <dxf>
      <fill>
        <patternFill>
          <bgColor theme="0" tint="-4.9989318521683403E-2"/>
        </patternFill>
      </fill>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ont>
        <b/>
        <i val="0"/>
        <color theme="0"/>
      </font>
      <fill>
        <patternFill>
          <bgColor rgb="FFC00000"/>
        </patternFill>
      </fill>
    </dxf>
    <dxf>
      <font>
        <b/>
        <i val="0"/>
        <color theme="0"/>
      </font>
      <fill>
        <patternFill>
          <bgColor theme="9"/>
        </patternFill>
      </fill>
    </dxf>
    <dxf>
      <font>
        <b/>
        <i val="0"/>
        <color theme="0"/>
      </font>
      <numFmt numFmtId="0" formatCode="General"/>
      <fill>
        <patternFill>
          <bgColor theme="3" tint="-0.24994659260841701"/>
        </patternFill>
      </fill>
    </dxf>
    <dxf>
      <font>
        <color theme="0"/>
      </font>
      <fill>
        <patternFill>
          <bgColor rgb="FFC00000"/>
        </patternFill>
      </fill>
      <border>
        <left style="thin">
          <color rgb="FFC00000"/>
        </left>
        <right style="thin">
          <color rgb="FFC00000"/>
        </right>
        <top style="thin">
          <color rgb="FFC00000"/>
        </top>
        <bottom style="thin">
          <color rgb="FFC00000"/>
        </bottom>
      </border>
    </dxf>
    <dxf>
      <font>
        <color theme="0"/>
      </font>
      <fill>
        <patternFill>
          <bgColor theme="9"/>
        </patternFill>
      </fill>
      <border>
        <left style="thin">
          <color theme="9"/>
        </left>
        <right style="thin">
          <color theme="9"/>
        </right>
        <top style="thin">
          <color theme="9"/>
        </top>
        <bottom style="thin">
          <color theme="9"/>
        </bottom>
      </border>
    </dxf>
    <dxf>
      <border>
        <left style="thin">
          <color rgb="FFC00000"/>
        </left>
        <right style="thin">
          <color rgb="FFC00000"/>
        </right>
        <top/>
        <vertical/>
        <horizontal/>
      </border>
    </dxf>
    <dxf>
      <border>
        <left style="thin">
          <color theme="9"/>
        </left>
        <right style="thin">
          <color theme="9"/>
        </right>
        <vertical/>
        <horizontal/>
      </border>
    </dxf>
    <dxf>
      <border>
        <top style="thin">
          <color rgb="FFC00000"/>
        </top>
        <vertical/>
        <horizontal/>
      </border>
    </dxf>
    <dxf>
      <border>
        <top style="thin">
          <color theme="9"/>
        </top>
        <vertical/>
        <horizontal/>
      </border>
    </dxf>
    <dxf>
      <font>
        <b/>
        <i val="0"/>
        <color theme="8" tint="-0.24994659260841701"/>
      </font>
    </dxf>
    <dxf>
      <font>
        <b/>
        <i val="0"/>
        <color rgb="FFC00000"/>
      </font>
    </dxf>
    <dxf>
      <font>
        <b/>
        <i val="0"/>
        <color theme="4"/>
      </font>
    </dxf>
    <dxf>
      <font>
        <b/>
        <i val="0"/>
        <color theme="3" tint="-0.24994659260841701"/>
      </font>
    </dxf>
    <dxf>
      <font>
        <b/>
        <i val="0"/>
        <color theme="7" tint="-0.24994659260841701"/>
      </font>
    </dxf>
    <dxf>
      <font>
        <b/>
        <i val="0"/>
        <color theme="4" tint="-0.24994659260841701"/>
      </font>
    </dxf>
    <dxf>
      <font>
        <b/>
        <i val="0"/>
        <color theme="9"/>
      </font>
    </dxf>
    <dxf>
      <font>
        <b/>
        <i val="0"/>
        <color theme="9" tint="-0.499984740745262"/>
      </font>
    </dxf>
    <dxf>
      <fill>
        <patternFill>
          <bgColor theme="9"/>
        </patternFill>
      </fill>
    </dxf>
    <dxf>
      <fill>
        <patternFill>
          <bgColor rgb="FFFF0000"/>
        </patternFill>
      </fill>
    </dxf>
    <dxf>
      <font>
        <b/>
        <i val="0"/>
        <color rgb="FF27A9E1"/>
      </font>
      <fill>
        <patternFill>
          <bgColor rgb="FFDDEBF7"/>
        </patternFill>
      </fill>
      <border>
        <left style="thin">
          <color rgb="FF27A9E1"/>
        </left>
        <right style="thin">
          <color rgb="FF27A9E1"/>
        </right>
        <top style="thin">
          <color rgb="FF27A9E1"/>
        </top>
        <bottom style="thin">
          <color rgb="FF27A9E1"/>
        </bottom>
      </border>
    </dxf>
    <dxf>
      <fill>
        <patternFill>
          <bgColor rgb="FFFF0000"/>
        </patternFill>
      </fill>
    </dxf>
    <dxf>
      <fill>
        <patternFill>
          <bgColor rgb="FFFF0000"/>
        </patternFill>
      </fill>
    </dxf>
    <dxf>
      <fill>
        <patternFill patternType="none">
          <bgColor auto="1"/>
        </patternFill>
      </fill>
      <border>
        <left style="thin">
          <color theme="0" tint="-0.14996795556505021"/>
        </left>
        <right style="thin">
          <color theme="0" tint="-0.14996795556505021"/>
        </right>
        <top style="thin">
          <color theme="0" tint="-0.14996795556505021"/>
        </top>
        <bottom style="thin">
          <color theme="0" tint="-0.149967955565050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AU" b="1"/>
              <a:t>Trade</a:t>
            </a:r>
            <a:r>
              <a:rPr lang="en-AU" b="1" baseline="0"/>
              <a:t> Debtor Ageing</a:t>
            </a:r>
            <a:endParaRPr lang="en-AU"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'F05 Trade Debtors'!$O$30:$R$30</c:f>
              <c:strCache>
                <c:ptCount val="4"/>
                <c:pt idx="0">
                  <c:v> -   </c:v>
                </c:pt>
                <c:pt idx="1">
                  <c:v> -   </c:v>
                </c:pt>
                <c:pt idx="2">
                  <c:v> -   </c:v>
                </c:pt>
                <c:pt idx="3">
                  <c:v> -   </c:v>
                </c:pt>
              </c:strCache>
            </c:strRef>
          </c:tx>
          <c:spPr>
            <a:solidFill>
              <a:srgbClr val="1C75BC"/>
            </a:solidFill>
            <a:ln>
              <a:noFill/>
            </a:ln>
            <a:effectLst/>
          </c:spPr>
          <c:invertIfNegative val="0"/>
          <c:dPt>
            <c:idx val="0"/>
            <c:invertIfNegative val="0"/>
            <c:bubble3D val="0"/>
            <c:spPr>
              <a:solidFill>
                <a:srgbClr val="DDEBF7"/>
              </a:solidFill>
              <a:ln>
                <a:noFill/>
              </a:ln>
              <a:effectLst/>
            </c:spPr>
            <c:extLst>
              <c:ext xmlns:c16="http://schemas.microsoft.com/office/drawing/2014/chart" uri="{C3380CC4-5D6E-409C-BE32-E72D297353CC}">
                <c16:uniqueId val="{00000001-A3E4-4981-9434-F76952FF8697}"/>
              </c:ext>
            </c:extLst>
          </c:dPt>
          <c:dPt>
            <c:idx val="1"/>
            <c:invertIfNegative val="0"/>
            <c:bubble3D val="0"/>
            <c:spPr>
              <a:solidFill>
                <a:srgbClr val="6FC6EB"/>
              </a:solidFill>
              <a:ln>
                <a:noFill/>
              </a:ln>
              <a:effectLst/>
            </c:spPr>
            <c:extLst>
              <c:ext xmlns:c16="http://schemas.microsoft.com/office/drawing/2014/chart" uri="{C3380CC4-5D6E-409C-BE32-E72D297353CC}">
                <c16:uniqueId val="{00000003-A3E4-4981-9434-F76952FF8697}"/>
              </c:ext>
            </c:extLst>
          </c:dPt>
          <c:dPt>
            <c:idx val="2"/>
            <c:invertIfNegative val="0"/>
            <c:bubble3D val="0"/>
            <c:spPr>
              <a:solidFill>
                <a:srgbClr val="27AAE1"/>
              </a:solidFill>
              <a:ln>
                <a:noFill/>
              </a:ln>
              <a:effectLst/>
            </c:spPr>
            <c:extLst>
              <c:ext xmlns:c16="http://schemas.microsoft.com/office/drawing/2014/chart" uri="{C3380CC4-5D6E-409C-BE32-E72D297353CC}">
                <c16:uniqueId val="{00000005-A3E4-4981-9434-F76952FF8697}"/>
              </c:ext>
            </c:extLst>
          </c:dPt>
          <c:dPt>
            <c:idx val="3"/>
            <c:invertIfNegative val="0"/>
            <c:bubble3D val="0"/>
            <c:spPr>
              <a:solidFill>
                <a:srgbClr val="1C75BC"/>
              </a:solidFill>
              <a:ln>
                <a:noFill/>
              </a:ln>
              <a:effectLst/>
            </c:spPr>
            <c:extLst>
              <c:ext xmlns:c16="http://schemas.microsoft.com/office/drawing/2014/chart" uri="{C3380CC4-5D6E-409C-BE32-E72D297353CC}">
                <c16:uniqueId val="{00000007-A3E4-4981-9434-F76952FF8697}"/>
              </c:ext>
            </c:extLst>
          </c:dPt>
          <c:dLbls>
            <c:delete val="1"/>
          </c:dLbls>
          <c:cat>
            <c:numRef>
              <c:f>'F05 Trade Debtors'!$O$30:$R$30</c:f>
              <c:numCache>
                <c:formatCode>_-* #,##0.00_-;* \(#,##0.00\)_-;_-* "-"??_-;_-@_-</c:formatCode>
                <c:ptCount val="4"/>
                <c:pt idx="0">
                  <c:v>0</c:v>
                </c:pt>
                <c:pt idx="1">
                  <c:v>0</c:v>
                </c:pt>
                <c:pt idx="2">
                  <c:v>0</c:v>
                </c:pt>
                <c:pt idx="3">
                  <c:v>0</c:v>
                </c:pt>
              </c:numCache>
            </c:numRef>
          </c:cat>
          <c:val>
            <c:numRef>
              <c:f>'F05 Trade Debtors'!$O$30:$R$30</c:f>
              <c:numCache>
                <c:formatCode>_-* #,##0.00_-;* \(#,##0.00\)_-;_-* "-"??_-;_-@_-</c:formatCode>
                <c:ptCount val="4"/>
                <c:pt idx="0">
                  <c:v>0</c:v>
                </c:pt>
                <c:pt idx="1">
                  <c:v>0</c:v>
                </c:pt>
                <c:pt idx="2">
                  <c:v>0</c:v>
                </c:pt>
                <c:pt idx="3">
                  <c:v>0</c:v>
                </c:pt>
              </c:numCache>
            </c:numRef>
          </c:val>
          <c:extLst>
            <c:ext xmlns:c16="http://schemas.microsoft.com/office/drawing/2014/chart" uri="{C3380CC4-5D6E-409C-BE32-E72D297353CC}">
              <c16:uniqueId val="{00000008-A3E4-4981-9434-F76952FF8697}"/>
            </c:ext>
          </c:extLst>
        </c:ser>
        <c:dLbls>
          <c:dLblPos val="outEnd"/>
          <c:showLegendKey val="0"/>
          <c:showVal val="1"/>
          <c:showCatName val="0"/>
          <c:showSerName val="0"/>
          <c:showPercent val="0"/>
          <c:showBubbleSize val="0"/>
        </c:dLbls>
        <c:gapWidth val="219"/>
        <c:axId val="245064223"/>
        <c:axId val="163494527"/>
      </c:barChart>
      <c:lineChart>
        <c:grouping val="standard"/>
        <c:varyColors val="0"/>
        <c:dLbls>
          <c:showLegendKey val="0"/>
          <c:showVal val="1"/>
          <c:showCatName val="0"/>
          <c:showSerName val="0"/>
          <c:showPercent val="0"/>
          <c:showBubbleSize val="0"/>
        </c:dLbls>
        <c:marker val="1"/>
        <c:smooth val="0"/>
        <c:axId val="264620463"/>
        <c:axId val="265259807"/>
        <c:extLst/>
      </c:lineChart>
      <c:catAx>
        <c:axId val="2450642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AU" b="1"/>
                  <a:t>Ageing</a:t>
                </a:r>
                <a:r>
                  <a:rPr lang="en-AU" b="1" baseline="0"/>
                  <a:t> Period (Days)</a:t>
                </a:r>
                <a:endParaRPr lang="en-AU"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00_-;* \(#,##0.00\)_-;_-* &quot;-&quot;??_-;_-@_-"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94527"/>
        <c:crosses val="autoZero"/>
        <c:auto val="1"/>
        <c:lblAlgn val="ctr"/>
        <c:lblOffset val="100"/>
        <c:noMultiLvlLbl val="0"/>
      </c:catAx>
      <c:valAx>
        <c:axId val="163494527"/>
        <c:scaling>
          <c:orientation val="minMax"/>
        </c:scaling>
        <c:delete val="0"/>
        <c:axPos val="l"/>
        <c:majorGridlines>
          <c:spPr>
            <a:ln w="9525" cap="flat" cmpd="sng" algn="ctr">
              <a:solidFill>
                <a:schemeClr val="bg1">
                  <a:lumMod val="95000"/>
                </a:schemeClr>
              </a:solidFill>
              <a:round/>
            </a:ln>
            <a:effectLst/>
          </c:spPr>
        </c:majorGridlines>
        <c:title>
          <c:tx>
            <c:strRef>
              <c:f>'F05 Trade Debtors'!$C$213</c:f>
              <c:strCache>
                <c:ptCount val="1"/>
                <c:pt idx="0">
                  <c:v>Total Debtors</c:v>
                </c:pt>
              </c:strCache>
            </c:strRef>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0"/>
        <c:majorTickMark val="out"/>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4223"/>
        <c:crosses val="autoZero"/>
        <c:crossBetween val="between"/>
      </c:valAx>
      <c:valAx>
        <c:axId val="265259807"/>
        <c:scaling>
          <c:orientation val="minMax"/>
        </c:scaling>
        <c:delete val="1"/>
        <c:axPos val="r"/>
        <c:numFmt formatCode="_-* #,##0.00_-%\ ;[Red]_-* \(#,##0.00\)_-%\ ;_-* &quot;-&quot;??_-;_-@_-" sourceLinked="1"/>
        <c:majorTickMark val="out"/>
        <c:minorTickMark val="none"/>
        <c:tickLblPos val="nextTo"/>
        <c:crossAx val="264620463"/>
        <c:crosses val="max"/>
        <c:crossBetween val="between"/>
      </c:valAx>
      <c:catAx>
        <c:axId val="264620463"/>
        <c:scaling>
          <c:orientation val="minMax"/>
        </c:scaling>
        <c:delete val="1"/>
        <c:axPos val="b"/>
        <c:numFmt formatCode="General" sourceLinked="1"/>
        <c:majorTickMark val="out"/>
        <c:minorTickMark val="none"/>
        <c:tickLblPos val="nextTo"/>
        <c:crossAx val="265259807"/>
        <c:crosses val="autoZero"/>
        <c:auto val="1"/>
        <c:lblAlgn val="ctr"/>
        <c:lblOffset val="100"/>
        <c:noMultiLvlLbl val="0"/>
      </c:cat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AU" b="1"/>
              <a:t>Trade</a:t>
            </a:r>
            <a:r>
              <a:rPr lang="en-AU" b="1" baseline="0"/>
              <a:t> Debtor Ageing By Debtor</a:t>
            </a:r>
            <a:endParaRPr lang="en-AU"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0-30 Days</c:v>
          </c:tx>
          <c:spPr>
            <a:solidFill>
              <a:srgbClr val="DDEBF7"/>
            </a:solidFill>
            <a:ln>
              <a:noFill/>
            </a:ln>
            <a:effectLst/>
          </c:spPr>
          <c:invertIfNegative val="0"/>
          <c:cat>
            <c:strRef>
              <c:f>'F05 Trade Debtors'!$H$196:$H$211</c:f>
              <c:strCache>
                <c:ptCount val="16"/>
                <c:pt idx="0">
                  <c:v> All Other Debtors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'F05 Trade Debtors'!$J$196:$J$211</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15A8-45C4-8E01-3FA052C61A73}"/>
            </c:ext>
          </c:extLst>
        </c:ser>
        <c:ser>
          <c:idx val="2"/>
          <c:order val="1"/>
          <c:tx>
            <c:v>30-60 Days</c:v>
          </c:tx>
          <c:spPr>
            <a:solidFill>
              <a:srgbClr val="6FC6EB"/>
            </a:solidFill>
            <a:ln>
              <a:noFill/>
            </a:ln>
            <a:effectLst/>
          </c:spPr>
          <c:invertIfNegative val="0"/>
          <c:cat>
            <c:strRef>
              <c:f>'F05 Trade Debtors'!$H$196:$H$211</c:f>
              <c:strCache>
                <c:ptCount val="16"/>
                <c:pt idx="0">
                  <c:v> All Other Debtors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'F05 Trade Debtors'!$K$196:$K$211</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1-15A8-45C4-8E01-3FA052C61A73}"/>
            </c:ext>
          </c:extLst>
        </c:ser>
        <c:ser>
          <c:idx val="3"/>
          <c:order val="2"/>
          <c:tx>
            <c:v>60-90 Days</c:v>
          </c:tx>
          <c:spPr>
            <a:solidFill>
              <a:srgbClr val="27AAE1"/>
            </a:solidFill>
            <a:ln>
              <a:noFill/>
            </a:ln>
            <a:effectLst/>
          </c:spPr>
          <c:invertIfNegative val="0"/>
          <c:cat>
            <c:strRef>
              <c:f>'F05 Trade Debtors'!$H$196:$H$211</c:f>
              <c:strCache>
                <c:ptCount val="16"/>
                <c:pt idx="0">
                  <c:v> All Other Debtors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'F05 Trade Debtors'!$L$196:$L$211</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15A8-45C4-8E01-3FA052C61A73}"/>
            </c:ext>
          </c:extLst>
        </c:ser>
        <c:ser>
          <c:idx val="4"/>
          <c:order val="3"/>
          <c:tx>
            <c:v>90+ Days</c:v>
          </c:tx>
          <c:spPr>
            <a:solidFill>
              <a:srgbClr val="1C75BC"/>
            </a:solidFill>
            <a:ln>
              <a:noFill/>
            </a:ln>
            <a:effectLst/>
          </c:spPr>
          <c:invertIfNegative val="0"/>
          <c:cat>
            <c:strRef>
              <c:f>'F05 Trade Debtors'!$H$196:$H$211</c:f>
              <c:strCache>
                <c:ptCount val="16"/>
                <c:pt idx="0">
                  <c:v> All Other Debtors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'F05 Trade Debtors'!$M$196:$M$211</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3-15A8-45C4-8E01-3FA052C61A73}"/>
            </c:ext>
          </c:extLst>
        </c:ser>
        <c:dLbls>
          <c:showLegendKey val="0"/>
          <c:showVal val="0"/>
          <c:showCatName val="0"/>
          <c:showSerName val="0"/>
          <c:showPercent val="0"/>
          <c:showBubbleSize val="0"/>
        </c:dLbls>
        <c:gapWidth val="150"/>
        <c:overlap val="100"/>
        <c:axId val="245064223"/>
        <c:axId val="163494527"/>
      </c:barChart>
      <c:lineChart>
        <c:grouping val="standard"/>
        <c:varyColors val="0"/>
        <c:dLbls>
          <c:showLegendKey val="0"/>
          <c:showVal val="0"/>
          <c:showCatName val="0"/>
          <c:showSerName val="0"/>
          <c:showPercent val="0"/>
          <c:showBubbleSize val="0"/>
        </c:dLbls>
        <c:marker val="1"/>
        <c:smooth val="0"/>
        <c:axId val="1774035999"/>
        <c:axId val="276208783"/>
        <c:extLst/>
      </c:lineChart>
      <c:catAx>
        <c:axId val="24506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94527"/>
        <c:crosses val="autoZero"/>
        <c:auto val="1"/>
        <c:lblAlgn val="ctr"/>
        <c:lblOffset val="100"/>
        <c:noMultiLvlLbl val="0"/>
      </c:catAx>
      <c:valAx>
        <c:axId val="163494527"/>
        <c:scaling>
          <c:orientation val="minMax"/>
        </c:scaling>
        <c:delete val="0"/>
        <c:axPos val="l"/>
        <c:majorGridlines>
          <c:spPr>
            <a:ln w="9525" cap="flat" cmpd="sng" algn="ctr">
              <a:solidFill>
                <a:schemeClr val="bg1">
                  <a:lumMod val="95000"/>
                </a:schemeClr>
              </a:solidFill>
              <a:round/>
            </a:ln>
            <a:effectLst/>
          </c:spPr>
        </c:majorGridlines>
        <c:title>
          <c:tx>
            <c:strRef>
              <c:f>'F05 Trade Debtors'!$C$213</c:f>
              <c:strCache>
                <c:ptCount val="1"/>
                <c:pt idx="0">
                  <c:v>Total Debtors</c:v>
                </c:pt>
              </c:strCache>
            </c:strRef>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0"/>
        <c:majorTickMark val="out"/>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4223"/>
        <c:crosses val="autoZero"/>
        <c:crossBetween val="between"/>
      </c:valAx>
      <c:valAx>
        <c:axId val="276208783"/>
        <c:scaling>
          <c:orientation val="minMax"/>
        </c:scaling>
        <c:delete val="1"/>
        <c:axPos val="r"/>
        <c:numFmt formatCode="_-* #,##0.00_-%\ ;[Red]_-* \(#,##0.00\)_-%\ ;_-* &quot;-&quot;??_-;_-@_-" sourceLinked="1"/>
        <c:majorTickMark val="out"/>
        <c:minorTickMark val="none"/>
        <c:tickLblPos val="nextTo"/>
        <c:crossAx val="1774035999"/>
        <c:crosses val="max"/>
        <c:crossBetween val="between"/>
      </c:valAx>
      <c:catAx>
        <c:axId val="1774035999"/>
        <c:scaling>
          <c:orientation val="minMax"/>
        </c:scaling>
        <c:delete val="1"/>
        <c:axPos val="b"/>
        <c:numFmt formatCode="General" sourceLinked="1"/>
        <c:majorTickMark val="out"/>
        <c:minorTickMark val="none"/>
        <c:tickLblPos val="nextTo"/>
        <c:crossAx val="27620878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AU" b="1"/>
              <a:t>Trade</a:t>
            </a:r>
            <a:r>
              <a:rPr lang="en-AU" b="1" baseline="0"/>
              <a:t> Creditor Ageing</a:t>
            </a:r>
            <a:endParaRPr lang="en-AU"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'H05 Trade Creditors'!$O$18:$R$18</c:f>
              <c:strCache>
                <c:ptCount val="4"/>
                <c:pt idx="0">
                  <c:v>0 - 30</c:v>
                </c:pt>
                <c:pt idx="1">
                  <c:v>31 - 60</c:v>
                </c:pt>
                <c:pt idx="2">
                  <c:v>61 - 90</c:v>
                </c:pt>
                <c:pt idx="3">
                  <c:v>91 +</c:v>
                </c:pt>
              </c:strCache>
            </c:strRef>
          </c:tx>
          <c:spPr>
            <a:solidFill>
              <a:schemeClr val="accent1"/>
            </a:solidFill>
            <a:ln>
              <a:noFill/>
            </a:ln>
            <a:effectLst/>
          </c:spPr>
          <c:invertIfNegative val="0"/>
          <c:dPt>
            <c:idx val="0"/>
            <c:invertIfNegative val="0"/>
            <c:bubble3D val="0"/>
            <c:spPr>
              <a:solidFill>
                <a:srgbClr val="DDEBF7"/>
              </a:solidFill>
              <a:ln>
                <a:noFill/>
              </a:ln>
              <a:effectLst/>
            </c:spPr>
            <c:extLst>
              <c:ext xmlns:c16="http://schemas.microsoft.com/office/drawing/2014/chart" uri="{C3380CC4-5D6E-409C-BE32-E72D297353CC}">
                <c16:uniqueId val="{00000001-549C-4CD9-AD47-E0A96A1FD334}"/>
              </c:ext>
            </c:extLst>
          </c:dPt>
          <c:dPt>
            <c:idx val="1"/>
            <c:invertIfNegative val="0"/>
            <c:bubble3D val="0"/>
            <c:spPr>
              <a:solidFill>
                <a:srgbClr val="6FC6EB"/>
              </a:solidFill>
              <a:ln>
                <a:noFill/>
              </a:ln>
              <a:effectLst/>
            </c:spPr>
            <c:extLst>
              <c:ext xmlns:c16="http://schemas.microsoft.com/office/drawing/2014/chart" uri="{C3380CC4-5D6E-409C-BE32-E72D297353CC}">
                <c16:uniqueId val="{00000003-549C-4CD9-AD47-E0A96A1FD334}"/>
              </c:ext>
            </c:extLst>
          </c:dPt>
          <c:dPt>
            <c:idx val="2"/>
            <c:invertIfNegative val="0"/>
            <c:bubble3D val="0"/>
            <c:spPr>
              <a:solidFill>
                <a:srgbClr val="27AAE1"/>
              </a:solidFill>
              <a:ln>
                <a:noFill/>
              </a:ln>
              <a:effectLst/>
            </c:spPr>
            <c:extLst>
              <c:ext xmlns:c16="http://schemas.microsoft.com/office/drawing/2014/chart" uri="{C3380CC4-5D6E-409C-BE32-E72D297353CC}">
                <c16:uniqueId val="{00000005-549C-4CD9-AD47-E0A96A1FD334}"/>
              </c:ext>
            </c:extLst>
          </c:dPt>
          <c:dPt>
            <c:idx val="3"/>
            <c:invertIfNegative val="0"/>
            <c:bubble3D val="0"/>
            <c:spPr>
              <a:solidFill>
                <a:srgbClr val="1C75BC"/>
              </a:solidFill>
              <a:ln>
                <a:noFill/>
              </a:ln>
              <a:effectLst/>
            </c:spPr>
            <c:extLst>
              <c:ext xmlns:c16="http://schemas.microsoft.com/office/drawing/2014/chart" uri="{C3380CC4-5D6E-409C-BE32-E72D297353CC}">
                <c16:uniqueId val="{00000007-549C-4CD9-AD47-E0A96A1FD334}"/>
              </c:ext>
            </c:extLst>
          </c:dPt>
          <c:dLbls>
            <c:delete val="1"/>
          </c:dLbls>
          <c:cat>
            <c:strRef>
              <c:f>'H05 Trade Creditors'!$O$18:$R$18</c:f>
              <c:strCache>
                <c:ptCount val="4"/>
                <c:pt idx="0">
                  <c:v>0 - 30</c:v>
                </c:pt>
                <c:pt idx="1">
                  <c:v>31 - 60</c:v>
                </c:pt>
                <c:pt idx="2">
                  <c:v>61 - 90</c:v>
                </c:pt>
                <c:pt idx="3">
                  <c:v>91 +</c:v>
                </c:pt>
              </c:strCache>
            </c:strRef>
          </c:cat>
          <c:val>
            <c:numRef>
              <c:f>'H05 Trade Creditors'!$O$30:$R$30</c:f>
              <c:numCache>
                <c:formatCode>_-* #,##0.00_-;* \(#,##0.00\)_-;_-* "-"??_-;_-@_-</c:formatCode>
                <c:ptCount val="4"/>
                <c:pt idx="0">
                  <c:v>0</c:v>
                </c:pt>
                <c:pt idx="1">
                  <c:v>0</c:v>
                </c:pt>
                <c:pt idx="2">
                  <c:v>0</c:v>
                </c:pt>
                <c:pt idx="3">
                  <c:v>0</c:v>
                </c:pt>
              </c:numCache>
            </c:numRef>
          </c:val>
          <c:extLst>
            <c:ext xmlns:c16="http://schemas.microsoft.com/office/drawing/2014/chart" uri="{C3380CC4-5D6E-409C-BE32-E72D297353CC}">
              <c16:uniqueId val="{00000008-549C-4CD9-AD47-E0A96A1FD334}"/>
            </c:ext>
          </c:extLst>
        </c:ser>
        <c:dLbls>
          <c:dLblPos val="outEnd"/>
          <c:showLegendKey val="0"/>
          <c:showVal val="1"/>
          <c:showCatName val="0"/>
          <c:showSerName val="0"/>
          <c:showPercent val="0"/>
          <c:showBubbleSize val="0"/>
        </c:dLbls>
        <c:gapWidth val="219"/>
        <c:axId val="245064223"/>
        <c:axId val="163494527"/>
      </c:barChart>
      <c:lineChart>
        <c:grouping val="standard"/>
        <c:varyColors val="0"/>
        <c:dLbls>
          <c:showLegendKey val="0"/>
          <c:showVal val="1"/>
          <c:showCatName val="0"/>
          <c:showSerName val="0"/>
          <c:showPercent val="0"/>
          <c:showBubbleSize val="0"/>
        </c:dLbls>
        <c:marker val="1"/>
        <c:smooth val="0"/>
        <c:axId val="264620463"/>
        <c:axId val="265259807"/>
        <c:extLst/>
      </c:lineChart>
      <c:catAx>
        <c:axId val="24506422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AU" b="1"/>
                  <a:t>Ageing</a:t>
                </a:r>
                <a:r>
                  <a:rPr lang="en-AU" b="1" baseline="0"/>
                  <a:t> Period (Days)</a:t>
                </a:r>
                <a:endParaRPr lang="en-AU"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94527"/>
        <c:crosses val="autoZero"/>
        <c:auto val="1"/>
        <c:lblAlgn val="ctr"/>
        <c:lblOffset val="100"/>
        <c:noMultiLvlLbl val="0"/>
      </c:catAx>
      <c:valAx>
        <c:axId val="163494527"/>
        <c:scaling>
          <c:orientation val="minMax"/>
        </c:scaling>
        <c:delete val="0"/>
        <c:axPos val="l"/>
        <c:majorGridlines>
          <c:spPr>
            <a:ln w="9525" cap="flat" cmpd="sng" algn="ctr">
              <a:solidFill>
                <a:schemeClr val="bg1">
                  <a:lumMod val="95000"/>
                </a:schemeClr>
              </a:solidFill>
              <a:round/>
            </a:ln>
            <a:effectLst/>
          </c:spPr>
        </c:majorGridlines>
        <c:title>
          <c:tx>
            <c:strRef>
              <c:f>'H05 Trade Creditors'!$C$119</c:f>
              <c:strCache>
                <c:ptCount val="1"/>
                <c:pt idx="0">
                  <c:v>Total Creditors</c:v>
                </c:pt>
              </c:strCache>
            </c:strRef>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0"/>
        <c:majorTickMark val="out"/>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4223"/>
        <c:crosses val="autoZero"/>
        <c:crossBetween val="between"/>
      </c:valAx>
      <c:valAx>
        <c:axId val="265259807"/>
        <c:scaling>
          <c:orientation val="minMax"/>
        </c:scaling>
        <c:delete val="1"/>
        <c:axPos val="r"/>
        <c:numFmt formatCode="_-* #,##0_-%\ ;[Red]_-* \(#,##0\)_-%\ ;_-* &quot;-&quot;??_-;_-@_-" sourceLinked="1"/>
        <c:majorTickMark val="out"/>
        <c:minorTickMark val="none"/>
        <c:tickLblPos val="nextTo"/>
        <c:crossAx val="264620463"/>
        <c:crosses val="max"/>
        <c:crossBetween val="between"/>
      </c:valAx>
      <c:catAx>
        <c:axId val="264620463"/>
        <c:scaling>
          <c:orientation val="minMax"/>
        </c:scaling>
        <c:delete val="1"/>
        <c:axPos val="b"/>
        <c:numFmt formatCode="General" sourceLinked="1"/>
        <c:majorTickMark val="out"/>
        <c:minorTickMark val="none"/>
        <c:tickLblPos val="nextTo"/>
        <c:crossAx val="265259807"/>
        <c:crosses val="autoZero"/>
        <c:auto val="1"/>
        <c:lblAlgn val="ctr"/>
        <c:lblOffset val="100"/>
        <c:noMultiLvlLbl val="0"/>
      </c:cat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AU" b="1"/>
              <a:t>Trade</a:t>
            </a:r>
            <a:r>
              <a:rPr lang="en-AU" b="1" baseline="0"/>
              <a:t> Creditor Ageing By Creditor</a:t>
            </a:r>
            <a:endParaRPr lang="en-AU"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v>0-30 Days</c:v>
          </c:tx>
          <c:spPr>
            <a:solidFill>
              <a:srgbClr val="DDEBF7"/>
            </a:solidFill>
            <a:ln>
              <a:noFill/>
            </a:ln>
            <a:effectLst/>
          </c:spPr>
          <c:invertIfNegative val="0"/>
          <c:cat>
            <c:strRef>
              <c:f>'H05 Trade Creditors'!$H$102:$H$117</c:f>
              <c:strCache>
                <c:ptCount val="16"/>
                <c:pt idx="0">
                  <c:v> All Other Creditors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'H05 Trade Creditors'!$J$102:$J$117</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0-901F-43C8-9BCB-0494A8B59CE7}"/>
            </c:ext>
          </c:extLst>
        </c:ser>
        <c:ser>
          <c:idx val="2"/>
          <c:order val="1"/>
          <c:tx>
            <c:v>30-60 Days</c:v>
          </c:tx>
          <c:spPr>
            <a:solidFill>
              <a:srgbClr val="6FC6EB"/>
            </a:solidFill>
            <a:ln>
              <a:noFill/>
            </a:ln>
            <a:effectLst/>
          </c:spPr>
          <c:invertIfNegative val="0"/>
          <c:cat>
            <c:strRef>
              <c:f>'H05 Trade Creditors'!$H$102:$H$117</c:f>
              <c:strCache>
                <c:ptCount val="16"/>
                <c:pt idx="0">
                  <c:v> All Other Creditors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'H05 Trade Creditors'!$K$102:$K$117</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1-901F-43C8-9BCB-0494A8B59CE7}"/>
            </c:ext>
          </c:extLst>
        </c:ser>
        <c:ser>
          <c:idx val="3"/>
          <c:order val="2"/>
          <c:tx>
            <c:v>60-90 Days</c:v>
          </c:tx>
          <c:spPr>
            <a:solidFill>
              <a:srgbClr val="27AAE1"/>
            </a:solidFill>
            <a:ln>
              <a:noFill/>
            </a:ln>
            <a:effectLst/>
          </c:spPr>
          <c:invertIfNegative val="0"/>
          <c:cat>
            <c:strRef>
              <c:f>'H05 Trade Creditors'!$H$102:$H$117</c:f>
              <c:strCache>
                <c:ptCount val="16"/>
                <c:pt idx="0">
                  <c:v> All Other Creditors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'H05 Trade Creditors'!$L$102:$L$117</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2-901F-43C8-9BCB-0494A8B59CE7}"/>
            </c:ext>
          </c:extLst>
        </c:ser>
        <c:ser>
          <c:idx val="4"/>
          <c:order val="3"/>
          <c:tx>
            <c:v>90+ Days</c:v>
          </c:tx>
          <c:spPr>
            <a:solidFill>
              <a:srgbClr val="1C75BC"/>
            </a:solidFill>
            <a:ln>
              <a:noFill/>
            </a:ln>
            <a:effectLst/>
          </c:spPr>
          <c:invertIfNegative val="0"/>
          <c:cat>
            <c:strRef>
              <c:f>'H05 Trade Creditors'!$H$102:$H$117</c:f>
              <c:strCache>
                <c:ptCount val="16"/>
                <c:pt idx="0">
                  <c:v> All Other Creditors </c:v>
                </c:pt>
                <c:pt idx="1">
                  <c:v>  </c:v>
                </c:pt>
                <c:pt idx="2">
                  <c:v>  </c:v>
                </c:pt>
                <c:pt idx="3">
                  <c:v>  </c:v>
                </c:pt>
                <c:pt idx="4">
                  <c:v>  </c:v>
                </c:pt>
                <c:pt idx="5">
                  <c:v>  </c:v>
                </c:pt>
                <c:pt idx="6">
                  <c:v>  </c:v>
                </c:pt>
                <c:pt idx="7">
                  <c:v>  </c:v>
                </c:pt>
                <c:pt idx="8">
                  <c:v>  </c:v>
                </c:pt>
                <c:pt idx="9">
                  <c:v>  </c:v>
                </c:pt>
                <c:pt idx="10">
                  <c:v>  </c:v>
                </c:pt>
                <c:pt idx="11">
                  <c:v>  </c:v>
                </c:pt>
                <c:pt idx="12">
                  <c:v>  </c:v>
                </c:pt>
                <c:pt idx="13">
                  <c:v>  </c:v>
                </c:pt>
                <c:pt idx="14">
                  <c:v>  </c:v>
                </c:pt>
                <c:pt idx="15">
                  <c:v>  </c:v>
                </c:pt>
              </c:strCache>
            </c:strRef>
          </c:cat>
          <c:val>
            <c:numRef>
              <c:f>'H05 Trade Creditors'!$M$102:$M$117</c:f>
              <c:numCache>
                <c:formatCode>_-* #,##0.00_-;* \(#,##0.00\)_-;_-* "-"??_-;_-@_-</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extLst>
            <c:ext xmlns:c16="http://schemas.microsoft.com/office/drawing/2014/chart" uri="{C3380CC4-5D6E-409C-BE32-E72D297353CC}">
              <c16:uniqueId val="{00000003-901F-43C8-9BCB-0494A8B59CE7}"/>
            </c:ext>
          </c:extLst>
        </c:ser>
        <c:dLbls>
          <c:showLegendKey val="0"/>
          <c:showVal val="0"/>
          <c:showCatName val="0"/>
          <c:showSerName val="0"/>
          <c:showPercent val="0"/>
          <c:showBubbleSize val="0"/>
        </c:dLbls>
        <c:gapWidth val="150"/>
        <c:overlap val="100"/>
        <c:axId val="245064223"/>
        <c:axId val="163494527"/>
      </c:barChart>
      <c:catAx>
        <c:axId val="245064223"/>
        <c:scaling>
          <c:orientation val="minMax"/>
        </c:scaling>
        <c:delete val="0"/>
        <c:axPos val="b"/>
        <c:numFmt formatCode="General" sourceLinked="1"/>
        <c:majorTickMark val="none"/>
        <c:minorTickMark val="none"/>
        <c:tickLblPos val="nextTo"/>
        <c:spPr>
          <a:noFill/>
          <a:ln w="9525" cap="flat" cmpd="sng" algn="ctr">
            <a:solidFill>
              <a:schemeClr val="bg1">
                <a:lumMod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94527"/>
        <c:crosses val="autoZero"/>
        <c:auto val="1"/>
        <c:lblAlgn val="ctr"/>
        <c:lblOffset val="100"/>
        <c:noMultiLvlLbl val="0"/>
      </c:catAx>
      <c:valAx>
        <c:axId val="163494527"/>
        <c:scaling>
          <c:orientation val="minMax"/>
        </c:scaling>
        <c:delete val="0"/>
        <c:axPos val="l"/>
        <c:majorGridlines>
          <c:spPr>
            <a:ln w="9525" cap="flat" cmpd="sng" algn="ctr">
              <a:solidFill>
                <a:schemeClr val="bg1">
                  <a:lumMod val="95000"/>
                </a:schemeClr>
              </a:solidFill>
              <a:round/>
            </a:ln>
            <a:effectLst/>
          </c:spPr>
        </c:majorGridlines>
        <c:title>
          <c:tx>
            <c:strRef>
              <c:f>'H05 Trade Creditors'!$C$119</c:f>
              <c:strCache>
                <c:ptCount val="1"/>
                <c:pt idx="0">
                  <c:v>Total Creditors</c:v>
                </c:pt>
              </c:strCache>
            </c:strRef>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0"/>
        <c:majorTickMark val="out"/>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642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66675</xdr:colOff>
      <xdr:row>148</xdr:row>
      <xdr:rowOff>152400</xdr:rowOff>
    </xdr:from>
    <xdr:to>
      <xdr:col>5</xdr:col>
      <xdr:colOff>854625</xdr:colOff>
      <xdr:row>168</xdr:row>
      <xdr:rowOff>90900</xdr:rowOff>
    </xdr:to>
    <xdr:graphicFrame macro="">
      <xdr:nvGraphicFramePr>
        <xdr:cNvPr id="2" name="Chart 1">
          <a:extLst>
            <a:ext uri="{FF2B5EF4-FFF2-40B4-BE49-F238E27FC236}">
              <a16:creationId xmlns:a16="http://schemas.microsoft.com/office/drawing/2014/main" id="{B0BE6E58-7E37-457F-A3F0-502E4DC6C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57150</xdr:colOff>
      <xdr:row>169</xdr:row>
      <xdr:rowOff>28575</xdr:rowOff>
    </xdr:from>
    <xdr:to>
      <xdr:col>12</xdr:col>
      <xdr:colOff>1038225</xdr:colOff>
      <xdr:row>189</xdr:row>
      <xdr:rowOff>47625</xdr:rowOff>
    </xdr:to>
    <xdr:graphicFrame macro="">
      <xdr:nvGraphicFramePr>
        <xdr:cNvPr id="3" name="Chart 2">
          <a:extLst>
            <a:ext uri="{FF2B5EF4-FFF2-40B4-BE49-F238E27FC236}">
              <a16:creationId xmlns:a16="http://schemas.microsoft.com/office/drawing/2014/main" id="{FC475678-3AAF-4921-99FB-1B831506B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9524</xdr:colOff>
      <xdr:row>64</xdr:row>
      <xdr:rowOff>28575</xdr:rowOff>
    </xdr:from>
    <xdr:to>
      <xdr:col>6</xdr:col>
      <xdr:colOff>845099</xdr:colOff>
      <xdr:row>79</xdr:row>
      <xdr:rowOff>62325</xdr:rowOff>
    </xdr:to>
    <xdr:graphicFrame macro="">
      <xdr:nvGraphicFramePr>
        <xdr:cNvPr id="2" name="Chart 1">
          <a:extLst>
            <a:ext uri="{FF2B5EF4-FFF2-40B4-BE49-F238E27FC236}">
              <a16:creationId xmlns:a16="http://schemas.microsoft.com/office/drawing/2014/main" id="{0D60D377-498D-44DA-B6F4-24450C8885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79</xdr:row>
      <xdr:rowOff>161925</xdr:rowOff>
    </xdr:from>
    <xdr:to>
      <xdr:col>12</xdr:col>
      <xdr:colOff>1038225</xdr:colOff>
      <xdr:row>94</xdr:row>
      <xdr:rowOff>276225</xdr:rowOff>
    </xdr:to>
    <xdr:graphicFrame macro="">
      <xdr:nvGraphicFramePr>
        <xdr:cNvPr id="3" name="Chart 2">
          <a:extLst>
            <a:ext uri="{FF2B5EF4-FFF2-40B4-BE49-F238E27FC236}">
              <a16:creationId xmlns:a16="http://schemas.microsoft.com/office/drawing/2014/main" id="{9B6EFA45-B21F-4B81-85B6-8FC0A8EEE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21</xdr:col>
      <xdr:colOff>0</xdr:colOff>
      <xdr:row>17</xdr:row>
      <xdr:rowOff>0</xdr:rowOff>
    </xdr:from>
    <xdr:ext cx="304800" cy="300990"/>
    <xdr:sp macro="" textlink="">
      <xdr:nvSpPr>
        <xdr:cNvPr id="2" name="AutoShape 4">
          <a:extLst>
            <a:ext uri="{FF2B5EF4-FFF2-40B4-BE49-F238E27FC236}">
              <a16:creationId xmlns:a16="http://schemas.microsoft.com/office/drawing/2014/main" id="{9D9D6DA4-19E0-46C6-8A5A-55057FE49DAD}"/>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3" name="AutoShape 6">
          <a:extLst>
            <a:ext uri="{FF2B5EF4-FFF2-40B4-BE49-F238E27FC236}">
              <a16:creationId xmlns:a16="http://schemas.microsoft.com/office/drawing/2014/main" id="{4B1F850C-0420-4133-9685-B033E8959B4C}"/>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4" name="AutoShape 7">
          <a:extLst>
            <a:ext uri="{FF2B5EF4-FFF2-40B4-BE49-F238E27FC236}">
              <a16:creationId xmlns:a16="http://schemas.microsoft.com/office/drawing/2014/main" id="{D0FF39B9-96AA-4C80-B8F3-FEEAE97C88D2}"/>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5" name="AutoShape 8">
          <a:extLst>
            <a:ext uri="{FF2B5EF4-FFF2-40B4-BE49-F238E27FC236}">
              <a16:creationId xmlns:a16="http://schemas.microsoft.com/office/drawing/2014/main" id="{0F7FE7F8-D1F0-4EDB-87B1-4BA8B42C30CE}"/>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6" name="AutoShape 9">
          <a:extLst>
            <a:ext uri="{FF2B5EF4-FFF2-40B4-BE49-F238E27FC236}">
              <a16:creationId xmlns:a16="http://schemas.microsoft.com/office/drawing/2014/main" id="{F8FE7113-AF1C-45B2-8EFC-48BF2D9ECBBE}"/>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7" name="AutoShape 10">
          <a:extLst>
            <a:ext uri="{FF2B5EF4-FFF2-40B4-BE49-F238E27FC236}">
              <a16:creationId xmlns:a16="http://schemas.microsoft.com/office/drawing/2014/main" id="{51DA583B-9C9C-4D15-AF4F-1E7A0F7D06BE}"/>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8" name="AutoShape 11">
          <a:extLst>
            <a:ext uri="{FF2B5EF4-FFF2-40B4-BE49-F238E27FC236}">
              <a16:creationId xmlns:a16="http://schemas.microsoft.com/office/drawing/2014/main" id="{1EE1EA09-4942-43DF-B519-2F5CA2BC60B1}"/>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9" name="AutoShape 12">
          <a:extLst>
            <a:ext uri="{FF2B5EF4-FFF2-40B4-BE49-F238E27FC236}">
              <a16:creationId xmlns:a16="http://schemas.microsoft.com/office/drawing/2014/main" id="{4D2257A5-CA85-4EBA-8BA2-26A98B0EF84D}"/>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10" name="AutoShape 13">
          <a:extLst>
            <a:ext uri="{FF2B5EF4-FFF2-40B4-BE49-F238E27FC236}">
              <a16:creationId xmlns:a16="http://schemas.microsoft.com/office/drawing/2014/main" id="{67915AD0-5CE6-4B93-BBB0-3D5B740B1700}"/>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11" name="AutoShape 14">
          <a:extLst>
            <a:ext uri="{FF2B5EF4-FFF2-40B4-BE49-F238E27FC236}">
              <a16:creationId xmlns:a16="http://schemas.microsoft.com/office/drawing/2014/main" id="{FA7BE70E-DF6F-47AE-99EC-EDCADF0147A6}"/>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17</xdr:row>
      <xdr:rowOff>0</xdr:rowOff>
    </xdr:from>
    <xdr:ext cx="304800" cy="300990"/>
    <xdr:sp macro="" textlink="">
      <xdr:nvSpPr>
        <xdr:cNvPr id="12" name="AutoShape 15">
          <a:extLst>
            <a:ext uri="{FF2B5EF4-FFF2-40B4-BE49-F238E27FC236}">
              <a16:creationId xmlns:a16="http://schemas.microsoft.com/office/drawing/2014/main" id="{D021C05E-95AB-4736-841C-2076E8AEF5F4}"/>
            </a:ext>
          </a:extLst>
        </xdr:cNvPr>
        <xdr:cNvSpPr>
          <a:spLocks noChangeAspect="1" noChangeArrowheads="1"/>
        </xdr:cNvSpPr>
      </xdr:nvSpPr>
      <xdr:spPr bwMode="auto">
        <a:xfrm>
          <a:off x="12801600" y="3238500"/>
          <a:ext cx="304800" cy="30099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119</xdr:row>
      <xdr:rowOff>0</xdr:rowOff>
    </xdr:from>
    <xdr:ext cx="304800" cy="304800"/>
    <xdr:sp macro="" textlink="">
      <xdr:nvSpPr>
        <xdr:cNvPr id="13" name="AutoShape 16">
          <a:extLst>
            <a:ext uri="{FF2B5EF4-FFF2-40B4-BE49-F238E27FC236}">
              <a16:creationId xmlns:a16="http://schemas.microsoft.com/office/drawing/2014/main" id="{F957C2FB-002C-4521-B019-0A132E3B807F}"/>
            </a:ext>
          </a:extLst>
        </xdr:cNvPr>
        <xdr:cNvSpPr>
          <a:spLocks noChangeAspect="1" noChangeArrowheads="1"/>
        </xdr:cNvSpPr>
      </xdr:nvSpPr>
      <xdr:spPr bwMode="auto">
        <a:xfrm>
          <a:off x="12801600" y="2571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132</xdr:row>
      <xdr:rowOff>0</xdr:rowOff>
    </xdr:from>
    <xdr:ext cx="304800" cy="293370"/>
    <xdr:sp macro="" textlink="">
      <xdr:nvSpPr>
        <xdr:cNvPr id="14" name="AutoShape 17">
          <a:extLst>
            <a:ext uri="{FF2B5EF4-FFF2-40B4-BE49-F238E27FC236}">
              <a16:creationId xmlns:a16="http://schemas.microsoft.com/office/drawing/2014/main" id="{F0C4EE09-4AF8-42FE-9E25-3361AE779494}"/>
            </a:ext>
          </a:extLst>
        </xdr:cNvPr>
        <xdr:cNvSpPr>
          <a:spLocks noChangeAspect="1" noChangeArrowheads="1"/>
        </xdr:cNvSpPr>
      </xdr:nvSpPr>
      <xdr:spPr bwMode="auto">
        <a:xfrm>
          <a:off x="12801600" y="28194000"/>
          <a:ext cx="304800" cy="29337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23850"/>
    <xdr:sp macro="" textlink="">
      <xdr:nvSpPr>
        <xdr:cNvPr id="15" name="AutoShape 18">
          <a:extLst>
            <a:ext uri="{FF2B5EF4-FFF2-40B4-BE49-F238E27FC236}">
              <a16:creationId xmlns:a16="http://schemas.microsoft.com/office/drawing/2014/main" id="{8FE118B2-0667-4B73-B0A8-96C4637FD5A0}"/>
            </a:ext>
          </a:extLst>
        </xdr:cNvPr>
        <xdr:cNvSpPr>
          <a:spLocks noChangeAspect="1" noChangeArrowheads="1"/>
        </xdr:cNvSpPr>
      </xdr:nvSpPr>
      <xdr:spPr bwMode="auto">
        <a:xfrm>
          <a:off x="12801600" y="28575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23850"/>
    <xdr:sp macro="" textlink="">
      <xdr:nvSpPr>
        <xdr:cNvPr id="16" name="AutoShape 19">
          <a:extLst>
            <a:ext uri="{FF2B5EF4-FFF2-40B4-BE49-F238E27FC236}">
              <a16:creationId xmlns:a16="http://schemas.microsoft.com/office/drawing/2014/main" id="{F65EB9E6-8FE4-4D91-8CC6-1F6615BB662A}"/>
            </a:ext>
          </a:extLst>
        </xdr:cNvPr>
        <xdr:cNvSpPr>
          <a:spLocks noChangeAspect="1" noChangeArrowheads="1"/>
        </xdr:cNvSpPr>
      </xdr:nvSpPr>
      <xdr:spPr bwMode="auto">
        <a:xfrm>
          <a:off x="12801600" y="28575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25</xdr:col>
      <xdr:colOff>0</xdr:colOff>
      <xdr:row>134</xdr:row>
      <xdr:rowOff>0</xdr:rowOff>
    </xdr:from>
    <xdr:ext cx="304800" cy="323850"/>
    <xdr:sp macro="" textlink="">
      <xdr:nvSpPr>
        <xdr:cNvPr id="17" name="AutoShape 20">
          <a:extLst>
            <a:ext uri="{FF2B5EF4-FFF2-40B4-BE49-F238E27FC236}">
              <a16:creationId xmlns:a16="http://schemas.microsoft.com/office/drawing/2014/main" id="{4B3B4D57-1089-4A09-A10E-71BABAF1B286}"/>
            </a:ext>
          </a:extLst>
        </xdr:cNvPr>
        <xdr:cNvSpPr>
          <a:spLocks noChangeAspect="1" noChangeArrowheads="1"/>
        </xdr:cNvSpPr>
      </xdr:nvSpPr>
      <xdr:spPr bwMode="auto">
        <a:xfrm>
          <a:off x="15240000" y="28575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25</xdr:col>
      <xdr:colOff>0</xdr:colOff>
      <xdr:row>134</xdr:row>
      <xdr:rowOff>0</xdr:rowOff>
    </xdr:from>
    <xdr:ext cx="304800" cy="323850"/>
    <xdr:sp macro="" textlink="">
      <xdr:nvSpPr>
        <xdr:cNvPr id="18" name="AutoShape 21">
          <a:extLst>
            <a:ext uri="{FF2B5EF4-FFF2-40B4-BE49-F238E27FC236}">
              <a16:creationId xmlns:a16="http://schemas.microsoft.com/office/drawing/2014/main" id="{52AF9ABE-8AF0-45C2-878E-1C34E7DB5595}"/>
            </a:ext>
          </a:extLst>
        </xdr:cNvPr>
        <xdr:cNvSpPr>
          <a:spLocks noChangeAspect="1" noChangeArrowheads="1"/>
        </xdr:cNvSpPr>
      </xdr:nvSpPr>
      <xdr:spPr bwMode="auto">
        <a:xfrm>
          <a:off x="15240000" y="28575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25</xdr:col>
      <xdr:colOff>0</xdr:colOff>
      <xdr:row>134</xdr:row>
      <xdr:rowOff>0</xdr:rowOff>
    </xdr:from>
    <xdr:ext cx="304800" cy="323850"/>
    <xdr:sp macro="" textlink="">
      <xdr:nvSpPr>
        <xdr:cNvPr id="19" name="AutoShape 22">
          <a:extLst>
            <a:ext uri="{FF2B5EF4-FFF2-40B4-BE49-F238E27FC236}">
              <a16:creationId xmlns:a16="http://schemas.microsoft.com/office/drawing/2014/main" id="{9AD74AF8-23A0-4997-9029-7666D41C83A7}"/>
            </a:ext>
          </a:extLst>
        </xdr:cNvPr>
        <xdr:cNvSpPr>
          <a:spLocks noChangeAspect="1" noChangeArrowheads="1"/>
        </xdr:cNvSpPr>
      </xdr:nvSpPr>
      <xdr:spPr bwMode="auto">
        <a:xfrm>
          <a:off x="15240000" y="28575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25</xdr:col>
      <xdr:colOff>0</xdr:colOff>
      <xdr:row>134</xdr:row>
      <xdr:rowOff>0</xdr:rowOff>
    </xdr:from>
    <xdr:ext cx="304800" cy="323850"/>
    <xdr:sp macro="" textlink="">
      <xdr:nvSpPr>
        <xdr:cNvPr id="20" name="AutoShape 23">
          <a:extLst>
            <a:ext uri="{FF2B5EF4-FFF2-40B4-BE49-F238E27FC236}">
              <a16:creationId xmlns:a16="http://schemas.microsoft.com/office/drawing/2014/main" id="{20AABE58-20D0-4039-A089-8703E3CAD65E}"/>
            </a:ext>
          </a:extLst>
        </xdr:cNvPr>
        <xdr:cNvSpPr>
          <a:spLocks noChangeAspect="1" noChangeArrowheads="1"/>
        </xdr:cNvSpPr>
      </xdr:nvSpPr>
      <xdr:spPr bwMode="auto">
        <a:xfrm>
          <a:off x="15240000" y="28575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23850"/>
    <xdr:sp macro="" textlink="">
      <xdr:nvSpPr>
        <xdr:cNvPr id="21" name="AutoShape 24">
          <a:extLst>
            <a:ext uri="{FF2B5EF4-FFF2-40B4-BE49-F238E27FC236}">
              <a16:creationId xmlns:a16="http://schemas.microsoft.com/office/drawing/2014/main" id="{4A75B9FF-85DC-4E8E-AC57-CC94EFE77A7A}"/>
            </a:ext>
          </a:extLst>
        </xdr:cNvPr>
        <xdr:cNvSpPr>
          <a:spLocks noChangeAspect="1" noChangeArrowheads="1"/>
        </xdr:cNvSpPr>
      </xdr:nvSpPr>
      <xdr:spPr bwMode="auto">
        <a:xfrm>
          <a:off x="12801600" y="28575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21945"/>
    <xdr:sp macro="" textlink="">
      <xdr:nvSpPr>
        <xdr:cNvPr id="22" name="AutoShape 25">
          <a:extLst>
            <a:ext uri="{FF2B5EF4-FFF2-40B4-BE49-F238E27FC236}">
              <a16:creationId xmlns:a16="http://schemas.microsoft.com/office/drawing/2014/main" id="{289EF045-AF29-4963-A771-24E299067BDD}"/>
            </a:ext>
          </a:extLst>
        </xdr:cNvPr>
        <xdr:cNvSpPr>
          <a:spLocks noChangeAspect="1" noChangeArrowheads="1"/>
        </xdr:cNvSpPr>
      </xdr:nvSpPr>
      <xdr:spPr bwMode="auto">
        <a:xfrm>
          <a:off x="12801600" y="28575000"/>
          <a:ext cx="304800" cy="32194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136</xdr:row>
      <xdr:rowOff>0</xdr:rowOff>
    </xdr:from>
    <xdr:ext cx="304800" cy="323850"/>
    <xdr:sp macro="" textlink="">
      <xdr:nvSpPr>
        <xdr:cNvPr id="23" name="AutoShape 26">
          <a:extLst>
            <a:ext uri="{FF2B5EF4-FFF2-40B4-BE49-F238E27FC236}">
              <a16:creationId xmlns:a16="http://schemas.microsoft.com/office/drawing/2014/main" id="{513CE191-707E-4409-A393-45ED0CD7F8FD}"/>
            </a:ext>
          </a:extLst>
        </xdr:cNvPr>
        <xdr:cNvSpPr>
          <a:spLocks noChangeAspect="1" noChangeArrowheads="1"/>
        </xdr:cNvSpPr>
      </xdr:nvSpPr>
      <xdr:spPr bwMode="auto">
        <a:xfrm>
          <a:off x="12801600" y="28956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138</xdr:row>
      <xdr:rowOff>0</xdr:rowOff>
    </xdr:from>
    <xdr:ext cx="304800" cy="323850"/>
    <xdr:sp macro="" textlink="">
      <xdr:nvSpPr>
        <xdr:cNvPr id="24" name="AutoShape 27">
          <a:extLst>
            <a:ext uri="{FF2B5EF4-FFF2-40B4-BE49-F238E27FC236}">
              <a16:creationId xmlns:a16="http://schemas.microsoft.com/office/drawing/2014/main" id="{1C8FE751-89E5-4E05-B54D-F97BAE22C500}"/>
            </a:ext>
          </a:extLst>
        </xdr:cNvPr>
        <xdr:cNvSpPr>
          <a:spLocks noChangeAspect="1" noChangeArrowheads="1"/>
        </xdr:cNvSpPr>
      </xdr:nvSpPr>
      <xdr:spPr bwMode="auto">
        <a:xfrm>
          <a:off x="12801600" y="29337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138</xdr:row>
      <xdr:rowOff>0</xdr:rowOff>
    </xdr:from>
    <xdr:ext cx="304800" cy="323850"/>
    <xdr:sp macro="" textlink="">
      <xdr:nvSpPr>
        <xdr:cNvPr id="25" name="AutoShape 28">
          <a:extLst>
            <a:ext uri="{FF2B5EF4-FFF2-40B4-BE49-F238E27FC236}">
              <a16:creationId xmlns:a16="http://schemas.microsoft.com/office/drawing/2014/main" id="{03C8B74B-CC01-4A52-A790-20162FD977B4}"/>
            </a:ext>
          </a:extLst>
        </xdr:cNvPr>
        <xdr:cNvSpPr>
          <a:spLocks noChangeAspect="1" noChangeArrowheads="1"/>
        </xdr:cNvSpPr>
      </xdr:nvSpPr>
      <xdr:spPr bwMode="auto">
        <a:xfrm>
          <a:off x="12801600" y="29337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138</xdr:row>
      <xdr:rowOff>0</xdr:rowOff>
    </xdr:from>
    <xdr:ext cx="304800" cy="323850"/>
    <xdr:sp macro="" textlink="">
      <xdr:nvSpPr>
        <xdr:cNvPr id="26" name="AutoShape 29" descr="Profile picture of Jaclyn Lee Youngman.">
          <a:extLst>
            <a:ext uri="{FF2B5EF4-FFF2-40B4-BE49-F238E27FC236}">
              <a16:creationId xmlns:a16="http://schemas.microsoft.com/office/drawing/2014/main" id="{05DE80B1-3533-4596-81FC-F3281B5D91F6}"/>
            </a:ext>
          </a:extLst>
        </xdr:cNvPr>
        <xdr:cNvSpPr>
          <a:spLocks noChangeAspect="1" noChangeArrowheads="1"/>
        </xdr:cNvSpPr>
      </xdr:nvSpPr>
      <xdr:spPr bwMode="auto">
        <a:xfrm>
          <a:off x="12801600" y="2933700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77</xdr:row>
      <xdr:rowOff>0</xdr:rowOff>
    </xdr:from>
    <xdr:ext cx="304800" cy="304800"/>
    <xdr:sp macro="" textlink="">
      <xdr:nvSpPr>
        <xdr:cNvPr id="27" name="AutoShape 16">
          <a:extLst>
            <a:ext uri="{FF2B5EF4-FFF2-40B4-BE49-F238E27FC236}">
              <a16:creationId xmlns:a16="http://schemas.microsoft.com/office/drawing/2014/main" id="{AF38D2CE-E3E1-4D95-ABEE-BB394DCB69F9}"/>
            </a:ext>
          </a:extLst>
        </xdr:cNvPr>
        <xdr:cNvSpPr>
          <a:spLocks noChangeAspect="1" noChangeArrowheads="1"/>
        </xdr:cNvSpPr>
      </xdr:nvSpPr>
      <xdr:spPr bwMode="auto">
        <a:xfrm>
          <a:off x="12801600" y="177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66</xdr:row>
      <xdr:rowOff>0</xdr:rowOff>
    </xdr:from>
    <xdr:ext cx="304800" cy="304800"/>
    <xdr:sp macro="" textlink="">
      <xdr:nvSpPr>
        <xdr:cNvPr id="28" name="AutoShape 17">
          <a:extLst>
            <a:ext uri="{FF2B5EF4-FFF2-40B4-BE49-F238E27FC236}">
              <a16:creationId xmlns:a16="http://schemas.microsoft.com/office/drawing/2014/main" id="{98917DD4-076B-4E6A-BCC6-45570F73A1C2}"/>
            </a:ext>
          </a:extLst>
        </xdr:cNvPr>
        <xdr:cNvSpPr>
          <a:spLocks noChangeAspect="1" noChangeArrowheads="1"/>
        </xdr:cNvSpPr>
      </xdr:nvSpPr>
      <xdr:spPr bwMode="auto">
        <a:xfrm>
          <a:off x="1280160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29" name="AutoShape 18">
          <a:extLst>
            <a:ext uri="{FF2B5EF4-FFF2-40B4-BE49-F238E27FC236}">
              <a16:creationId xmlns:a16="http://schemas.microsoft.com/office/drawing/2014/main" id="{5C9851A5-8300-40E0-A256-1AB6EDA881B3}"/>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30" name="AutoShape 19">
          <a:extLst>
            <a:ext uri="{FF2B5EF4-FFF2-40B4-BE49-F238E27FC236}">
              <a16:creationId xmlns:a16="http://schemas.microsoft.com/office/drawing/2014/main" id="{19AF1D47-9C05-4A7F-8091-3A557D69728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31" name="AutoShape 20">
          <a:extLst>
            <a:ext uri="{FF2B5EF4-FFF2-40B4-BE49-F238E27FC236}">
              <a16:creationId xmlns:a16="http://schemas.microsoft.com/office/drawing/2014/main" id="{15F19CE8-E784-4745-863D-C3483FF0C0F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32" name="AutoShape 21">
          <a:extLst>
            <a:ext uri="{FF2B5EF4-FFF2-40B4-BE49-F238E27FC236}">
              <a16:creationId xmlns:a16="http://schemas.microsoft.com/office/drawing/2014/main" id="{47018782-38A7-49EB-9531-B46F2C70AD0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33" name="AutoShape 22">
          <a:extLst>
            <a:ext uri="{FF2B5EF4-FFF2-40B4-BE49-F238E27FC236}">
              <a16:creationId xmlns:a16="http://schemas.microsoft.com/office/drawing/2014/main" id="{2B15DD16-9442-4E81-8E08-3866A3C0E2A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34" name="AutoShape 23">
          <a:extLst>
            <a:ext uri="{FF2B5EF4-FFF2-40B4-BE49-F238E27FC236}">
              <a16:creationId xmlns:a16="http://schemas.microsoft.com/office/drawing/2014/main" id="{B2347F2F-FC0D-4061-81A0-D7AF2DB8CE4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35" name="AutoShape 24">
          <a:extLst>
            <a:ext uri="{FF2B5EF4-FFF2-40B4-BE49-F238E27FC236}">
              <a16:creationId xmlns:a16="http://schemas.microsoft.com/office/drawing/2014/main" id="{99704445-75CB-46F7-8DBE-A1A62376D46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 name="AutoShape 20">
          <a:extLst>
            <a:ext uri="{FF2B5EF4-FFF2-40B4-BE49-F238E27FC236}">
              <a16:creationId xmlns:a16="http://schemas.microsoft.com/office/drawing/2014/main" id="{8850CEB3-9C24-4A39-AC48-AE365FA2004F}"/>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90</xdr:row>
      <xdr:rowOff>0</xdr:rowOff>
    </xdr:from>
    <xdr:ext cx="304800" cy="304800"/>
    <xdr:sp macro="" textlink="">
      <xdr:nvSpPr>
        <xdr:cNvPr id="37" name="AutoShape 21">
          <a:extLst>
            <a:ext uri="{FF2B5EF4-FFF2-40B4-BE49-F238E27FC236}">
              <a16:creationId xmlns:a16="http://schemas.microsoft.com/office/drawing/2014/main" id="{E7777112-417C-40BE-B5B3-240C8DD3695E}"/>
            </a:ext>
          </a:extLst>
        </xdr:cNvPr>
        <xdr:cNvSpPr>
          <a:spLocks noChangeAspect="1" noChangeArrowheads="1"/>
        </xdr:cNvSpPr>
      </xdr:nvSpPr>
      <xdr:spPr bwMode="auto">
        <a:xfrm>
          <a:off x="12801600" y="201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90</xdr:row>
      <xdr:rowOff>0</xdr:rowOff>
    </xdr:from>
    <xdr:ext cx="304800" cy="304800"/>
    <xdr:sp macro="" textlink="">
      <xdr:nvSpPr>
        <xdr:cNvPr id="38" name="AutoShape 22">
          <a:extLst>
            <a:ext uri="{FF2B5EF4-FFF2-40B4-BE49-F238E27FC236}">
              <a16:creationId xmlns:a16="http://schemas.microsoft.com/office/drawing/2014/main" id="{82279BB7-C068-491F-A429-967C81C1EEF9}"/>
            </a:ext>
          </a:extLst>
        </xdr:cNvPr>
        <xdr:cNvSpPr>
          <a:spLocks noChangeAspect="1" noChangeArrowheads="1"/>
        </xdr:cNvSpPr>
      </xdr:nvSpPr>
      <xdr:spPr bwMode="auto">
        <a:xfrm>
          <a:off x="12801600" y="201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90</xdr:row>
      <xdr:rowOff>0</xdr:rowOff>
    </xdr:from>
    <xdr:ext cx="304800" cy="304800"/>
    <xdr:sp macro="" textlink="">
      <xdr:nvSpPr>
        <xdr:cNvPr id="39" name="AutoShape 23">
          <a:extLst>
            <a:ext uri="{FF2B5EF4-FFF2-40B4-BE49-F238E27FC236}">
              <a16:creationId xmlns:a16="http://schemas.microsoft.com/office/drawing/2014/main" id="{00229C01-B890-4EAC-8106-07C6A8D8E261}"/>
            </a:ext>
          </a:extLst>
        </xdr:cNvPr>
        <xdr:cNvSpPr>
          <a:spLocks noChangeAspect="1" noChangeArrowheads="1"/>
        </xdr:cNvSpPr>
      </xdr:nvSpPr>
      <xdr:spPr bwMode="auto">
        <a:xfrm>
          <a:off x="12801600" y="201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40" name="AutoShape 16">
          <a:extLst>
            <a:ext uri="{FF2B5EF4-FFF2-40B4-BE49-F238E27FC236}">
              <a16:creationId xmlns:a16="http://schemas.microsoft.com/office/drawing/2014/main" id="{B1FF65C8-337B-47E2-AF93-EB6543BC46F1}"/>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75</xdr:row>
      <xdr:rowOff>0</xdr:rowOff>
    </xdr:from>
    <xdr:ext cx="304800" cy="304800"/>
    <xdr:sp macro="" textlink="">
      <xdr:nvSpPr>
        <xdr:cNvPr id="41" name="AutoShape 17">
          <a:extLst>
            <a:ext uri="{FF2B5EF4-FFF2-40B4-BE49-F238E27FC236}">
              <a16:creationId xmlns:a16="http://schemas.microsoft.com/office/drawing/2014/main" id="{A76EA956-3C39-4F32-8948-69323B4B2B0F}"/>
            </a:ext>
          </a:extLst>
        </xdr:cNvPr>
        <xdr:cNvSpPr>
          <a:spLocks noChangeAspect="1" noChangeArrowheads="1"/>
        </xdr:cNvSpPr>
      </xdr:nvSpPr>
      <xdr:spPr bwMode="auto">
        <a:xfrm>
          <a:off x="12801600" y="1733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76</xdr:row>
      <xdr:rowOff>0</xdr:rowOff>
    </xdr:from>
    <xdr:ext cx="304800" cy="304800"/>
    <xdr:sp macro="" textlink="">
      <xdr:nvSpPr>
        <xdr:cNvPr id="42" name="AutoShape 18">
          <a:extLst>
            <a:ext uri="{FF2B5EF4-FFF2-40B4-BE49-F238E27FC236}">
              <a16:creationId xmlns:a16="http://schemas.microsoft.com/office/drawing/2014/main" id="{3F9AD6A8-26D8-4646-B568-7AC9B7D61C69}"/>
            </a:ext>
          </a:extLst>
        </xdr:cNvPr>
        <xdr:cNvSpPr>
          <a:spLocks noChangeAspect="1" noChangeArrowheads="1"/>
        </xdr:cNvSpPr>
      </xdr:nvSpPr>
      <xdr:spPr bwMode="auto">
        <a:xfrm>
          <a:off x="12801600"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34</xdr:row>
      <xdr:rowOff>0</xdr:rowOff>
    </xdr:from>
    <xdr:ext cx="304800" cy="304800"/>
    <xdr:sp macro="" textlink="">
      <xdr:nvSpPr>
        <xdr:cNvPr id="43" name="AutoShape 20">
          <a:extLst>
            <a:ext uri="{FF2B5EF4-FFF2-40B4-BE49-F238E27FC236}">
              <a16:creationId xmlns:a16="http://schemas.microsoft.com/office/drawing/2014/main" id="{4E672112-AE5A-4B3E-A5E8-E18BE5E72DB9}"/>
            </a:ext>
          </a:extLst>
        </xdr:cNvPr>
        <xdr:cNvSpPr>
          <a:spLocks noChangeAspect="1" noChangeArrowheads="1"/>
        </xdr:cNvSpPr>
      </xdr:nvSpPr>
      <xdr:spPr bwMode="auto">
        <a:xfrm>
          <a:off x="609600" y="952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42</xdr:row>
      <xdr:rowOff>0</xdr:rowOff>
    </xdr:from>
    <xdr:ext cx="304800" cy="304800"/>
    <xdr:sp macro="" textlink="">
      <xdr:nvSpPr>
        <xdr:cNvPr id="44" name="AutoShape 21">
          <a:extLst>
            <a:ext uri="{FF2B5EF4-FFF2-40B4-BE49-F238E27FC236}">
              <a16:creationId xmlns:a16="http://schemas.microsoft.com/office/drawing/2014/main" id="{2E34D029-08ED-401F-830C-736DC3C31B78}"/>
            </a:ext>
          </a:extLst>
        </xdr:cNvPr>
        <xdr:cNvSpPr>
          <a:spLocks noChangeAspect="1" noChangeArrowheads="1"/>
        </xdr:cNvSpPr>
      </xdr:nvSpPr>
      <xdr:spPr bwMode="auto">
        <a:xfrm>
          <a:off x="609600" y="1104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76</xdr:row>
      <xdr:rowOff>0</xdr:rowOff>
    </xdr:from>
    <xdr:ext cx="304800" cy="304800"/>
    <xdr:sp macro="" textlink="">
      <xdr:nvSpPr>
        <xdr:cNvPr id="45" name="AutoShape 17">
          <a:extLst>
            <a:ext uri="{FF2B5EF4-FFF2-40B4-BE49-F238E27FC236}">
              <a16:creationId xmlns:a16="http://schemas.microsoft.com/office/drawing/2014/main" id="{C368C8FF-B207-4823-8B0C-877C99649D8A}"/>
            </a:ext>
          </a:extLst>
        </xdr:cNvPr>
        <xdr:cNvSpPr>
          <a:spLocks noChangeAspect="1" noChangeArrowheads="1"/>
        </xdr:cNvSpPr>
      </xdr:nvSpPr>
      <xdr:spPr bwMode="auto">
        <a:xfrm>
          <a:off x="12801600" y="1752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77</xdr:row>
      <xdr:rowOff>0</xdr:rowOff>
    </xdr:from>
    <xdr:ext cx="304800" cy="304800"/>
    <xdr:sp macro="" textlink="">
      <xdr:nvSpPr>
        <xdr:cNvPr id="46" name="AutoShape 18">
          <a:extLst>
            <a:ext uri="{FF2B5EF4-FFF2-40B4-BE49-F238E27FC236}">
              <a16:creationId xmlns:a16="http://schemas.microsoft.com/office/drawing/2014/main" id="{95F8165B-467D-4941-8739-FDD840F5E139}"/>
            </a:ext>
          </a:extLst>
        </xdr:cNvPr>
        <xdr:cNvSpPr>
          <a:spLocks noChangeAspect="1" noChangeArrowheads="1"/>
        </xdr:cNvSpPr>
      </xdr:nvSpPr>
      <xdr:spPr bwMode="auto">
        <a:xfrm>
          <a:off x="12801600" y="177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77</xdr:row>
      <xdr:rowOff>0</xdr:rowOff>
    </xdr:from>
    <xdr:ext cx="304800" cy="304800"/>
    <xdr:sp macro="" textlink="">
      <xdr:nvSpPr>
        <xdr:cNvPr id="47" name="AutoShape 17">
          <a:extLst>
            <a:ext uri="{FF2B5EF4-FFF2-40B4-BE49-F238E27FC236}">
              <a16:creationId xmlns:a16="http://schemas.microsoft.com/office/drawing/2014/main" id="{6A0E4EDF-AFBC-4591-8E71-75D11ABC419F}"/>
            </a:ext>
          </a:extLst>
        </xdr:cNvPr>
        <xdr:cNvSpPr>
          <a:spLocks noChangeAspect="1" noChangeArrowheads="1"/>
        </xdr:cNvSpPr>
      </xdr:nvSpPr>
      <xdr:spPr bwMode="auto">
        <a:xfrm>
          <a:off x="12801600" y="177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48" name="AutoShape 18">
          <a:extLst>
            <a:ext uri="{FF2B5EF4-FFF2-40B4-BE49-F238E27FC236}">
              <a16:creationId xmlns:a16="http://schemas.microsoft.com/office/drawing/2014/main" id="{EF86AC69-5CDF-4DBD-A0C8-DC27F1DD9FD8}"/>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49" name="AutoShape 17">
          <a:extLst>
            <a:ext uri="{FF2B5EF4-FFF2-40B4-BE49-F238E27FC236}">
              <a16:creationId xmlns:a16="http://schemas.microsoft.com/office/drawing/2014/main" id="{E7A728F5-3CBC-4095-92D2-EF2BF796B15F}"/>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50" name="AutoShape 17">
          <a:extLst>
            <a:ext uri="{FF2B5EF4-FFF2-40B4-BE49-F238E27FC236}">
              <a16:creationId xmlns:a16="http://schemas.microsoft.com/office/drawing/2014/main" id="{6A29984C-60AB-4B6B-89D4-F024D69E672F}"/>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1" name="AutoShape 18">
          <a:extLst>
            <a:ext uri="{FF2B5EF4-FFF2-40B4-BE49-F238E27FC236}">
              <a16:creationId xmlns:a16="http://schemas.microsoft.com/office/drawing/2014/main" id="{AEBE6C8F-16A7-416D-BF44-EF897DB93B5D}"/>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2" name="AutoShape 17">
          <a:extLst>
            <a:ext uri="{FF2B5EF4-FFF2-40B4-BE49-F238E27FC236}">
              <a16:creationId xmlns:a16="http://schemas.microsoft.com/office/drawing/2014/main" id="{313B34BE-79C1-4AE8-B4F1-544ECB2FC6BE}"/>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3" name="AutoShape 17">
          <a:extLst>
            <a:ext uri="{FF2B5EF4-FFF2-40B4-BE49-F238E27FC236}">
              <a16:creationId xmlns:a16="http://schemas.microsoft.com/office/drawing/2014/main" id="{64171731-64A7-4366-946D-56F101B8FD88}"/>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4" name="AutoShape 18">
          <a:extLst>
            <a:ext uri="{FF2B5EF4-FFF2-40B4-BE49-F238E27FC236}">
              <a16:creationId xmlns:a16="http://schemas.microsoft.com/office/drawing/2014/main" id="{66A26DAD-A994-4B2A-8DFB-F0D17EB026F4}"/>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5" name="AutoShape 17">
          <a:extLst>
            <a:ext uri="{FF2B5EF4-FFF2-40B4-BE49-F238E27FC236}">
              <a16:creationId xmlns:a16="http://schemas.microsoft.com/office/drawing/2014/main" id="{B9389BBD-5C83-4503-B566-FA5394B3FF4B}"/>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6" name="AutoShape 17">
          <a:extLst>
            <a:ext uri="{FF2B5EF4-FFF2-40B4-BE49-F238E27FC236}">
              <a16:creationId xmlns:a16="http://schemas.microsoft.com/office/drawing/2014/main" id="{A08FD722-768D-4E86-8683-4EF0D95AF472}"/>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7" name="AutoShape 18">
          <a:extLst>
            <a:ext uri="{FF2B5EF4-FFF2-40B4-BE49-F238E27FC236}">
              <a16:creationId xmlns:a16="http://schemas.microsoft.com/office/drawing/2014/main" id="{AAD9B40D-41A0-41F0-A56C-9874EE0ECC7C}"/>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8" name="AutoShape 17">
          <a:extLst>
            <a:ext uri="{FF2B5EF4-FFF2-40B4-BE49-F238E27FC236}">
              <a16:creationId xmlns:a16="http://schemas.microsoft.com/office/drawing/2014/main" id="{0500DF63-5935-4EE6-A8DB-C51E8FF48FB9}"/>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59" name="AutoShape 17">
          <a:extLst>
            <a:ext uri="{FF2B5EF4-FFF2-40B4-BE49-F238E27FC236}">
              <a16:creationId xmlns:a16="http://schemas.microsoft.com/office/drawing/2014/main" id="{591D3B89-C9A2-4DF4-9623-9563B4494526}"/>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90</xdr:row>
      <xdr:rowOff>0</xdr:rowOff>
    </xdr:from>
    <xdr:ext cx="304800" cy="304800"/>
    <xdr:sp macro="" textlink="">
      <xdr:nvSpPr>
        <xdr:cNvPr id="60" name="AutoShape 18">
          <a:extLst>
            <a:ext uri="{FF2B5EF4-FFF2-40B4-BE49-F238E27FC236}">
              <a16:creationId xmlns:a16="http://schemas.microsoft.com/office/drawing/2014/main" id="{3F98E034-4514-4AC1-BED6-AFFD4303043A}"/>
            </a:ext>
          </a:extLst>
        </xdr:cNvPr>
        <xdr:cNvSpPr>
          <a:spLocks noChangeAspect="1" noChangeArrowheads="1"/>
        </xdr:cNvSpPr>
      </xdr:nvSpPr>
      <xdr:spPr bwMode="auto">
        <a:xfrm>
          <a:off x="12801600" y="201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90</xdr:row>
      <xdr:rowOff>0</xdr:rowOff>
    </xdr:from>
    <xdr:ext cx="304800" cy="304800"/>
    <xdr:sp macro="" textlink="">
      <xdr:nvSpPr>
        <xdr:cNvPr id="61" name="AutoShape 17">
          <a:extLst>
            <a:ext uri="{FF2B5EF4-FFF2-40B4-BE49-F238E27FC236}">
              <a16:creationId xmlns:a16="http://schemas.microsoft.com/office/drawing/2014/main" id="{D4D94D5E-A472-4F97-972C-1D8718B1CCC9}"/>
            </a:ext>
          </a:extLst>
        </xdr:cNvPr>
        <xdr:cNvSpPr>
          <a:spLocks noChangeAspect="1" noChangeArrowheads="1"/>
        </xdr:cNvSpPr>
      </xdr:nvSpPr>
      <xdr:spPr bwMode="auto">
        <a:xfrm>
          <a:off x="12801600" y="201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90</xdr:row>
      <xdr:rowOff>0</xdr:rowOff>
    </xdr:from>
    <xdr:ext cx="304800" cy="304800"/>
    <xdr:sp macro="" textlink="">
      <xdr:nvSpPr>
        <xdr:cNvPr id="62" name="AutoShape 17">
          <a:extLst>
            <a:ext uri="{FF2B5EF4-FFF2-40B4-BE49-F238E27FC236}">
              <a16:creationId xmlns:a16="http://schemas.microsoft.com/office/drawing/2014/main" id="{3CF75DA2-F5D8-4D0C-9505-D4B5CEEEF5F4}"/>
            </a:ext>
          </a:extLst>
        </xdr:cNvPr>
        <xdr:cNvSpPr>
          <a:spLocks noChangeAspect="1" noChangeArrowheads="1"/>
        </xdr:cNvSpPr>
      </xdr:nvSpPr>
      <xdr:spPr bwMode="auto">
        <a:xfrm>
          <a:off x="12801600" y="2019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91</xdr:row>
      <xdr:rowOff>0</xdr:rowOff>
    </xdr:from>
    <xdr:ext cx="304800" cy="304800"/>
    <xdr:sp macro="" textlink="">
      <xdr:nvSpPr>
        <xdr:cNvPr id="63" name="AutoShape 18">
          <a:extLst>
            <a:ext uri="{FF2B5EF4-FFF2-40B4-BE49-F238E27FC236}">
              <a16:creationId xmlns:a16="http://schemas.microsoft.com/office/drawing/2014/main" id="{9C704252-4844-4B8C-912B-15B3CDF1E9CB}"/>
            </a:ext>
          </a:extLst>
        </xdr:cNvPr>
        <xdr:cNvSpPr>
          <a:spLocks noChangeAspect="1" noChangeArrowheads="1"/>
        </xdr:cNvSpPr>
      </xdr:nvSpPr>
      <xdr:spPr bwMode="auto">
        <a:xfrm>
          <a:off x="12801600" y="203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91</xdr:row>
      <xdr:rowOff>0</xdr:rowOff>
    </xdr:from>
    <xdr:ext cx="304800" cy="304800"/>
    <xdr:sp macro="" textlink="">
      <xdr:nvSpPr>
        <xdr:cNvPr id="64" name="AutoShape 17">
          <a:extLst>
            <a:ext uri="{FF2B5EF4-FFF2-40B4-BE49-F238E27FC236}">
              <a16:creationId xmlns:a16="http://schemas.microsoft.com/office/drawing/2014/main" id="{345D0CBF-072D-48F8-BD12-46C55B81C629}"/>
            </a:ext>
          </a:extLst>
        </xdr:cNvPr>
        <xdr:cNvSpPr>
          <a:spLocks noChangeAspect="1" noChangeArrowheads="1"/>
        </xdr:cNvSpPr>
      </xdr:nvSpPr>
      <xdr:spPr bwMode="auto">
        <a:xfrm>
          <a:off x="12801600" y="203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91</xdr:row>
      <xdr:rowOff>0</xdr:rowOff>
    </xdr:from>
    <xdr:ext cx="304800" cy="304800"/>
    <xdr:sp macro="" textlink="">
      <xdr:nvSpPr>
        <xdr:cNvPr id="65" name="AutoShape 17">
          <a:extLst>
            <a:ext uri="{FF2B5EF4-FFF2-40B4-BE49-F238E27FC236}">
              <a16:creationId xmlns:a16="http://schemas.microsoft.com/office/drawing/2014/main" id="{8450863C-F0B1-4381-AC16-2844EFB8FFC3}"/>
            </a:ext>
          </a:extLst>
        </xdr:cNvPr>
        <xdr:cNvSpPr>
          <a:spLocks noChangeAspect="1" noChangeArrowheads="1"/>
        </xdr:cNvSpPr>
      </xdr:nvSpPr>
      <xdr:spPr bwMode="auto">
        <a:xfrm>
          <a:off x="12801600" y="2038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92</xdr:row>
      <xdr:rowOff>0</xdr:rowOff>
    </xdr:from>
    <xdr:ext cx="304800" cy="304800"/>
    <xdr:sp macro="" textlink="">
      <xdr:nvSpPr>
        <xdr:cNvPr id="66" name="AutoShape 18">
          <a:extLst>
            <a:ext uri="{FF2B5EF4-FFF2-40B4-BE49-F238E27FC236}">
              <a16:creationId xmlns:a16="http://schemas.microsoft.com/office/drawing/2014/main" id="{D85BF194-96B2-456C-A3B1-974F3AAAB2C1}"/>
            </a:ext>
          </a:extLst>
        </xdr:cNvPr>
        <xdr:cNvSpPr>
          <a:spLocks noChangeAspect="1" noChangeArrowheads="1"/>
        </xdr:cNvSpPr>
      </xdr:nvSpPr>
      <xdr:spPr bwMode="auto">
        <a:xfrm>
          <a:off x="12801600" y="205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92</xdr:row>
      <xdr:rowOff>0</xdr:rowOff>
    </xdr:from>
    <xdr:ext cx="304800" cy="304800"/>
    <xdr:sp macro="" textlink="">
      <xdr:nvSpPr>
        <xdr:cNvPr id="67" name="AutoShape 17">
          <a:extLst>
            <a:ext uri="{FF2B5EF4-FFF2-40B4-BE49-F238E27FC236}">
              <a16:creationId xmlns:a16="http://schemas.microsoft.com/office/drawing/2014/main" id="{98456330-AC8A-4A61-B6B2-47743627A941}"/>
            </a:ext>
          </a:extLst>
        </xdr:cNvPr>
        <xdr:cNvSpPr>
          <a:spLocks noChangeAspect="1" noChangeArrowheads="1"/>
        </xdr:cNvSpPr>
      </xdr:nvSpPr>
      <xdr:spPr bwMode="auto">
        <a:xfrm>
          <a:off x="12801600" y="205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92</xdr:row>
      <xdr:rowOff>0</xdr:rowOff>
    </xdr:from>
    <xdr:ext cx="304800" cy="304800"/>
    <xdr:sp macro="" textlink="">
      <xdr:nvSpPr>
        <xdr:cNvPr id="68" name="AutoShape 17">
          <a:extLst>
            <a:ext uri="{FF2B5EF4-FFF2-40B4-BE49-F238E27FC236}">
              <a16:creationId xmlns:a16="http://schemas.microsoft.com/office/drawing/2014/main" id="{822AAB2F-AC75-4596-87F9-9062027B8E71}"/>
            </a:ext>
          </a:extLst>
        </xdr:cNvPr>
        <xdr:cNvSpPr>
          <a:spLocks noChangeAspect="1" noChangeArrowheads="1"/>
        </xdr:cNvSpPr>
      </xdr:nvSpPr>
      <xdr:spPr bwMode="auto">
        <a:xfrm>
          <a:off x="12801600" y="2057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93</xdr:row>
      <xdr:rowOff>0</xdr:rowOff>
    </xdr:from>
    <xdr:ext cx="304800" cy="304800"/>
    <xdr:sp macro="" textlink="">
      <xdr:nvSpPr>
        <xdr:cNvPr id="69" name="AutoShape 18">
          <a:extLst>
            <a:ext uri="{FF2B5EF4-FFF2-40B4-BE49-F238E27FC236}">
              <a16:creationId xmlns:a16="http://schemas.microsoft.com/office/drawing/2014/main" id="{4DED8F74-E134-49EC-97F5-D7BC1B3828C6}"/>
            </a:ext>
          </a:extLst>
        </xdr:cNvPr>
        <xdr:cNvSpPr>
          <a:spLocks noChangeAspect="1" noChangeArrowheads="1"/>
        </xdr:cNvSpPr>
      </xdr:nvSpPr>
      <xdr:spPr bwMode="auto">
        <a:xfrm>
          <a:off x="12801600" y="207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93</xdr:row>
      <xdr:rowOff>0</xdr:rowOff>
    </xdr:from>
    <xdr:ext cx="304800" cy="304800"/>
    <xdr:sp macro="" textlink="">
      <xdr:nvSpPr>
        <xdr:cNvPr id="70" name="AutoShape 17">
          <a:extLst>
            <a:ext uri="{FF2B5EF4-FFF2-40B4-BE49-F238E27FC236}">
              <a16:creationId xmlns:a16="http://schemas.microsoft.com/office/drawing/2014/main" id="{99AE9242-C031-4408-BA18-E6BEFEC19AAA}"/>
            </a:ext>
          </a:extLst>
        </xdr:cNvPr>
        <xdr:cNvSpPr>
          <a:spLocks noChangeAspect="1" noChangeArrowheads="1"/>
        </xdr:cNvSpPr>
      </xdr:nvSpPr>
      <xdr:spPr bwMode="auto">
        <a:xfrm>
          <a:off x="12801600" y="207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93</xdr:row>
      <xdr:rowOff>0</xdr:rowOff>
    </xdr:from>
    <xdr:ext cx="304800" cy="304800"/>
    <xdr:sp macro="" textlink="">
      <xdr:nvSpPr>
        <xdr:cNvPr id="71" name="AutoShape 17">
          <a:extLst>
            <a:ext uri="{FF2B5EF4-FFF2-40B4-BE49-F238E27FC236}">
              <a16:creationId xmlns:a16="http://schemas.microsoft.com/office/drawing/2014/main" id="{CD91FFBC-1A40-4770-99DE-168DB97B6BD8}"/>
            </a:ext>
          </a:extLst>
        </xdr:cNvPr>
        <xdr:cNvSpPr>
          <a:spLocks noChangeAspect="1" noChangeArrowheads="1"/>
        </xdr:cNvSpPr>
      </xdr:nvSpPr>
      <xdr:spPr bwMode="auto">
        <a:xfrm>
          <a:off x="12801600" y="2076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95</xdr:row>
      <xdr:rowOff>0</xdr:rowOff>
    </xdr:from>
    <xdr:ext cx="304800" cy="304800"/>
    <xdr:sp macro="" textlink="">
      <xdr:nvSpPr>
        <xdr:cNvPr id="72" name="AutoShape 18">
          <a:extLst>
            <a:ext uri="{FF2B5EF4-FFF2-40B4-BE49-F238E27FC236}">
              <a16:creationId xmlns:a16="http://schemas.microsoft.com/office/drawing/2014/main" id="{5325931F-B70F-4C49-A7CC-D83A94142889}"/>
            </a:ext>
          </a:extLst>
        </xdr:cNvPr>
        <xdr:cNvSpPr>
          <a:spLocks noChangeAspect="1" noChangeArrowheads="1"/>
        </xdr:cNvSpPr>
      </xdr:nvSpPr>
      <xdr:spPr bwMode="auto">
        <a:xfrm>
          <a:off x="12801600" y="211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95</xdr:row>
      <xdr:rowOff>0</xdr:rowOff>
    </xdr:from>
    <xdr:ext cx="304800" cy="304800"/>
    <xdr:sp macro="" textlink="">
      <xdr:nvSpPr>
        <xdr:cNvPr id="73" name="AutoShape 17">
          <a:extLst>
            <a:ext uri="{FF2B5EF4-FFF2-40B4-BE49-F238E27FC236}">
              <a16:creationId xmlns:a16="http://schemas.microsoft.com/office/drawing/2014/main" id="{14AFF3E2-AB9A-47C5-98E7-8F11437E15C4}"/>
            </a:ext>
          </a:extLst>
        </xdr:cNvPr>
        <xdr:cNvSpPr>
          <a:spLocks noChangeAspect="1" noChangeArrowheads="1"/>
        </xdr:cNvSpPr>
      </xdr:nvSpPr>
      <xdr:spPr bwMode="auto">
        <a:xfrm>
          <a:off x="12801600" y="211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95</xdr:row>
      <xdr:rowOff>0</xdr:rowOff>
    </xdr:from>
    <xdr:ext cx="304800" cy="304800"/>
    <xdr:sp macro="" textlink="">
      <xdr:nvSpPr>
        <xdr:cNvPr id="74" name="AutoShape 17">
          <a:extLst>
            <a:ext uri="{FF2B5EF4-FFF2-40B4-BE49-F238E27FC236}">
              <a16:creationId xmlns:a16="http://schemas.microsoft.com/office/drawing/2014/main" id="{511B1961-42AD-456F-B3E8-CF50677F8268}"/>
            </a:ext>
          </a:extLst>
        </xdr:cNvPr>
        <xdr:cNvSpPr>
          <a:spLocks noChangeAspect="1" noChangeArrowheads="1"/>
        </xdr:cNvSpPr>
      </xdr:nvSpPr>
      <xdr:spPr bwMode="auto">
        <a:xfrm>
          <a:off x="12801600" y="2114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96</xdr:row>
      <xdr:rowOff>0</xdr:rowOff>
    </xdr:from>
    <xdr:ext cx="304800" cy="304800"/>
    <xdr:sp macro="" textlink="">
      <xdr:nvSpPr>
        <xdr:cNvPr id="75" name="AutoShape 18">
          <a:extLst>
            <a:ext uri="{FF2B5EF4-FFF2-40B4-BE49-F238E27FC236}">
              <a16:creationId xmlns:a16="http://schemas.microsoft.com/office/drawing/2014/main" id="{F71ED3A9-96CA-40C4-8EA5-1A5E20F53D61}"/>
            </a:ext>
          </a:extLst>
        </xdr:cNvPr>
        <xdr:cNvSpPr>
          <a:spLocks noChangeAspect="1" noChangeArrowheads="1"/>
        </xdr:cNvSpPr>
      </xdr:nvSpPr>
      <xdr:spPr bwMode="auto">
        <a:xfrm>
          <a:off x="12801600" y="213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96</xdr:row>
      <xdr:rowOff>0</xdr:rowOff>
    </xdr:from>
    <xdr:ext cx="304800" cy="304800"/>
    <xdr:sp macro="" textlink="">
      <xdr:nvSpPr>
        <xdr:cNvPr id="76" name="AutoShape 17">
          <a:extLst>
            <a:ext uri="{FF2B5EF4-FFF2-40B4-BE49-F238E27FC236}">
              <a16:creationId xmlns:a16="http://schemas.microsoft.com/office/drawing/2014/main" id="{2F24004A-BAC3-4E11-861B-3CB3E1CC4ABA}"/>
            </a:ext>
          </a:extLst>
        </xdr:cNvPr>
        <xdr:cNvSpPr>
          <a:spLocks noChangeAspect="1" noChangeArrowheads="1"/>
        </xdr:cNvSpPr>
      </xdr:nvSpPr>
      <xdr:spPr bwMode="auto">
        <a:xfrm>
          <a:off x="12801600" y="213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96</xdr:row>
      <xdr:rowOff>0</xdr:rowOff>
    </xdr:from>
    <xdr:ext cx="304800" cy="304800"/>
    <xdr:sp macro="" textlink="">
      <xdr:nvSpPr>
        <xdr:cNvPr id="77" name="AutoShape 17">
          <a:extLst>
            <a:ext uri="{FF2B5EF4-FFF2-40B4-BE49-F238E27FC236}">
              <a16:creationId xmlns:a16="http://schemas.microsoft.com/office/drawing/2014/main" id="{19EF8A41-2267-4C2D-9D50-72CCFB1CBC69}"/>
            </a:ext>
          </a:extLst>
        </xdr:cNvPr>
        <xdr:cNvSpPr>
          <a:spLocks noChangeAspect="1" noChangeArrowheads="1"/>
        </xdr:cNvSpPr>
      </xdr:nvSpPr>
      <xdr:spPr bwMode="auto">
        <a:xfrm>
          <a:off x="12801600" y="2133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63</xdr:row>
      <xdr:rowOff>0</xdr:rowOff>
    </xdr:from>
    <xdr:ext cx="304800" cy="304800"/>
    <xdr:sp macro="" textlink="">
      <xdr:nvSpPr>
        <xdr:cNvPr id="78" name="AutoShape 18">
          <a:extLst>
            <a:ext uri="{FF2B5EF4-FFF2-40B4-BE49-F238E27FC236}">
              <a16:creationId xmlns:a16="http://schemas.microsoft.com/office/drawing/2014/main" id="{CAE38DA6-8AE2-4C11-B966-D5FD44CC37A0}"/>
            </a:ext>
          </a:extLst>
        </xdr:cNvPr>
        <xdr:cNvSpPr>
          <a:spLocks noChangeAspect="1" noChangeArrowheads="1"/>
        </xdr:cNvSpPr>
      </xdr:nvSpPr>
      <xdr:spPr bwMode="auto">
        <a:xfrm>
          <a:off x="12801600" y="150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63</xdr:row>
      <xdr:rowOff>0</xdr:rowOff>
    </xdr:from>
    <xdr:ext cx="304800" cy="304800"/>
    <xdr:sp macro="" textlink="">
      <xdr:nvSpPr>
        <xdr:cNvPr id="79" name="AutoShape 17">
          <a:extLst>
            <a:ext uri="{FF2B5EF4-FFF2-40B4-BE49-F238E27FC236}">
              <a16:creationId xmlns:a16="http://schemas.microsoft.com/office/drawing/2014/main" id="{D3AC6C5F-30F4-4B46-A616-A0CD1EE76DC5}"/>
            </a:ext>
          </a:extLst>
        </xdr:cNvPr>
        <xdr:cNvSpPr>
          <a:spLocks noChangeAspect="1" noChangeArrowheads="1"/>
        </xdr:cNvSpPr>
      </xdr:nvSpPr>
      <xdr:spPr bwMode="auto">
        <a:xfrm>
          <a:off x="12801600" y="1504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64</xdr:row>
      <xdr:rowOff>0</xdr:rowOff>
    </xdr:from>
    <xdr:ext cx="304800" cy="304800"/>
    <xdr:sp macro="" textlink="">
      <xdr:nvSpPr>
        <xdr:cNvPr id="80" name="AutoShape 18">
          <a:extLst>
            <a:ext uri="{FF2B5EF4-FFF2-40B4-BE49-F238E27FC236}">
              <a16:creationId xmlns:a16="http://schemas.microsoft.com/office/drawing/2014/main" id="{784DC3A6-1304-4F34-BC31-1CAE854B9E1C}"/>
            </a:ext>
          </a:extLst>
        </xdr:cNvPr>
        <xdr:cNvSpPr>
          <a:spLocks noChangeAspect="1" noChangeArrowheads="1"/>
        </xdr:cNvSpPr>
      </xdr:nvSpPr>
      <xdr:spPr bwMode="auto">
        <a:xfrm>
          <a:off x="12801600" y="152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64</xdr:row>
      <xdr:rowOff>0</xdr:rowOff>
    </xdr:from>
    <xdr:ext cx="304800" cy="304800"/>
    <xdr:sp macro="" textlink="">
      <xdr:nvSpPr>
        <xdr:cNvPr id="81" name="AutoShape 17">
          <a:extLst>
            <a:ext uri="{FF2B5EF4-FFF2-40B4-BE49-F238E27FC236}">
              <a16:creationId xmlns:a16="http://schemas.microsoft.com/office/drawing/2014/main" id="{50F84BE3-7FD0-4493-B69E-12D54BEBE888}"/>
            </a:ext>
          </a:extLst>
        </xdr:cNvPr>
        <xdr:cNvSpPr>
          <a:spLocks noChangeAspect="1" noChangeArrowheads="1"/>
        </xdr:cNvSpPr>
      </xdr:nvSpPr>
      <xdr:spPr bwMode="auto">
        <a:xfrm>
          <a:off x="12801600" y="1524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65</xdr:row>
      <xdr:rowOff>0</xdr:rowOff>
    </xdr:from>
    <xdr:ext cx="304800" cy="304800"/>
    <xdr:sp macro="" textlink="">
      <xdr:nvSpPr>
        <xdr:cNvPr id="82" name="AutoShape 18">
          <a:extLst>
            <a:ext uri="{FF2B5EF4-FFF2-40B4-BE49-F238E27FC236}">
              <a16:creationId xmlns:a16="http://schemas.microsoft.com/office/drawing/2014/main" id="{8CAFDF30-077A-410B-B3C9-477F7AC47BC5}"/>
            </a:ext>
          </a:extLst>
        </xdr:cNvPr>
        <xdr:cNvSpPr>
          <a:spLocks noChangeAspect="1" noChangeArrowheads="1"/>
        </xdr:cNvSpPr>
      </xdr:nvSpPr>
      <xdr:spPr bwMode="auto">
        <a:xfrm>
          <a:off x="12801600" y="154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65</xdr:row>
      <xdr:rowOff>0</xdr:rowOff>
    </xdr:from>
    <xdr:ext cx="304800" cy="304800"/>
    <xdr:sp macro="" textlink="">
      <xdr:nvSpPr>
        <xdr:cNvPr id="83" name="AutoShape 17">
          <a:extLst>
            <a:ext uri="{FF2B5EF4-FFF2-40B4-BE49-F238E27FC236}">
              <a16:creationId xmlns:a16="http://schemas.microsoft.com/office/drawing/2014/main" id="{CF3687A3-2B03-41FC-B092-C561BB549D0C}"/>
            </a:ext>
          </a:extLst>
        </xdr:cNvPr>
        <xdr:cNvSpPr>
          <a:spLocks noChangeAspect="1" noChangeArrowheads="1"/>
        </xdr:cNvSpPr>
      </xdr:nvSpPr>
      <xdr:spPr bwMode="auto">
        <a:xfrm>
          <a:off x="12801600" y="154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65</xdr:row>
      <xdr:rowOff>0</xdr:rowOff>
    </xdr:from>
    <xdr:ext cx="304800" cy="304800"/>
    <xdr:sp macro="" textlink="">
      <xdr:nvSpPr>
        <xdr:cNvPr id="84" name="AutoShape 17">
          <a:extLst>
            <a:ext uri="{FF2B5EF4-FFF2-40B4-BE49-F238E27FC236}">
              <a16:creationId xmlns:a16="http://schemas.microsoft.com/office/drawing/2014/main" id="{76D30D66-71C5-447F-B06E-0234DC1D126E}"/>
            </a:ext>
          </a:extLst>
        </xdr:cNvPr>
        <xdr:cNvSpPr>
          <a:spLocks noChangeAspect="1" noChangeArrowheads="1"/>
        </xdr:cNvSpPr>
      </xdr:nvSpPr>
      <xdr:spPr bwMode="auto">
        <a:xfrm>
          <a:off x="12801600" y="1543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66</xdr:row>
      <xdr:rowOff>0</xdr:rowOff>
    </xdr:from>
    <xdr:ext cx="304800" cy="304800"/>
    <xdr:sp macro="" textlink="">
      <xdr:nvSpPr>
        <xdr:cNvPr id="85" name="AutoShape 18">
          <a:extLst>
            <a:ext uri="{FF2B5EF4-FFF2-40B4-BE49-F238E27FC236}">
              <a16:creationId xmlns:a16="http://schemas.microsoft.com/office/drawing/2014/main" id="{FB7880E9-5864-4165-BECB-B1C7B92AF2DB}"/>
            </a:ext>
          </a:extLst>
        </xdr:cNvPr>
        <xdr:cNvSpPr>
          <a:spLocks noChangeAspect="1" noChangeArrowheads="1"/>
        </xdr:cNvSpPr>
      </xdr:nvSpPr>
      <xdr:spPr bwMode="auto">
        <a:xfrm>
          <a:off x="1280160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66</xdr:row>
      <xdr:rowOff>0</xdr:rowOff>
    </xdr:from>
    <xdr:ext cx="304800" cy="304800"/>
    <xdr:sp macro="" textlink="">
      <xdr:nvSpPr>
        <xdr:cNvPr id="86" name="AutoShape 17">
          <a:extLst>
            <a:ext uri="{FF2B5EF4-FFF2-40B4-BE49-F238E27FC236}">
              <a16:creationId xmlns:a16="http://schemas.microsoft.com/office/drawing/2014/main" id="{E5ED44C3-0977-42C9-BC1B-2FDCDE0F4D29}"/>
            </a:ext>
          </a:extLst>
        </xdr:cNvPr>
        <xdr:cNvSpPr>
          <a:spLocks noChangeAspect="1" noChangeArrowheads="1"/>
        </xdr:cNvSpPr>
      </xdr:nvSpPr>
      <xdr:spPr bwMode="auto">
        <a:xfrm>
          <a:off x="1280160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74</xdr:row>
      <xdr:rowOff>0</xdr:rowOff>
    </xdr:from>
    <xdr:ext cx="304800" cy="304800"/>
    <xdr:sp macro="" textlink="">
      <xdr:nvSpPr>
        <xdr:cNvPr id="87" name="AutoShape 18">
          <a:extLst>
            <a:ext uri="{FF2B5EF4-FFF2-40B4-BE49-F238E27FC236}">
              <a16:creationId xmlns:a16="http://schemas.microsoft.com/office/drawing/2014/main" id="{DFA810CC-93E5-4D2C-BE9D-0B9D640975A0}"/>
            </a:ext>
          </a:extLst>
        </xdr:cNvPr>
        <xdr:cNvSpPr>
          <a:spLocks noChangeAspect="1" noChangeArrowheads="1"/>
        </xdr:cNvSpPr>
      </xdr:nvSpPr>
      <xdr:spPr bwMode="auto">
        <a:xfrm>
          <a:off x="1280160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74</xdr:row>
      <xdr:rowOff>0</xdr:rowOff>
    </xdr:from>
    <xdr:ext cx="304800" cy="304800"/>
    <xdr:sp macro="" textlink="">
      <xdr:nvSpPr>
        <xdr:cNvPr id="88" name="AutoShape 17">
          <a:extLst>
            <a:ext uri="{FF2B5EF4-FFF2-40B4-BE49-F238E27FC236}">
              <a16:creationId xmlns:a16="http://schemas.microsoft.com/office/drawing/2014/main" id="{A427D7C1-6447-4E25-9361-9BA73D700FBA}"/>
            </a:ext>
          </a:extLst>
        </xdr:cNvPr>
        <xdr:cNvSpPr>
          <a:spLocks noChangeAspect="1" noChangeArrowheads="1"/>
        </xdr:cNvSpPr>
      </xdr:nvSpPr>
      <xdr:spPr bwMode="auto">
        <a:xfrm>
          <a:off x="1280160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74</xdr:row>
      <xdr:rowOff>0</xdr:rowOff>
    </xdr:from>
    <xdr:ext cx="304800" cy="304800"/>
    <xdr:sp macro="" textlink="">
      <xdr:nvSpPr>
        <xdr:cNvPr id="89" name="AutoShape 17">
          <a:extLst>
            <a:ext uri="{FF2B5EF4-FFF2-40B4-BE49-F238E27FC236}">
              <a16:creationId xmlns:a16="http://schemas.microsoft.com/office/drawing/2014/main" id="{0914FE0F-753D-4A60-94B4-115878A0C0A5}"/>
            </a:ext>
          </a:extLst>
        </xdr:cNvPr>
        <xdr:cNvSpPr>
          <a:spLocks noChangeAspect="1" noChangeArrowheads="1"/>
        </xdr:cNvSpPr>
      </xdr:nvSpPr>
      <xdr:spPr bwMode="auto">
        <a:xfrm>
          <a:off x="12801600" y="1714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0" name="AutoShape 18">
          <a:extLst>
            <a:ext uri="{FF2B5EF4-FFF2-40B4-BE49-F238E27FC236}">
              <a16:creationId xmlns:a16="http://schemas.microsoft.com/office/drawing/2014/main" id="{D1BA29D7-25B5-4D11-90EA-1A5B2480E36A}"/>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1" name="AutoShape 17">
          <a:extLst>
            <a:ext uri="{FF2B5EF4-FFF2-40B4-BE49-F238E27FC236}">
              <a16:creationId xmlns:a16="http://schemas.microsoft.com/office/drawing/2014/main" id="{1166AFF8-CACE-4D7E-9622-52C1349D35E1}"/>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2" name="AutoShape 17">
          <a:extLst>
            <a:ext uri="{FF2B5EF4-FFF2-40B4-BE49-F238E27FC236}">
              <a16:creationId xmlns:a16="http://schemas.microsoft.com/office/drawing/2014/main" id="{F4349A6D-DA71-4D1A-925F-2606A7ABB022}"/>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3" name="AutoShape 18">
          <a:extLst>
            <a:ext uri="{FF2B5EF4-FFF2-40B4-BE49-F238E27FC236}">
              <a16:creationId xmlns:a16="http://schemas.microsoft.com/office/drawing/2014/main" id="{DD2598F4-C58F-4171-B0F1-0911F3C06B5C}"/>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4" name="AutoShape 17">
          <a:extLst>
            <a:ext uri="{FF2B5EF4-FFF2-40B4-BE49-F238E27FC236}">
              <a16:creationId xmlns:a16="http://schemas.microsoft.com/office/drawing/2014/main" id="{9F8F1965-18E7-4A1C-8E20-7927D5BD34A6}"/>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5" name="AutoShape 17">
          <a:extLst>
            <a:ext uri="{FF2B5EF4-FFF2-40B4-BE49-F238E27FC236}">
              <a16:creationId xmlns:a16="http://schemas.microsoft.com/office/drawing/2014/main" id="{A0DBA379-55F6-4A7C-B75F-A5A766AD0FDC}"/>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6" name="AutoShape 18">
          <a:extLst>
            <a:ext uri="{FF2B5EF4-FFF2-40B4-BE49-F238E27FC236}">
              <a16:creationId xmlns:a16="http://schemas.microsoft.com/office/drawing/2014/main" id="{38D89EE3-B09F-4E9E-9B7C-CEBACD674117}"/>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7" name="AutoShape 17">
          <a:extLst>
            <a:ext uri="{FF2B5EF4-FFF2-40B4-BE49-F238E27FC236}">
              <a16:creationId xmlns:a16="http://schemas.microsoft.com/office/drawing/2014/main" id="{5A5AE462-AEE8-42FE-AC89-7BC505933156}"/>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8" name="AutoShape 17">
          <a:extLst>
            <a:ext uri="{FF2B5EF4-FFF2-40B4-BE49-F238E27FC236}">
              <a16:creationId xmlns:a16="http://schemas.microsoft.com/office/drawing/2014/main" id="{45D7B8EB-B2C1-4D43-A200-E9EDFE083AE2}"/>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99" name="AutoShape 18">
          <a:extLst>
            <a:ext uri="{FF2B5EF4-FFF2-40B4-BE49-F238E27FC236}">
              <a16:creationId xmlns:a16="http://schemas.microsoft.com/office/drawing/2014/main" id="{3E08D216-F5D7-478D-BBA6-6AA96FB1C550}"/>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118</xdr:row>
      <xdr:rowOff>0</xdr:rowOff>
    </xdr:from>
    <xdr:ext cx="304800" cy="304800"/>
    <xdr:sp macro="" textlink="">
      <xdr:nvSpPr>
        <xdr:cNvPr id="100" name="AutoShape 17">
          <a:extLst>
            <a:ext uri="{FF2B5EF4-FFF2-40B4-BE49-F238E27FC236}">
              <a16:creationId xmlns:a16="http://schemas.microsoft.com/office/drawing/2014/main" id="{7CB35A40-AF9D-4F4A-9633-EA9F9A297820}"/>
            </a:ext>
          </a:extLst>
        </xdr:cNvPr>
        <xdr:cNvSpPr>
          <a:spLocks noChangeAspect="1" noChangeArrowheads="1"/>
        </xdr:cNvSpPr>
      </xdr:nvSpPr>
      <xdr:spPr bwMode="auto">
        <a:xfrm>
          <a:off x="12801600" y="2552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1" name="AutoShape 4">
          <a:extLst>
            <a:ext uri="{FF2B5EF4-FFF2-40B4-BE49-F238E27FC236}">
              <a16:creationId xmlns:a16="http://schemas.microsoft.com/office/drawing/2014/main" id="{0371FCE3-D97B-41B1-BF04-64956BFA3769}"/>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2" name="AutoShape 6">
          <a:extLst>
            <a:ext uri="{FF2B5EF4-FFF2-40B4-BE49-F238E27FC236}">
              <a16:creationId xmlns:a16="http://schemas.microsoft.com/office/drawing/2014/main" id="{F84F1BB1-62E7-43C1-9437-DD337829E618}"/>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3" name="AutoShape 7">
          <a:extLst>
            <a:ext uri="{FF2B5EF4-FFF2-40B4-BE49-F238E27FC236}">
              <a16:creationId xmlns:a16="http://schemas.microsoft.com/office/drawing/2014/main" id="{BB250415-C685-4181-A711-85CE3038E88E}"/>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4" name="AutoShape 8">
          <a:extLst>
            <a:ext uri="{FF2B5EF4-FFF2-40B4-BE49-F238E27FC236}">
              <a16:creationId xmlns:a16="http://schemas.microsoft.com/office/drawing/2014/main" id="{2F9C08A2-5813-4DD1-B436-DCD167F2C77C}"/>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5" name="AutoShape 9">
          <a:extLst>
            <a:ext uri="{FF2B5EF4-FFF2-40B4-BE49-F238E27FC236}">
              <a16:creationId xmlns:a16="http://schemas.microsoft.com/office/drawing/2014/main" id="{0034B4C7-99BC-4CAA-8310-12EDD2248A25}"/>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6" name="AutoShape 10">
          <a:extLst>
            <a:ext uri="{FF2B5EF4-FFF2-40B4-BE49-F238E27FC236}">
              <a16:creationId xmlns:a16="http://schemas.microsoft.com/office/drawing/2014/main" id="{81B075EC-24FC-4B9D-9670-6B20823377E2}"/>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7" name="AutoShape 11">
          <a:extLst>
            <a:ext uri="{FF2B5EF4-FFF2-40B4-BE49-F238E27FC236}">
              <a16:creationId xmlns:a16="http://schemas.microsoft.com/office/drawing/2014/main" id="{C2A1ABA2-F733-4186-B6D4-1E7D111071E8}"/>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8" name="AutoShape 12">
          <a:extLst>
            <a:ext uri="{FF2B5EF4-FFF2-40B4-BE49-F238E27FC236}">
              <a16:creationId xmlns:a16="http://schemas.microsoft.com/office/drawing/2014/main" id="{553EC55E-FD9C-4F21-8B2D-E2D98363446C}"/>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09" name="AutoShape 13">
          <a:extLst>
            <a:ext uri="{FF2B5EF4-FFF2-40B4-BE49-F238E27FC236}">
              <a16:creationId xmlns:a16="http://schemas.microsoft.com/office/drawing/2014/main" id="{D0477512-B097-4627-BA53-9C40EA6C17E5}"/>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10" name="AutoShape 14">
          <a:extLst>
            <a:ext uri="{FF2B5EF4-FFF2-40B4-BE49-F238E27FC236}">
              <a16:creationId xmlns:a16="http://schemas.microsoft.com/office/drawing/2014/main" id="{4AA3F4B6-D0B3-4842-8DD2-751CF2F19F09}"/>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18</xdr:row>
      <xdr:rowOff>0</xdr:rowOff>
    </xdr:from>
    <xdr:ext cx="304800" cy="304800"/>
    <xdr:sp macro="" textlink="">
      <xdr:nvSpPr>
        <xdr:cNvPr id="111" name="AutoShape 15">
          <a:extLst>
            <a:ext uri="{FF2B5EF4-FFF2-40B4-BE49-F238E27FC236}">
              <a16:creationId xmlns:a16="http://schemas.microsoft.com/office/drawing/2014/main" id="{0EAFE6CC-58C3-4555-A5BE-6162CF5D590D}"/>
            </a:ext>
          </a:extLst>
        </xdr:cNvPr>
        <xdr:cNvSpPr>
          <a:spLocks noChangeAspect="1" noChangeArrowheads="1"/>
        </xdr:cNvSpPr>
      </xdr:nvSpPr>
      <xdr:spPr bwMode="auto">
        <a:xfrm>
          <a:off x="12801600" y="628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2" name="AutoShape 16">
          <a:extLst>
            <a:ext uri="{FF2B5EF4-FFF2-40B4-BE49-F238E27FC236}">
              <a16:creationId xmlns:a16="http://schemas.microsoft.com/office/drawing/2014/main" id="{2A10551E-C95F-45B7-BAC2-DCC5B93AD228}"/>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3" name="AutoShape 4">
          <a:extLst>
            <a:ext uri="{FF2B5EF4-FFF2-40B4-BE49-F238E27FC236}">
              <a16:creationId xmlns:a16="http://schemas.microsoft.com/office/drawing/2014/main" id="{93C30111-9D51-4F44-9AD5-7F47DEDC8D59}"/>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4" name="AutoShape 6">
          <a:extLst>
            <a:ext uri="{FF2B5EF4-FFF2-40B4-BE49-F238E27FC236}">
              <a16:creationId xmlns:a16="http://schemas.microsoft.com/office/drawing/2014/main" id="{F85091F2-BCBE-41BB-A457-7DA970453387}"/>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5" name="AutoShape 7">
          <a:extLst>
            <a:ext uri="{FF2B5EF4-FFF2-40B4-BE49-F238E27FC236}">
              <a16:creationId xmlns:a16="http://schemas.microsoft.com/office/drawing/2014/main" id="{C77D7E9E-4DE6-4BAE-8398-15AAB1D6789B}"/>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6" name="AutoShape 8">
          <a:extLst>
            <a:ext uri="{FF2B5EF4-FFF2-40B4-BE49-F238E27FC236}">
              <a16:creationId xmlns:a16="http://schemas.microsoft.com/office/drawing/2014/main" id="{592A0D57-825D-43BE-A810-C51B86FA7365}"/>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7" name="AutoShape 9">
          <a:extLst>
            <a:ext uri="{FF2B5EF4-FFF2-40B4-BE49-F238E27FC236}">
              <a16:creationId xmlns:a16="http://schemas.microsoft.com/office/drawing/2014/main" id="{B40FB2B2-D1D7-49D7-867D-EF320E6238C3}"/>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8" name="AutoShape 10">
          <a:extLst>
            <a:ext uri="{FF2B5EF4-FFF2-40B4-BE49-F238E27FC236}">
              <a16:creationId xmlns:a16="http://schemas.microsoft.com/office/drawing/2014/main" id="{701734F8-55DD-4CA3-A500-6C9F800E279A}"/>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19" name="AutoShape 11">
          <a:extLst>
            <a:ext uri="{FF2B5EF4-FFF2-40B4-BE49-F238E27FC236}">
              <a16:creationId xmlns:a16="http://schemas.microsoft.com/office/drawing/2014/main" id="{858E0DDC-C841-4736-8535-E47EBA725B90}"/>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20" name="AutoShape 12">
          <a:extLst>
            <a:ext uri="{FF2B5EF4-FFF2-40B4-BE49-F238E27FC236}">
              <a16:creationId xmlns:a16="http://schemas.microsoft.com/office/drawing/2014/main" id="{EE8E2351-4604-4A51-A319-789A74528A6D}"/>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21" name="AutoShape 13">
          <a:extLst>
            <a:ext uri="{FF2B5EF4-FFF2-40B4-BE49-F238E27FC236}">
              <a16:creationId xmlns:a16="http://schemas.microsoft.com/office/drawing/2014/main" id="{1AFFD109-DF8F-4E7C-88F1-793CEAA4EA02}"/>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22" name="AutoShape 14">
          <a:extLst>
            <a:ext uri="{FF2B5EF4-FFF2-40B4-BE49-F238E27FC236}">
              <a16:creationId xmlns:a16="http://schemas.microsoft.com/office/drawing/2014/main" id="{BD7CB2BE-BCDB-4428-9E6C-75DD456A8C3D}"/>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19</xdr:row>
      <xdr:rowOff>0</xdr:rowOff>
    </xdr:from>
    <xdr:ext cx="304800" cy="304800"/>
    <xdr:sp macro="" textlink="">
      <xdr:nvSpPr>
        <xdr:cNvPr id="123" name="AutoShape 15">
          <a:extLst>
            <a:ext uri="{FF2B5EF4-FFF2-40B4-BE49-F238E27FC236}">
              <a16:creationId xmlns:a16="http://schemas.microsoft.com/office/drawing/2014/main" id="{3AA9054E-D36D-4998-865C-EE33BE2AA43D}"/>
            </a:ext>
          </a:extLst>
        </xdr:cNvPr>
        <xdr:cNvSpPr>
          <a:spLocks noChangeAspect="1" noChangeArrowheads="1"/>
        </xdr:cNvSpPr>
      </xdr:nvSpPr>
      <xdr:spPr bwMode="auto">
        <a:xfrm>
          <a:off x="12801600" y="647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24" name="AutoShape 16">
          <a:extLst>
            <a:ext uri="{FF2B5EF4-FFF2-40B4-BE49-F238E27FC236}">
              <a16:creationId xmlns:a16="http://schemas.microsoft.com/office/drawing/2014/main" id="{54B4FBB3-B2B5-4C38-BB82-BB06247642B3}"/>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25" name="AutoShape 4">
          <a:extLst>
            <a:ext uri="{FF2B5EF4-FFF2-40B4-BE49-F238E27FC236}">
              <a16:creationId xmlns:a16="http://schemas.microsoft.com/office/drawing/2014/main" id="{4871915A-18CC-4E08-B63F-DF652B08A18A}"/>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26" name="AutoShape 6">
          <a:extLst>
            <a:ext uri="{FF2B5EF4-FFF2-40B4-BE49-F238E27FC236}">
              <a16:creationId xmlns:a16="http://schemas.microsoft.com/office/drawing/2014/main" id="{906E7AC0-B488-447D-B78B-6ACCC68E9BBD}"/>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27" name="AutoShape 7">
          <a:extLst>
            <a:ext uri="{FF2B5EF4-FFF2-40B4-BE49-F238E27FC236}">
              <a16:creationId xmlns:a16="http://schemas.microsoft.com/office/drawing/2014/main" id="{6760569E-7C76-4EB5-8DB8-7724CB29545F}"/>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28" name="AutoShape 8">
          <a:extLst>
            <a:ext uri="{FF2B5EF4-FFF2-40B4-BE49-F238E27FC236}">
              <a16:creationId xmlns:a16="http://schemas.microsoft.com/office/drawing/2014/main" id="{E06B96FB-C25C-4408-BCB2-3689C7CFF704}"/>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29" name="AutoShape 9">
          <a:extLst>
            <a:ext uri="{FF2B5EF4-FFF2-40B4-BE49-F238E27FC236}">
              <a16:creationId xmlns:a16="http://schemas.microsoft.com/office/drawing/2014/main" id="{5692BE65-E0F1-4A67-B6BB-41A6E16F186E}"/>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0" name="AutoShape 10">
          <a:extLst>
            <a:ext uri="{FF2B5EF4-FFF2-40B4-BE49-F238E27FC236}">
              <a16:creationId xmlns:a16="http://schemas.microsoft.com/office/drawing/2014/main" id="{04AF7F0F-8DC7-4DC1-A764-91271B97A94E}"/>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1" name="AutoShape 11">
          <a:extLst>
            <a:ext uri="{FF2B5EF4-FFF2-40B4-BE49-F238E27FC236}">
              <a16:creationId xmlns:a16="http://schemas.microsoft.com/office/drawing/2014/main" id="{592A2279-0D76-41E8-A7A6-3AF470EC6342}"/>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2" name="AutoShape 12">
          <a:extLst>
            <a:ext uri="{FF2B5EF4-FFF2-40B4-BE49-F238E27FC236}">
              <a16:creationId xmlns:a16="http://schemas.microsoft.com/office/drawing/2014/main" id="{0928CA81-96B1-4BAD-9301-B947330DEBAD}"/>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3" name="AutoShape 13">
          <a:extLst>
            <a:ext uri="{FF2B5EF4-FFF2-40B4-BE49-F238E27FC236}">
              <a16:creationId xmlns:a16="http://schemas.microsoft.com/office/drawing/2014/main" id="{5EDA614E-4C80-4438-93B3-3930E6712A65}"/>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4" name="AutoShape 14">
          <a:extLst>
            <a:ext uri="{FF2B5EF4-FFF2-40B4-BE49-F238E27FC236}">
              <a16:creationId xmlns:a16="http://schemas.microsoft.com/office/drawing/2014/main" id="{61671BD6-D37A-4E1A-850A-99A537CB6BB7}"/>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5" name="AutoShape 15">
          <a:extLst>
            <a:ext uri="{FF2B5EF4-FFF2-40B4-BE49-F238E27FC236}">
              <a16:creationId xmlns:a16="http://schemas.microsoft.com/office/drawing/2014/main" id="{745E728D-6C23-4002-A248-9BCEB365AD71}"/>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6" name="AutoShape 4">
          <a:extLst>
            <a:ext uri="{FF2B5EF4-FFF2-40B4-BE49-F238E27FC236}">
              <a16:creationId xmlns:a16="http://schemas.microsoft.com/office/drawing/2014/main" id="{F0080B5D-D2B1-471A-8F91-038A7833B8DA}"/>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7" name="AutoShape 6">
          <a:extLst>
            <a:ext uri="{FF2B5EF4-FFF2-40B4-BE49-F238E27FC236}">
              <a16:creationId xmlns:a16="http://schemas.microsoft.com/office/drawing/2014/main" id="{C16D3C20-1BC3-410A-961E-9F986486F69A}"/>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8" name="AutoShape 7">
          <a:extLst>
            <a:ext uri="{FF2B5EF4-FFF2-40B4-BE49-F238E27FC236}">
              <a16:creationId xmlns:a16="http://schemas.microsoft.com/office/drawing/2014/main" id="{BA14766E-91BA-4E61-9B88-F5656204ED3A}"/>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39" name="AutoShape 8">
          <a:extLst>
            <a:ext uri="{FF2B5EF4-FFF2-40B4-BE49-F238E27FC236}">
              <a16:creationId xmlns:a16="http://schemas.microsoft.com/office/drawing/2014/main" id="{623DFB54-819B-4E3F-B706-D5626D7153CD}"/>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40" name="AutoShape 9">
          <a:extLst>
            <a:ext uri="{FF2B5EF4-FFF2-40B4-BE49-F238E27FC236}">
              <a16:creationId xmlns:a16="http://schemas.microsoft.com/office/drawing/2014/main" id="{D5AB09CA-48EB-4640-AB5A-25BF92E4033C}"/>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41" name="AutoShape 10">
          <a:extLst>
            <a:ext uri="{FF2B5EF4-FFF2-40B4-BE49-F238E27FC236}">
              <a16:creationId xmlns:a16="http://schemas.microsoft.com/office/drawing/2014/main" id="{BFF14F27-EF84-4302-8FDF-3FF9F7AFB909}"/>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42" name="AutoShape 11">
          <a:extLst>
            <a:ext uri="{FF2B5EF4-FFF2-40B4-BE49-F238E27FC236}">
              <a16:creationId xmlns:a16="http://schemas.microsoft.com/office/drawing/2014/main" id="{67F3BFDD-F688-4F58-812B-F34CCD8F4BCA}"/>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43" name="AutoShape 12">
          <a:extLst>
            <a:ext uri="{FF2B5EF4-FFF2-40B4-BE49-F238E27FC236}">
              <a16:creationId xmlns:a16="http://schemas.microsoft.com/office/drawing/2014/main" id="{7342F92F-2E43-4EEB-99EE-DA1D5A7C8E85}"/>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44" name="AutoShape 13">
          <a:extLst>
            <a:ext uri="{FF2B5EF4-FFF2-40B4-BE49-F238E27FC236}">
              <a16:creationId xmlns:a16="http://schemas.microsoft.com/office/drawing/2014/main" id="{E2C14B6A-2C35-4E7A-8642-64893730767A}"/>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45" name="AutoShape 14">
          <a:extLst>
            <a:ext uri="{FF2B5EF4-FFF2-40B4-BE49-F238E27FC236}">
              <a16:creationId xmlns:a16="http://schemas.microsoft.com/office/drawing/2014/main" id="{C8B83B55-A858-443D-9506-ADFAFB2179E5}"/>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146" name="AutoShape 15">
          <a:extLst>
            <a:ext uri="{FF2B5EF4-FFF2-40B4-BE49-F238E27FC236}">
              <a16:creationId xmlns:a16="http://schemas.microsoft.com/office/drawing/2014/main" id="{3E89FF59-ECE6-4553-AB81-03644FA9DEB5}"/>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47" name="AutoShape 16">
          <a:extLst>
            <a:ext uri="{FF2B5EF4-FFF2-40B4-BE49-F238E27FC236}">
              <a16:creationId xmlns:a16="http://schemas.microsoft.com/office/drawing/2014/main" id="{46FD54CA-8BFB-4660-B0E5-9B52CAF695FD}"/>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48" name="AutoShape 4">
          <a:extLst>
            <a:ext uri="{FF2B5EF4-FFF2-40B4-BE49-F238E27FC236}">
              <a16:creationId xmlns:a16="http://schemas.microsoft.com/office/drawing/2014/main" id="{5245FFBD-6168-4815-9C29-7C11F24258EA}"/>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49" name="AutoShape 6">
          <a:extLst>
            <a:ext uri="{FF2B5EF4-FFF2-40B4-BE49-F238E27FC236}">
              <a16:creationId xmlns:a16="http://schemas.microsoft.com/office/drawing/2014/main" id="{20AA8D07-E085-407C-AE8E-F4AE9822054F}"/>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0" name="AutoShape 7">
          <a:extLst>
            <a:ext uri="{FF2B5EF4-FFF2-40B4-BE49-F238E27FC236}">
              <a16:creationId xmlns:a16="http://schemas.microsoft.com/office/drawing/2014/main" id="{6420F48B-C60E-42A2-BB86-C0C6DF54E243}"/>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1" name="AutoShape 8">
          <a:extLst>
            <a:ext uri="{FF2B5EF4-FFF2-40B4-BE49-F238E27FC236}">
              <a16:creationId xmlns:a16="http://schemas.microsoft.com/office/drawing/2014/main" id="{8AA0B23F-C038-4213-954F-8CD1A4A97ACC}"/>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2" name="AutoShape 9">
          <a:extLst>
            <a:ext uri="{FF2B5EF4-FFF2-40B4-BE49-F238E27FC236}">
              <a16:creationId xmlns:a16="http://schemas.microsoft.com/office/drawing/2014/main" id="{BDD72784-D4AD-497D-B60D-8403911F57AF}"/>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3" name="AutoShape 10">
          <a:extLst>
            <a:ext uri="{FF2B5EF4-FFF2-40B4-BE49-F238E27FC236}">
              <a16:creationId xmlns:a16="http://schemas.microsoft.com/office/drawing/2014/main" id="{58C0956E-DD24-4357-AB17-CEDED49E9FD5}"/>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4" name="AutoShape 11">
          <a:extLst>
            <a:ext uri="{FF2B5EF4-FFF2-40B4-BE49-F238E27FC236}">
              <a16:creationId xmlns:a16="http://schemas.microsoft.com/office/drawing/2014/main" id="{E8B80A62-A7B3-4084-A368-CDB82A62D75A}"/>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5" name="AutoShape 12">
          <a:extLst>
            <a:ext uri="{FF2B5EF4-FFF2-40B4-BE49-F238E27FC236}">
              <a16:creationId xmlns:a16="http://schemas.microsoft.com/office/drawing/2014/main" id="{AF0EC41B-0A45-48FF-BB49-F16BC86ACEA9}"/>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6" name="AutoShape 13">
          <a:extLst>
            <a:ext uri="{FF2B5EF4-FFF2-40B4-BE49-F238E27FC236}">
              <a16:creationId xmlns:a16="http://schemas.microsoft.com/office/drawing/2014/main" id="{CACB1FD9-9D1D-4FA4-B9E9-73FA0970A753}"/>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7" name="AutoShape 14">
          <a:extLst>
            <a:ext uri="{FF2B5EF4-FFF2-40B4-BE49-F238E27FC236}">
              <a16:creationId xmlns:a16="http://schemas.microsoft.com/office/drawing/2014/main" id="{28F617A6-71EA-4532-AEEA-32F4EFA910EB}"/>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8" name="AutoShape 15">
          <a:extLst>
            <a:ext uri="{FF2B5EF4-FFF2-40B4-BE49-F238E27FC236}">
              <a16:creationId xmlns:a16="http://schemas.microsoft.com/office/drawing/2014/main" id="{87D6E95F-421D-4E3F-A0B6-2F330736B93D}"/>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59" name="AutoShape 4">
          <a:extLst>
            <a:ext uri="{FF2B5EF4-FFF2-40B4-BE49-F238E27FC236}">
              <a16:creationId xmlns:a16="http://schemas.microsoft.com/office/drawing/2014/main" id="{C4407BB0-CD9F-4F83-A252-E98EDED6240D}"/>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0" name="AutoShape 6">
          <a:extLst>
            <a:ext uri="{FF2B5EF4-FFF2-40B4-BE49-F238E27FC236}">
              <a16:creationId xmlns:a16="http://schemas.microsoft.com/office/drawing/2014/main" id="{43565B49-6F62-43DD-BB3D-8B4D9B13FFE6}"/>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1" name="AutoShape 7">
          <a:extLst>
            <a:ext uri="{FF2B5EF4-FFF2-40B4-BE49-F238E27FC236}">
              <a16:creationId xmlns:a16="http://schemas.microsoft.com/office/drawing/2014/main" id="{2A4E7A25-BF14-430E-9DAB-41E1AE9A6B83}"/>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2" name="AutoShape 8">
          <a:extLst>
            <a:ext uri="{FF2B5EF4-FFF2-40B4-BE49-F238E27FC236}">
              <a16:creationId xmlns:a16="http://schemas.microsoft.com/office/drawing/2014/main" id="{99A10E5F-A573-46DB-801A-D5D9AF909A12}"/>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3" name="AutoShape 9">
          <a:extLst>
            <a:ext uri="{FF2B5EF4-FFF2-40B4-BE49-F238E27FC236}">
              <a16:creationId xmlns:a16="http://schemas.microsoft.com/office/drawing/2014/main" id="{C41FEE91-9739-4E10-A02E-D1CC35F174D1}"/>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4" name="AutoShape 10">
          <a:extLst>
            <a:ext uri="{FF2B5EF4-FFF2-40B4-BE49-F238E27FC236}">
              <a16:creationId xmlns:a16="http://schemas.microsoft.com/office/drawing/2014/main" id="{FB8C9B80-C9B4-4097-94FC-A089ACEBC6F8}"/>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5" name="AutoShape 11">
          <a:extLst>
            <a:ext uri="{FF2B5EF4-FFF2-40B4-BE49-F238E27FC236}">
              <a16:creationId xmlns:a16="http://schemas.microsoft.com/office/drawing/2014/main" id="{0B130EC2-640A-40C4-90A8-8153EC42F41C}"/>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6" name="AutoShape 12">
          <a:extLst>
            <a:ext uri="{FF2B5EF4-FFF2-40B4-BE49-F238E27FC236}">
              <a16:creationId xmlns:a16="http://schemas.microsoft.com/office/drawing/2014/main" id="{C872B535-D016-4E98-A634-3452BCAE3D4E}"/>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7" name="AutoShape 13">
          <a:extLst>
            <a:ext uri="{FF2B5EF4-FFF2-40B4-BE49-F238E27FC236}">
              <a16:creationId xmlns:a16="http://schemas.microsoft.com/office/drawing/2014/main" id="{247122C5-DB34-493B-857E-2736569C1802}"/>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8" name="AutoShape 14">
          <a:extLst>
            <a:ext uri="{FF2B5EF4-FFF2-40B4-BE49-F238E27FC236}">
              <a16:creationId xmlns:a16="http://schemas.microsoft.com/office/drawing/2014/main" id="{6B1B49BC-9EF9-47C5-9458-535855EE733C}"/>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169" name="AutoShape 15">
          <a:extLst>
            <a:ext uri="{FF2B5EF4-FFF2-40B4-BE49-F238E27FC236}">
              <a16:creationId xmlns:a16="http://schemas.microsoft.com/office/drawing/2014/main" id="{F6E40291-5537-4C2C-922D-44702D478B6F}"/>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0" name="AutoShape 16">
          <a:extLst>
            <a:ext uri="{FF2B5EF4-FFF2-40B4-BE49-F238E27FC236}">
              <a16:creationId xmlns:a16="http://schemas.microsoft.com/office/drawing/2014/main" id="{6276C114-D26B-4445-AAAC-0CBDDA4B1B5D}"/>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1" name="AutoShape 4">
          <a:extLst>
            <a:ext uri="{FF2B5EF4-FFF2-40B4-BE49-F238E27FC236}">
              <a16:creationId xmlns:a16="http://schemas.microsoft.com/office/drawing/2014/main" id="{4E67E60B-DA30-4354-9161-4F96BE672E22}"/>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2" name="AutoShape 6">
          <a:extLst>
            <a:ext uri="{FF2B5EF4-FFF2-40B4-BE49-F238E27FC236}">
              <a16:creationId xmlns:a16="http://schemas.microsoft.com/office/drawing/2014/main" id="{9AE06BB5-4E69-4BEA-A2A2-AFABB0765795}"/>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3" name="AutoShape 7">
          <a:extLst>
            <a:ext uri="{FF2B5EF4-FFF2-40B4-BE49-F238E27FC236}">
              <a16:creationId xmlns:a16="http://schemas.microsoft.com/office/drawing/2014/main" id="{FF2EC760-206E-464B-956E-BD9979A7A0AE}"/>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4" name="AutoShape 8">
          <a:extLst>
            <a:ext uri="{FF2B5EF4-FFF2-40B4-BE49-F238E27FC236}">
              <a16:creationId xmlns:a16="http://schemas.microsoft.com/office/drawing/2014/main" id="{528D6E64-13E5-4C3D-B259-E4DC92045C8E}"/>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5" name="AutoShape 9">
          <a:extLst>
            <a:ext uri="{FF2B5EF4-FFF2-40B4-BE49-F238E27FC236}">
              <a16:creationId xmlns:a16="http://schemas.microsoft.com/office/drawing/2014/main" id="{78FB2F41-B3E9-4760-8E65-2E29872E1FED}"/>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6" name="AutoShape 10">
          <a:extLst>
            <a:ext uri="{FF2B5EF4-FFF2-40B4-BE49-F238E27FC236}">
              <a16:creationId xmlns:a16="http://schemas.microsoft.com/office/drawing/2014/main" id="{69826159-4A17-49A1-8008-DE343ED35A25}"/>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7" name="AutoShape 11">
          <a:extLst>
            <a:ext uri="{FF2B5EF4-FFF2-40B4-BE49-F238E27FC236}">
              <a16:creationId xmlns:a16="http://schemas.microsoft.com/office/drawing/2014/main" id="{DFEDA552-2D4D-4C58-90B8-2A4784DC4876}"/>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8" name="AutoShape 12">
          <a:extLst>
            <a:ext uri="{FF2B5EF4-FFF2-40B4-BE49-F238E27FC236}">
              <a16:creationId xmlns:a16="http://schemas.microsoft.com/office/drawing/2014/main" id="{36AE800B-94CC-4F90-BD6B-F54C1472BD97}"/>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79" name="AutoShape 13">
          <a:extLst>
            <a:ext uri="{FF2B5EF4-FFF2-40B4-BE49-F238E27FC236}">
              <a16:creationId xmlns:a16="http://schemas.microsoft.com/office/drawing/2014/main" id="{EF541831-1BF0-48AC-B76A-62FCFF7D5048}"/>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0" name="AutoShape 14">
          <a:extLst>
            <a:ext uri="{FF2B5EF4-FFF2-40B4-BE49-F238E27FC236}">
              <a16:creationId xmlns:a16="http://schemas.microsoft.com/office/drawing/2014/main" id="{96C1EB81-4E70-4251-A2EC-93C445F2FAAE}"/>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1" name="AutoShape 15">
          <a:extLst>
            <a:ext uri="{FF2B5EF4-FFF2-40B4-BE49-F238E27FC236}">
              <a16:creationId xmlns:a16="http://schemas.microsoft.com/office/drawing/2014/main" id="{9DEF32A4-262B-47DA-A975-6EE08046B209}"/>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2" name="AutoShape 4">
          <a:extLst>
            <a:ext uri="{FF2B5EF4-FFF2-40B4-BE49-F238E27FC236}">
              <a16:creationId xmlns:a16="http://schemas.microsoft.com/office/drawing/2014/main" id="{C8DF8705-3438-4DD7-9868-BC3BB0A055E8}"/>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3" name="AutoShape 6">
          <a:extLst>
            <a:ext uri="{FF2B5EF4-FFF2-40B4-BE49-F238E27FC236}">
              <a16:creationId xmlns:a16="http://schemas.microsoft.com/office/drawing/2014/main" id="{14C1C891-45BB-45E1-B5AD-21A1A956EC75}"/>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4" name="AutoShape 7">
          <a:extLst>
            <a:ext uri="{FF2B5EF4-FFF2-40B4-BE49-F238E27FC236}">
              <a16:creationId xmlns:a16="http://schemas.microsoft.com/office/drawing/2014/main" id="{6BDABFC4-1064-4C5F-894F-0C1F610CF376}"/>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5" name="AutoShape 8">
          <a:extLst>
            <a:ext uri="{FF2B5EF4-FFF2-40B4-BE49-F238E27FC236}">
              <a16:creationId xmlns:a16="http://schemas.microsoft.com/office/drawing/2014/main" id="{8DE49A92-FC39-4A51-B3FC-5C680B6D53F4}"/>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6" name="AutoShape 9">
          <a:extLst>
            <a:ext uri="{FF2B5EF4-FFF2-40B4-BE49-F238E27FC236}">
              <a16:creationId xmlns:a16="http://schemas.microsoft.com/office/drawing/2014/main" id="{AEE9A0D0-926F-4C4E-92A6-4020D1FFF0C2}"/>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7" name="AutoShape 10">
          <a:extLst>
            <a:ext uri="{FF2B5EF4-FFF2-40B4-BE49-F238E27FC236}">
              <a16:creationId xmlns:a16="http://schemas.microsoft.com/office/drawing/2014/main" id="{F625E43F-602C-410A-92F8-145D37F7ADBA}"/>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8" name="AutoShape 11">
          <a:extLst>
            <a:ext uri="{FF2B5EF4-FFF2-40B4-BE49-F238E27FC236}">
              <a16:creationId xmlns:a16="http://schemas.microsoft.com/office/drawing/2014/main" id="{627261D1-9248-404F-92DB-9E49C354F544}"/>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89" name="AutoShape 12">
          <a:extLst>
            <a:ext uri="{FF2B5EF4-FFF2-40B4-BE49-F238E27FC236}">
              <a16:creationId xmlns:a16="http://schemas.microsoft.com/office/drawing/2014/main" id="{AB06175B-5063-4E41-85DD-D9711F9E2A7B}"/>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90" name="AutoShape 13">
          <a:extLst>
            <a:ext uri="{FF2B5EF4-FFF2-40B4-BE49-F238E27FC236}">
              <a16:creationId xmlns:a16="http://schemas.microsoft.com/office/drawing/2014/main" id="{B4F378FC-36BF-4CBE-A6CF-0253D470C8E4}"/>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91" name="AutoShape 14">
          <a:extLst>
            <a:ext uri="{FF2B5EF4-FFF2-40B4-BE49-F238E27FC236}">
              <a16:creationId xmlns:a16="http://schemas.microsoft.com/office/drawing/2014/main" id="{B86206FC-826D-490A-BC10-201D385B43B5}"/>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23</xdr:row>
      <xdr:rowOff>0</xdr:rowOff>
    </xdr:from>
    <xdr:ext cx="304800" cy="304800"/>
    <xdr:sp macro="" textlink="">
      <xdr:nvSpPr>
        <xdr:cNvPr id="192" name="AutoShape 15">
          <a:extLst>
            <a:ext uri="{FF2B5EF4-FFF2-40B4-BE49-F238E27FC236}">
              <a16:creationId xmlns:a16="http://schemas.microsoft.com/office/drawing/2014/main" id="{A2FD1499-DD19-4619-BD9D-87AA55236119}"/>
            </a:ext>
          </a:extLst>
        </xdr:cNvPr>
        <xdr:cNvSpPr>
          <a:spLocks noChangeAspect="1" noChangeArrowheads="1"/>
        </xdr:cNvSpPr>
      </xdr:nvSpPr>
      <xdr:spPr bwMode="auto">
        <a:xfrm>
          <a:off x="12801600" y="742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193" name="AutoShape 16">
          <a:extLst>
            <a:ext uri="{FF2B5EF4-FFF2-40B4-BE49-F238E27FC236}">
              <a16:creationId xmlns:a16="http://schemas.microsoft.com/office/drawing/2014/main" id="{29C338B6-EF2D-4958-A7E5-A0EB5D78DBBF}"/>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194" name="AutoShape 4">
          <a:extLst>
            <a:ext uri="{FF2B5EF4-FFF2-40B4-BE49-F238E27FC236}">
              <a16:creationId xmlns:a16="http://schemas.microsoft.com/office/drawing/2014/main" id="{303C7988-D1BE-4856-80A3-F28FC34FCDC1}"/>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195" name="AutoShape 6">
          <a:extLst>
            <a:ext uri="{FF2B5EF4-FFF2-40B4-BE49-F238E27FC236}">
              <a16:creationId xmlns:a16="http://schemas.microsoft.com/office/drawing/2014/main" id="{A895D625-8D5C-4DE9-9371-606F914E1A5D}"/>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196" name="AutoShape 7">
          <a:extLst>
            <a:ext uri="{FF2B5EF4-FFF2-40B4-BE49-F238E27FC236}">
              <a16:creationId xmlns:a16="http://schemas.microsoft.com/office/drawing/2014/main" id="{C232F301-C0B4-43B9-92D2-0D774A691884}"/>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197" name="AutoShape 8">
          <a:extLst>
            <a:ext uri="{FF2B5EF4-FFF2-40B4-BE49-F238E27FC236}">
              <a16:creationId xmlns:a16="http://schemas.microsoft.com/office/drawing/2014/main" id="{3D8310ED-8AD0-4934-BEE9-0DD9C0AA5711}"/>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198" name="AutoShape 9">
          <a:extLst>
            <a:ext uri="{FF2B5EF4-FFF2-40B4-BE49-F238E27FC236}">
              <a16:creationId xmlns:a16="http://schemas.microsoft.com/office/drawing/2014/main" id="{D034268C-7404-46B4-88D4-8ED869518AC4}"/>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199" name="AutoShape 10">
          <a:extLst>
            <a:ext uri="{FF2B5EF4-FFF2-40B4-BE49-F238E27FC236}">
              <a16:creationId xmlns:a16="http://schemas.microsoft.com/office/drawing/2014/main" id="{841915FE-0516-49F6-80AA-04D3499A6FA8}"/>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0" name="AutoShape 11">
          <a:extLst>
            <a:ext uri="{FF2B5EF4-FFF2-40B4-BE49-F238E27FC236}">
              <a16:creationId xmlns:a16="http://schemas.microsoft.com/office/drawing/2014/main" id="{3E084FC6-20D1-4DDB-AA8B-EEE253EB57CE}"/>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1" name="AutoShape 12">
          <a:extLst>
            <a:ext uri="{FF2B5EF4-FFF2-40B4-BE49-F238E27FC236}">
              <a16:creationId xmlns:a16="http://schemas.microsoft.com/office/drawing/2014/main" id="{BAD39D53-60F7-46E9-B4E2-AB31B1669CE8}"/>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2" name="AutoShape 13">
          <a:extLst>
            <a:ext uri="{FF2B5EF4-FFF2-40B4-BE49-F238E27FC236}">
              <a16:creationId xmlns:a16="http://schemas.microsoft.com/office/drawing/2014/main" id="{94C8B0E8-D71B-4454-94ED-BE7915F0F6CD}"/>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3" name="AutoShape 14">
          <a:extLst>
            <a:ext uri="{FF2B5EF4-FFF2-40B4-BE49-F238E27FC236}">
              <a16:creationId xmlns:a16="http://schemas.microsoft.com/office/drawing/2014/main" id="{76442438-256B-47C7-8851-F1ECEAB27C0E}"/>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4" name="AutoShape 15">
          <a:extLst>
            <a:ext uri="{FF2B5EF4-FFF2-40B4-BE49-F238E27FC236}">
              <a16:creationId xmlns:a16="http://schemas.microsoft.com/office/drawing/2014/main" id="{410539D8-737E-4864-875E-6B9C98074B2A}"/>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5" name="AutoShape 4">
          <a:extLst>
            <a:ext uri="{FF2B5EF4-FFF2-40B4-BE49-F238E27FC236}">
              <a16:creationId xmlns:a16="http://schemas.microsoft.com/office/drawing/2014/main" id="{A62D7700-56A5-40DB-8429-6A7FD3D9949E}"/>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6" name="AutoShape 6">
          <a:extLst>
            <a:ext uri="{FF2B5EF4-FFF2-40B4-BE49-F238E27FC236}">
              <a16:creationId xmlns:a16="http://schemas.microsoft.com/office/drawing/2014/main" id="{FF864CC7-5886-4FF6-AB9C-1DAE88467807}"/>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7" name="AutoShape 7">
          <a:extLst>
            <a:ext uri="{FF2B5EF4-FFF2-40B4-BE49-F238E27FC236}">
              <a16:creationId xmlns:a16="http://schemas.microsoft.com/office/drawing/2014/main" id="{63B0B507-1858-467D-9147-73AD428E17BA}"/>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8" name="AutoShape 8">
          <a:extLst>
            <a:ext uri="{FF2B5EF4-FFF2-40B4-BE49-F238E27FC236}">
              <a16:creationId xmlns:a16="http://schemas.microsoft.com/office/drawing/2014/main" id="{1889731C-F23D-4700-8023-D18CE8A5D992}"/>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09" name="AutoShape 9">
          <a:extLst>
            <a:ext uri="{FF2B5EF4-FFF2-40B4-BE49-F238E27FC236}">
              <a16:creationId xmlns:a16="http://schemas.microsoft.com/office/drawing/2014/main" id="{6F0A8CCC-0305-4E99-8995-1F7C1864511B}"/>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10" name="AutoShape 10">
          <a:extLst>
            <a:ext uri="{FF2B5EF4-FFF2-40B4-BE49-F238E27FC236}">
              <a16:creationId xmlns:a16="http://schemas.microsoft.com/office/drawing/2014/main" id="{5C4BDCB6-F9B6-488A-A9AF-5D6AA8A1EF96}"/>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11" name="AutoShape 11">
          <a:extLst>
            <a:ext uri="{FF2B5EF4-FFF2-40B4-BE49-F238E27FC236}">
              <a16:creationId xmlns:a16="http://schemas.microsoft.com/office/drawing/2014/main" id="{F5183DC8-B3D8-4C81-BDE2-5318C9838E1A}"/>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12" name="AutoShape 12">
          <a:extLst>
            <a:ext uri="{FF2B5EF4-FFF2-40B4-BE49-F238E27FC236}">
              <a16:creationId xmlns:a16="http://schemas.microsoft.com/office/drawing/2014/main" id="{D48AC7FE-3A78-4C6A-B90F-6DC8FEAB45D2}"/>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13" name="AutoShape 13">
          <a:extLst>
            <a:ext uri="{FF2B5EF4-FFF2-40B4-BE49-F238E27FC236}">
              <a16:creationId xmlns:a16="http://schemas.microsoft.com/office/drawing/2014/main" id="{B6471E74-FF02-47EB-A830-6E6B928ED6EF}"/>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14" name="AutoShape 14">
          <a:extLst>
            <a:ext uri="{FF2B5EF4-FFF2-40B4-BE49-F238E27FC236}">
              <a16:creationId xmlns:a16="http://schemas.microsoft.com/office/drawing/2014/main" id="{07BEE29B-C4F3-4C78-AF8C-231ADBF88F6F}"/>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24</xdr:row>
      <xdr:rowOff>0</xdr:rowOff>
    </xdr:from>
    <xdr:ext cx="304800" cy="304800"/>
    <xdr:sp macro="" textlink="">
      <xdr:nvSpPr>
        <xdr:cNvPr id="215" name="AutoShape 15">
          <a:extLst>
            <a:ext uri="{FF2B5EF4-FFF2-40B4-BE49-F238E27FC236}">
              <a16:creationId xmlns:a16="http://schemas.microsoft.com/office/drawing/2014/main" id="{57A8BC09-43DB-4A2A-9E0D-1800EFB637C9}"/>
            </a:ext>
          </a:extLst>
        </xdr:cNvPr>
        <xdr:cNvSpPr>
          <a:spLocks noChangeAspect="1" noChangeArrowheads="1"/>
        </xdr:cNvSpPr>
      </xdr:nvSpPr>
      <xdr:spPr bwMode="auto">
        <a:xfrm>
          <a:off x="12801600" y="7620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16" name="AutoShape 16">
          <a:extLst>
            <a:ext uri="{FF2B5EF4-FFF2-40B4-BE49-F238E27FC236}">
              <a16:creationId xmlns:a16="http://schemas.microsoft.com/office/drawing/2014/main" id="{98B4BE40-A3BF-4985-8708-A083742FDBA5}"/>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17" name="AutoShape 4">
          <a:extLst>
            <a:ext uri="{FF2B5EF4-FFF2-40B4-BE49-F238E27FC236}">
              <a16:creationId xmlns:a16="http://schemas.microsoft.com/office/drawing/2014/main" id="{B1EC6392-2B40-4D93-9C29-B27EB87120F9}"/>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18" name="AutoShape 6">
          <a:extLst>
            <a:ext uri="{FF2B5EF4-FFF2-40B4-BE49-F238E27FC236}">
              <a16:creationId xmlns:a16="http://schemas.microsoft.com/office/drawing/2014/main" id="{3543E6DB-0D98-42DC-A433-61E70E854780}"/>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19" name="AutoShape 7">
          <a:extLst>
            <a:ext uri="{FF2B5EF4-FFF2-40B4-BE49-F238E27FC236}">
              <a16:creationId xmlns:a16="http://schemas.microsoft.com/office/drawing/2014/main" id="{69C6A240-B9E3-491D-A99B-A8C917A30CF8}"/>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0" name="AutoShape 8">
          <a:extLst>
            <a:ext uri="{FF2B5EF4-FFF2-40B4-BE49-F238E27FC236}">
              <a16:creationId xmlns:a16="http://schemas.microsoft.com/office/drawing/2014/main" id="{95AE641B-9B52-426C-BF9A-F317A0E23CF2}"/>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1" name="AutoShape 9">
          <a:extLst>
            <a:ext uri="{FF2B5EF4-FFF2-40B4-BE49-F238E27FC236}">
              <a16:creationId xmlns:a16="http://schemas.microsoft.com/office/drawing/2014/main" id="{9C5F36FD-4AE2-42A9-9C86-1A50E6E68FFF}"/>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2" name="AutoShape 10">
          <a:extLst>
            <a:ext uri="{FF2B5EF4-FFF2-40B4-BE49-F238E27FC236}">
              <a16:creationId xmlns:a16="http://schemas.microsoft.com/office/drawing/2014/main" id="{0C6F5ADD-1212-4781-9CDF-D52024355C9D}"/>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3" name="AutoShape 11">
          <a:extLst>
            <a:ext uri="{FF2B5EF4-FFF2-40B4-BE49-F238E27FC236}">
              <a16:creationId xmlns:a16="http://schemas.microsoft.com/office/drawing/2014/main" id="{EF652232-CE64-432E-B585-3E8CF15D8680}"/>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4" name="AutoShape 12">
          <a:extLst>
            <a:ext uri="{FF2B5EF4-FFF2-40B4-BE49-F238E27FC236}">
              <a16:creationId xmlns:a16="http://schemas.microsoft.com/office/drawing/2014/main" id="{46EA60D8-14E6-4B57-BEA0-93AC7ADAF0D1}"/>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5" name="AutoShape 13">
          <a:extLst>
            <a:ext uri="{FF2B5EF4-FFF2-40B4-BE49-F238E27FC236}">
              <a16:creationId xmlns:a16="http://schemas.microsoft.com/office/drawing/2014/main" id="{446FE115-F92D-40CA-89FC-A7AFCA4868CF}"/>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6" name="AutoShape 14">
          <a:extLst>
            <a:ext uri="{FF2B5EF4-FFF2-40B4-BE49-F238E27FC236}">
              <a16:creationId xmlns:a16="http://schemas.microsoft.com/office/drawing/2014/main" id="{B8F4A88A-E894-4280-8403-3331EA3C0230}"/>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7" name="AutoShape 15">
          <a:extLst>
            <a:ext uri="{FF2B5EF4-FFF2-40B4-BE49-F238E27FC236}">
              <a16:creationId xmlns:a16="http://schemas.microsoft.com/office/drawing/2014/main" id="{CD77350F-4A0D-48E5-B4E6-6DAC4016BAF4}"/>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8" name="AutoShape 4">
          <a:extLst>
            <a:ext uri="{FF2B5EF4-FFF2-40B4-BE49-F238E27FC236}">
              <a16:creationId xmlns:a16="http://schemas.microsoft.com/office/drawing/2014/main" id="{D4BBA299-5955-4C00-A89F-F5B30EDD77E6}"/>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29" name="AutoShape 6">
          <a:extLst>
            <a:ext uri="{FF2B5EF4-FFF2-40B4-BE49-F238E27FC236}">
              <a16:creationId xmlns:a16="http://schemas.microsoft.com/office/drawing/2014/main" id="{AC673642-42AD-4EDF-93A7-70CECFCABDC9}"/>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0" name="AutoShape 7">
          <a:extLst>
            <a:ext uri="{FF2B5EF4-FFF2-40B4-BE49-F238E27FC236}">
              <a16:creationId xmlns:a16="http://schemas.microsoft.com/office/drawing/2014/main" id="{A60A95BD-209D-4B75-A969-57D66896A887}"/>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1" name="AutoShape 8">
          <a:extLst>
            <a:ext uri="{FF2B5EF4-FFF2-40B4-BE49-F238E27FC236}">
              <a16:creationId xmlns:a16="http://schemas.microsoft.com/office/drawing/2014/main" id="{0C71C83C-B787-4D80-B62E-8E65404BC1C6}"/>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2" name="AutoShape 9">
          <a:extLst>
            <a:ext uri="{FF2B5EF4-FFF2-40B4-BE49-F238E27FC236}">
              <a16:creationId xmlns:a16="http://schemas.microsoft.com/office/drawing/2014/main" id="{57006E25-F990-4886-9062-84EFBA4965FB}"/>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3" name="AutoShape 10">
          <a:extLst>
            <a:ext uri="{FF2B5EF4-FFF2-40B4-BE49-F238E27FC236}">
              <a16:creationId xmlns:a16="http://schemas.microsoft.com/office/drawing/2014/main" id="{42C9F950-6812-41DD-9117-494163FA25A6}"/>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4" name="AutoShape 11">
          <a:extLst>
            <a:ext uri="{FF2B5EF4-FFF2-40B4-BE49-F238E27FC236}">
              <a16:creationId xmlns:a16="http://schemas.microsoft.com/office/drawing/2014/main" id="{D07590CC-B773-4739-96D8-E9E1CCD515C4}"/>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5" name="AutoShape 12">
          <a:extLst>
            <a:ext uri="{FF2B5EF4-FFF2-40B4-BE49-F238E27FC236}">
              <a16:creationId xmlns:a16="http://schemas.microsoft.com/office/drawing/2014/main" id="{5CE2CB31-0A6F-4497-9CC0-78FA041AFC08}"/>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6" name="AutoShape 13">
          <a:extLst>
            <a:ext uri="{FF2B5EF4-FFF2-40B4-BE49-F238E27FC236}">
              <a16:creationId xmlns:a16="http://schemas.microsoft.com/office/drawing/2014/main" id="{1474FF8B-B706-4627-BDEC-FF0C62400081}"/>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7" name="AutoShape 14">
          <a:extLst>
            <a:ext uri="{FF2B5EF4-FFF2-40B4-BE49-F238E27FC236}">
              <a16:creationId xmlns:a16="http://schemas.microsoft.com/office/drawing/2014/main" id="{AC31E4AD-D438-44A5-8029-855AF68FAB16}"/>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25</xdr:row>
      <xdr:rowOff>0</xdr:rowOff>
    </xdr:from>
    <xdr:ext cx="304800" cy="304800"/>
    <xdr:sp macro="" textlink="">
      <xdr:nvSpPr>
        <xdr:cNvPr id="238" name="AutoShape 15">
          <a:extLst>
            <a:ext uri="{FF2B5EF4-FFF2-40B4-BE49-F238E27FC236}">
              <a16:creationId xmlns:a16="http://schemas.microsoft.com/office/drawing/2014/main" id="{66877F5B-EE53-4463-A611-D9F25BB7EA12}"/>
            </a:ext>
          </a:extLst>
        </xdr:cNvPr>
        <xdr:cNvSpPr>
          <a:spLocks noChangeAspect="1" noChangeArrowheads="1"/>
        </xdr:cNvSpPr>
      </xdr:nvSpPr>
      <xdr:spPr bwMode="auto">
        <a:xfrm>
          <a:off x="12801600" y="7810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39" name="AutoShape 16">
          <a:extLst>
            <a:ext uri="{FF2B5EF4-FFF2-40B4-BE49-F238E27FC236}">
              <a16:creationId xmlns:a16="http://schemas.microsoft.com/office/drawing/2014/main" id="{0D02F7F6-16C0-4AE2-A850-234CDA0C0021}"/>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0" name="AutoShape 4">
          <a:extLst>
            <a:ext uri="{FF2B5EF4-FFF2-40B4-BE49-F238E27FC236}">
              <a16:creationId xmlns:a16="http://schemas.microsoft.com/office/drawing/2014/main" id="{FC2E90A1-C805-4F24-873A-FA2137455F1C}"/>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1" name="AutoShape 6">
          <a:extLst>
            <a:ext uri="{FF2B5EF4-FFF2-40B4-BE49-F238E27FC236}">
              <a16:creationId xmlns:a16="http://schemas.microsoft.com/office/drawing/2014/main" id="{CF70EC69-3378-41BF-AAF8-A4534CB98EC1}"/>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2" name="AutoShape 7">
          <a:extLst>
            <a:ext uri="{FF2B5EF4-FFF2-40B4-BE49-F238E27FC236}">
              <a16:creationId xmlns:a16="http://schemas.microsoft.com/office/drawing/2014/main" id="{219E7A93-2EA6-4DD6-899B-F9BDACE5EF8F}"/>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3" name="AutoShape 8">
          <a:extLst>
            <a:ext uri="{FF2B5EF4-FFF2-40B4-BE49-F238E27FC236}">
              <a16:creationId xmlns:a16="http://schemas.microsoft.com/office/drawing/2014/main" id="{09FF2280-8CE0-444F-B747-3E2C375E920A}"/>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4" name="AutoShape 9">
          <a:extLst>
            <a:ext uri="{FF2B5EF4-FFF2-40B4-BE49-F238E27FC236}">
              <a16:creationId xmlns:a16="http://schemas.microsoft.com/office/drawing/2014/main" id="{E249CE6C-D0D4-4316-8A32-3418CB6D7740}"/>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5" name="AutoShape 10">
          <a:extLst>
            <a:ext uri="{FF2B5EF4-FFF2-40B4-BE49-F238E27FC236}">
              <a16:creationId xmlns:a16="http://schemas.microsoft.com/office/drawing/2014/main" id="{55AEA8D0-8E96-4A4B-95C3-FFF0D3871F00}"/>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6" name="AutoShape 11">
          <a:extLst>
            <a:ext uri="{FF2B5EF4-FFF2-40B4-BE49-F238E27FC236}">
              <a16:creationId xmlns:a16="http://schemas.microsoft.com/office/drawing/2014/main" id="{DC32049F-6458-4B83-A5BB-1ACB18261848}"/>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7" name="AutoShape 12">
          <a:extLst>
            <a:ext uri="{FF2B5EF4-FFF2-40B4-BE49-F238E27FC236}">
              <a16:creationId xmlns:a16="http://schemas.microsoft.com/office/drawing/2014/main" id="{CFAF0AEF-21D8-47E4-A8D8-C7A931AACDDE}"/>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8" name="AutoShape 13">
          <a:extLst>
            <a:ext uri="{FF2B5EF4-FFF2-40B4-BE49-F238E27FC236}">
              <a16:creationId xmlns:a16="http://schemas.microsoft.com/office/drawing/2014/main" id="{C6154211-5390-46BD-964A-A99F10524796}"/>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49" name="AutoShape 14">
          <a:extLst>
            <a:ext uri="{FF2B5EF4-FFF2-40B4-BE49-F238E27FC236}">
              <a16:creationId xmlns:a16="http://schemas.microsoft.com/office/drawing/2014/main" id="{7B1BB7C9-63B5-4220-A8DC-CE21D6F68319}"/>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0" name="AutoShape 15">
          <a:extLst>
            <a:ext uri="{FF2B5EF4-FFF2-40B4-BE49-F238E27FC236}">
              <a16:creationId xmlns:a16="http://schemas.microsoft.com/office/drawing/2014/main" id="{30C8A988-B658-45A5-8EC2-B8F404D952EF}"/>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1" name="AutoShape 4">
          <a:extLst>
            <a:ext uri="{FF2B5EF4-FFF2-40B4-BE49-F238E27FC236}">
              <a16:creationId xmlns:a16="http://schemas.microsoft.com/office/drawing/2014/main" id="{1AD06573-771C-422E-A476-88069E238803}"/>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2" name="AutoShape 6">
          <a:extLst>
            <a:ext uri="{FF2B5EF4-FFF2-40B4-BE49-F238E27FC236}">
              <a16:creationId xmlns:a16="http://schemas.microsoft.com/office/drawing/2014/main" id="{B6A82655-FBF1-4D4E-B677-10442A19AB3B}"/>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3" name="AutoShape 7">
          <a:extLst>
            <a:ext uri="{FF2B5EF4-FFF2-40B4-BE49-F238E27FC236}">
              <a16:creationId xmlns:a16="http://schemas.microsoft.com/office/drawing/2014/main" id="{3DD02DDD-3AB8-495D-800C-82F36269451C}"/>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4" name="AutoShape 8">
          <a:extLst>
            <a:ext uri="{FF2B5EF4-FFF2-40B4-BE49-F238E27FC236}">
              <a16:creationId xmlns:a16="http://schemas.microsoft.com/office/drawing/2014/main" id="{0494E86F-9337-42F6-BCEB-907665AC6E8F}"/>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5" name="AutoShape 9">
          <a:extLst>
            <a:ext uri="{FF2B5EF4-FFF2-40B4-BE49-F238E27FC236}">
              <a16:creationId xmlns:a16="http://schemas.microsoft.com/office/drawing/2014/main" id="{9DDC1598-B218-45E9-8359-54ECF918A56A}"/>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6" name="AutoShape 10">
          <a:extLst>
            <a:ext uri="{FF2B5EF4-FFF2-40B4-BE49-F238E27FC236}">
              <a16:creationId xmlns:a16="http://schemas.microsoft.com/office/drawing/2014/main" id="{54D58C54-92DD-49A7-A3AC-06F7C465220B}"/>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7" name="AutoShape 11">
          <a:extLst>
            <a:ext uri="{FF2B5EF4-FFF2-40B4-BE49-F238E27FC236}">
              <a16:creationId xmlns:a16="http://schemas.microsoft.com/office/drawing/2014/main" id="{A29FC3A3-8AEC-4FBD-9A63-0ECF09D20156}"/>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8" name="AutoShape 12">
          <a:extLst>
            <a:ext uri="{FF2B5EF4-FFF2-40B4-BE49-F238E27FC236}">
              <a16:creationId xmlns:a16="http://schemas.microsoft.com/office/drawing/2014/main" id="{AD56D8B7-8F02-4CE8-BC9B-6E5A9C46CCA2}"/>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59" name="AutoShape 13">
          <a:extLst>
            <a:ext uri="{FF2B5EF4-FFF2-40B4-BE49-F238E27FC236}">
              <a16:creationId xmlns:a16="http://schemas.microsoft.com/office/drawing/2014/main" id="{4C9C4F38-9564-4CEC-AD01-66FA608E8963}"/>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60" name="AutoShape 14">
          <a:extLst>
            <a:ext uri="{FF2B5EF4-FFF2-40B4-BE49-F238E27FC236}">
              <a16:creationId xmlns:a16="http://schemas.microsoft.com/office/drawing/2014/main" id="{0C389010-3FC2-4C5F-876E-1CA8063CBDDC}"/>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26</xdr:row>
      <xdr:rowOff>0</xdr:rowOff>
    </xdr:from>
    <xdr:ext cx="304800" cy="304800"/>
    <xdr:sp macro="" textlink="">
      <xdr:nvSpPr>
        <xdr:cNvPr id="261" name="AutoShape 15">
          <a:extLst>
            <a:ext uri="{FF2B5EF4-FFF2-40B4-BE49-F238E27FC236}">
              <a16:creationId xmlns:a16="http://schemas.microsoft.com/office/drawing/2014/main" id="{9E6153C6-069E-4A24-BADC-AE1BA0B896D7}"/>
            </a:ext>
          </a:extLst>
        </xdr:cNvPr>
        <xdr:cNvSpPr>
          <a:spLocks noChangeAspect="1" noChangeArrowheads="1"/>
        </xdr:cNvSpPr>
      </xdr:nvSpPr>
      <xdr:spPr bwMode="auto">
        <a:xfrm>
          <a:off x="12801600" y="800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2" name="AutoShape 16">
          <a:extLst>
            <a:ext uri="{FF2B5EF4-FFF2-40B4-BE49-F238E27FC236}">
              <a16:creationId xmlns:a16="http://schemas.microsoft.com/office/drawing/2014/main" id="{3CEAF65F-B02B-4EA1-A754-3418CA2CAA8B}"/>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3" name="AutoShape 4">
          <a:extLst>
            <a:ext uri="{FF2B5EF4-FFF2-40B4-BE49-F238E27FC236}">
              <a16:creationId xmlns:a16="http://schemas.microsoft.com/office/drawing/2014/main" id="{996126E8-52E8-43D2-9BFB-93F8BB24FA4C}"/>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4" name="AutoShape 6">
          <a:extLst>
            <a:ext uri="{FF2B5EF4-FFF2-40B4-BE49-F238E27FC236}">
              <a16:creationId xmlns:a16="http://schemas.microsoft.com/office/drawing/2014/main" id="{F2E665D5-8D0D-4AF8-B71E-0AF039C9B01A}"/>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5" name="AutoShape 7">
          <a:extLst>
            <a:ext uri="{FF2B5EF4-FFF2-40B4-BE49-F238E27FC236}">
              <a16:creationId xmlns:a16="http://schemas.microsoft.com/office/drawing/2014/main" id="{AF6991A3-6C99-4ACF-BCB1-B0FC7423A472}"/>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6" name="AutoShape 8">
          <a:extLst>
            <a:ext uri="{FF2B5EF4-FFF2-40B4-BE49-F238E27FC236}">
              <a16:creationId xmlns:a16="http://schemas.microsoft.com/office/drawing/2014/main" id="{25C754AA-10E3-4664-BC9E-8EA10FAFB470}"/>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7" name="AutoShape 9">
          <a:extLst>
            <a:ext uri="{FF2B5EF4-FFF2-40B4-BE49-F238E27FC236}">
              <a16:creationId xmlns:a16="http://schemas.microsoft.com/office/drawing/2014/main" id="{0A5FAFE0-FEC0-456A-A2AE-1DCC105EEB4A}"/>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8" name="AutoShape 10">
          <a:extLst>
            <a:ext uri="{FF2B5EF4-FFF2-40B4-BE49-F238E27FC236}">
              <a16:creationId xmlns:a16="http://schemas.microsoft.com/office/drawing/2014/main" id="{E791FD07-A386-4788-85CA-F0960F2144DB}"/>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69" name="AutoShape 11">
          <a:extLst>
            <a:ext uri="{FF2B5EF4-FFF2-40B4-BE49-F238E27FC236}">
              <a16:creationId xmlns:a16="http://schemas.microsoft.com/office/drawing/2014/main" id="{5655692B-B78B-4921-9503-1626D8B2D8BB}"/>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70" name="AutoShape 12">
          <a:extLst>
            <a:ext uri="{FF2B5EF4-FFF2-40B4-BE49-F238E27FC236}">
              <a16:creationId xmlns:a16="http://schemas.microsoft.com/office/drawing/2014/main" id="{5089E9AF-EAA0-40F8-9904-49F75C5C019E}"/>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71" name="AutoShape 13">
          <a:extLst>
            <a:ext uri="{FF2B5EF4-FFF2-40B4-BE49-F238E27FC236}">
              <a16:creationId xmlns:a16="http://schemas.microsoft.com/office/drawing/2014/main" id="{D324149D-613F-423A-99F9-B3D932EE3632}"/>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72" name="AutoShape 14">
          <a:extLst>
            <a:ext uri="{FF2B5EF4-FFF2-40B4-BE49-F238E27FC236}">
              <a16:creationId xmlns:a16="http://schemas.microsoft.com/office/drawing/2014/main" id="{4F761B61-577A-4ADA-A947-77C3D703639A}"/>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33</xdr:row>
      <xdr:rowOff>0</xdr:rowOff>
    </xdr:from>
    <xdr:ext cx="304800" cy="304800"/>
    <xdr:sp macro="" textlink="">
      <xdr:nvSpPr>
        <xdr:cNvPr id="273" name="AutoShape 15">
          <a:extLst>
            <a:ext uri="{FF2B5EF4-FFF2-40B4-BE49-F238E27FC236}">
              <a16:creationId xmlns:a16="http://schemas.microsoft.com/office/drawing/2014/main" id="{791730FD-7C14-42D9-B6D3-50FAA583C17D}"/>
            </a:ext>
          </a:extLst>
        </xdr:cNvPr>
        <xdr:cNvSpPr>
          <a:spLocks noChangeAspect="1" noChangeArrowheads="1"/>
        </xdr:cNvSpPr>
      </xdr:nvSpPr>
      <xdr:spPr bwMode="auto">
        <a:xfrm>
          <a:off x="12801600" y="933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74" name="AutoShape 16">
          <a:extLst>
            <a:ext uri="{FF2B5EF4-FFF2-40B4-BE49-F238E27FC236}">
              <a16:creationId xmlns:a16="http://schemas.microsoft.com/office/drawing/2014/main" id="{92AE6A94-B66A-4EBD-B869-1070D2EEAF93}"/>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75" name="AutoShape 4">
          <a:extLst>
            <a:ext uri="{FF2B5EF4-FFF2-40B4-BE49-F238E27FC236}">
              <a16:creationId xmlns:a16="http://schemas.microsoft.com/office/drawing/2014/main" id="{AD92720B-CFB9-4374-BD97-8460BFEBC2E8}"/>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76" name="AutoShape 6">
          <a:extLst>
            <a:ext uri="{FF2B5EF4-FFF2-40B4-BE49-F238E27FC236}">
              <a16:creationId xmlns:a16="http://schemas.microsoft.com/office/drawing/2014/main" id="{5D1182D5-D5BB-46E3-BF6B-F9557D306C0B}"/>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77" name="AutoShape 7">
          <a:extLst>
            <a:ext uri="{FF2B5EF4-FFF2-40B4-BE49-F238E27FC236}">
              <a16:creationId xmlns:a16="http://schemas.microsoft.com/office/drawing/2014/main" id="{1193C440-5123-41D0-B423-5127AF38FF9B}"/>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78" name="AutoShape 8">
          <a:extLst>
            <a:ext uri="{FF2B5EF4-FFF2-40B4-BE49-F238E27FC236}">
              <a16:creationId xmlns:a16="http://schemas.microsoft.com/office/drawing/2014/main" id="{43CF0484-CA17-4DF9-8075-83D1DD766112}"/>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79" name="AutoShape 9">
          <a:extLst>
            <a:ext uri="{FF2B5EF4-FFF2-40B4-BE49-F238E27FC236}">
              <a16:creationId xmlns:a16="http://schemas.microsoft.com/office/drawing/2014/main" id="{8585E83E-2449-44FD-ABD0-55F8ABD31168}"/>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0" name="AutoShape 10">
          <a:extLst>
            <a:ext uri="{FF2B5EF4-FFF2-40B4-BE49-F238E27FC236}">
              <a16:creationId xmlns:a16="http://schemas.microsoft.com/office/drawing/2014/main" id="{F57BF578-6EC1-463A-94CD-E5F161AFADCD}"/>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1" name="AutoShape 11">
          <a:extLst>
            <a:ext uri="{FF2B5EF4-FFF2-40B4-BE49-F238E27FC236}">
              <a16:creationId xmlns:a16="http://schemas.microsoft.com/office/drawing/2014/main" id="{4086033E-146B-4A69-9A3D-685B49F5D685}"/>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2" name="AutoShape 12">
          <a:extLst>
            <a:ext uri="{FF2B5EF4-FFF2-40B4-BE49-F238E27FC236}">
              <a16:creationId xmlns:a16="http://schemas.microsoft.com/office/drawing/2014/main" id="{1FF10C66-54B6-4B1C-BB5B-6B267F56D00B}"/>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3" name="AutoShape 13">
          <a:extLst>
            <a:ext uri="{FF2B5EF4-FFF2-40B4-BE49-F238E27FC236}">
              <a16:creationId xmlns:a16="http://schemas.microsoft.com/office/drawing/2014/main" id="{736CB166-249C-491B-9E41-DB892BC592F7}"/>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4" name="AutoShape 14">
          <a:extLst>
            <a:ext uri="{FF2B5EF4-FFF2-40B4-BE49-F238E27FC236}">
              <a16:creationId xmlns:a16="http://schemas.microsoft.com/office/drawing/2014/main" id="{6DF2689A-0BD0-4DC7-8885-0DBDD67A4D66}"/>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5" name="AutoShape 15">
          <a:extLst>
            <a:ext uri="{FF2B5EF4-FFF2-40B4-BE49-F238E27FC236}">
              <a16:creationId xmlns:a16="http://schemas.microsoft.com/office/drawing/2014/main" id="{4AAED5FF-AB3E-4BE9-B283-982081063BD2}"/>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6" name="AutoShape 4">
          <a:extLst>
            <a:ext uri="{FF2B5EF4-FFF2-40B4-BE49-F238E27FC236}">
              <a16:creationId xmlns:a16="http://schemas.microsoft.com/office/drawing/2014/main" id="{88A9FCD1-0FA5-42AC-863E-5059FD935D4E}"/>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7" name="AutoShape 6">
          <a:extLst>
            <a:ext uri="{FF2B5EF4-FFF2-40B4-BE49-F238E27FC236}">
              <a16:creationId xmlns:a16="http://schemas.microsoft.com/office/drawing/2014/main" id="{170A9B8D-590A-4896-903F-52688CB9B792}"/>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8" name="AutoShape 7">
          <a:extLst>
            <a:ext uri="{FF2B5EF4-FFF2-40B4-BE49-F238E27FC236}">
              <a16:creationId xmlns:a16="http://schemas.microsoft.com/office/drawing/2014/main" id="{1BFFC3FE-6102-45E8-A849-DC8E754777DC}"/>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89" name="AutoShape 8">
          <a:extLst>
            <a:ext uri="{FF2B5EF4-FFF2-40B4-BE49-F238E27FC236}">
              <a16:creationId xmlns:a16="http://schemas.microsoft.com/office/drawing/2014/main" id="{925292B6-30A1-48EB-B337-EDA90138A3A5}"/>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90" name="AutoShape 9">
          <a:extLst>
            <a:ext uri="{FF2B5EF4-FFF2-40B4-BE49-F238E27FC236}">
              <a16:creationId xmlns:a16="http://schemas.microsoft.com/office/drawing/2014/main" id="{09AAC422-3DED-4841-83FB-2EB18C44FB56}"/>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91" name="AutoShape 10">
          <a:extLst>
            <a:ext uri="{FF2B5EF4-FFF2-40B4-BE49-F238E27FC236}">
              <a16:creationId xmlns:a16="http://schemas.microsoft.com/office/drawing/2014/main" id="{466BB6EE-F085-4996-A364-57798E73DF4F}"/>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92" name="AutoShape 11">
          <a:extLst>
            <a:ext uri="{FF2B5EF4-FFF2-40B4-BE49-F238E27FC236}">
              <a16:creationId xmlns:a16="http://schemas.microsoft.com/office/drawing/2014/main" id="{E4047F89-A3F2-4B38-BF9D-65DBBCAD06FC}"/>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93" name="AutoShape 12">
          <a:extLst>
            <a:ext uri="{FF2B5EF4-FFF2-40B4-BE49-F238E27FC236}">
              <a16:creationId xmlns:a16="http://schemas.microsoft.com/office/drawing/2014/main" id="{85104D22-7AD6-496F-B62F-CBE68F323963}"/>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94" name="AutoShape 13">
          <a:extLst>
            <a:ext uri="{FF2B5EF4-FFF2-40B4-BE49-F238E27FC236}">
              <a16:creationId xmlns:a16="http://schemas.microsoft.com/office/drawing/2014/main" id="{95E5C19A-085F-46F7-92E2-34A579C5B357}"/>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95" name="AutoShape 14">
          <a:extLst>
            <a:ext uri="{FF2B5EF4-FFF2-40B4-BE49-F238E27FC236}">
              <a16:creationId xmlns:a16="http://schemas.microsoft.com/office/drawing/2014/main" id="{F73E2C44-21A8-436C-8025-741BA7D67D13}"/>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20</xdr:row>
      <xdr:rowOff>0</xdr:rowOff>
    </xdr:from>
    <xdr:ext cx="304800" cy="304800"/>
    <xdr:sp macro="" textlink="">
      <xdr:nvSpPr>
        <xdr:cNvPr id="296" name="AutoShape 15">
          <a:extLst>
            <a:ext uri="{FF2B5EF4-FFF2-40B4-BE49-F238E27FC236}">
              <a16:creationId xmlns:a16="http://schemas.microsoft.com/office/drawing/2014/main" id="{9EC772E8-9DC5-4C51-ACCF-E920CDCBD085}"/>
            </a:ext>
          </a:extLst>
        </xdr:cNvPr>
        <xdr:cNvSpPr>
          <a:spLocks noChangeAspect="1" noChangeArrowheads="1"/>
        </xdr:cNvSpPr>
      </xdr:nvSpPr>
      <xdr:spPr bwMode="auto">
        <a:xfrm>
          <a:off x="12801600" y="666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297" name="AutoShape 16">
          <a:extLst>
            <a:ext uri="{FF2B5EF4-FFF2-40B4-BE49-F238E27FC236}">
              <a16:creationId xmlns:a16="http://schemas.microsoft.com/office/drawing/2014/main" id="{A6F24712-1BC6-46B7-AEFD-2E20FE75117A}"/>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298" name="AutoShape 4">
          <a:extLst>
            <a:ext uri="{FF2B5EF4-FFF2-40B4-BE49-F238E27FC236}">
              <a16:creationId xmlns:a16="http://schemas.microsoft.com/office/drawing/2014/main" id="{274C1D02-20C5-473A-AB31-2DB4821AA479}"/>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299" name="AutoShape 6">
          <a:extLst>
            <a:ext uri="{FF2B5EF4-FFF2-40B4-BE49-F238E27FC236}">
              <a16:creationId xmlns:a16="http://schemas.microsoft.com/office/drawing/2014/main" id="{77437987-F50B-4477-B504-266014F5C54E}"/>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0" name="AutoShape 7">
          <a:extLst>
            <a:ext uri="{FF2B5EF4-FFF2-40B4-BE49-F238E27FC236}">
              <a16:creationId xmlns:a16="http://schemas.microsoft.com/office/drawing/2014/main" id="{C201D31E-098C-4EC5-B386-3E7AF4D43FB6}"/>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1" name="AutoShape 8">
          <a:extLst>
            <a:ext uri="{FF2B5EF4-FFF2-40B4-BE49-F238E27FC236}">
              <a16:creationId xmlns:a16="http://schemas.microsoft.com/office/drawing/2014/main" id="{01B84A86-E0DE-4E73-8E49-8EFF40BB7630}"/>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2" name="AutoShape 9">
          <a:extLst>
            <a:ext uri="{FF2B5EF4-FFF2-40B4-BE49-F238E27FC236}">
              <a16:creationId xmlns:a16="http://schemas.microsoft.com/office/drawing/2014/main" id="{B5058D41-F714-434F-8E3D-7715241DCC67}"/>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3" name="AutoShape 10">
          <a:extLst>
            <a:ext uri="{FF2B5EF4-FFF2-40B4-BE49-F238E27FC236}">
              <a16:creationId xmlns:a16="http://schemas.microsoft.com/office/drawing/2014/main" id="{150F1742-B2DD-4A99-9E36-42772FB975A3}"/>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4" name="AutoShape 11">
          <a:extLst>
            <a:ext uri="{FF2B5EF4-FFF2-40B4-BE49-F238E27FC236}">
              <a16:creationId xmlns:a16="http://schemas.microsoft.com/office/drawing/2014/main" id="{40CA89E9-393E-4F11-8EC9-5299C3F37B0B}"/>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5" name="AutoShape 12">
          <a:extLst>
            <a:ext uri="{FF2B5EF4-FFF2-40B4-BE49-F238E27FC236}">
              <a16:creationId xmlns:a16="http://schemas.microsoft.com/office/drawing/2014/main" id="{D6B683F5-DED0-4016-A48E-52E1F336C7A1}"/>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6" name="AutoShape 13">
          <a:extLst>
            <a:ext uri="{FF2B5EF4-FFF2-40B4-BE49-F238E27FC236}">
              <a16:creationId xmlns:a16="http://schemas.microsoft.com/office/drawing/2014/main" id="{02BA4CFF-03CE-485E-991E-5CE1F08BFBF9}"/>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7" name="AutoShape 14">
          <a:extLst>
            <a:ext uri="{FF2B5EF4-FFF2-40B4-BE49-F238E27FC236}">
              <a16:creationId xmlns:a16="http://schemas.microsoft.com/office/drawing/2014/main" id="{75A44516-5CC5-43DE-A52B-22B53D7ABBD0}"/>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8" name="AutoShape 15">
          <a:extLst>
            <a:ext uri="{FF2B5EF4-FFF2-40B4-BE49-F238E27FC236}">
              <a16:creationId xmlns:a16="http://schemas.microsoft.com/office/drawing/2014/main" id="{724B660F-069F-460B-A074-3BDC32E41CAD}"/>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09" name="AutoShape 4">
          <a:extLst>
            <a:ext uri="{FF2B5EF4-FFF2-40B4-BE49-F238E27FC236}">
              <a16:creationId xmlns:a16="http://schemas.microsoft.com/office/drawing/2014/main" id="{D3D8BBBC-720B-46BC-8A7B-5209A94214CA}"/>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0" name="AutoShape 6">
          <a:extLst>
            <a:ext uri="{FF2B5EF4-FFF2-40B4-BE49-F238E27FC236}">
              <a16:creationId xmlns:a16="http://schemas.microsoft.com/office/drawing/2014/main" id="{612E9176-943C-44D4-8883-529B6CCA5B36}"/>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1" name="AutoShape 7">
          <a:extLst>
            <a:ext uri="{FF2B5EF4-FFF2-40B4-BE49-F238E27FC236}">
              <a16:creationId xmlns:a16="http://schemas.microsoft.com/office/drawing/2014/main" id="{067A5AEE-2BE4-4ADA-AFF4-8B095B9EF48E}"/>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2" name="AutoShape 8">
          <a:extLst>
            <a:ext uri="{FF2B5EF4-FFF2-40B4-BE49-F238E27FC236}">
              <a16:creationId xmlns:a16="http://schemas.microsoft.com/office/drawing/2014/main" id="{55EB80DF-DBA7-4309-9273-49DD82ADF9BF}"/>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3" name="AutoShape 9">
          <a:extLst>
            <a:ext uri="{FF2B5EF4-FFF2-40B4-BE49-F238E27FC236}">
              <a16:creationId xmlns:a16="http://schemas.microsoft.com/office/drawing/2014/main" id="{7C1668E5-B6C1-4818-B75A-8E1C5FAA4C7E}"/>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4" name="AutoShape 10">
          <a:extLst>
            <a:ext uri="{FF2B5EF4-FFF2-40B4-BE49-F238E27FC236}">
              <a16:creationId xmlns:a16="http://schemas.microsoft.com/office/drawing/2014/main" id="{843E75E4-A92E-496D-900E-A03AC793BDEE}"/>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5" name="AutoShape 11">
          <a:extLst>
            <a:ext uri="{FF2B5EF4-FFF2-40B4-BE49-F238E27FC236}">
              <a16:creationId xmlns:a16="http://schemas.microsoft.com/office/drawing/2014/main" id="{D3B4BC8B-7DA0-48BD-A660-9ED40E261DBF}"/>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6" name="AutoShape 12">
          <a:extLst>
            <a:ext uri="{FF2B5EF4-FFF2-40B4-BE49-F238E27FC236}">
              <a16:creationId xmlns:a16="http://schemas.microsoft.com/office/drawing/2014/main" id="{550771FB-5579-4699-B429-DC2637F83594}"/>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7" name="AutoShape 13">
          <a:extLst>
            <a:ext uri="{FF2B5EF4-FFF2-40B4-BE49-F238E27FC236}">
              <a16:creationId xmlns:a16="http://schemas.microsoft.com/office/drawing/2014/main" id="{BE86997C-E8DF-426C-8936-2D0419D20FA4}"/>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8" name="AutoShape 14">
          <a:extLst>
            <a:ext uri="{FF2B5EF4-FFF2-40B4-BE49-F238E27FC236}">
              <a16:creationId xmlns:a16="http://schemas.microsoft.com/office/drawing/2014/main" id="{AADA528B-6099-4DDA-BA56-316F75A2EC8F}"/>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22</xdr:row>
      <xdr:rowOff>0</xdr:rowOff>
    </xdr:from>
    <xdr:ext cx="304800" cy="304800"/>
    <xdr:sp macro="" textlink="">
      <xdr:nvSpPr>
        <xdr:cNvPr id="319" name="AutoShape 15">
          <a:extLst>
            <a:ext uri="{FF2B5EF4-FFF2-40B4-BE49-F238E27FC236}">
              <a16:creationId xmlns:a16="http://schemas.microsoft.com/office/drawing/2014/main" id="{D57A4831-4DB3-4CCE-B6B4-A87B84658EBB}"/>
            </a:ext>
          </a:extLst>
        </xdr:cNvPr>
        <xdr:cNvSpPr>
          <a:spLocks noChangeAspect="1" noChangeArrowheads="1"/>
        </xdr:cNvSpPr>
      </xdr:nvSpPr>
      <xdr:spPr bwMode="auto">
        <a:xfrm>
          <a:off x="1280160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0" name="AutoShape 16">
          <a:extLst>
            <a:ext uri="{FF2B5EF4-FFF2-40B4-BE49-F238E27FC236}">
              <a16:creationId xmlns:a16="http://schemas.microsoft.com/office/drawing/2014/main" id="{BAE98661-F6E3-4B89-A1D3-728C65DB0030}"/>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1" name="AutoShape 4">
          <a:extLst>
            <a:ext uri="{FF2B5EF4-FFF2-40B4-BE49-F238E27FC236}">
              <a16:creationId xmlns:a16="http://schemas.microsoft.com/office/drawing/2014/main" id="{6C01C45F-647F-4C42-9C2A-33F6B01720CD}"/>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2" name="AutoShape 6">
          <a:extLst>
            <a:ext uri="{FF2B5EF4-FFF2-40B4-BE49-F238E27FC236}">
              <a16:creationId xmlns:a16="http://schemas.microsoft.com/office/drawing/2014/main" id="{4D359A0C-7589-4797-8F27-2A669C3EA1DF}"/>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3" name="AutoShape 7">
          <a:extLst>
            <a:ext uri="{FF2B5EF4-FFF2-40B4-BE49-F238E27FC236}">
              <a16:creationId xmlns:a16="http://schemas.microsoft.com/office/drawing/2014/main" id="{4730D0E3-674F-4DE9-92A7-23AF7A0B2A88}"/>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4" name="AutoShape 8">
          <a:extLst>
            <a:ext uri="{FF2B5EF4-FFF2-40B4-BE49-F238E27FC236}">
              <a16:creationId xmlns:a16="http://schemas.microsoft.com/office/drawing/2014/main" id="{8A2C79E0-663E-46D9-8322-38E10507E22F}"/>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5" name="AutoShape 9">
          <a:extLst>
            <a:ext uri="{FF2B5EF4-FFF2-40B4-BE49-F238E27FC236}">
              <a16:creationId xmlns:a16="http://schemas.microsoft.com/office/drawing/2014/main" id="{DE0B4828-AFAA-4D32-975D-2A01CEFDB38F}"/>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6" name="AutoShape 10">
          <a:extLst>
            <a:ext uri="{FF2B5EF4-FFF2-40B4-BE49-F238E27FC236}">
              <a16:creationId xmlns:a16="http://schemas.microsoft.com/office/drawing/2014/main" id="{586A719D-B809-44AF-83DD-030E35593547}"/>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7" name="AutoShape 11">
          <a:extLst>
            <a:ext uri="{FF2B5EF4-FFF2-40B4-BE49-F238E27FC236}">
              <a16:creationId xmlns:a16="http://schemas.microsoft.com/office/drawing/2014/main" id="{166FF820-AC4D-4FA1-9928-58BA49E64CD9}"/>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8" name="AutoShape 12">
          <a:extLst>
            <a:ext uri="{FF2B5EF4-FFF2-40B4-BE49-F238E27FC236}">
              <a16:creationId xmlns:a16="http://schemas.microsoft.com/office/drawing/2014/main" id="{3CF14243-1D0F-41D1-9348-BA71489BA551}"/>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29" name="AutoShape 13">
          <a:extLst>
            <a:ext uri="{FF2B5EF4-FFF2-40B4-BE49-F238E27FC236}">
              <a16:creationId xmlns:a16="http://schemas.microsoft.com/office/drawing/2014/main" id="{F951C6D5-B41D-4179-932F-A59FBA62ABE6}"/>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30" name="AutoShape 14">
          <a:extLst>
            <a:ext uri="{FF2B5EF4-FFF2-40B4-BE49-F238E27FC236}">
              <a16:creationId xmlns:a16="http://schemas.microsoft.com/office/drawing/2014/main" id="{32AC4990-5E53-4A1E-897A-C26C774FC9C3}"/>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78</xdr:row>
      <xdr:rowOff>0</xdr:rowOff>
    </xdr:from>
    <xdr:ext cx="304800" cy="304800"/>
    <xdr:sp macro="" textlink="">
      <xdr:nvSpPr>
        <xdr:cNvPr id="331" name="AutoShape 15">
          <a:extLst>
            <a:ext uri="{FF2B5EF4-FFF2-40B4-BE49-F238E27FC236}">
              <a16:creationId xmlns:a16="http://schemas.microsoft.com/office/drawing/2014/main" id="{83CF8F3C-3596-4D14-B054-4D521964AD68}"/>
            </a:ext>
          </a:extLst>
        </xdr:cNvPr>
        <xdr:cNvSpPr>
          <a:spLocks noChangeAspect="1" noChangeArrowheads="1"/>
        </xdr:cNvSpPr>
      </xdr:nvSpPr>
      <xdr:spPr bwMode="auto">
        <a:xfrm>
          <a:off x="12801600" y="1790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2" name="AutoShape 16">
          <a:extLst>
            <a:ext uri="{FF2B5EF4-FFF2-40B4-BE49-F238E27FC236}">
              <a16:creationId xmlns:a16="http://schemas.microsoft.com/office/drawing/2014/main" id="{54897171-3EC7-458A-BBF4-9A5030882261}"/>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3" name="AutoShape 4">
          <a:extLst>
            <a:ext uri="{FF2B5EF4-FFF2-40B4-BE49-F238E27FC236}">
              <a16:creationId xmlns:a16="http://schemas.microsoft.com/office/drawing/2014/main" id="{1E8D56D7-B758-4088-832E-9096DF8A4230}"/>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4" name="AutoShape 6">
          <a:extLst>
            <a:ext uri="{FF2B5EF4-FFF2-40B4-BE49-F238E27FC236}">
              <a16:creationId xmlns:a16="http://schemas.microsoft.com/office/drawing/2014/main" id="{AD7B6AE3-65CA-42DE-B2E5-4795B95699AE}"/>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5" name="AutoShape 7">
          <a:extLst>
            <a:ext uri="{FF2B5EF4-FFF2-40B4-BE49-F238E27FC236}">
              <a16:creationId xmlns:a16="http://schemas.microsoft.com/office/drawing/2014/main" id="{9C01178F-0173-4460-B93B-5E124D389B9F}"/>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6" name="AutoShape 8">
          <a:extLst>
            <a:ext uri="{FF2B5EF4-FFF2-40B4-BE49-F238E27FC236}">
              <a16:creationId xmlns:a16="http://schemas.microsoft.com/office/drawing/2014/main" id="{4509856E-964C-4391-A439-0307140F67C6}"/>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7" name="AutoShape 9">
          <a:extLst>
            <a:ext uri="{FF2B5EF4-FFF2-40B4-BE49-F238E27FC236}">
              <a16:creationId xmlns:a16="http://schemas.microsoft.com/office/drawing/2014/main" id="{1394544D-31F2-445E-A0DE-C35C42FA7EC4}"/>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8" name="AutoShape 10">
          <a:extLst>
            <a:ext uri="{FF2B5EF4-FFF2-40B4-BE49-F238E27FC236}">
              <a16:creationId xmlns:a16="http://schemas.microsoft.com/office/drawing/2014/main" id="{D9C5B6FC-58DC-4235-9C47-39AF344C1527}"/>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39" name="AutoShape 11">
          <a:extLst>
            <a:ext uri="{FF2B5EF4-FFF2-40B4-BE49-F238E27FC236}">
              <a16:creationId xmlns:a16="http://schemas.microsoft.com/office/drawing/2014/main" id="{49F0B1D0-87FF-4D8D-B63E-EFDA0AD309B6}"/>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0" name="AutoShape 12">
          <a:extLst>
            <a:ext uri="{FF2B5EF4-FFF2-40B4-BE49-F238E27FC236}">
              <a16:creationId xmlns:a16="http://schemas.microsoft.com/office/drawing/2014/main" id="{FB59B719-5E3B-4446-8F5A-0A082548C81B}"/>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1" name="AutoShape 13">
          <a:extLst>
            <a:ext uri="{FF2B5EF4-FFF2-40B4-BE49-F238E27FC236}">
              <a16:creationId xmlns:a16="http://schemas.microsoft.com/office/drawing/2014/main" id="{9BDA2B71-8A2F-4C35-9B2A-6A403DE7FBBC}"/>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2" name="AutoShape 14">
          <a:extLst>
            <a:ext uri="{FF2B5EF4-FFF2-40B4-BE49-F238E27FC236}">
              <a16:creationId xmlns:a16="http://schemas.microsoft.com/office/drawing/2014/main" id="{2A0C5F9F-8E53-444E-9AAA-667D3DEB20F9}"/>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3" name="AutoShape 15">
          <a:extLst>
            <a:ext uri="{FF2B5EF4-FFF2-40B4-BE49-F238E27FC236}">
              <a16:creationId xmlns:a16="http://schemas.microsoft.com/office/drawing/2014/main" id="{1318B00C-4620-41DF-87F2-7E75CDB71295}"/>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4" name="AutoShape 4">
          <a:extLst>
            <a:ext uri="{FF2B5EF4-FFF2-40B4-BE49-F238E27FC236}">
              <a16:creationId xmlns:a16="http://schemas.microsoft.com/office/drawing/2014/main" id="{333BFC90-7A10-4839-A418-688B5BD3A34D}"/>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5" name="AutoShape 6">
          <a:extLst>
            <a:ext uri="{FF2B5EF4-FFF2-40B4-BE49-F238E27FC236}">
              <a16:creationId xmlns:a16="http://schemas.microsoft.com/office/drawing/2014/main" id="{1269422F-86CE-4E11-BBCC-7C0DB4880737}"/>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6" name="AutoShape 7">
          <a:extLst>
            <a:ext uri="{FF2B5EF4-FFF2-40B4-BE49-F238E27FC236}">
              <a16:creationId xmlns:a16="http://schemas.microsoft.com/office/drawing/2014/main" id="{482E79E2-E31C-455A-AC2F-C3E7FFE52758}"/>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7" name="AutoShape 8">
          <a:extLst>
            <a:ext uri="{FF2B5EF4-FFF2-40B4-BE49-F238E27FC236}">
              <a16:creationId xmlns:a16="http://schemas.microsoft.com/office/drawing/2014/main" id="{72C7BD6F-FD72-4BA8-8025-A9E968DA9A33}"/>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8" name="AutoShape 9">
          <a:extLst>
            <a:ext uri="{FF2B5EF4-FFF2-40B4-BE49-F238E27FC236}">
              <a16:creationId xmlns:a16="http://schemas.microsoft.com/office/drawing/2014/main" id="{95A6AC54-F49E-425A-A6D0-6849545750CD}"/>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49" name="AutoShape 10">
          <a:extLst>
            <a:ext uri="{FF2B5EF4-FFF2-40B4-BE49-F238E27FC236}">
              <a16:creationId xmlns:a16="http://schemas.microsoft.com/office/drawing/2014/main" id="{A33F3678-986A-48FA-BFB8-61068E76CD82}"/>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50" name="AutoShape 11">
          <a:extLst>
            <a:ext uri="{FF2B5EF4-FFF2-40B4-BE49-F238E27FC236}">
              <a16:creationId xmlns:a16="http://schemas.microsoft.com/office/drawing/2014/main" id="{330D5D6A-74EA-4E2C-B02B-66133DCF4CF3}"/>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51" name="AutoShape 12">
          <a:extLst>
            <a:ext uri="{FF2B5EF4-FFF2-40B4-BE49-F238E27FC236}">
              <a16:creationId xmlns:a16="http://schemas.microsoft.com/office/drawing/2014/main" id="{D078923F-414F-4D46-826D-5FBD9511711B}"/>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52" name="AutoShape 13">
          <a:extLst>
            <a:ext uri="{FF2B5EF4-FFF2-40B4-BE49-F238E27FC236}">
              <a16:creationId xmlns:a16="http://schemas.microsoft.com/office/drawing/2014/main" id="{1E9F0454-DF34-43AE-950D-3D8DD45D5468}"/>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53" name="AutoShape 14">
          <a:extLst>
            <a:ext uri="{FF2B5EF4-FFF2-40B4-BE49-F238E27FC236}">
              <a16:creationId xmlns:a16="http://schemas.microsoft.com/office/drawing/2014/main" id="{FDBE1066-DA6C-4281-B08F-568173CC01A7}"/>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54" name="AutoShape 15">
          <a:extLst>
            <a:ext uri="{FF2B5EF4-FFF2-40B4-BE49-F238E27FC236}">
              <a16:creationId xmlns:a16="http://schemas.microsoft.com/office/drawing/2014/main" id="{4006002E-CBFE-4D2C-A611-BB2144054ACE}"/>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55" name="AutoShape 16">
          <a:extLst>
            <a:ext uri="{FF2B5EF4-FFF2-40B4-BE49-F238E27FC236}">
              <a16:creationId xmlns:a16="http://schemas.microsoft.com/office/drawing/2014/main" id="{F344E89C-D65D-407D-A212-93F0998C4EF1}"/>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56" name="AutoShape 4">
          <a:extLst>
            <a:ext uri="{FF2B5EF4-FFF2-40B4-BE49-F238E27FC236}">
              <a16:creationId xmlns:a16="http://schemas.microsoft.com/office/drawing/2014/main" id="{659AAEF6-59C2-4245-B8CB-6B1E2491B5DD}"/>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57" name="AutoShape 6">
          <a:extLst>
            <a:ext uri="{FF2B5EF4-FFF2-40B4-BE49-F238E27FC236}">
              <a16:creationId xmlns:a16="http://schemas.microsoft.com/office/drawing/2014/main" id="{8B1DE3B0-51F0-4109-A4A9-13A750DFCE00}"/>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58" name="AutoShape 7">
          <a:extLst>
            <a:ext uri="{FF2B5EF4-FFF2-40B4-BE49-F238E27FC236}">
              <a16:creationId xmlns:a16="http://schemas.microsoft.com/office/drawing/2014/main" id="{03AE102D-0188-4CEE-96F9-CE342B808169}"/>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59" name="AutoShape 8">
          <a:extLst>
            <a:ext uri="{FF2B5EF4-FFF2-40B4-BE49-F238E27FC236}">
              <a16:creationId xmlns:a16="http://schemas.microsoft.com/office/drawing/2014/main" id="{0D1FC256-C0CA-4289-8676-8E2407F9D262}"/>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0" name="AutoShape 9">
          <a:extLst>
            <a:ext uri="{FF2B5EF4-FFF2-40B4-BE49-F238E27FC236}">
              <a16:creationId xmlns:a16="http://schemas.microsoft.com/office/drawing/2014/main" id="{A5661911-5DFA-495D-A47E-7055DFB05D75}"/>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1" name="AutoShape 10">
          <a:extLst>
            <a:ext uri="{FF2B5EF4-FFF2-40B4-BE49-F238E27FC236}">
              <a16:creationId xmlns:a16="http://schemas.microsoft.com/office/drawing/2014/main" id="{7C9206B0-6E75-4B18-92D3-74C5659CE35E}"/>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2" name="AutoShape 11">
          <a:extLst>
            <a:ext uri="{FF2B5EF4-FFF2-40B4-BE49-F238E27FC236}">
              <a16:creationId xmlns:a16="http://schemas.microsoft.com/office/drawing/2014/main" id="{918359A9-C5D1-4380-B18C-C7022614C2E5}"/>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3" name="AutoShape 12">
          <a:extLst>
            <a:ext uri="{FF2B5EF4-FFF2-40B4-BE49-F238E27FC236}">
              <a16:creationId xmlns:a16="http://schemas.microsoft.com/office/drawing/2014/main" id="{79EDA10A-9DD2-424D-B171-4ABB8CBB3815}"/>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4" name="AutoShape 13">
          <a:extLst>
            <a:ext uri="{FF2B5EF4-FFF2-40B4-BE49-F238E27FC236}">
              <a16:creationId xmlns:a16="http://schemas.microsoft.com/office/drawing/2014/main" id="{1D9CF724-8B75-4344-B8C1-9D93C87001E2}"/>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5" name="AutoShape 14">
          <a:extLst>
            <a:ext uri="{FF2B5EF4-FFF2-40B4-BE49-F238E27FC236}">
              <a16:creationId xmlns:a16="http://schemas.microsoft.com/office/drawing/2014/main" id="{1EB33E63-AB4C-431B-AE49-71F1335E686B}"/>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6" name="AutoShape 15">
          <a:extLst>
            <a:ext uri="{FF2B5EF4-FFF2-40B4-BE49-F238E27FC236}">
              <a16:creationId xmlns:a16="http://schemas.microsoft.com/office/drawing/2014/main" id="{FB29EB68-9D7A-4B14-956B-5C4C7B030711}"/>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7" name="AutoShape 4">
          <a:extLst>
            <a:ext uri="{FF2B5EF4-FFF2-40B4-BE49-F238E27FC236}">
              <a16:creationId xmlns:a16="http://schemas.microsoft.com/office/drawing/2014/main" id="{DFF90411-C2A3-4EA0-9DD1-0A4D927A03F6}"/>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8" name="AutoShape 6">
          <a:extLst>
            <a:ext uri="{FF2B5EF4-FFF2-40B4-BE49-F238E27FC236}">
              <a16:creationId xmlns:a16="http://schemas.microsoft.com/office/drawing/2014/main" id="{BF739619-B5BB-4858-8CC8-88CBBAC0FE28}"/>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69" name="AutoShape 7">
          <a:extLst>
            <a:ext uri="{FF2B5EF4-FFF2-40B4-BE49-F238E27FC236}">
              <a16:creationId xmlns:a16="http://schemas.microsoft.com/office/drawing/2014/main" id="{19644F75-0085-49D2-9579-44343D680E0C}"/>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0" name="AutoShape 8">
          <a:extLst>
            <a:ext uri="{FF2B5EF4-FFF2-40B4-BE49-F238E27FC236}">
              <a16:creationId xmlns:a16="http://schemas.microsoft.com/office/drawing/2014/main" id="{2CDC9BC6-7C3F-41A4-B442-2981C01E2571}"/>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1" name="AutoShape 9">
          <a:extLst>
            <a:ext uri="{FF2B5EF4-FFF2-40B4-BE49-F238E27FC236}">
              <a16:creationId xmlns:a16="http://schemas.microsoft.com/office/drawing/2014/main" id="{6BE1BAC8-E507-47C9-BB5E-3A82EFE45EE6}"/>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2" name="AutoShape 10">
          <a:extLst>
            <a:ext uri="{FF2B5EF4-FFF2-40B4-BE49-F238E27FC236}">
              <a16:creationId xmlns:a16="http://schemas.microsoft.com/office/drawing/2014/main" id="{CCB649BA-D559-46BB-8631-7D13FB22FBF4}"/>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3" name="AutoShape 11">
          <a:extLst>
            <a:ext uri="{FF2B5EF4-FFF2-40B4-BE49-F238E27FC236}">
              <a16:creationId xmlns:a16="http://schemas.microsoft.com/office/drawing/2014/main" id="{917CCC51-5792-4D22-A83A-513B1AFF7C88}"/>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4" name="AutoShape 12">
          <a:extLst>
            <a:ext uri="{FF2B5EF4-FFF2-40B4-BE49-F238E27FC236}">
              <a16:creationId xmlns:a16="http://schemas.microsoft.com/office/drawing/2014/main" id="{1306FCE9-9431-40D5-B7E4-348B9E892137}"/>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5" name="AutoShape 13">
          <a:extLst>
            <a:ext uri="{FF2B5EF4-FFF2-40B4-BE49-F238E27FC236}">
              <a16:creationId xmlns:a16="http://schemas.microsoft.com/office/drawing/2014/main" id="{4F80474F-1E80-4489-8FBC-E784E3D3D469}"/>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6" name="AutoShape 14">
          <a:extLst>
            <a:ext uri="{FF2B5EF4-FFF2-40B4-BE49-F238E27FC236}">
              <a16:creationId xmlns:a16="http://schemas.microsoft.com/office/drawing/2014/main" id="{4DF32489-6675-4015-A21F-CB9C86915233}"/>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377" name="AutoShape 15">
          <a:extLst>
            <a:ext uri="{FF2B5EF4-FFF2-40B4-BE49-F238E27FC236}">
              <a16:creationId xmlns:a16="http://schemas.microsoft.com/office/drawing/2014/main" id="{D69EAE91-9223-4314-8F43-8B0E853980AE}"/>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78" name="AutoShape 16">
          <a:extLst>
            <a:ext uri="{FF2B5EF4-FFF2-40B4-BE49-F238E27FC236}">
              <a16:creationId xmlns:a16="http://schemas.microsoft.com/office/drawing/2014/main" id="{9FB8A0D3-68CE-4223-9387-461993356F52}"/>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79" name="AutoShape 4">
          <a:extLst>
            <a:ext uri="{FF2B5EF4-FFF2-40B4-BE49-F238E27FC236}">
              <a16:creationId xmlns:a16="http://schemas.microsoft.com/office/drawing/2014/main" id="{B60BDC79-CA6C-4471-8312-A6FB71BD7D94}"/>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0" name="AutoShape 6">
          <a:extLst>
            <a:ext uri="{FF2B5EF4-FFF2-40B4-BE49-F238E27FC236}">
              <a16:creationId xmlns:a16="http://schemas.microsoft.com/office/drawing/2014/main" id="{BAD6903B-9270-4458-8012-AEFE9E04F6C7}"/>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1" name="AutoShape 7">
          <a:extLst>
            <a:ext uri="{FF2B5EF4-FFF2-40B4-BE49-F238E27FC236}">
              <a16:creationId xmlns:a16="http://schemas.microsoft.com/office/drawing/2014/main" id="{42AAE0E3-8B7A-463F-AD10-813B24DF4938}"/>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2" name="AutoShape 8">
          <a:extLst>
            <a:ext uri="{FF2B5EF4-FFF2-40B4-BE49-F238E27FC236}">
              <a16:creationId xmlns:a16="http://schemas.microsoft.com/office/drawing/2014/main" id="{F63ED3F9-BE5A-4158-A8BF-6D6BD0FEF550}"/>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3" name="AutoShape 9">
          <a:extLst>
            <a:ext uri="{FF2B5EF4-FFF2-40B4-BE49-F238E27FC236}">
              <a16:creationId xmlns:a16="http://schemas.microsoft.com/office/drawing/2014/main" id="{EF6978CB-FA18-456E-9386-BEA47AB19015}"/>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4" name="AutoShape 10">
          <a:extLst>
            <a:ext uri="{FF2B5EF4-FFF2-40B4-BE49-F238E27FC236}">
              <a16:creationId xmlns:a16="http://schemas.microsoft.com/office/drawing/2014/main" id="{92AE12A7-7BEB-438D-97E3-0148C1CEF73C}"/>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5" name="AutoShape 11">
          <a:extLst>
            <a:ext uri="{FF2B5EF4-FFF2-40B4-BE49-F238E27FC236}">
              <a16:creationId xmlns:a16="http://schemas.microsoft.com/office/drawing/2014/main" id="{FA71F605-2A38-42B8-9C38-A917AF7B1E41}"/>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6" name="AutoShape 12">
          <a:extLst>
            <a:ext uri="{FF2B5EF4-FFF2-40B4-BE49-F238E27FC236}">
              <a16:creationId xmlns:a16="http://schemas.microsoft.com/office/drawing/2014/main" id="{94D8028A-5EE0-4EBB-8CC2-94DD4A491E30}"/>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7" name="AutoShape 13">
          <a:extLst>
            <a:ext uri="{FF2B5EF4-FFF2-40B4-BE49-F238E27FC236}">
              <a16:creationId xmlns:a16="http://schemas.microsoft.com/office/drawing/2014/main" id="{57153DAB-064C-4BB5-B9DB-DF765EBA702A}"/>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8" name="AutoShape 14">
          <a:extLst>
            <a:ext uri="{FF2B5EF4-FFF2-40B4-BE49-F238E27FC236}">
              <a16:creationId xmlns:a16="http://schemas.microsoft.com/office/drawing/2014/main" id="{B922B9DF-58D7-425B-AAC5-69F73A35BC4D}"/>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89" name="AutoShape 15">
          <a:extLst>
            <a:ext uri="{FF2B5EF4-FFF2-40B4-BE49-F238E27FC236}">
              <a16:creationId xmlns:a16="http://schemas.microsoft.com/office/drawing/2014/main" id="{4195907E-4DD8-49AB-9849-D1924FECDD5D}"/>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0" name="AutoShape 4">
          <a:extLst>
            <a:ext uri="{FF2B5EF4-FFF2-40B4-BE49-F238E27FC236}">
              <a16:creationId xmlns:a16="http://schemas.microsoft.com/office/drawing/2014/main" id="{FB52E832-B367-4BD4-BE7B-FD31ADD10B9F}"/>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1" name="AutoShape 6">
          <a:extLst>
            <a:ext uri="{FF2B5EF4-FFF2-40B4-BE49-F238E27FC236}">
              <a16:creationId xmlns:a16="http://schemas.microsoft.com/office/drawing/2014/main" id="{96DA9F17-ED59-4C16-AF31-0CDC67A3415B}"/>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2" name="AutoShape 7">
          <a:extLst>
            <a:ext uri="{FF2B5EF4-FFF2-40B4-BE49-F238E27FC236}">
              <a16:creationId xmlns:a16="http://schemas.microsoft.com/office/drawing/2014/main" id="{EDA66EB3-524E-494D-8672-055F020A2677}"/>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3" name="AutoShape 8">
          <a:extLst>
            <a:ext uri="{FF2B5EF4-FFF2-40B4-BE49-F238E27FC236}">
              <a16:creationId xmlns:a16="http://schemas.microsoft.com/office/drawing/2014/main" id="{C629998C-485C-43D4-9CCF-21D5EA5FC328}"/>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4" name="AutoShape 9">
          <a:extLst>
            <a:ext uri="{FF2B5EF4-FFF2-40B4-BE49-F238E27FC236}">
              <a16:creationId xmlns:a16="http://schemas.microsoft.com/office/drawing/2014/main" id="{015278C8-4DC9-4962-9383-7F5EB27DE4BB}"/>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5" name="AutoShape 10">
          <a:extLst>
            <a:ext uri="{FF2B5EF4-FFF2-40B4-BE49-F238E27FC236}">
              <a16:creationId xmlns:a16="http://schemas.microsoft.com/office/drawing/2014/main" id="{6D5B63D9-6DD0-4442-8EE3-8B3832119B73}"/>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6" name="AutoShape 11">
          <a:extLst>
            <a:ext uri="{FF2B5EF4-FFF2-40B4-BE49-F238E27FC236}">
              <a16:creationId xmlns:a16="http://schemas.microsoft.com/office/drawing/2014/main" id="{474B7C08-5567-429C-A2D6-C5CE7A9DDA6F}"/>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7" name="AutoShape 12">
          <a:extLst>
            <a:ext uri="{FF2B5EF4-FFF2-40B4-BE49-F238E27FC236}">
              <a16:creationId xmlns:a16="http://schemas.microsoft.com/office/drawing/2014/main" id="{BA13BC44-7721-4525-A92B-6CDB5D4426B2}"/>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8" name="AutoShape 13">
          <a:extLst>
            <a:ext uri="{FF2B5EF4-FFF2-40B4-BE49-F238E27FC236}">
              <a16:creationId xmlns:a16="http://schemas.microsoft.com/office/drawing/2014/main" id="{F0E21C19-9F38-4B63-82BD-F2A17AC12041}"/>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399" name="AutoShape 14">
          <a:extLst>
            <a:ext uri="{FF2B5EF4-FFF2-40B4-BE49-F238E27FC236}">
              <a16:creationId xmlns:a16="http://schemas.microsoft.com/office/drawing/2014/main" id="{D5BDFF6C-D08D-4D9C-AD20-CE40D86697FC}"/>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79</xdr:row>
      <xdr:rowOff>0</xdr:rowOff>
    </xdr:from>
    <xdr:ext cx="304800" cy="304800"/>
    <xdr:sp macro="" textlink="">
      <xdr:nvSpPr>
        <xdr:cNvPr id="400" name="AutoShape 15">
          <a:extLst>
            <a:ext uri="{FF2B5EF4-FFF2-40B4-BE49-F238E27FC236}">
              <a16:creationId xmlns:a16="http://schemas.microsoft.com/office/drawing/2014/main" id="{009D8223-3055-42ED-9212-442B6B35F6D3}"/>
            </a:ext>
          </a:extLst>
        </xdr:cNvPr>
        <xdr:cNvSpPr>
          <a:spLocks noChangeAspect="1" noChangeArrowheads="1"/>
        </xdr:cNvSpPr>
      </xdr:nvSpPr>
      <xdr:spPr bwMode="auto">
        <a:xfrm>
          <a:off x="12801600" y="1809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1" name="AutoShape 16">
          <a:extLst>
            <a:ext uri="{FF2B5EF4-FFF2-40B4-BE49-F238E27FC236}">
              <a16:creationId xmlns:a16="http://schemas.microsoft.com/office/drawing/2014/main" id="{18459432-C47A-4618-8653-BC0F5E899BFF}"/>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2" name="AutoShape 4">
          <a:extLst>
            <a:ext uri="{FF2B5EF4-FFF2-40B4-BE49-F238E27FC236}">
              <a16:creationId xmlns:a16="http://schemas.microsoft.com/office/drawing/2014/main" id="{4F562B87-9174-413B-96EB-2FBA12808C36}"/>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3" name="AutoShape 6">
          <a:extLst>
            <a:ext uri="{FF2B5EF4-FFF2-40B4-BE49-F238E27FC236}">
              <a16:creationId xmlns:a16="http://schemas.microsoft.com/office/drawing/2014/main" id="{BA44D133-7BB0-4CAD-B36B-57D5A4A9801F}"/>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4" name="AutoShape 7">
          <a:extLst>
            <a:ext uri="{FF2B5EF4-FFF2-40B4-BE49-F238E27FC236}">
              <a16:creationId xmlns:a16="http://schemas.microsoft.com/office/drawing/2014/main" id="{ECD5FF09-8A8A-4F6E-8278-9856C22FB5C0}"/>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5" name="AutoShape 8">
          <a:extLst>
            <a:ext uri="{FF2B5EF4-FFF2-40B4-BE49-F238E27FC236}">
              <a16:creationId xmlns:a16="http://schemas.microsoft.com/office/drawing/2014/main" id="{246C4F97-2C8B-4AC1-A3EA-58BD1E8C2EC8}"/>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6" name="AutoShape 9">
          <a:extLst>
            <a:ext uri="{FF2B5EF4-FFF2-40B4-BE49-F238E27FC236}">
              <a16:creationId xmlns:a16="http://schemas.microsoft.com/office/drawing/2014/main" id="{45C36D48-F111-4D33-92A9-A730136220D8}"/>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7" name="AutoShape 10">
          <a:extLst>
            <a:ext uri="{FF2B5EF4-FFF2-40B4-BE49-F238E27FC236}">
              <a16:creationId xmlns:a16="http://schemas.microsoft.com/office/drawing/2014/main" id="{E9A76661-5F1E-4C8A-8D12-924662CD1561}"/>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8" name="AutoShape 11">
          <a:extLst>
            <a:ext uri="{FF2B5EF4-FFF2-40B4-BE49-F238E27FC236}">
              <a16:creationId xmlns:a16="http://schemas.microsoft.com/office/drawing/2014/main" id="{E7D35872-EB45-432F-8C17-264ECE974B53}"/>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09" name="AutoShape 12">
          <a:extLst>
            <a:ext uri="{FF2B5EF4-FFF2-40B4-BE49-F238E27FC236}">
              <a16:creationId xmlns:a16="http://schemas.microsoft.com/office/drawing/2014/main" id="{A81BFA34-23E7-4979-A46F-1C09A2E6CA4F}"/>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0" name="AutoShape 13">
          <a:extLst>
            <a:ext uri="{FF2B5EF4-FFF2-40B4-BE49-F238E27FC236}">
              <a16:creationId xmlns:a16="http://schemas.microsoft.com/office/drawing/2014/main" id="{603F0E2B-2652-49BB-8684-8C0C4BC837CD}"/>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1" name="AutoShape 14">
          <a:extLst>
            <a:ext uri="{FF2B5EF4-FFF2-40B4-BE49-F238E27FC236}">
              <a16:creationId xmlns:a16="http://schemas.microsoft.com/office/drawing/2014/main" id="{4F835734-DDA0-46C1-AEB7-3A0AA764A69A}"/>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2" name="AutoShape 15">
          <a:extLst>
            <a:ext uri="{FF2B5EF4-FFF2-40B4-BE49-F238E27FC236}">
              <a16:creationId xmlns:a16="http://schemas.microsoft.com/office/drawing/2014/main" id="{7B641CD3-6DF4-47ED-8138-6D0B42C74736}"/>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3" name="AutoShape 4">
          <a:extLst>
            <a:ext uri="{FF2B5EF4-FFF2-40B4-BE49-F238E27FC236}">
              <a16:creationId xmlns:a16="http://schemas.microsoft.com/office/drawing/2014/main" id="{873F6DDD-1ABA-4F28-90F1-9AC74DB77E40}"/>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4" name="AutoShape 6">
          <a:extLst>
            <a:ext uri="{FF2B5EF4-FFF2-40B4-BE49-F238E27FC236}">
              <a16:creationId xmlns:a16="http://schemas.microsoft.com/office/drawing/2014/main" id="{DA002727-B604-4628-8B81-35FB3666EB65}"/>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5" name="AutoShape 7">
          <a:extLst>
            <a:ext uri="{FF2B5EF4-FFF2-40B4-BE49-F238E27FC236}">
              <a16:creationId xmlns:a16="http://schemas.microsoft.com/office/drawing/2014/main" id="{494E4C88-4CA0-4AC7-B41E-12AB0FF14208}"/>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6" name="AutoShape 8">
          <a:extLst>
            <a:ext uri="{FF2B5EF4-FFF2-40B4-BE49-F238E27FC236}">
              <a16:creationId xmlns:a16="http://schemas.microsoft.com/office/drawing/2014/main" id="{699563B8-5DE1-472D-966D-619E7A79E193}"/>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7" name="AutoShape 9">
          <a:extLst>
            <a:ext uri="{FF2B5EF4-FFF2-40B4-BE49-F238E27FC236}">
              <a16:creationId xmlns:a16="http://schemas.microsoft.com/office/drawing/2014/main" id="{04F4C8FD-142A-42F4-A164-D5E5BBA8FFFE}"/>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8" name="AutoShape 10">
          <a:extLst>
            <a:ext uri="{FF2B5EF4-FFF2-40B4-BE49-F238E27FC236}">
              <a16:creationId xmlns:a16="http://schemas.microsoft.com/office/drawing/2014/main" id="{FC7B1B1F-766A-4D02-8CCC-422DE1FDCC11}"/>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19" name="AutoShape 11">
          <a:extLst>
            <a:ext uri="{FF2B5EF4-FFF2-40B4-BE49-F238E27FC236}">
              <a16:creationId xmlns:a16="http://schemas.microsoft.com/office/drawing/2014/main" id="{735C1843-FDBE-4324-B2CF-257E4E81AD17}"/>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20" name="AutoShape 12">
          <a:extLst>
            <a:ext uri="{FF2B5EF4-FFF2-40B4-BE49-F238E27FC236}">
              <a16:creationId xmlns:a16="http://schemas.microsoft.com/office/drawing/2014/main" id="{2A37566A-B397-41B4-9606-578C5C044132}"/>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21" name="AutoShape 13">
          <a:extLst>
            <a:ext uri="{FF2B5EF4-FFF2-40B4-BE49-F238E27FC236}">
              <a16:creationId xmlns:a16="http://schemas.microsoft.com/office/drawing/2014/main" id="{D9C4813F-C879-4692-91CC-D45099CE7904}"/>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22" name="AutoShape 14">
          <a:extLst>
            <a:ext uri="{FF2B5EF4-FFF2-40B4-BE49-F238E27FC236}">
              <a16:creationId xmlns:a16="http://schemas.microsoft.com/office/drawing/2014/main" id="{CEFC9161-6128-4AF1-87B5-16CF405A7A71}"/>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81</xdr:row>
      <xdr:rowOff>0</xdr:rowOff>
    </xdr:from>
    <xdr:ext cx="304800" cy="304800"/>
    <xdr:sp macro="" textlink="">
      <xdr:nvSpPr>
        <xdr:cNvPr id="423" name="AutoShape 15">
          <a:extLst>
            <a:ext uri="{FF2B5EF4-FFF2-40B4-BE49-F238E27FC236}">
              <a16:creationId xmlns:a16="http://schemas.microsoft.com/office/drawing/2014/main" id="{365E86AC-83D9-45B0-8E6B-B3792C69318E}"/>
            </a:ext>
          </a:extLst>
        </xdr:cNvPr>
        <xdr:cNvSpPr>
          <a:spLocks noChangeAspect="1" noChangeArrowheads="1"/>
        </xdr:cNvSpPr>
      </xdr:nvSpPr>
      <xdr:spPr bwMode="auto">
        <a:xfrm>
          <a:off x="12801600" y="1847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24" name="AutoShape 18">
          <a:extLst>
            <a:ext uri="{FF2B5EF4-FFF2-40B4-BE49-F238E27FC236}">
              <a16:creationId xmlns:a16="http://schemas.microsoft.com/office/drawing/2014/main" id="{03F45178-76FC-41F4-8A1D-5AD541DE7844}"/>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25" name="AutoShape 17">
          <a:extLst>
            <a:ext uri="{FF2B5EF4-FFF2-40B4-BE49-F238E27FC236}">
              <a16:creationId xmlns:a16="http://schemas.microsoft.com/office/drawing/2014/main" id="{4DCFAD4C-BA35-4F15-870A-8B77404F9082}"/>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26" name="AutoShape 17">
          <a:extLst>
            <a:ext uri="{FF2B5EF4-FFF2-40B4-BE49-F238E27FC236}">
              <a16:creationId xmlns:a16="http://schemas.microsoft.com/office/drawing/2014/main" id="{4432F129-97A7-4908-9E94-CEAD392EF688}"/>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27" name="AutoShape 16">
          <a:extLst>
            <a:ext uri="{FF2B5EF4-FFF2-40B4-BE49-F238E27FC236}">
              <a16:creationId xmlns:a16="http://schemas.microsoft.com/office/drawing/2014/main" id="{BB32E71F-F06B-4B76-B7AD-C2579DBABBC5}"/>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28" name="AutoShape 4">
          <a:extLst>
            <a:ext uri="{FF2B5EF4-FFF2-40B4-BE49-F238E27FC236}">
              <a16:creationId xmlns:a16="http://schemas.microsoft.com/office/drawing/2014/main" id="{B008BE78-DD1A-491F-A50A-84E5306FBB0B}"/>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29" name="AutoShape 6">
          <a:extLst>
            <a:ext uri="{FF2B5EF4-FFF2-40B4-BE49-F238E27FC236}">
              <a16:creationId xmlns:a16="http://schemas.microsoft.com/office/drawing/2014/main" id="{2AD91EBD-3A03-4191-93A9-94BD19CF0664}"/>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0" name="AutoShape 7">
          <a:extLst>
            <a:ext uri="{FF2B5EF4-FFF2-40B4-BE49-F238E27FC236}">
              <a16:creationId xmlns:a16="http://schemas.microsoft.com/office/drawing/2014/main" id="{F038B1F4-2402-4601-A1EB-5123892CA069}"/>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1" name="AutoShape 8">
          <a:extLst>
            <a:ext uri="{FF2B5EF4-FFF2-40B4-BE49-F238E27FC236}">
              <a16:creationId xmlns:a16="http://schemas.microsoft.com/office/drawing/2014/main" id="{109082D0-1E36-4818-94B1-85B39F347839}"/>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2" name="AutoShape 9">
          <a:extLst>
            <a:ext uri="{FF2B5EF4-FFF2-40B4-BE49-F238E27FC236}">
              <a16:creationId xmlns:a16="http://schemas.microsoft.com/office/drawing/2014/main" id="{BA32B2EB-E7EE-481F-BD98-16F3B62F5464}"/>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3" name="AutoShape 10">
          <a:extLst>
            <a:ext uri="{FF2B5EF4-FFF2-40B4-BE49-F238E27FC236}">
              <a16:creationId xmlns:a16="http://schemas.microsoft.com/office/drawing/2014/main" id="{71A0C4F1-74BC-443B-8E88-81114700BDA0}"/>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4" name="AutoShape 11">
          <a:extLst>
            <a:ext uri="{FF2B5EF4-FFF2-40B4-BE49-F238E27FC236}">
              <a16:creationId xmlns:a16="http://schemas.microsoft.com/office/drawing/2014/main" id="{58E19562-278B-4800-8669-9AD45492A2C6}"/>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5" name="AutoShape 12">
          <a:extLst>
            <a:ext uri="{FF2B5EF4-FFF2-40B4-BE49-F238E27FC236}">
              <a16:creationId xmlns:a16="http://schemas.microsoft.com/office/drawing/2014/main" id="{BE585BC5-828C-4020-8952-FF17452CC54E}"/>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6" name="AutoShape 13">
          <a:extLst>
            <a:ext uri="{FF2B5EF4-FFF2-40B4-BE49-F238E27FC236}">
              <a16:creationId xmlns:a16="http://schemas.microsoft.com/office/drawing/2014/main" id="{732838D2-013F-4F2A-BF20-6EEE783271D5}"/>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7" name="AutoShape 14">
          <a:extLst>
            <a:ext uri="{FF2B5EF4-FFF2-40B4-BE49-F238E27FC236}">
              <a16:creationId xmlns:a16="http://schemas.microsoft.com/office/drawing/2014/main" id="{FB710A10-36C1-481B-8D3F-AD6E8D019CCD}"/>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120</xdr:row>
      <xdr:rowOff>0</xdr:rowOff>
    </xdr:from>
    <xdr:ext cx="304800" cy="304800"/>
    <xdr:sp macro="" textlink="">
      <xdr:nvSpPr>
        <xdr:cNvPr id="438" name="AutoShape 15">
          <a:extLst>
            <a:ext uri="{FF2B5EF4-FFF2-40B4-BE49-F238E27FC236}">
              <a16:creationId xmlns:a16="http://schemas.microsoft.com/office/drawing/2014/main" id="{F672E7F2-2A7E-4022-8122-6DB5138B5FFE}"/>
            </a:ext>
          </a:extLst>
        </xdr:cNvPr>
        <xdr:cNvSpPr>
          <a:spLocks noChangeAspect="1" noChangeArrowheads="1"/>
        </xdr:cNvSpPr>
      </xdr:nvSpPr>
      <xdr:spPr bwMode="auto">
        <a:xfrm>
          <a:off x="12801600" y="2590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39" name="AutoShape 16">
          <a:extLst>
            <a:ext uri="{FF2B5EF4-FFF2-40B4-BE49-F238E27FC236}">
              <a16:creationId xmlns:a16="http://schemas.microsoft.com/office/drawing/2014/main" id="{E2DFDBE7-813B-4B9F-B905-8BC9C41D976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0" name="AutoShape 4">
          <a:extLst>
            <a:ext uri="{FF2B5EF4-FFF2-40B4-BE49-F238E27FC236}">
              <a16:creationId xmlns:a16="http://schemas.microsoft.com/office/drawing/2014/main" id="{70831066-515D-4BCE-A668-C19782D0AFD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1" name="AutoShape 6">
          <a:extLst>
            <a:ext uri="{FF2B5EF4-FFF2-40B4-BE49-F238E27FC236}">
              <a16:creationId xmlns:a16="http://schemas.microsoft.com/office/drawing/2014/main" id="{A8861EC5-3994-47AB-9B22-542EF51D37C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2" name="AutoShape 7">
          <a:extLst>
            <a:ext uri="{FF2B5EF4-FFF2-40B4-BE49-F238E27FC236}">
              <a16:creationId xmlns:a16="http://schemas.microsoft.com/office/drawing/2014/main" id="{714A6BF4-8763-40B0-85EA-12EFFA324B1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3" name="AutoShape 8">
          <a:extLst>
            <a:ext uri="{FF2B5EF4-FFF2-40B4-BE49-F238E27FC236}">
              <a16:creationId xmlns:a16="http://schemas.microsoft.com/office/drawing/2014/main" id="{DB6F86AC-AD8D-4A3F-971D-504307A5556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4" name="AutoShape 9">
          <a:extLst>
            <a:ext uri="{FF2B5EF4-FFF2-40B4-BE49-F238E27FC236}">
              <a16:creationId xmlns:a16="http://schemas.microsoft.com/office/drawing/2014/main" id="{EF6A048B-7601-4684-AA0C-A907168E479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5" name="AutoShape 10">
          <a:extLst>
            <a:ext uri="{FF2B5EF4-FFF2-40B4-BE49-F238E27FC236}">
              <a16:creationId xmlns:a16="http://schemas.microsoft.com/office/drawing/2014/main" id="{60BB0E65-6A2C-4241-8663-76635B03AEA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6" name="AutoShape 11">
          <a:extLst>
            <a:ext uri="{FF2B5EF4-FFF2-40B4-BE49-F238E27FC236}">
              <a16:creationId xmlns:a16="http://schemas.microsoft.com/office/drawing/2014/main" id="{35EBE1FC-D2F0-4D2B-8DAF-86A5D3D378B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7" name="AutoShape 12">
          <a:extLst>
            <a:ext uri="{FF2B5EF4-FFF2-40B4-BE49-F238E27FC236}">
              <a16:creationId xmlns:a16="http://schemas.microsoft.com/office/drawing/2014/main" id="{504047D5-1758-4F10-8F1A-919E6900B52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8" name="AutoShape 13">
          <a:extLst>
            <a:ext uri="{FF2B5EF4-FFF2-40B4-BE49-F238E27FC236}">
              <a16:creationId xmlns:a16="http://schemas.microsoft.com/office/drawing/2014/main" id="{23E14121-C21D-4087-AC6C-82FA5D9EAE2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49" name="AutoShape 14">
          <a:extLst>
            <a:ext uri="{FF2B5EF4-FFF2-40B4-BE49-F238E27FC236}">
              <a16:creationId xmlns:a16="http://schemas.microsoft.com/office/drawing/2014/main" id="{70573EFA-5EFC-4629-98DB-FB9A2087075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0" name="AutoShape 15">
          <a:extLst>
            <a:ext uri="{FF2B5EF4-FFF2-40B4-BE49-F238E27FC236}">
              <a16:creationId xmlns:a16="http://schemas.microsoft.com/office/drawing/2014/main" id="{4C4BF65A-2F52-4191-A7B7-45FDCA770AD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1" name="AutoShape 4">
          <a:extLst>
            <a:ext uri="{FF2B5EF4-FFF2-40B4-BE49-F238E27FC236}">
              <a16:creationId xmlns:a16="http://schemas.microsoft.com/office/drawing/2014/main" id="{E1F1B2FF-AAAA-48A6-A3B1-5223F2CE17E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2" name="AutoShape 6">
          <a:extLst>
            <a:ext uri="{FF2B5EF4-FFF2-40B4-BE49-F238E27FC236}">
              <a16:creationId xmlns:a16="http://schemas.microsoft.com/office/drawing/2014/main" id="{C9803F61-EA23-4670-BECD-7FB2FE23FC4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3" name="AutoShape 7">
          <a:extLst>
            <a:ext uri="{FF2B5EF4-FFF2-40B4-BE49-F238E27FC236}">
              <a16:creationId xmlns:a16="http://schemas.microsoft.com/office/drawing/2014/main" id="{DD79CA07-20F9-4355-986E-3958A084D96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4" name="AutoShape 8">
          <a:extLst>
            <a:ext uri="{FF2B5EF4-FFF2-40B4-BE49-F238E27FC236}">
              <a16:creationId xmlns:a16="http://schemas.microsoft.com/office/drawing/2014/main" id="{4E604A06-DEB3-48D6-AA6A-B8EE31C431F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5" name="AutoShape 9">
          <a:extLst>
            <a:ext uri="{FF2B5EF4-FFF2-40B4-BE49-F238E27FC236}">
              <a16:creationId xmlns:a16="http://schemas.microsoft.com/office/drawing/2014/main" id="{8C80A37D-EB97-4260-969A-5FA9F08A824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6" name="AutoShape 10">
          <a:extLst>
            <a:ext uri="{FF2B5EF4-FFF2-40B4-BE49-F238E27FC236}">
              <a16:creationId xmlns:a16="http://schemas.microsoft.com/office/drawing/2014/main" id="{8430455C-98ED-4173-958D-19F49266196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7" name="AutoShape 11">
          <a:extLst>
            <a:ext uri="{FF2B5EF4-FFF2-40B4-BE49-F238E27FC236}">
              <a16:creationId xmlns:a16="http://schemas.microsoft.com/office/drawing/2014/main" id="{E36C7014-3D06-4765-BDB9-918F148D05F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8" name="AutoShape 12">
          <a:extLst>
            <a:ext uri="{FF2B5EF4-FFF2-40B4-BE49-F238E27FC236}">
              <a16:creationId xmlns:a16="http://schemas.microsoft.com/office/drawing/2014/main" id="{6F7CDC26-D7FD-4611-9065-23C86EB9154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59" name="AutoShape 13">
          <a:extLst>
            <a:ext uri="{FF2B5EF4-FFF2-40B4-BE49-F238E27FC236}">
              <a16:creationId xmlns:a16="http://schemas.microsoft.com/office/drawing/2014/main" id="{2B0BA4CD-5F3F-47DB-B6F6-F2C5010426B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0" name="AutoShape 14">
          <a:extLst>
            <a:ext uri="{FF2B5EF4-FFF2-40B4-BE49-F238E27FC236}">
              <a16:creationId xmlns:a16="http://schemas.microsoft.com/office/drawing/2014/main" id="{7B300F19-A52A-4C70-A61C-205A655B025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1" name="AutoShape 15">
          <a:extLst>
            <a:ext uri="{FF2B5EF4-FFF2-40B4-BE49-F238E27FC236}">
              <a16:creationId xmlns:a16="http://schemas.microsoft.com/office/drawing/2014/main" id="{2E768798-D003-4BD9-8E4E-86AA254F4E3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2" name="AutoShape 16">
          <a:extLst>
            <a:ext uri="{FF2B5EF4-FFF2-40B4-BE49-F238E27FC236}">
              <a16:creationId xmlns:a16="http://schemas.microsoft.com/office/drawing/2014/main" id="{3F9F0715-6BB4-40B4-BFB1-12B6368A609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3" name="AutoShape 4">
          <a:extLst>
            <a:ext uri="{FF2B5EF4-FFF2-40B4-BE49-F238E27FC236}">
              <a16:creationId xmlns:a16="http://schemas.microsoft.com/office/drawing/2014/main" id="{A4FB8542-FFD2-4527-B46F-BD4684BC3F4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4" name="AutoShape 6">
          <a:extLst>
            <a:ext uri="{FF2B5EF4-FFF2-40B4-BE49-F238E27FC236}">
              <a16:creationId xmlns:a16="http://schemas.microsoft.com/office/drawing/2014/main" id="{CA050A98-406D-4069-A040-9DC3B531BC1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5" name="AutoShape 7">
          <a:extLst>
            <a:ext uri="{FF2B5EF4-FFF2-40B4-BE49-F238E27FC236}">
              <a16:creationId xmlns:a16="http://schemas.microsoft.com/office/drawing/2014/main" id="{9735C1B0-5D86-4451-B673-48FABE85F37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6" name="AutoShape 8">
          <a:extLst>
            <a:ext uri="{FF2B5EF4-FFF2-40B4-BE49-F238E27FC236}">
              <a16:creationId xmlns:a16="http://schemas.microsoft.com/office/drawing/2014/main" id="{30E7C610-1800-4A86-8F3A-E091C69AC36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7" name="AutoShape 9">
          <a:extLst>
            <a:ext uri="{FF2B5EF4-FFF2-40B4-BE49-F238E27FC236}">
              <a16:creationId xmlns:a16="http://schemas.microsoft.com/office/drawing/2014/main" id="{0CF58081-9279-4DA5-A711-D13369A3F80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8" name="AutoShape 10">
          <a:extLst>
            <a:ext uri="{FF2B5EF4-FFF2-40B4-BE49-F238E27FC236}">
              <a16:creationId xmlns:a16="http://schemas.microsoft.com/office/drawing/2014/main" id="{C96941C5-4660-4F49-A885-A38DCE293F2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69" name="AutoShape 11">
          <a:extLst>
            <a:ext uri="{FF2B5EF4-FFF2-40B4-BE49-F238E27FC236}">
              <a16:creationId xmlns:a16="http://schemas.microsoft.com/office/drawing/2014/main" id="{D810538E-5F06-45AF-89F7-CD9DA30930D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0" name="AutoShape 12">
          <a:extLst>
            <a:ext uri="{FF2B5EF4-FFF2-40B4-BE49-F238E27FC236}">
              <a16:creationId xmlns:a16="http://schemas.microsoft.com/office/drawing/2014/main" id="{3A6AF36B-F8D1-4842-9007-BD4DCB352DA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1" name="AutoShape 13">
          <a:extLst>
            <a:ext uri="{FF2B5EF4-FFF2-40B4-BE49-F238E27FC236}">
              <a16:creationId xmlns:a16="http://schemas.microsoft.com/office/drawing/2014/main" id="{8536AC71-5B61-4085-AB9B-00C504E3323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2" name="AutoShape 14">
          <a:extLst>
            <a:ext uri="{FF2B5EF4-FFF2-40B4-BE49-F238E27FC236}">
              <a16:creationId xmlns:a16="http://schemas.microsoft.com/office/drawing/2014/main" id="{DE72A4F5-8370-4F95-8205-157DE9FCEC7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3" name="AutoShape 15">
          <a:extLst>
            <a:ext uri="{FF2B5EF4-FFF2-40B4-BE49-F238E27FC236}">
              <a16:creationId xmlns:a16="http://schemas.microsoft.com/office/drawing/2014/main" id="{BC5D0681-07FC-4514-83F8-C7F1BBF0802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4" name="AutoShape 4">
          <a:extLst>
            <a:ext uri="{FF2B5EF4-FFF2-40B4-BE49-F238E27FC236}">
              <a16:creationId xmlns:a16="http://schemas.microsoft.com/office/drawing/2014/main" id="{5E9EDE60-1210-4654-A531-456E2ACD51F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5" name="AutoShape 6">
          <a:extLst>
            <a:ext uri="{FF2B5EF4-FFF2-40B4-BE49-F238E27FC236}">
              <a16:creationId xmlns:a16="http://schemas.microsoft.com/office/drawing/2014/main" id="{2798C3BA-8E2D-4095-9168-063D8D3414A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6" name="AutoShape 7">
          <a:extLst>
            <a:ext uri="{FF2B5EF4-FFF2-40B4-BE49-F238E27FC236}">
              <a16:creationId xmlns:a16="http://schemas.microsoft.com/office/drawing/2014/main" id="{A579D4A1-FCD2-4EA9-B133-E606D05B803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7" name="AutoShape 8">
          <a:extLst>
            <a:ext uri="{FF2B5EF4-FFF2-40B4-BE49-F238E27FC236}">
              <a16:creationId xmlns:a16="http://schemas.microsoft.com/office/drawing/2014/main" id="{2B6CC112-0FB0-483B-A8EC-48CD12378B9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8" name="AutoShape 9">
          <a:extLst>
            <a:ext uri="{FF2B5EF4-FFF2-40B4-BE49-F238E27FC236}">
              <a16:creationId xmlns:a16="http://schemas.microsoft.com/office/drawing/2014/main" id="{3C9599CA-A609-4A3D-877F-68F1B3D3F7C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79" name="AutoShape 10">
          <a:extLst>
            <a:ext uri="{FF2B5EF4-FFF2-40B4-BE49-F238E27FC236}">
              <a16:creationId xmlns:a16="http://schemas.microsoft.com/office/drawing/2014/main" id="{F55264AE-6729-4414-BCAF-C32AA675AFF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0" name="AutoShape 11">
          <a:extLst>
            <a:ext uri="{FF2B5EF4-FFF2-40B4-BE49-F238E27FC236}">
              <a16:creationId xmlns:a16="http://schemas.microsoft.com/office/drawing/2014/main" id="{F58A0F0F-3DB0-4828-B323-0742BDE5E7F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1" name="AutoShape 12">
          <a:extLst>
            <a:ext uri="{FF2B5EF4-FFF2-40B4-BE49-F238E27FC236}">
              <a16:creationId xmlns:a16="http://schemas.microsoft.com/office/drawing/2014/main" id="{4628702F-33D3-489B-A179-EB46A11F539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2" name="AutoShape 13">
          <a:extLst>
            <a:ext uri="{FF2B5EF4-FFF2-40B4-BE49-F238E27FC236}">
              <a16:creationId xmlns:a16="http://schemas.microsoft.com/office/drawing/2014/main" id="{B5CF4DB4-ED16-43C7-A24E-AB0E966C58B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3" name="AutoShape 14">
          <a:extLst>
            <a:ext uri="{FF2B5EF4-FFF2-40B4-BE49-F238E27FC236}">
              <a16:creationId xmlns:a16="http://schemas.microsoft.com/office/drawing/2014/main" id="{3BA1FBC4-7489-4CF8-957E-F47B3B67C5F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4" name="AutoShape 15">
          <a:extLst>
            <a:ext uri="{FF2B5EF4-FFF2-40B4-BE49-F238E27FC236}">
              <a16:creationId xmlns:a16="http://schemas.microsoft.com/office/drawing/2014/main" id="{D7A946D7-07A5-4E4A-B643-CE7760BDA22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5" name="AutoShape 16">
          <a:extLst>
            <a:ext uri="{FF2B5EF4-FFF2-40B4-BE49-F238E27FC236}">
              <a16:creationId xmlns:a16="http://schemas.microsoft.com/office/drawing/2014/main" id="{0CBAC9B2-1B0C-4898-B547-3CEDBDB5881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6" name="AutoShape 4">
          <a:extLst>
            <a:ext uri="{FF2B5EF4-FFF2-40B4-BE49-F238E27FC236}">
              <a16:creationId xmlns:a16="http://schemas.microsoft.com/office/drawing/2014/main" id="{62ED135B-5C2B-44D9-9B35-FA441EE369C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7" name="AutoShape 6">
          <a:extLst>
            <a:ext uri="{FF2B5EF4-FFF2-40B4-BE49-F238E27FC236}">
              <a16:creationId xmlns:a16="http://schemas.microsoft.com/office/drawing/2014/main" id="{078F6720-3DF6-4744-A48A-87981DCBECC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8" name="AutoShape 7">
          <a:extLst>
            <a:ext uri="{FF2B5EF4-FFF2-40B4-BE49-F238E27FC236}">
              <a16:creationId xmlns:a16="http://schemas.microsoft.com/office/drawing/2014/main" id="{0126E39E-5530-43A9-84B3-0A9E14CB6FE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89" name="AutoShape 8">
          <a:extLst>
            <a:ext uri="{FF2B5EF4-FFF2-40B4-BE49-F238E27FC236}">
              <a16:creationId xmlns:a16="http://schemas.microsoft.com/office/drawing/2014/main" id="{82E7D305-0E61-4ECC-93D4-0A2B7E3FBB6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0" name="AutoShape 9">
          <a:extLst>
            <a:ext uri="{FF2B5EF4-FFF2-40B4-BE49-F238E27FC236}">
              <a16:creationId xmlns:a16="http://schemas.microsoft.com/office/drawing/2014/main" id="{025D3FF5-F685-4C13-A785-849F06724AB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1" name="AutoShape 10">
          <a:extLst>
            <a:ext uri="{FF2B5EF4-FFF2-40B4-BE49-F238E27FC236}">
              <a16:creationId xmlns:a16="http://schemas.microsoft.com/office/drawing/2014/main" id="{F4BD1CD3-CD25-4382-A238-427DFE56407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2" name="AutoShape 11">
          <a:extLst>
            <a:ext uri="{FF2B5EF4-FFF2-40B4-BE49-F238E27FC236}">
              <a16:creationId xmlns:a16="http://schemas.microsoft.com/office/drawing/2014/main" id="{19409337-0A11-4ED0-B9EB-289C2CBFEF7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3" name="AutoShape 12">
          <a:extLst>
            <a:ext uri="{FF2B5EF4-FFF2-40B4-BE49-F238E27FC236}">
              <a16:creationId xmlns:a16="http://schemas.microsoft.com/office/drawing/2014/main" id="{83EBF8CE-3A32-458C-B763-F716F457E51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4" name="AutoShape 13">
          <a:extLst>
            <a:ext uri="{FF2B5EF4-FFF2-40B4-BE49-F238E27FC236}">
              <a16:creationId xmlns:a16="http://schemas.microsoft.com/office/drawing/2014/main" id="{CC913D8E-6937-470D-90E1-2CB87A3E10C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5" name="AutoShape 14">
          <a:extLst>
            <a:ext uri="{FF2B5EF4-FFF2-40B4-BE49-F238E27FC236}">
              <a16:creationId xmlns:a16="http://schemas.microsoft.com/office/drawing/2014/main" id="{35C39403-D0B2-4A35-AAE2-1450096104E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6" name="AutoShape 15">
          <a:extLst>
            <a:ext uri="{FF2B5EF4-FFF2-40B4-BE49-F238E27FC236}">
              <a16:creationId xmlns:a16="http://schemas.microsoft.com/office/drawing/2014/main" id="{D4936EE0-FCF9-4BED-9D03-9C2C3BCFD23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7" name="AutoShape 4">
          <a:extLst>
            <a:ext uri="{FF2B5EF4-FFF2-40B4-BE49-F238E27FC236}">
              <a16:creationId xmlns:a16="http://schemas.microsoft.com/office/drawing/2014/main" id="{86C752DD-DE28-47AC-8BCC-12AE43EE900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8" name="AutoShape 6">
          <a:extLst>
            <a:ext uri="{FF2B5EF4-FFF2-40B4-BE49-F238E27FC236}">
              <a16:creationId xmlns:a16="http://schemas.microsoft.com/office/drawing/2014/main" id="{222FB1A1-B803-4A3F-976D-6514FA6F6CB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499" name="AutoShape 7">
          <a:extLst>
            <a:ext uri="{FF2B5EF4-FFF2-40B4-BE49-F238E27FC236}">
              <a16:creationId xmlns:a16="http://schemas.microsoft.com/office/drawing/2014/main" id="{25A432E3-0968-4DB8-8C9B-32D04A5DDB8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0" name="AutoShape 8">
          <a:extLst>
            <a:ext uri="{FF2B5EF4-FFF2-40B4-BE49-F238E27FC236}">
              <a16:creationId xmlns:a16="http://schemas.microsoft.com/office/drawing/2014/main" id="{6B7441C1-6CAD-4241-8D9C-7A5E394B1DA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1" name="AutoShape 9">
          <a:extLst>
            <a:ext uri="{FF2B5EF4-FFF2-40B4-BE49-F238E27FC236}">
              <a16:creationId xmlns:a16="http://schemas.microsoft.com/office/drawing/2014/main" id="{4B5A12F9-B693-4244-8A45-68B79D5360C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2" name="AutoShape 10">
          <a:extLst>
            <a:ext uri="{FF2B5EF4-FFF2-40B4-BE49-F238E27FC236}">
              <a16:creationId xmlns:a16="http://schemas.microsoft.com/office/drawing/2014/main" id="{6DB15DB5-A2E2-463B-A93E-FD02F0A9CE3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3" name="AutoShape 11">
          <a:extLst>
            <a:ext uri="{FF2B5EF4-FFF2-40B4-BE49-F238E27FC236}">
              <a16:creationId xmlns:a16="http://schemas.microsoft.com/office/drawing/2014/main" id="{4F315256-A453-4048-ADC6-F327FE34140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4" name="AutoShape 12">
          <a:extLst>
            <a:ext uri="{FF2B5EF4-FFF2-40B4-BE49-F238E27FC236}">
              <a16:creationId xmlns:a16="http://schemas.microsoft.com/office/drawing/2014/main" id="{AD4F78D4-4318-4598-8C2D-0B187ED71E3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5" name="AutoShape 13">
          <a:extLst>
            <a:ext uri="{FF2B5EF4-FFF2-40B4-BE49-F238E27FC236}">
              <a16:creationId xmlns:a16="http://schemas.microsoft.com/office/drawing/2014/main" id="{EE5466EB-F6FE-45B1-BC7B-C4907456EE8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6" name="AutoShape 14">
          <a:extLst>
            <a:ext uri="{FF2B5EF4-FFF2-40B4-BE49-F238E27FC236}">
              <a16:creationId xmlns:a16="http://schemas.microsoft.com/office/drawing/2014/main" id="{94ED3D6B-F0B7-4378-9C31-2F4E22DC93F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7" name="AutoShape 15">
          <a:extLst>
            <a:ext uri="{FF2B5EF4-FFF2-40B4-BE49-F238E27FC236}">
              <a16:creationId xmlns:a16="http://schemas.microsoft.com/office/drawing/2014/main" id="{7343C4BC-7DBF-4EB8-9ACC-3492A1EEFB9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8" name="AutoShape 16">
          <a:extLst>
            <a:ext uri="{FF2B5EF4-FFF2-40B4-BE49-F238E27FC236}">
              <a16:creationId xmlns:a16="http://schemas.microsoft.com/office/drawing/2014/main" id="{689411C6-B27F-4882-B539-CE8C0307542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09" name="AutoShape 4">
          <a:extLst>
            <a:ext uri="{FF2B5EF4-FFF2-40B4-BE49-F238E27FC236}">
              <a16:creationId xmlns:a16="http://schemas.microsoft.com/office/drawing/2014/main" id="{F98A07F5-1B13-49A4-A633-02C0A763902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0" name="AutoShape 6">
          <a:extLst>
            <a:ext uri="{FF2B5EF4-FFF2-40B4-BE49-F238E27FC236}">
              <a16:creationId xmlns:a16="http://schemas.microsoft.com/office/drawing/2014/main" id="{60D4E39C-6D9E-4F4B-839B-9728220E33B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1" name="AutoShape 7">
          <a:extLst>
            <a:ext uri="{FF2B5EF4-FFF2-40B4-BE49-F238E27FC236}">
              <a16:creationId xmlns:a16="http://schemas.microsoft.com/office/drawing/2014/main" id="{F029783F-0C5D-4C5E-AE14-BA85AED9CC8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2" name="AutoShape 8">
          <a:extLst>
            <a:ext uri="{FF2B5EF4-FFF2-40B4-BE49-F238E27FC236}">
              <a16:creationId xmlns:a16="http://schemas.microsoft.com/office/drawing/2014/main" id="{DE25CFF8-2BA1-4AB3-AF38-3512D5F508E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3" name="AutoShape 9">
          <a:extLst>
            <a:ext uri="{FF2B5EF4-FFF2-40B4-BE49-F238E27FC236}">
              <a16:creationId xmlns:a16="http://schemas.microsoft.com/office/drawing/2014/main" id="{668E2DC4-08EB-4131-B343-F4715FA88E4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4" name="AutoShape 10">
          <a:extLst>
            <a:ext uri="{FF2B5EF4-FFF2-40B4-BE49-F238E27FC236}">
              <a16:creationId xmlns:a16="http://schemas.microsoft.com/office/drawing/2014/main" id="{CA70F861-60FE-4BF0-B87C-8DABAB86CC0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5" name="AutoShape 11">
          <a:extLst>
            <a:ext uri="{FF2B5EF4-FFF2-40B4-BE49-F238E27FC236}">
              <a16:creationId xmlns:a16="http://schemas.microsoft.com/office/drawing/2014/main" id="{91924331-FA8F-4013-84F3-EC8D0D584A7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6" name="AutoShape 12">
          <a:extLst>
            <a:ext uri="{FF2B5EF4-FFF2-40B4-BE49-F238E27FC236}">
              <a16:creationId xmlns:a16="http://schemas.microsoft.com/office/drawing/2014/main" id="{C161A0A6-A59E-4E1F-96DF-3E847A8BA58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7" name="AutoShape 13">
          <a:extLst>
            <a:ext uri="{FF2B5EF4-FFF2-40B4-BE49-F238E27FC236}">
              <a16:creationId xmlns:a16="http://schemas.microsoft.com/office/drawing/2014/main" id="{4BF4C2AF-48AB-4A3E-BFE3-495FF1E8228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8" name="AutoShape 14">
          <a:extLst>
            <a:ext uri="{FF2B5EF4-FFF2-40B4-BE49-F238E27FC236}">
              <a16:creationId xmlns:a16="http://schemas.microsoft.com/office/drawing/2014/main" id="{E01B7F5A-3CF0-45CB-A79B-F95651AEC99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19" name="AutoShape 15">
          <a:extLst>
            <a:ext uri="{FF2B5EF4-FFF2-40B4-BE49-F238E27FC236}">
              <a16:creationId xmlns:a16="http://schemas.microsoft.com/office/drawing/2014/main" id="{4FEF763E-63B1-4430-AB16-9E1D90FF4CD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0" name="AutoShape 4">
          <a:extLst>
            <a:ext uri="{FF2B5EF4-FFF2-40B4-BE49-F238E27FC236}">
              <a16:creationId xmlns:a16="http://schemas.microsoft.com/office/drawing/2014/main" id="{57E8C914-FF48-4D47-A529-AF8C9918C82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1" name="AutoShape 6">
          <a:extLst>
            <a:ext uri="{FF2B5EF4-FFF2-40B4-BE49-F238E27FC236}">
              <a16:creationId xmlns:a16="http://schemas.microsoft.com/office/drawing/2014/main" id="{A90650A2-EF36-4605-8DE1-0D89BF5B692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2" name="AutoShape 7">
          <a:extLst>
            <a:ext uri="{FF2B5EF4-FFF2-40B4-BE49-F238E27FC236}">
              <a16:creationId xmlns:a16="http://schemas.microsoft.com/office/drawing/2014/main" id="{0F624771-74A6-44D5-AD59-6A71187A8B6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3" name="AutoShape 8">
          <a:extLst>
            <a:ext uri="{FF2B5EF4-FFF2-40B4-BE49-F238E27FC236}">
              <a16:creationId xmlns:a16="http://schemas.microsoft.com/office/drawing/2014/main" id="{4B0DD36A-626D-4B01-8A04-5C520FE643C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4" name="AutoShape 9">
          <a:extLst>
            <a:ext uri="{FF2B5EF4-FFF2-40B4-BE49-F238E27FC236}">
              <a16:creationId xmlns:a16="http://schemas.microsoft.com/office/drawing/2014/main" id="{A763E784-1092-4379-9654-0BE4AC14E2D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5" name="AutoShape 10">
          <a:extLst>
            <a:ext uri="{FF2B5EF4-FFF2-40B4-BE49-F238E27FC236}">
              <a16:creationId xmlns:a16="http://schemas.microsoft.com/office/drawing/2014/main" id="{326FA74D-673D-4FF8-AEDB-1560A8AC388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6" name="AutoShape 11">
          <a:extLst>
            <a:ext uri="{FF2B5EF4-FFF2-40B4-BE49-F238E27FC236}">
              <a16:creationId xmlns:a16="http://schemas.microsoft.com/office/drawing/2014/main" id="{32C6CD98-3D49-4539-B89E-F23534B3B58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7" name="AutoShape 12">
          <a:extLst>
            <a:ext uri="{FF2B5EF4-FFF2-40B4-BE49-F238E27FC236}">
              <a16:creationId xmlns:a16="http://schemas.microsoft.com/office/drawing/2014/main" id="{7D119FC9-B88C-411B-B85C-34D14012870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8" name="AutoShape 13">
          <a:extLst>
            <a:ext uri="{FF2B5EF4-FFF2-40B4-BE49-F238E27FC236}">
              <a16:creationId xmlns:a16="http://schemas.microsoft.com/office/drawing/2014/main" id="{D9B893B3-92AB-420F-A49D-C077F2F7EBE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29" name="AutoShape 14">
          <a:extLst>
            <a:ext uri="{FF2B5EF4-FFF2-40B4-BE49-F238E27FC236}">
              <a16:creationId xmlns:a16="http://schemas.microsoft.com/office/drawing/2014/main" id="{62E959F5-42CE-46A9-B985-D08D2CAE035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0" name="AutoShape 15">
          <a:extLst>
            <a:ext uri="{FF2B5EF4-FFF2-40B4-BE49-F238E27FC236}">
              <a16:creationId xmlns:a16="http://schemas.microsoft.com/office/drawing/2014/main" id="{C89AD798-5943-45B4-9B62-7561E547802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1" name="AutoShape 16">
          <a:extLst>
            <a:ext uri="{FF2B5EF4-FFF2-40B4-BE49-F238E27FC236}">
              <a16:creationId xmlns:a16="http://schemas.microsoft.com/office/drawing/2014/main" id="{58BA8126-1CF3-4141-8D6D-4E159921200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2" name="AutoShape 4">
          <a:extLst>
            <a:ext uri="{FF2B5EF4-FFF2-40B4-BE49-F238E27FC236}">
              <a16:creationId xmlns:a16="http://schemas.microsoft.com/office/drawing/2014/main" id="{9FE8F8EB-D156-4EBA-A71B-5E215F46ADE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3" name="AutoShape 6">
          <a:extLst>
            <a:ext uri="{FF2B5EF4-FFF2-40B4-BE49-F238E27FC236}">
              <a16:creationId xmlns:a16="http://schemas.microsoft.com/office/drawing/2014/main" id="{600BE7BE-E084-47FC-8F8B-A274857C241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4" name="AutoShape 7">
          <a:extLst>
            <a:ext uri="{FF2B5EF4-FFF2-40B4-BE49-F238E27FC236}">
              <a16:creationId xmlns:a16="http://schemas.microsoft.com/office/drawing/2014/main" id="{84F4903A-0C86-4C5E-9E9A-9DFB4CDCDCC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5" name="AutoShape 8">
          <a:extLst>
            <a:ext uri="{FF2B5EF4-FFF2-40B4-BE49-F238E27FC236}">
              <a16:creationId xmlns:a16="http://schemas.microsoft.com/office/drawing/2014/main" id="{55B0B6EC-ACEC-44DB-A3ED-0E1FBE48667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6" name="AutoShape 9">
          <a:extLst>
            <a:ext uri="{FF2B5EF4-FFF2-40B4-BE49-F238E27FC236}">
              <a16:creationId xmlns:a16="http://schemas.microsoft.com/office/drawing/2014/main" id="{E2305E71-122F-4B72-991C-1E1D756496A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7" name="AutoShape 10">
          <a:extLst>
            <a:ext uri="{FF2B5EF4-FFF2-40B4-BE49-F238E27FC236}">
              <a16:creationId xmlns:a16="http://schemas.microsoft.com/office/drawing/2014/main" id="{FC5B9AD8-8BFB-42C5-924B-2AECD714687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8" name="AutoShape 11">
          <a:extLst>
            <a:ext uri="{FF2B5EF4-FFF2-40B4-BE49-F238E27FC236}">
              <a16:creationId xmlns:a16="http://schemas.microsoft.com/office/drawing/2014/main" id="{D11DEC78-B526-41B5-A060-6EB8A48A12B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39" name="AutoShape 12">
          <a:extLst>
            <a:ext uri="{FF2B5EF4-FFF2-40B4-BE49-F238E27FC236}">
              <a16:creationId xmlns:a16="http://schemas.microsoft.com/office/drawing/2014/main" id="{601D1DBD-23F4-4FA1-995E-CED995C9329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0" name="AutoShape 13">
          <a:extLst>
            <a:ext uri="{FF2B5EF4-FFF2-40B4-BE49-F238E27FC236}">
              <a16:creationId xmlns:a16="http://schemas.microsoft.com/office/drawing/2014/main" id="{E1C3229C-FB90-4936-862D-51FCBE2E4C1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1" name="AutoShape 14">
          <a:extLst>
            <a:ext uri="{FF2B5EF4-FFF2-40B4-BE49-F238E27FC236}">
              <a16:creationId xmlns:a16="http://schemas.microsoft.com/office/drawing/2014/main" id="{26F2BC02-C2EA-4ED2-AAE8-EF24B43A146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2" name="AutoShape 15">
          <a:extLst>
            <a:ext uri="{FF2B5EF4-FFF2-40B4-BE49-F238E27FC236}">
              <a16:creationId xmlns:a16="http://schemas.microsoft.com/office/drawing/2014/main" id="{99D726C6-ACA4-4AB2-9C1B-873FF30A432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3" name="AutoShape 4">
          <a:extLst>
            <a:ext uri="{FF2B5EF4-FFF2-40B4-BE49-F238E27FC236}">
              <a16:creationId xmlns:a16="http://schemas.microsoft.com/office/drawing/2014/main" id="{16E0F012-A541-46D4-9717-CF5A6ABBCDD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4" name="AutoShape 6">
          <a:extLst>
            <a:ext uri="{FF2B5EF4-FFF2-40B4-BE49-F238E27FC236}">
              <a16:creationId xmlns:a16="http://schemas.microsoft.com/office/drawing/2014/main" id="{E2F0E331-C0EB-4DBB-BEAA-D15074C2C96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5" name="AutoShape 7">
          <a:extLst>
            <a:ext uri="{FF2B5EF4-FFF2-40B4-BE49-F238E27FC236}">
              <a16:creationId xmlns:a16="http://schemas.microsoft.com/office/drawing/2014/main" id="{70A8DD88-3159-418D-8D84-A11F1ECCAC9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6" name="AutoShape 8">
          <a:extLst>
            <a:ext uri="{FF2B5EF4-FFF2-40B4-BE49-F238E27FC236}">
              <a16:creationId xmlns:a16="http://schemas.microsoft.com/office/drawing/2014/main" id="{9C99044A-7603-4929-80C9-DC73142FC4A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7" name="AutoShape 9">
          <a:extLst>
            <a:ext uri="{FF2B5EF4-FFF2-40B4-BE49-F238E27FC236}">
              <a16:creationId xmlns:a16="http://schemas.microsoft.com/office/drawing/2014/main" id="{6FEB1146-2FAB-4DB5-B615-DDCBCCB639F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8" name="AutoShape 10">
          <a:extLst>
            <a:ext uri="{FF2B5EF4-FFF2-40B4-BE49-F238E27FC236}">
              <a16:creationId xmlns:a16="http://schemas.microsoft.com/office/drawing/2014/main" id="{6FF714B9-4C55-4BC8-BFD5-B29B7E372FB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49" name="AutoShape 11">
          <a:extLst>
            <a:ext uri="{FF2B5EF4-FFF2-40B4-BE49-F238E27FC236}">
              <a16:creationId xmlns:a16="http://schemas.microsoft.com/office/drawing/2014/main" id="{A54DDB5C-BF3C-4B7D-A30B-9B02FC26AE9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0" name="AutoShape 12">
          <a:extLst>
            <a:ext uri="{FF2B5EF4-FFF2-40B4-BE49-F238E27FC236}">
              <a16:creationId xmlns:a16="http://schemas.microsoft.com/office/drawing/2014/main" id="{4B4D4A47-096D-4303-B26C-18C5DF73C45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1" name="AutoShape 13">
          <a:extLst>
            <a:ext uri="{FF2B5EF4-FFF2-40B4-BE49-F238E27FC236}">
              <a16:creationId xmlns:a16="http://schemas.microsoft.com/office/drawing/2014/main" id="{7EB08FA1-73E2-4D8C-83C5-F9FC576DA9E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2" name="AutoShape 14">
          <a:extLst>
            <a:ext uri="{FF2B5EF4-FFF2-40B4-BE49-F238E27FC236}">
              <a16:creationId xmlns:a16="http://schemas.microsoft.com/office/drawing/2014/main" id="{EF949792-C073-4116-88A9-67BFB149E5A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3" name="AutoShape 15">
          <a:extLst>
            <a:ext uri="{FF2B5EF4-FFF2-40B4-BE49-F238E27FC236}">
              <a16:creationId xmlns:a16="http://schemas.microsoft.com/office/drawing/2014/main" id="{21B7681A-73AF-419A-A503-80B13A30946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4" name="AutoShape 16">
          <a:extLst>
            <a:ext uri="{FF2B5EF4-FFF2-40B4-BE49-F238E27FC236}">
              <a16:creationId xmlns:a16="http://schemas.microsoft.com/office/drawing/2014/main" id="{4DBF5C83-3FDD-4BBC-94A5-4074D7A30F5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5" name="AutoShape 4">
          <a:extLst>
            <a:ext uri="{FF2B5EF4-FFF2-40B4-BE49-F238E27FC236}">
              <a16:creationId xmlns:a16="http://schemas.microsoft.com/office/drawing/2014/main" id="{1E786A38-5477-4A32-AE71-A366C47A4D2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6" name="AutoShape 6">
          <a:extLst>
            <a:ext uri="{FF2B5EF4-FFF2-40B4-BE49-F238E27FC236}">
              <a16:creationId xmlns:a16="http://schemas.microsoft.com/office/drawing/2014/main" id="{C6C7DE54-ADBB-4459-A714-363BEDD4B6C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7" name="AutoShape 7">
          <a:extLst>
            <a:ext uri="{FF2B5EF4-FFF2-40B4-BE49-F238E27FC236}">
              <a16:creationId xmlns:a16="http://schemas.microsoft.com/office/drawing/2014/main" id="{1DB8B506-C8A0-4E57-BF80-6DC9F29A915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8" name="AutoShape 8">
          <a:extLst>
            <a:ext uri="{FF2B5EF4-FFF2-40B4-BE49-F238E27FC236}">
              <a16:creationId xmlns:a16="http://schemas.microsoft.com/office/drawing/2014/main" id="{07C8F707-46E6-4E24-9533-47B32645F61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59" name="AutoShape 9">
          <a:extLst>
            <a:ext uri="{FF2B5EF4-FFF2-40B4-BE49-F238E27FC236}">
              <a16:creationId xmlns:a16="http://schemas.microsoft.com/office/drawing/2014/main" id="{DB944595-F712-4B9C-9070-D7C235D3E88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0" name="AutoShape 10">
          <a:extLst>
            <a:ext uri="{FF2B5EF4-FFF2-40B4-BE49-F238E27FC236}">
              <a16:creationId xmlns:a16="http://schemas.microsoft.com/office/drawing/2014/main" id="{9B71C15F-4657-4C9E-92B9-CA2777501F8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1" name="AutoShape 11">
          <a:extLst>
            <a:ext uri="{FF2B5EF4-FFF2-40B4-BE49-F238E27FC236}">
              <a16:creationId xmlns:a16="http://schemas.microsoft.com/office/drawing/2014/main" id="{93B87E38-9953-4840-A098-E9DB91154B6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2" name="AutoShape 12">
          <a:extLst>
            <a:ext uri="{FF2B5EF4-FFF2-40B4-BE49-F238E27FC236}">
              <a16:creationId xmlns:a16="http://schemas.microsoft.com/office/drawing/2014/main" id="{67E55232-E215-4BEF-85CC-3C81C19D5C1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3" name="AutoShape 13">
          <a:extLst>
            <a:ext uri="{FF2B5EF4-FFF2-40B4-BE49-F238E27FC236}">
              <a16:creationId xmlns:a16="http://schemas.microsoft.com/office/drawing/2014/main" id="{A2207783-C344-46A9-A64C-5E40F4A802B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4" name="AutoShape 14">
          <a:extLst>
            <a:ext uri="{FF2B5EF4-FFF2-40B4-BE49-F238E27FC236}">
              <a16:creationId xmlns:a16="http://schemas.microsoft.com/office/drawing/2014/main" id="{99E383E3-D21A-4E8F-A274-8DB8BF3A2B5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5" name="AutoShape 15">
          <a:extLst>
            <a:ext uri="{FF2B5EF4-FFF2-40B4-BE49-F238E27FC236}">
              <a16:creationId xmlns:a16="http://schemas.microsoft.com/office/drawing/2014/main" id="{C26A27A6-7875-4183-9B8B-C2B45CBDFAE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6" name="AutoShape 4">
          <a:extLst>
            <a:ext uri="{FF2B5EF4-FFF2-40B4-BE49-F238E27FC236}">
              <a16:creationId xmlns:a16="http://schemas.microsoft.com/office/drawing/2014/main" id="{E8D7E68E-B673-4547-A243-59CB852D486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7" name="AutoShape 6">
          <a:extLst>
            <a:ext uri="{FF2B5EF4-FFF2-40B4-BE49-F238E27FC236}">
              <a16:creationId xmlns:a16="http://schemas.microsoft.com/office/drawing/2014/main" id="{DCBC4663-B1BC-4BB9-B9AC-E40883A41DD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8" name="AutoShape 7">
          <a:extLst>
            <a:ext uri="{FF2B5EF4-FFF2-40B4-BE49-F238E27FC236}">
              <a16:creationId xmlns:a16="http://schemas.microsoft.com/office/drawing/2014/main" id="{1709CFC3-044C-47C9-A265-F6CB1772F71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69" name="AutoShape 8">
          <a:extLst>
            <a:ext uri="{FF2B5EF4-FFF2-40B4-BE49-F238E27FC236}">
              <a16:creationId xmlns:a16="http://schemas.microsoft.com/office/drawing/2014/main" id="{C4E75984-A7BF-4558-B177-3DD3D29A07C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70" name="AutoShape 9">
          <a:extLst>
            <a:ext uri="{FF2B5EF4-FFF2-40B4-BE49-F238E27FC236}">
              <a16:creationId xmlns:a16="http://schemas.microsoft.com/office/drawing/2014/main" id="{6D2402CF-D2CE-4497-873D-D1ED39B0D1D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71" name="AutoShape 10">
          <a:extLst>
            <a:ext uri="{FF2B5EF4-FFF2-40B4-BE49-F238E27FC236}">
              <a16:creationId xmlns:a16="http://schemas.microsoft.com/office/drawing/2014/main" id="{EEBE4C84-6128-4728-A768-E83F79E436C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72" name="AutoShape 11">
          <a:extLst>
            <a:ext uri="{FF2B5EF4-FFF2-40B4-BE49-F238E27FC236}">
              <a16:creationId xmlns:a16="http://schemas.microsoft.com/office/drawing/2014/main" id="{1E847EC2-07ED-4661-931B-A44AD92F35B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73" name="AutoShape 12">
          <a:extLst>
            <a:ext uri="{FF2B5EF4-FFF2-40B4-BE49-F238E27FC236}">
              <a16:creationId xmlns:a16="http://schemas.microsoft.com/office/drawing/2014/main" id="{7E245B3A-BAA2-40A3-A1D9-7AFFD2CB1D4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74" name="AutoShape 13">
          <a:extLst>
            <a:ext uri="{FF2B5EF4-FFF2-40B4-BE49-F238E27FC236}">
              <a16:creationId xmlns:a16="http://schemas.microsoft.com/office/drawing/2014/main" id="{88CC4AB7-721B-429F-B377-246A9916787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75" name="AutoShape 14">
          <a:extLst>
            <a:ext uri="{FF2B5EF4-FFF2-40B4-BE49-F238E27FC236}">
              <a16:creationId xmlns:a16="http://schemas.microsoft.com/office/drawing/2014/main" id="{D7E11E78-AB8C-4A2A-9FE7-566F152ECA7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576" name="AutoShape 15">
          <a:extLst>
            <a:ext uri="{FF2B5EF4-FFF2-40B4-BE49-F238E27FC236}">
              <a16:creationId xmlns:a16="http://schemas.microsoft.com/office/drawing/2014/main" id="{BFD056B6-37E1-4EC8-9B0A-CB0187719B5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77" name="AutoShape 16">
          <a:extLst>
            <a:ext uri="{FF2B5EF4-FFF2-40B4-BE49-F238E27FC236}">
              <a16:creationId xmlns:a16="http://schemas.microsoft.com/office/drawing/2014/main" id="{A84AD829-1710-4A2A-B506-4E0D96563F9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78" name="AutoShape 17">
          <a:extLst>
            <a:ext uri="{FF2B5EF4-FFF2-40B4-BE49-F238E27FC236}">
              <a16:creationId xmlns:a16="http://schemas.microsoft.com/office/drawing/2014/main" id="{714A8ADB-F4CF-4361-9A56-99F024CBE47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79" name="AutoShape 18">
          <a:extLst>
            <a:ext uri="{FF2B5EF4-FFF2-40B4-BE49-F238E27FC236}">
              <a16:creationId xmlns:a16="http://schemas.microsoft.com/office/drawing/2014/main" id="{014B2E3E-A26D-4B44-BBE7-45C78538F332}"/>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0" name="AutoShape 18">
          <a:extLst>
            <a:ext uri="{FF2B5EF4-FFF2-40B4-BE49-F238E27FC236}">
              <a16:creationId xmlns:a16="http://schemas.microsoft.com/office/drawing/2014/main" id="{1E413C09-19F5-4193-8B90-7CFA7028879E}"/>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1" name="AutoShape 17">
          <a:extLst>
            <a:ext uri="{FF2B5EF4-FFF2-40B4-BE49-F238E27FC236}">
              <a16:creationId xmlns:a16="http://schemas.microsoft.com/office/drawing/2014/main" id="{7CE604D3-F063-434E-8BE2-B4276A066DD2}"/>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2" name="AutoShape 17">
          <a:extLst>
            <a:ext uri="{FF2B5EF4-FFF2-40B4-BE49-F238E27FC236}">
              <a16:creationId xmlns:a16="http://schemas.microsoft.com/office/drawing/2014/main" id="{4112CC2C-1D3F-49D4-838A-0411D99F517B}"/>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3" name="AutoShape 18">
          <a:extLst>
            <a:ext uri="{FF2B5EF4-FFF2-40B4-BE49-F238E27FC236}">
              <a16:creationId xmlns:a16="http://schemas.microsoft.com/office/drawing/2014/main" id="{F744525E-0FDE-4CC2-913B-561A9B3DA83E}"/>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4" name="AutoShape 17">
          <a:extLst>
            <a:ext uri="{FF2B5EF4-FFF2-40B4-BE49-F238E27FC236}">
              <a16:creationId xmlns:a16="http://schemas.microsoft.com/office/drawing/2014/main" id="{B94293D5-C981-4830-9EBA-C567BC2342E1}"/>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5" name="AutoShape 17">
          <a:extLst>
            <a:ext uri="{FF2B5EF4-FFF2-40B4-BE49-F238E27FC236}">
              <a16:creationId xmlns:a16="http://schemas.microsoft.com/office/drawing/2014/main" id="{EC78EC0C-57D6-403E-8CEF-F851495CA873}"/>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6" name="AutoShape 18">
          <a:extLst>
            <a:ext uri="{FF2B5EF4-FFF2-40B4-BE49-F238E27FC236}">
              <a16:creationId xmlns:a16="http://schemas.microsoft.com/office/drawing/2014/main" id="{979F362D-9635-453C-9D3D-E28B45ADFD2B}"/>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7" name="AutoShape 17">
          <a:extLst>
            <a:ext uri="{FF2B5EF4-FFF2-40B4-BE49-F238E27FC236}">
              <a16:creationId xmlns:a16="http://schemas.microsoft.com/office/drawing/2014/main" id="{5DD095E8-2334-4D69-9AD9-F82B6DE3305D}"/>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8" name="AutoShape 17">
          <a:extLst>
            <a:ext uri="{FF2B5EF4-FFF2-40B4-BE49-F238E27FC236}">
              <a16:creationId xmlns:a16="http://schemas.microsoft.com/office/drawing/2014/main" id="{0FD4949B-C137-4AB7-B860-3785E46BBFBA}"/>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89" name="AutoShape 18">
          <a:extLst>
            <a:ext uri="{FF2B5EF4-FFF2-40B4-BE49-F238E27FC236}">
              <a16:creationId xmlns:a16="http://schemas.microsoft.com/office/drawing/2014/main" id="{43FBE282-6E46-4700-8FF2-191A0BD54232}"/>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133</xdr:row>
      <xdr:rowOff>0</xdr:rowOff>
    </xdr:from>
    <xdr:ext cx="304800" cy="304800"/>
    <xdr:sp macro="" textlink="">
      <xdr:nvSpPr>
        <xdr:cNvPr id="590" name="AutoShape 17">
          <a:extLst>
            <a:ext uri="{FF2B5EF4-FFF2-40B4-BE49-F238E27FC236}">
              <a16:creationId xmlns:a16="http://schemas.microsoft.com/office/drawing/2014/main" id="{6B92A796-F945-4970-8CB7-1453B8E3FBE8}"/>
            </a:ext>
          </a:extLst>
        </xdr:cNvPr>
        <xdr:cNvSpPr>
          <a:spLocks noChangeAspect="1" noChangeArrowheads="1"/>
        </xdr:cNvSpPr>
      </xdr:nvSpPr>
      <xdr:spPr bwMode="auto">
        <a:xfrm>
          <a:off x="12801600" y="28384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1" name="AutoShape 18">
          <a:extLst>
            <a:ext uri="{FF2B5EF4-FFF2-40B4-BE49-F238E27FC236}">
              <a16:creationId xmlns:a16="http://schemas.microsoft.com/office/drawing/2014/main" id="{395AEB88-1C48-47EC-BB49-FECA41BF742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2" name="AutoShape 17">
          <a:extLst>
            <a:ext uri="{FF2B5EF4-FFF2-40B4-BE49-F238E27FC236}">
              <a16:creationId xmlns:a16="http://schemas.microsoft.com/office/drawing/2014/main" id="{9D68ECD6-B8A0-4ABE-A1DF-976F62191D77}"/>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3" name="AutoShape 17">
          <a:extLst>
            <a:ext uri="{FF2B5EF4-FFF2-40B4-BE49-F238E27FC236}">
              <a16:creationId xmlns:a16="http://schemas.microsoft.com/office/drawing/2014/main" id="{414C8FD1-E860-403F-A6A4-7CEE44F2296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4" name="AutoShape 16">
          <a:extLst>
            <a:ext uri="{FF2B5EF4-FFF2-40B4-BE49-F238E27FC236}">
              <a16:creationId xmlns:a16="http://schemas.microsoft.com/office/drawing/2014/main" id="{5EA4FC33-1E15-4B8B-8450-F497473D69F7}"/>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5" name="AutoShape 4">
          <a:extLst>
            <a:ext uri="{FF2B5EF4-FFF2-40B4-BE49-F238E27FC236}">
              <a16:creationId xmlns:a16="http://schemas.microsoft.com/office/drawing/2014/main" id="{E40B07E6-722F-444D-B332-BE8CFB3CDA38}"/>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6" name="AutoShape 6">
          <a:extLst>
            <a:ext uri="{FF2B5EF4-FFF2-40B4-BE49-F238E27FC236}">
              <a16:creationId xmlns:a16="http://schemas.microsoft.com/office/drawing/2014/main" id="{81D51F87-B9F6-4F29-B299-82A5BB404A5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7" name="AutoShape 7">
          <a:extLst>
            <a:ext uri="{FF2B5EF4-FFF2-40B4-BE49-F238E27FC236}">
              <a16:creationId xmlns:a16="http://schemas.microsoft.com/office/drawing/2014/main" id="{9D61875E-5D4C-47B9-8F98-B3AD10DD31E7}"/>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8" name="AutoShape 8">
          <a:extLst>
            <a:ext uri="{FF2B5EF4-FFF2-40B4-BE49-F238E27FC236}">
              <a16:creationId xmlns:a16="http://schemas.microsoft.com/office/drawing/2014/main" id="{882B32E2-7257-4ACF-86B3-1D8A8D50F7E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599" name="AutoShape 9">
          <a:extLst>
            <a:ext uri="{FF2B5EF4-FFF2-40B4-BE49-F238E27FC236}">
              <a16:creationId xmlns:a16="http://schemas.microsoft.com/office/drawing/2014/main" id="{0862A431-34F9-45C3-97BD-5A4B9B39A75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0" name="AutoShape 10">
          <a:extLst>
            <a:ext uri="{FF2B5EF4-FFF2-40B4-BE49-F238E27FC236}">
              <a16:creationId xmlns:a16="http://schemas.microsoft.com/office/drawing/2014/main" id="{C86123B3-6948-4348-96F7-E1AF4879DEC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1" name="AutoShape 11">
          <a:extLst>
            <a:ext uri="{FF2B5EF4-FFF2-40B4-BE49-F238E27FC236}">
              <a16:creationId xmlns:a16="http://schemas.microsoft.com/office/drawing/2014/main" id="{B0AA2848-3A8F-48F3-B272-BDA419F2CB8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2" name="AutoShape 12">
          <a:extLst>
            <a:ext uri="{FF2B5EF4-FFF2-40B4-BE49-F238E27FC236}">
              <a16:creationId xmlns:a16="http://schemas.microsoft.com/office/drawing/2014/main" id="{55E26494-98A6-400A-B2AA-032378EFDED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3" name="AutoShape 13">
          <a:extLst>
            <a:ext uri="{FF2B5EF4-FFF2-40B4-BE49-F238E27FC236}">
              <a16:creationId xmlns:a16="http://schemas.microsoft.com/office/drawing/2014/main" id="{7516D246-C6D1-4F9C-B87D-87F4B7BE945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4" name="AutoShape 14">
          <a:extLst>
            <a:ext uri="{FF2B5EF4-FFF2-40B4-BE49-F238E27FC236}">
              <a16:creationId xmlns:a16="http://schemas.microsoft.com/office/drawing/2014/main" id="{B04D8B86-7DF4-4BFB-AAEE-90D57030518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5" name="AutoShape 15">
          <a:extLst>
            <a:ext uri="{FF2B5EF4-FFF2-40B4-BE49-F238E27FC236}">
              <a16:creationId xmlns:a16="http://schemas.microsoft.com/office/drawing/2014/main" id="{50EB3C3D-CEAE-46B7-BF0D-6D44D6751BC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6" name="AutoShape 16">
          <a:extLst>
            <a:ext uri="{FF2B5EF4-FFF2-40B4-BE49-F238E27FC236}">
              <a16:creationId xmlns:a16="http://schemas.microsoft.com/office/drawing/2014/main" id="{8585DA10-BAE6-4F83-92C4-0BF5173152B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7" name="AutoShape 4">
          <a:extLst>
            <a:ext uri="{FF2B5EF4-FFF2-40B4-BE49-F238E27FC236}">
              <a16:creationId xmlns:a16="http://schemas.microsoft.com/office/drawing/2014/main" id="{2141F17E-B435-4148-976F-5419A2F7770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8" name="AutoShape 6">
          <a:extLst>
            <a:ext uri="{FF2B5EF4-FFF2-40B4-BE49-F238E27FC236}">
              <a16:creationId xmlns:a16="http://schemas.microsoft.com/office/drawing/2014/main" id="{16CDB478-4D9C-4CC9-B402-4CD9B113F26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09" name="AutoShape 7">
          <a:extLst>
            <a:ext uri="{FF2B5EF4-FFF2-40B4-BE49-F238E27FC236}">
              <a16:creationId xmlns:a16="http://schemas.microsoft.com/office/drawing/2014/main" id="{CCD2AC52-E612-45BA-99BA-FDE20FFAA10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0" name="AutoShape 8">
          <a:extLst>
            <a:ext uri="{FF2B5EF4-FFF2-40B4-BE49-F238E27FC236}">
              <a16:creationId xmlns:a16="http://schemas.microsoft.com/office/drawing/2014/main" id="{B3F3AB1B-3F88-4530-9085-33DE91E02B7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1" name="AutoShape 9">
          <a:extLst>
            <a:ext uri="{FF2B5EF4-FFF2-40B4-BE49-F238E27FC236}">
              <a16:creationId xmlns:a16="http://schemas.microsoft.com/office/drawing/2014/main" id="{EB03639B-59E7-41F1-9A03-DED642A9E24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2" name="AutoShape 10">
          <a:extLst>
            <a:ext uri="{FF2B5EF4-FFF2-40B4-BE49-F238E27FC236}">
              <a16:creationId xmlns:a16="http://schemas.microsoft.com/office/drawing/2014/main" id="{A99383FA-E7E5-44EB-A1FE-D0A6828669C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3" name="AutoShape 11">
          <a:extLst>
            <a:ext uri="{FF2B5EF4-FFF2-40B4-BE49-F238E27FC236}">
              <a16:creationId xmlns:a16="http://schemas.microsoft.com/office/drawing/2014/main" id="{C0AAB813-70C2-4ECD-A782-7E198F01C10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4" name="AutoShape 12">
          <a:extLst>
            <a:ext uri="{FF2B5EF4-FFF2-40B4-BE49-F238E27FC236}">
              <a16:creationId xmlns:a16="http://schemas.microsoft.com/office/drawing/2014/main" id="{A30858F1-8514-4313-801E-47A2D36B30E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5" name="AutoShape 13">
          <a:extLst>
            <a:ext uri="{FF2B5EF4-FFF2-40B4-BE49-F238E27FC236}">
              <a16:creationId xmlns:a16="http://schemas.microsoft.com/office/drawing/2014/main" id="{EC9F7C7D-D8CF-4ECD-97F0-4091A93B8A7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6" name="AutoShape 14">
          <a:extLst>
            <a:ext uri="{FF2B5EF4-FFF2-40B4-BE49-F238E27FC236}">
              <a16:creationId xmlns:a16="http://schemas.microsoft.com/office/drawing/2014/main" id="{238DA96E-4C09-4A10-AF89-E242C0B0012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7" name="AutoShape 15">
          <a:extLst>
            <a:ext uri="{FF2B5EF4-FFF2-40B4-BE49-F238E27FC236}">
              <a16:creationId xmlns:a16="http://schemas.microsoft.com/office/drawing/2014/main" id="{BF5A7346-6819-45EE-BE45-133464D55B2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8" name="AutoShape 4">
          <a:extLst>
            <a:ext uri="{FF2B5EF4-FFF2-40B4-BE49-F238E27FC236}">
              <a16:creationId xmlns:a16="http://schemas.microsoft.com/office/drawing/2014/main" id="{E45F4AC3-ACDE-42AC-B2DF-F9B514BA8A08}"/>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19" name="AutoShape 6">
          <a:extLst>
            <a:ext uri="{FF2B5EF4-FFF2-40B4-BE49-F238E27FC236}">
              <a16:creationId xmlns:a16="http://schemas.microsoft.com/office/drawing/2014/main" id="{41997F8D-6FA7-493C-941C-DCC4C88DB67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0" name="AutoShape 7">
          <a:extLst>
            <a:ext uri="{FF2B5EF4-FFF2-40B4-BE49-F238E27FC236}">
              <a16:creationId xmlns:a16="http://schemas.microsoft.com/office/drawing/2014/main" id="{1DEA2DBF-8EB8-4D56-85BC-4684BA4D2D0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1" name="AutoShape 8">
          <a:extLst>
            <a:ext uri="{FF2B5EF4-FFF2-40B4-BE49-F238E27FC236}">
              <a16:creationId xmlns:a16="http://schemas.microsoft.com/office/drawing/2014/main" id="{00D19B30-D13C-4742-82B8-665D849885F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2" name="AutoShape 9">
          <a:extLst>
            <a:ext uri="{FF2B5EF4-FFF2-40B4-BE49-F238E27FC236}">
              <a16:creationId xmlns:a16="http://schemas.microsoft.com/office/drawing/2014/main" id="{AE9B1109-2C46-4283-BA75-ED6EA4FDA9D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3" name="AutoShape 10">
          <a:extLst>
            <a:ext uri="{FF2B5EF4-FFF2-40B4-BE49-F238E27FC236}">
              <a16:creationId xmlns:a16="http://schemas.microsoft.com/office/drawing/2014/main" id="{33EC744D-7DE0-471D-AA26-4C132EF712A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4" name="AutoShape 11">
          <a:extLst>
            <a:ext uri="{FF2B5EF4-FFF2-40B4-BE49-F238E27FC236}">
              <a16:creationId xmlns:a16="http://schemas.microsoft.com/office/drawing/2014/main" id="{C4A1D5D7-987B-415C-BD5F-0D87E31789D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5" name="AutoShape 12">
          <a:extLst>
            <a:ext uri="{FF2B5EF4-FFF2-40B4-BE49-F238E27FC236}">
              <a16:creationId xmlns:a16="http://schemas.microsoft.com/office/drawing/2014/main" id="{E8FFA47E-350E-4371-A788-674D68D3AD7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6" name="AutoShape 13">
          <a:extLst>
            <a:ext uri="{FF2B5EF4-FFF2-40B4-BE49-F238E27FC236}">
              <a16:creationId xmlns:a16="http://schemas.microsoft.com/office/drawing/2014/main" id="{54B05390-4F1B-4515-AD1B-CC9BE48739D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7" name="AutoShape 14">
          <a:extLst>
            <a:ext uri="{FF2B5EF4-FFF2-40B4-BE49-F238E27FC236}">
              <a16:creationId xmlns:a16="http://schemas.microsoft.com/office/drawing/2014/main" id="{73C20804-040A-4801-B2C9-C3D2A5F8E06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8" name="AutoShape 15">
          <a:extLst>
            <a:ext uri="{FF2B5EF4-FFF2-40B4-BE49-F238E27FC236}">
              <a16:creationId xmlns:a16="http://schemas.microsoft.com/office/drawing/2014/main" id="{4E88C528-12AD-48D8-A8A2-F8846800CC9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29" name="AutoShape 16">
          <a:extLst>
            <a:ext uri="{FF2B5EF4-FFF2-40B4-BE49-F238E27FC236}">
              <a16:creationId xmlns:a16="http://schemas.microsoft.com/office/drawing/2014/main" id="{8C23FD4B-CF03-410C-9422-E898495C344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0" name="AutoShape 4">
          <a:extLst>
            <a:ext uri="{FF2B5EF4-FFF2-40B4-BE49-F238E27FC236}">
              <a16:creationId xmlns:a16="http://schemas.microsoft.com/office/drawing/2014/main" id="{A2BC0948-7084-437E-9992-7FD97072AF9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1" name="AutoShape 6">
          <a:extLst>
            <a:ext uri="{FF2B5EF4-FFF2-40B4-BE49-F238E27FC236}">
              <a16:creationId xmlns:a16="http://schemas.microsoft.com/office/drawing/2014/main" id="{83D60E8E-9AE9-4215-A37E-2C214E628F68}"/>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2" name="AutoShape 7">
          <a:extLst>
            <a:ext uri="{FF2B5EF4-FFF2-40B4-BE49-F238E27FC236}">
              <a16:creationId xmlns:a16="http://schemas.microsoft.com/office/drawing/2014/main" id="{CCFEAB84-20DE-411C-B9C7-3A2E93B15A3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3" name="AutoShape 8">
          <a:extLst>
            <a:ext uri="{FF2B5EF4-FFF2-40B4-BE49-F238E27FC236}">
              <a16:creationId xmlns:a16="http://schemas.microsoft.com/office/drawing/2014/main" id="{3237657A-BBBB-49C1-A5B3-1FAEB737FA9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4" name="AutoShape 9">
          <a:extLst>
            <a:ext uri="{FF2B5EF4-FFF2-40B4-BE49-F238E27FC236}">
              <a16:creationId xmlns:a16="http://schemas.microsoft.com/office/drawing/2014/main" id="{57785A00-0BEB-4309-B472-27310EB595D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5" name="AutoShape 10">
          <a:extLst>
            <a:ext uri="{FF2B5EF4-FFF2-40B4-BE49-F238E27FC236}">
              <a16:creationId xmlns:a16="http://schemas.microsoft.com/office/drawing/2014/main" id="{3866CFCF-4492-470D-A2B5-14FB7D993CF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6" name="AutoShape 11">
          <a:extLst>
            <a:ext uri="{FF2B5EF4-FFF2-40B4-BE49-F238E27FC236}">
              <a16:creationId xmlns:a16="http://schemas.microsoft.com/office/drawing/2014/main" id="{354EA6AF-9B68-4ADD-A2F1-B573075DD12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7" name="AutoShape 12">
          <a:extLst>
            <a:ext uri="{FF2B5EF4-FFF2-40B4-BE49-F238E27FC236}">
              <a16:creationId xmlns:a16="http://schemas.microsoft.com/office/drawing/2014/main" id="{9ED3AA7F-FFEE-4775-9392-94C20F3E8CD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8" name="AutoShape 13">
          <a:extLst>
            <a:ext uri="{FF2B5EF4-FFF2-40B4-BE49-F238E27FC236}">
              <a16:creationId xmlns:a16="http://schemas.microsoft.com/office/drawing/2014/main" id="{C71C4ECA-1105-40BB-9E17-5A453ACFD22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39" name="AutoShape 14">
          <a:extLst>
            <a:ext uri="{FF2B5EF4-FFF2-40B4-BE49-F238E27FC236}">
              <a16:creationId xmlns:a16="http://schemas.microsoft.com/office/drawing/2014/main" id="{060A7999-A6F4-4C83-A8A5-FFF63317960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0" name="AutoShape 15">
          <a:extLst>
            <a:ext uri="{FF2B5EF4-FFF2-40B4-BE49-F238E27FC236}">
              <a16:creationId xmlns:a16="http://schemas.microsoft.com/office/drawing/2014/main" id="{27ED0615-7AB9-493D-BC2A-BF64D010857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1" name="AutoShape 4">
          <a:extLst>
            <a:ext uri="{FF2B5EF4-FFF2-40B4-BE49-F238E27FC236}">
              <a16:creationId xmlns:a16="http://schemas.microsoft.com/office/drawing/2014/main" id="{CAB4C2A8-99B6-4E44-AEAB-A3AA874D965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2" name="AutoShape 6">
          <a:extLst>
            <a:ext uri="{FF2B5EF4-FFF2-40B4-BE49-F238E27FC236}">
              <a16:creationId xmlns:a16="http://schemas.microsoft.com/office/drawing/2014/main" id="{7F85A555-0BA1-4097-A960-589B36F4EFF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3" name="AutoShape 7">
          <a:extLst>
            <a:ext uri="{FF2B5EF4-FFF2-40B4-BE49-F238E27FC236}">
              <a16:creationId xmlns:a16="http://schemas.microsoft.com/office/drawing/2014/main" id="{7A3F1659-C5CD-43F6-AA9D-0D7927B37F9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4" name="AutoShape 8">
          <a:extLst>
            <a:ext uri="{FF2B5EF4-FFF2-40B4-BE49-F238E27FC236}">
              <a16:creationId xmlns:a16="http://schemas.microsoft.com/office/drawing/2014/main" id="{3719E907-5064-4F97-B85F-73A39A07C15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5" name="AutoShape 9">
          <a:extLst>
            <a:ext uri="{FF2B5EF4-FFF2-40B4-BE49-F238E27FC236}">
              <a16:creationId xmlns:a16="http://schemas.microsoft.com/office/drawing/2014/main" id="{A1A35CB1-3A2D-43E0-9475-1964373A990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6" name="AutoShape 10">
          <a:extLst>
            <a:ext uri="{FF2B5EF4-FFF2-40B4-BE49-F238E27FC236}">
              <a16:creationId xmlns:a16="http://schemas.microsoft.com/office/drawing/2014/main" id="{15E80A6A-462F-4108-A81C-00896D09502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7" name="AutoShape 11">
          <a:extLst>
            <a:ext uri="{FF2B5EF4-FFF2-40B4-BE49-F238E27FC236}">
              <a16:creationId xmlns:a16="http://schemas.microsoft.com/office/drawing/2014/main" id="{B1B39A9E-4992-48A6-9860-2DD87FCEA99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8" name="AutoShape 12">
          <a:extLst>
            <a:ext uri="{FF2B5EF4-FFF2-40B4-BE49-F238E27FC236}">
              <a16:creationId xmlns:a16="http://schemas.microsoft.com/office/drawing/2014/main" id="{7AFADFB6-8A9E-4735-89C4-A3F58E29B74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49" name="AutoShape 13">
          <a:extLst>
            <a:ext uri="{FF2B5EF4-FFF2-40B4-BE49-F238E27FC236}">
              <a16:creationId xmlns:a16="http://schemas.microsoft.com/office/drawing/2014/main" id="{27C9DD70-A5C5-43CF-B69E-72B9857878E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0" name="AutoShape 14">
          <a:extLst>
            <a:ext uri="{FF2B5EF4-FFF2-40B4-BE49-F238E27FC236}">
              <a16:creationId xmlns:a16="http://schemas.microsoft.com/office/drawing/2014/main" id="{28D38D7F-5157-453C-A9A3-E71750AF67C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1" name="AutoShape 15">
          <a:extLst>
            <a:ext uri="{FF2B5EF4-FFF2-40B4-BE49-F238E27FC236}">
              <a16:creationId xmlns:a16="http://schemas.microsoft.com/office/drawing/2014/main" id="{463FEF2A-5F6D-434E-B45E-81D822A39654}"/>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2" name="AutoShape 16">
          <a:extLst>
            <a:ext uri="{FF2B5EF4-FFF2-40B4-BE49-F238E27FC236}">
              <a16:creationId xmlns:a16="http://schemas.microsoft.com/office/drawing/2014/main" id="{4531BA14-A696-4C20-82A6-B31F5A85127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3" name="AutoShape 4">
          <a:extLst>
            <a:ext uri="{FF2B5EF4-FFF2-40B4-BE49-F238E27FC236}">
              <a16:creationId xmlns:a16="http://schemas.microsoft.com/office/drawing/2014/main" id="{0975D973-18A9-49A4-A574-C78CD46B628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4" name="AutoShape 6">
          <a:extLst>
            <a:ext uri="{FF2B5EF4-FFF2-40B4-BE49-F238E27FC236}">
              <a16:creationId xmlns:a16="http://schemas.microsoft.com/office/drawing/2014/main" id="{F71708AA-790B-4596-89B0-7074DE1F6B08}"/>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5" name="AutoShape 7">
          <a:extLst>
            <a:ext uri="{FF2B5EF4-FFF2-40B4-BE49-F238E27FC236}">
              <a16:creationId xmlns:a16="http://schemas.microsoft.com/office/drawing/2014/main" id="{C88D8A60-7C15-46F4-9B82-E4E80DD049F8}"/>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6" name="AutoShape 8">
          <a:extLst>
            <a:ext uri="{FF2B5EF4-FFF2-40B4-BE49-F238E27FC236}">
              <a16:creationId xmlns:a16="http://schemas.microsoft.com/office/drawing/2014/main" id="{9C26A317-2721-49E0-86B6-472561C2E314}"/>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7" name="AutoShape 9">
          <a:extLst>
            <a:ext uri="{FF2B5EF4-FFF2-40B4-BE49-F238E27FC236}">
              <a16:creationId xmlns:a16="http://schemas.microsoft.com/office/drawing/2014/main" id="{47F5B124-5D81-4EB2-97E7-3CE602BA4CAD}"/>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8" name="AutoShape 10">
          <a:extLst>
            <a:ext uri="{FF2B5EF4-FFF2-40B4-BE49-F238E27FC236}">
              <a16:creationId xmlns:a16="http://schemas.microsoft.com/office/drawing/2014/main" id="{06E8921E-1F30-43E7-967F-52D14E14846D}"/>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59" name="AutoShape 11">
          <a:extLst>
            <a:ext uri="{FF2B5EF4-FFF2-40B4-BE49-F238E27FC236}">
              <a16:creationId xmlns:a16="http://schemas.microsoft.com/office/drawing/2014/main" id="{E9802586-0FAD-4522-893C-661678ABBA04}"/>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0" name="AutoShape 12">
          <a:extLst>
            <a:ext uri="{FF2B5EF4-FFF2-40B4-BE49-F238E27FC236}">
              <a16:creationId xmlns:a16="http://schemas.microsoft.com/office/drawing/2014/main" id="{7DCFDDF9-41F2-411E-B132-8606A5EDB2B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1" name="AutoShape 13">
          <a:extLst>
            <a:ext uri="{FF2B5EF4-FFF2-40B4-BE49-F238E27FC236}">
              <a16:creationId xmlns:a16="http://schemas.microsoft.com/office/drawing/2014/main" id="{2FA2B413-AA5F-41E8-8FE7-CDEFCE80DAB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2" name="AutoShape 14">
          <a:extLst>
            <a:ext uri="{FF2B5EF4-FFF2-40B4-BE49-F238E27FC236}">
              <a16:creationId xmlns:a16="http://schemas.microsoft.com/office/drawing/2014/main" id="{100FB7BD-033D-4B11-95A6-C8FC984C2C2D}"/>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3" name="AutoShape 15">
          <a:extLst>
            <a:ext uri="{FF2B5EF4-FFF2-40B4-BE49-F238E27FC236}">
              <a16:creationId xmlns:a16="http://schemas.microsoft.com/office/drawing/2014/main" id="{FA9007AA-0F1C-4E8E-9EE0-B609BE954E08}"/>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4" name="AutoShape 4">
          <a:extLst>
            <a:ext uri="{FF2B5EF4-FFF2-40B4-BE49-F238E27FC236}">
              <a16:creationId xmlns:a16="http://schemas.microsoft.com/office/drawing/2014/main" id="{F75E22E4-F0E1-4F11-8318-D539CFE910F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5" name="AutoShape 6">
          <a:extLst>
            <a:ext uri="{FF2B5EF4-FFF2-40B4-BE49-F238E27FC236}">
              <a16:creationId xmlns:a16="http://schemas.microsoft.com/office/drawing/2014/main" id="{6FA87D89-DA6D-4B59-812A-B867D50EDF6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6" name="AutoShape 7">
          <a:extLst>
            <a:ext uri="{FF2B5EF4-FFF2-40B4-BE49-F238E27FC236}">
              <a16:creationId xmlns:a16="http://schemas.microsoft.com/office/drawing/2014/main" id="{1FEAAFB0-9EEF-4818-A7B7-504EA12F172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7" name="AutoShape 8">
          <a:extLst>
            <a:ext uri="{FF2B5EF4-FFF2-40B4-BE49-F238E27FC236}">
              <a16:creationId xmlns:a16="http://schemas.microsoft.com/office/drawing/2014/main" id="{D20009DF-9690-4D8E-BE75-518CA4BAC8C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8" name="AutoShape 9">
          <a:extLst>
            <a:ext uri="{FF2B5EF4-FFF2-40B4-BE49-F238E27FC236}">
              <a16:creationId xmlns:a16="http://schemas.microsoft.com/office/drawing/2014/main" id="{33B55685-E4E8-4970-AEE0-1D2D4402BBF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69" name="AutoShape 10">
          <a:extLst>
            <a:ext uri="{FF2B5EF4-FFF2-40B4-BE49-F238E27FC236}">
              <a16:creationId xmlns:a16="http://schemas.microsoft.com/office/drawing/2014/main" id="{18972F52-4AB9-4DB6-AFD8-7201B3D7D84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0" name="AutoShape 11">
          <a:extLst>
            <a:ext uri="{FF2B5EF4-FFF2-40B4-BE49-F238E27FC236}">
              <a16:creationId xmlns:a16="http://schemas.microsoft.com/office/drawing/2014/main" id="{D38686BA-8E65-49A2-8499-4A9CFB79C81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1" name="AutoShape 12">
          <a:extLst>
            <a:ext uri="{FF2B5EF4-FFF2-40B4-BE49-F238E27FC236}">
              <a16:creationId xmlns:a16="http://schemas.microsoft.com/office/drawing/2014/main" id="{D99E1F51-798D-447F-BD85-33D0596EFD0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2" name="AutoShape 13">
          <a:extLst>
            <a:ext uri="{FF2B5EF4-FFF2-40B4-BE49-F238E27FC236}">
              <a16:creationId xmlns:a16="http://schemas.microsoft.com/office/drawing/2014/main" id="{F8EA8A2A-F3F3-48A3-90E4-E247BC2B5E1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3" name="AutoShape 14">
          <a:extLst>
            <a:ext uri="{FF2B5EF4-FFF2-40B4-BE49-F238E27FC236}">
              <a16:creationId xmlns:a16="http://schemas.microsoft.com/office/drawing/2014/main" id="{7B23DBA7-1198-49F8-91B1-2CD4F0769EC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4" name="AutoShape 15">
          <a:extLst>
            <a:ext uri="{FF2B5EF4-FFF2-40B4-BE49-F238E27FC236}">
              <a16:creationId xmlns:a16="http://schemas.microsoft.com/office/drawing/2014/main" id="{E5E76F28-6C47-49BC-BF18-44C50F38B80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5" name="AutoShape 16">
          <a:extLst>
            <a:ext uri="{FF2B5EF4-FFF2-40B4-BE49-F238E27FC236}">
              <a16:creationId xmlns:a16="http://schemas.microsoft.com/office/drawing/2014/main" id="{5469EC0F-9675-435C-BD3F-5592BCB9A8A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6" name="AutoShape 4">
          <a:extLst>
            <a:ext uri="{FF2B5EF4-FFF2-40B4-BE49-F238E27FC236}">
              <a16:creationId xmlns:a16="http://schemas.microsoft.com/office/drawing/2014/main" id="{E75FBB97-9895-4BCD-9334-74AE56F6261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7" name="AutoShape 6">
          <a:extLst>
            <a:ext uri="{FF2B5EF4-FFF2-40B4-BE49-F238E27FC236}">
              <a16:creationId xmlns:a16="http://schemas.microsoft.com/office/drawing/2014/main" id="{46672033-D42F-466B-9E32-BE3E8B102CC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8" name="AutoShape 7">
          <a:extLst>
            <a:ext uri="{FF2B5EF4-FFF2-40B4-BE49-F238E27FC236}">
              <a16:creationId xmlns:a16="http://schemas.microsoft.com/office/drawing/2014/main" id="{EA77E25B-82A9-41B9-8701-6C0CFFA1F4F7}"/>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79" name="AutoShape 8">
          <a:extLst>
            <a:ext uri="{FF2B5EF4-FFF2-40B4-BE49-F238E27FC236}">
              <a16:creationId xmlns:a16="http://schemas.microsoft.com/office/drawing/2014/main" id="{7BBAEB5B-5117-4C1D-88E5-F7EA8BBDC1D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0" name="AutoShape 9">
          <a:extLst>
            <a:ext uri="{FF2B5EF4-FFF2-40B4-BE49-F238E27FC236}">
              <a16:creationId xmlns:a16="http://schemas.microsoft.com/office/drawing/2014/main" id="{13D2BFE9-73BA-4401-B79B-93E2B0F0EFF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1" name="AutoShape 10">
          <a:extLst>
            <a:ext uri="{FF2B5EF4-FFF2-40B4-BE49-F238E27FC236}">
              <a16:creationId xmlns:a16="http://schemas.microsoft.com/office/drawing/2014/main" id="{60571151-82AF-45A1-A8E6-4512BD7179B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2" name="AutoShape 11">
          <a:extLst>
            <a:ext uri="{FF2B5EF4-FFF2-40B4-BE49-F238E27FC236}">
              <a16:creationId xmlns:a16="http://schemas.microsoft.com/office/drawing/2014/main" id="{76FD5A2B-1AF4-4A0D-851F-90835B0BC15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3" name="AutoShape 12">
          <a:extLst>
            <a:ext uri="{FF2B5EF4-FFF2-40B4-BE49-F238E27FC236}">
              <a16:creationId xmlns:a16="http://schemas.microsoft.com/office/drawing/2014/main" id="{8A92646C-999D-4045-9421-4D02759AAC1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4" name="AutoShape 13">
          <a:extLst>
            <a:ext uri="{FF2B5EF4-FFF2-40B4-BE49-F238E27FC236}">
              <a16:creationId xmlns:a16="http://schemas.microsoft.com/office/drawing/2014/main" id="{42BC5BC6-8881-4A16-9B15-3A7DB20294A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5" name="AutoShape 14">
          <a:extLst>
            <a:ext uri="{FF2B5EF4-FFF2-40B4-BE49-F238E27FC236}">
              <a16:creationId xmlns:a16="http://schemas.microsoft.com/office/drawing/2014/main" id="{9FA0998B-B3CA-4830-B70E-2E7C0CB487C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6" name="AutoShape 15">
          <a:extLst>
            <a:ext uri="{FF2B5EF4-FFF2-40B4-BE49-F238E27FC236}">
              <a16:creationId xmlns:a16="http://schemas.microsoft.com/office/drawing/2014/main" id="{C5A870F9-A0AB-410C-BE82-7300C86F226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7" name="AutoShape 4">
          <a:extLst>
            <a:ext uri="{FF2B5EF4-FFF2-40B4-BE49-F238E27FC236}">
              <a16:creationId xmlns:a16="http://schemas.microsoft.com/office/drawing/2014/main" id="{EC5038F6-00B7-47DE-9B5B-841570D2C98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8" name="AutoShape 6">
          <a:extLst>
            <a:ext uri="{FF2B5EF4-FFF2-40B4-BE49-F238E27FC236}">
              <a16:creationId xmlns:a16="http://schemas.microsoft.com/office/drawing/2014/main" id="{1B8DF8EC-1BCA-464D-A644-ECDFAB7EAA8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89" name="AutoShape 7">
          <a:extLst>
            <a:ext uri="{FF2B5EF4-FFF2-40B4-BE49-F238E27FC236}">
              <a16:creationId xmlns:a16="http://schemas.microsoft.com/office/drawing/2014/main" id="{9886726B-354C-4623-93DE-D891CF7C14E5}"/>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0" name="AutoShape 8">
          <a:extLst>
            <a:ext uri="{FF2B5EF4-FFF2-40B4-BE49-F238E27FC236}">
              <a16:creationId xmlns:a16="http://schemas.microsoft.com/office/drawing/2014/main" id="{177035D4-5597-4089-B0A8-AEDB2D7D676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1" name="AutoShape 9">
          <a:extLst>
            <a:ext uri="{FF2B5EF4-FFF2-40B4-BE49-F238E27FC236}">
              <a16:creationId xmlns:a16="http://schemas.microsoft.com/office/drawing/2014/main" id="{D4CC74F7-6B09-4939-8BB6-4549EEEC9A37}"/>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2" name="AutoShape 10">
          <a:extLst>
            <a:ext uri="{FF2B5EF4-FFF2-40B4-BE49-F238E27FC236}">
              <a16:creationId xmlns:a16="http://schemas.microsoft.com/office/drawing/2014/main" id="{063245EB-3BF8-4053-8C03-14C2F72E8D7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3" name="AutoShape 11">
          <a:extLst>
            <a:ext uri="{FF2B5EF4-FFF2-40B4-BE49-F238E27FC236}">
              <a16:creationId xmlns:a16="http://schemas.microsoft.com/office/drawing/2014/main" id="{29197BFA-6D75-4D21-9BFA-D4CC57EEEB2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4" name="AutoShape 12">
          <a:extLst>
            <a:ext uri="{FF2B5EF4-FFF2-40B4-BE49-F238E27FC236}">
              <a16:creationId xmlns:a16="http://schemas.microsoft.com/office/drawing/2014/main" id="{7762E2C3-D451-423E-BC39-D50F23EBEB9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5" name="AutoShape 13">
          <a:extLst>
            <a:ext uri="{FF2B5EF4-FFF2-40B4-BE49-F238E27FC236}">
              <a16:creationId xmlns:a16="http://schemas.microsoft.com/office/drawing/2014/main" id="{59A8B746-6F25-447D-92E8-9EED919BE70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6" name="AutoShape 14">
          <a:extLst>
            <a:ext uri="{FF2B5EF4-FFF2-40B4-BE49-F238E27FC236}">
              <a16:creationId xmlns:a16="http://schemas.microsoft.com/office/drawing/2014/main" id="{1B847408-EB9D-40BD-9516-E8A3909FB1B2}"/>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7" name="AutoShape 15">
          <a:extLst>
            <a:ext uri="{FF2B5EF4-FFF2-40B4-BE49-F238E27FC236}">
              <a16:creationId xmlns:a16="http://schemas.microsoft.com/office/drawing/2014/main" id="{40775C5C-42B2-4103-AE3A-A7519C9A1BF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8" name="AutoShape 16">
          <a:extLst>
            <a:ext uri="{FF2B5EF4-FFF2-40B4-BE49-F238E27FC236}">
              <a16:creationId xmlns:a16="http://schemas.microsoft.com/office/drawing/2014/main" id="{0D108362-B3E0-4091-B58B-BF78DE8FB19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699" name="AutoShape 4">
          <a:extLst>
            <a:ext uri="{FF2B5EF4-FFF2-40B4-BE49-F238E27FC236}">
              <a16:creationId xmlns:a16="http://schemas.microsoft.com/office/drawing/2014/main" id="{F23E1D17-CD3E-4B32-9201-03DFC0C079D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0" name="AutoShape 6">
          <a:extLst>
            <a:ext uri="{FF2B5EF4-FFF2-40B4-BE49-F238E27FC236}">
              <a16:creationId xmlns:a16="http://schemas.microsoft.com/office/drawing/2014/main" id="{6CE921E4-37CD-4C65-A084-9ADEA00850B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1" name="AutoShape 7">
          <a:extLst>
            <a:ext uri="{FF2B5EF4-FFF2-40B4-BE49-F238E27FC236}">
              <a16:creationId xmlns:a16="http://schemas.microsoft.com/office/drawing/2014/main" id="{4843A792-C78A-4F41-A091-7B742790453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2" name="AutoShape 8">
          <a:extLst>
            <a:ext uri="{FF2B5EF4-FFF2-40B4-BE49-F238E27FC236}">
              <a16:creationId xmlns:a16="http://schemas.microsoft.com/office/drawing/2014/main" id="{84383B15-1260-43D6-B0EE-D4BDC4FC9E3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3" name="AutoShape 9">
          <a:extLst>
            <a:ext uri="{FF2B5EF4-FFF2-40B4-BE49-F238E27FC236}">
              <a16:creationId xmlns:a16="http://schemas.microsoft.com/office/drawing/2014/main" id="{93CDB4CF-C9C4-4060-9327-A3EFC138ECA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4" name="AutoShape 10">
          <a:extLst>
            <a:ext uri="{FF2B5EF4-FFF2-40B4-BE49-F238E27FC236}">
              <a16:creationId xmlns:a16="http://schemas.microsoft.com/office/drawing/2014/main" id="{04ABCD72-36AD-4C23-968B-B1EE0385969D}"/>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5" name="AutoShape 11">
          <a:extLst>
            <a:ext uri="{FF2B5EF4-FFF2-40B4-BE49-F238E27FC236}">
              <a16:creationId xmlns:a16="http://schemas.microsoft.com/office/drawing/2014/main" id="{B44FAB72-C456-4CA3-9FB9-323BA7D7592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6" name="AutoShape 12">
          <a:extLst>
            <a:ext uri="{FF2B5EF4-FFF2-40B4-BE49-F238E27FC236}">
              <a16:creationId xmlns:a16="http://schemas.microsoft.com/office/drawing/2014/main" id="{CA66D0DB-3C83-42D0-A38D-37C22810173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7" name="AutoShape 13">
          <a:extLst>
            <a:ext uri="{FF2B5EF4-FFF2-40B4-BE49-F238E27FC236}">
              <a16:creationId xmlns:a16="http://schemas.microsoft.com/office/drawing/2014/main" id="{D055FF95-11D3-4692-8462-2801A207EA5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8" name="AutoShape 14">
          <a:extLst>
            <a:ext uri="{FF2B5EF4-FFF2-40B4-BE49-F238E27FC236}">
              <a16:creationId xmlns:a16="http://schemas.microsoft.com/office/drawing/2014/main" id="{2CF7409E-44FC-4423-8850-4B0A5D6C16E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09" name="AutoShape 15">
          <a:extLst>
            <a:ext uri="{FF2B5EF4-FFF2-40B4-BE49-F238E27FC236}">
              <a16:creationId xmlns:a16="http://schemas.microsoft.com/office/drawing/2014/main" id="{4A25A297-64DE-48A6-ACEC-01ED31DCEF9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0" name="AutoShape 4">
          <a:extLst>
            <a:ext uri="{FF2B5EF4-FFF2-40B4-BE49-F238E27FC236}">
              <a16:creationId xmlns:a16="http://schemas.microsoft.com/office/drawing/2014/main" id="{9A749DB7-4FD2-49C0-816C-6AF51AE76A8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1" name="AutoShape 6">
          <a:extLst>
            <a:ext uri="{FF2B5EF4-FFF2-40B4-BE49-F238E27FC236}">
              <a16:creationId xmlns:a16="http://schemas.microsoft.com/office/drawing/2014/main" id="{320E164D-DD53-44F8-B14C-3DD454E127B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2" name="AutoShape 7">
          <a:extLst>
            <a:ext uri="{FF2B5EF4-FFF2-40B4-BE49-F238E27FC236}">
              <a16:creationId xmlns:a16="http://schemas.microsoft.com/office/drawing/2014/main" id="{EAE9B00B-F922-4D09-AE4E-94DB3DE8457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3" name="AutoShape 8">
          <a:extLst>
            <a:ext uri="{FF2B5EF4-FFF2-40B4-BE49-F238E27FC236}">
              <a16:creationId xmlns:a16="http://schemas.microsoft.com/office/drawing/2014/main" id="{E5F90514-10CC-437A-B33A-BCDAB0047C24}"/>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4" name="AutoShape 9">
          <a:extLst>
            <a:ext uri="{FF2B5EF4-FFF2-40B4-BE49-F238E27FC236}">
              <a16:creationId xmlns:a16="http://schemas.microsoft.com/office/drawing/2014/main" id="{4EAA458F-1CDC-42B6-B2AD-270A712F00B3}"/>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5" name="AutoShape 10">
          <a:extLst>
            <a:ext uri="{FF2B5EF4-FFF2-40B4-BE49-F238E27FC236}">
              <a16:creationId xmlns:a16="http://schemas.microsoft.com/office/drawing/2014/main" id="{651529B1-BDE9-4931-A43A-10F6BC7B98A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6" name="AutoShape 11">
          <a:extLst>
            <a:ext uri="{FF2B5EF4-FFF2-40B4-BE49-F238E27FC236}">
              <a16:creationId xmlns:a16="http://schemas.microsoft.com/office/drawing/2014/main" id="{C40D1F88-9ED3-4FCC-B0B9-D5FFC5D667C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7" name="AutoShape 12">
          <a:extLst>
            <a:ext uri="{FF2B5EF4-FFF2-40B4-BE49-F238E27FC236}">
              <a16:creationId xmlns:a16="http://schemas.microsoft.com/office/drawing/2014/main" id="{F107E247-5921-4911-AEA5-CB99B5D6475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8" name="AutoShape 13">
          <a:extLst>
            <a:ext uri="{FF2B5EF4-FFF2-40B4-BE49-F238E27FC236}">
              <a16:creationId xmlns:a16="http://schemas.microsoft.com/office/drawing/2014/main" id="{35B5B29E-AE8D-4F47-94AA-AE143971E48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19" name="AutoShape 14">
          <a:extLst>
            <a:ext uri="{FF2B5EF4-FFF2-40B4-BE49-F238E27FC236}">
              <a16:creationId xmlns:a16="http://schemas.microsoft.com/office/drawing/2014/main" id="{A6070A0F-ABE9-45E4-B585-FC5BBB414B29}"/>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0" name="AutoShape 15">
          <a:extLst>
            <a:ext uri="{FF2B5EF4-FFF2-40B4-BE49-F238E27FC236}">
              <a16:creationId xmlns:a16="http://schemas.microsoft.com/office/drawing/2014/main" id="{396FC6DE-6094-4269-82BF-17B60306E75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1" name="AutoShape 16">
          <a:extLst>
            <a:ext uri="{FF2B5EF4-FFF2-40B4-BE49-F238E27FC236}">
              <a16:creationId xmlns:a16="http://schemas.microsoft.com/office/drawing/2014/main" id="{C25BDF2B-29C1-4D28-A70A-328C94539AF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2" name="AutoShape 4">
          <a:extLst>
            <a:ext uri="{FF2B5EF4-FFF2-40B4-BE49-F238E27FC236}">
              <a16:creationId xmlns:a16="http://schemas.microsoft.com/office/drawing/2014/main" id="{EB34FAA8-1ADD-4327-8272-2F18A783A79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3" name="AutoShape 6">
          <a:extLst>
            <a:ext uri="{FF2B5EF4-FFF2-40B4-BE49-F238E27FC236}">
              <a16:creationId xmlns:a16="http://schemas.microsoft.com/office/drawing/2014/main" id="{2A64138B-1B1E-41EB-A5E4-CB4BD1C8D99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4" name="AutoShape 7">
          <a:extLst>
            <a:ext uri="{FF2B5EF4-FFF2-40B4-BE49-F238E27FC236}">
              <a16:creationId xmlns:a16="http://schemas.microsoft.com/office/drawing/2014/main" id="{F5BA0A93-1C64-430D-B834-84DFED8984F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5" name="AutoShape 8">
          <a:extLst>
            <a:ext uri="{FF2B5EF4-FFF2-40B4-BE49-F238E27FC236}">
              <a16:creationId xmlns:a16="http://schemas.microsoft.com/office/drawing/2014/main" id="{D5D6AF5B-0C91-4AF0-B60F-F2D340A8899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6" name="AutoShape 9">
          <a:extLst>
            <a:ext uri="{FF2B5EF4-FFF2-40B4-BE49-F238E27FC236}">
              <a16:creationId xmlns:a16="http://schemas.microsoft.com/office/drawing/2014/main" id="{33EE6485-332D-41C6-B637-15F77E1CBED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7" name="AutoShape 10">
          <a:extLst>
            <a:ext uri="{FF2B5EF4-FFF2-40B4-BE49-F238E27FC236}">
              <a16:creationId xmlns:a16="http://schemas.microsoft.com/office/drawing/2014/main" id="{1F31E22D-EC5C-416A-8D11-18239D6B706F}"/>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8" name="AutoShape 11">
          <a:extLst>
            <a:ext uri="{FF2B5EF4-FFF2-40B4-BE49-F238E27FC236}">
              <a16:creationId xmlns:a16="http://schemas.microsoft.com/office/drawing/2014/main" id="{D20964D8-B326-4DEE-BED9-4DF0574B85C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29" name="AutoShape 12">
          <a:extLst>
            <a:ext uri="{FF2B5EF4-FFF2-40B4-BE49-F238E27FC236}">
              <a16:creationId xmlns:a16="http://schemas.microsoft.com/office/drawing/2014/main" id="{CA1EDAD8-94B4-4B17-B2FE-2F27748FC7C4}"/>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0" name="AutoShape 13">
          <a:extLst>
            <a:ext uri="{FF2B5EF4-FFF2-40B4-BE49-F238E27FC236}">
              <a16:creationId xmlns:a16="http://schemas.microsoft.com/office/drawing/2014/main" id="{A493116C-A211-40EC-83E4-5C7DB61B40EB}"/>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1" name="AutoShape 14">
          <a:extLst>
            <a:ext uri="{FF2B5EF4-FFF2-40B4-BE49-F238E27FC236}">
              <a16:creationId xmlns:a16="http://schemas.microsoft.com/office/drawing/2014/main" id="{3F10CC89-9CA6-47EB-86EA-AF51D6B5F8F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2" name="AutoShape 15">
          <a:extLst>
            <a:ext uri="{FF2B5EF4-FFF2-40B4-BE49-F238E27FC236}">
              <a16:creationId xmlns:a16="http://schemas.microsoft.com/office/drawing/2014/main" id="{64672A69-402C-4487-95C7-B837F06ED63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3" name="AutoShape 4">
          <a:extLst>
            <a:ext uri="{FF2B5EF4-FFF2-40B4-BE49-F238E27FC236}">
              <a16:creationId xmlns:a16="http://schemas.microsoft.com/office/drawing/2014/main" id="{F76E4A1A-77F4-464F-A204-D7E5428A9A4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4" name="AutoShape 6">
          <a:extLst>
            <a:ext uri="{FF2B5EF4-FFF2-40B4-BE49-F238E27FC236}">
              <a16:creationId xmlns:a16="http://schemas.microsoft.com/office/drawing/2014/main" id="{9ABADAA5-9217-42AE-B46D-6E77302BA84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5" name="AutoShape 7">
          <a:extLst>
            <a:ext uri="{FF2B5EF4-FFF2-40B4-BE49-F238E27FC236}">
              <a16:creationId xmlns:a16="http://schemas.microsoft.com/office/drawing/2014/main" id="{63CB04EC-9E7B-44B3-8C25-044AFE97A69D}"/>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6" name="AutoShape 8">
          <a:extLst>
            <a:ext uri="{FF2B5EF4-FFF2-40B4-BE49-F238E27FC236}">
              <a16:creationId xmlns:a16="http://schemas.microsoft.com/office/drawing/2014/main" id="{139FEBAD-3982-4C57-AD33-1B867C090D66}"/>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7" name="AutoShape 9">
          <a:extLst>
            <a:ext uri="{FF2B5EF4-FFF2-40B4-BE49-F238E27FC236}">
              <a16:creationId xmlns:a16="http://schemas.microsoft.com/office/drawing/2014/main" id="{17DE0DAC-293B-4E1B-9D31-DD3B1C639A1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8" name="AutoShape 10">
          <a:extLst>
            <a:ext uri="{FF2B5EF4-FFF2-40B4-BE49-F238E27FC236}">
              <a16:creationId xmlns:a16="http://schemas.microsoft.com/office/drawing/2014/main" id="{E4C70C04-0770-4F01-881A-CD6583CAB824}"/>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39" name="AutoShape 11">
          <a:extLst>
            <a:ext uri="{FF2B5EF4-FFF2-40B4-BE49-F238E27FC236}">
              <a16:creationId xmlns:a16="http://schemas.microsoft.com/office/drawing/2014/main" id="{8F1C8890-2F7E-43A4-8394-3064AF3A5E50}"/>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40" name="AutoShape 12">
          <a:extLst>
            <a:ext uri="{FF2B5EF4-FFF2-40B4-BE49-F238E27FC236}">
              <a16:creationId xmlns:a16="http://schemas.microsoft.com/office/drawing/2014/main" id="{65A8A5D3-B0E5-472D-A2B1-50AFFB0C74CE}"/>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41" name="AutoShape 13">
          <a:extLst>
            <a:ext uri="{FF2B5EF4-FFF2-40B4-BE49-F238E27FC236}">
              <a16:creationId xmlns:a16="http://schemas.microsoft.com/office/drawing/2014/main" id="{02929AA8-350B-42BB-A659-756BA18776A1}"/>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42" name="AutoShape 14">
          <a:extLst>
            <a:ext uri="{FF2B5EF4-FFF2-40B4-BE49-F238E27FC236}">
              <a16:creationId xmlns:a16="http://schemas.microsoft.com/office/drawing/2014/main" id="{694F3F4D-CC36-45D7-9CBF-1826B3BC865A}"/>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134</xdr:row>
      <xdr:rowOff>0</xdr:rowOff>
    </xdr:from>
    <xdr:ext cx="304800" cy="304800"/>
    <xdr:sp macro="" textlink="">
      <xdr:nvSpPr>
        <xdr:cNvPr id="743" name="AutoShape 15">
          <a:extLst>
            <a:ext uri="{FF2B5EF4-FFF2-40B4-BE49-F238E27FC236}">
              <a16:creationId xmlns:a16="http://schemas.microsoft.com/office/drawing/2014/main" id="{C7242D6A-6099-4D38-ADC4-1823D8C1C5BC}"/>
            </a:ext>
          </a:extLst>
        </xdr:cNvPr>
        <xdr:cNvSpPr>
          <a:spLocks noChangeAspect="1" noChangeArrowheads="1"/>
        </xdr:cNvSpPr>
      </xdr:nvSpPr>
      <xdr:spPr bwMode="auto">
        <a:xfrm>
          <a:off x="12801600" y="2857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35</xdr:row>
      <xdr:rowOff>0</xdr:rowOff>
    </xdr:from>
    <xdr:ext cx="304800" cy="304800"/>
    <xdr:sp macro="" textlink="">
      <xdr:nvSpPr>
        <xdr:cNvPr id="744" name="AutoShape 20">
          <a:extLst>
            <a:ext uri="{FF2B5EF4-FFF2-40B4-BE49-F238E27FC236}">
              <a16:creationId xmlns:a16="http://schemas.microsoft.com/office/drawing/2014/main" id="{4D7D9FE3-995B-46D7-B75D-1EF232CD8879}"/>
            </a:ext>
          </a:extLst>
        </xdr:cNvPr>
        <xdr:cNvSpPr>
          <a:spLocks noChangeAspect="1" noChangeArrowheads="1"/>
        </xdr:cNvSpPr>
      </xdr:nvSpPr>
      <xdr:spPr bwMode="auto">
        <a:xfrm>
          <a:off x="1280160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35</xdr:row>
      <xdr:rowOff>0</xdr:rowOff>
    </xdr:from>
    <xdr:ext cx="304800" cy="304800"/>
    <xdr:sp macro="" textlink="">
      <xdr:nvSpPr>
        <xdr:cNvPr id="745" name="AutoShape 18">
          <a:extLst>
            <a:ext uri="{FF2B5EF4-FFF2-40B4-BE49-F238E27FC236}">
              <a16:creationId xmlns:a16="http://schemas.microsoft.com/office/drawing/2014/main" id="{D8479CB2-49E5-4684-A8C1-835B7CBCF9C1}"/>
            </a:ext>
          </a:extLst>
        </xdr:cNvPr>
        <xdr:cNvSpPr>
          <a:spLocks noChangeAspect="1" noChangeArrowheads="1"/>
        </xdr:cNvSpPr>
      </xdr:nvSpPr>
      <xdr:spPr bwMode="auto">
        <a:xfrm>
          <a:off x="1280160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35</xdr:row>
      <xdr:rowOff>0</xdr:rowOff>
    </xdr:from>
    <xdr:ext cx="304800" cy="304800"/>
    <xdr:sp macro="" textlink="">
      <xdr:nvSpPr>
        <xdr:cNvPr id="746" name="AutoShape 17">
          <a:extLst>
            <a:ext uri="{FF2B5EF4-FFF2-40B4-BE49-F238E27FC236}">
              <a16:creationId xmlns:a16="http://schemas.microsoft.com/office/drawing/2014/main" id="{889515BF-4C9D-4286-9ECD-F57970274844}"/>
            </a:ext>
          </a:extLst>
        </xdr:cNvPr>
        <xdr:cNvSpPr>
          <a:spLocks noChangeAspect="1" noChangeArrowheads="1"/>
        </xdr:cNvSpPr>
      </xdr:nvSpPr>
      <xdr:spPr bwMode="auto">
        <a:xfrm>
          <a:off x="1280160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35</xdr:row>
      <xdr:rowOff>0</xdr:rowOff>
    </xdr:from>
    <xdr:ext cx="304800" cy="304800"/>
    <xdr:sp macro="" textlink="">
      <xdr:nvSpPr>
        <xdr:cNvPr id="747" name="AutoShape 17">
          <a:extLst>
            <a:ext uri="{FF2B5EF4-FFF2-40B4-BE49-F238E27FC236}">
              <a16:creationId xmlns:a16="http://schemas.microsoft.com/office/drawing/2014/main" id="{8A958610-3225-42A6-8373-00E4F1D94F0F}"/>
            </a:ext>
          </a:extLst>
        </xdr:cNvPr>
        <xdr:cNvSpPr>
          <a:spLocks noChangeAspect="1" noChangeArrowheads="1"/>
        </xdr:cNvSpPr>
      </xdr:nvSpPr>
      <xdr:spPr bwMode="auto">
        <a:xfrm>
          <a:off x="1280160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27</xdr:row>
      <xdr:rowOff>0</xdr:rowOff>
    </xdr:from>
    <xdr:ext cx="304800" cy="304800"/>
    <xdr:sp macro="" textlink="">
      <xdr:nvSpPr>
        <xdr:cNvPr id="748" name="AutoShape 20">
          <a:extLst>
            <a:ext uri="{FF2B5EF4-FFF2-40B4-BE49-F238E27FC236}">
              <a16:creationId xmlns:a16="http://schemas.microsoft.com/office/drawing/2014/main" id="{804F442F-6E85-49E9-8334-CF9AB0E55264}"/>
            </a:ext>
          </a:extLst>
        </xdr:cNvPr>
        <xdr:cNvSpPr>
          <a:spLocks noChangeAspect="1" noChangeArrowheads="1"/>
        </xdr:cNvSpPr>
      </xdr:nvSpPr>
      <xdr:spPr bwMode="auto">
        <a:xfrm>
          <a:off x="12801600"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27</xdr:row>
      <xdr:rowOff>0</xdr:rowOff>
    </xdr:from>
    <xdr:ext cx="304800" cy="304800"/>
    <xdr:sp macro="" textlink="">
      <xdr:nvSpPr>
        <xdr:cNvPr id="749" name="AutoShape 18">
          <a:extLst>
            <a:ext uri="{FF2B5EF4-FFF2-40B4-BE49-F238E27FC236}">
              <a16:creationId xmlns:a16="http://schemas.microsoft.com/office/drawing/2014/main" id="{5A4CA8EC-1341-406B-B33A-F5946CCC9E8B}"/>
            </a:ext>
          </a:extLst>
        </xdr:cNvPr>
        <xdr:cNvSpPr>
          <a:spLocks noChangeAspect="1" noChangeArrowheads="1"/>
        </xdr:cNvSpPr>
      </xdr:nvSpPr>
      <xdr:spPr bwMode="auto">
        <a:xfrm>
          <a:off x="12801600"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27</xdr:row>
      <xdr:rowOff>0</xdr:rowOff>
    </xdr:from>
    <xdr:ext cx="304800" cy="304800"/>
    <xdr:sp macro="" textlink="">
      <xdr:nvSpPr>
        <xdr:cNvPr id="750" name="AutoShape 17">
          <a:extLst>
            <a:ext uri="{FF2B5EF4-FFF2-40B4-BE49-F238E27FC236}">
              <a16:creationId xmlns:a16="http://schemas.microsoft.com/office/drawing/2014/main" id="{3D8D1E7E-9E5C-42CA-B9F2-70A0D277DEB0}"/>
            </a:ext>
          </a:extLst>
        </xdr:cNvPr>
        <xdr:cNvSpPr>
          <a:spLocks noChangeAspect="1" noChangeArrowheads="1"/>
        </xdr:cNvSpPr>
      </xdr:nvSpPr>
      <xdr:spPr bwMode="auto">
        <a:xfrm>
          <a:off x="12801600"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27</xdr:row>
      <xdr:rowOff>0</xdr:rowOff>
    </xdr:from>
    <xdr:ext cx="304800" cy="304800"/>
    <xdr:sp macro="" textlink="">
      <xdr:nvSpPr>
        <xdr:cNvPr id="751" name="AutoShape 17">
          <a:extLst>
            <a:ext uri="{FF2B5EF4-FFF2-40B4-BE49-F238E27FC236}">
              <a16:creationId xmlns:a16="http://schemas.microsoft.com/office/drawing/2014/main" id="{4C0173FA-C0E5-447F-93A4-65364C113053}"/>
            </a:ext>
          </a:extLst>
        </xdr:cNvPr>
        <xdr:cNvSpPr>
          <a:spLocks noChangeAspect="1" noChangeArrowheads="1"/>
        </xdr:cNvSpPr>
      </xdr:nvSpPr>
      <xdr:spPr bwMode="auto">
        <a:xfrm>
          <a:off x="12801600"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2" name="AutoShape 16">
          <a:extLst>
            <a:ext uri="{FF2B5EF4-FFF2-40B4-BE49-F238E27FC236}">
              <a16:creationId xmlns:a16="http://schemas.microsoft.com/office/drawing/2014/main" id="{930A12D0-51C7-4324-BE89-5C1814783E6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3" name="AutoShape 4">
          <a:extLst>
            <a:ext uri="{FF2B5EF4-FFF2-40B4-BE49-F238E27FC236}">
              <a16:creationId xmlns:a16="http://schemas.microsoft.com/office/drawing/2014/main" id="{8FCDC71B-C00B-4C23-BA2B-4695787D0EC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4" name="AutoShape 6">
          <a:extLst>
            <a:ext uri="{FF2B5EF4-FFF2-40B4-BE49-F238E27FC236}">
              <a16:creationId xmlns:a16="http://schemas.microsoft.com/office/drawing/2014/main" id="{4B0BA236-FDE0-41E1-9749-89CDBB47EA8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5" name="AutoShape 7">
          <a:extLst>
            <a:ext uri="{FF2B5EF4-FFF2-40B4-BE49-F238E27FC236}">
              <a16:creationId xmlns:a16="http://schemas.microsoft.com/office/drawing/2014/main" id="{6A89C6AE-DC86-45B2-A49E-3A5EEE8F675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6" name="AutoShape 8">
          <a:extLst>
            <a:ext uri="{FF2B5EF4-FFF2-40B4-BE49-F238E27FC236}">
              <a16:creationId xmlns:a16="http://schemas.microsoft.com/office/drawing/2014/main" id="{BA0EEBCB-06BF-4B16-89EF-10D68039167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7" name="AutoShape 9">
          <a:extLst>
            <a:ext uri="{FF2B5EF4-FFF2-40B4-BE49-F238E27FC236}">
              <a16:creationId xmlns:a16="http://schemas.microsoft.com/office/drawing/2014/main" id="{F7224507-C545-4E7C-8328-848E74BDB28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8" name="AutoShape 10">
          <a:extLst>
            <a:ext uri="{FF2B5EF4-FFF2-40B4-BE49-F238E27FC236}">
              <a16:creationId xmlns:a16="http://schemas.microsoft.com/office/drawing/2014/main" id="{E8772CD0-CFF7-4EBF-B16B-F7F5C3C8B97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59" name="AutoShape 11">
          <a:extLst>
            <a:ext uri="{FF2B5EF4-FFF2-40B4-BE49-F238E27FC236}">
              <a16:creationId xmlns:a16="http://schemas.microsoft.com/office/drawing/2014/main" id="{A5EF86F0-56CF-4E92-889A-8EE969931CA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0" name="AutoShape 12">
          <a:extLst>
            <a:ext uri="{FF2B5EF4-FFF2-40B4-BE49-F238E27FC236}">
              <a16:creationId xmlns:a16="http://schemas.microsoft.com/office/drawing/2014/main" id="{9EDACB62-C865-401D-ADDF-CBE2A24C05E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1" name="AutoShape 13">
          <a:extLst>
            <a:ext uri="{FF2B5EF4-FFF2-40B4-BE49-F238E27FC236}">
              <a16:creationId xmlns:a16="http://schemas.microsoft.com/office/drawing/2014/main" id="{27EEE889-0671-4356-B96D-CC904E8E1AB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2" name="AutoShape 14">
          <a:extLst>
            <a:ext uri="{FF2B5EF4-FFF2-40B4-BE49-F238E27FC236}">
              <a16:creationId xmlns:a16="http://schemas.microsoft.com/office/drawing/2014/main" id="{9388915C-652C-4146-A78E-4D407C3EDE6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3" name="AutoShape 15">
          <a:extLst>
            <a:ext uri="{FF2B5EF4-FFF2-40B4-BE49-F238E27FC236}">
              <a16:creationId xmlns:a16="http://schemas.microsoft.com/office/drawing/2014/main" id="{3424AA62-92A2-4E9B-861E-6E1084970DD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4" name="AutoShape 4">
          <a:extLst>
            <a:ext uri="{FF2B5EF4-FFF2-40B4-BE49-F238E27FC236}">
              <a16:creationId xmlns:a16="http://schemas.microsoft.com/office/drawing/2014/main" id="{A6FAA686-0E06-4C74-B5AC-D7D5C41B9B7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5" name="AutoShape 6">
          <a:extLst>
            <a:ext uri="{FF2B5EF4-FFF2-40B4-BE49-F238E27FC236}">
              <a16:creationId xmlns:a16="http://schemas.microsoft.com/office/drawing/2014/main" id="{BF9B88BE-D78F-4DD0-A967-6D40E1AE88B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6" name="AutoShape 7">
          <a:extLst>
            <a:ext uri="{FF2B5EF4-FFF2-40B4-BE49-F238E27FC236}">
              <a16:creationId xmlns:a16="http://schemas.microsoft.com/office/drawing/2014/main" id="{6CA0C726-EFB6-4266-8C90-F4871AAF033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7" name="AutoShape 8">
          <a:extLst>
            <a:ext uri="{FF2B5EF4-FFF2-40B4-BE49-F238E27FC236}">
              <a16:creationId xmlns:a16="http://schemas.microsoft.com/office/drawing/2014/main" id="{6A9CD7EF-2393-456F-971F-F2575AF5171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8" name="AutoShape 9">
          <a:extLst>
            <a:ext uri="{FF2B5EF4-FFF2-40B4-BE49-F238E27FC236}">
              <a16:creationId xmlns:a16="http://schemas.microsoft.com/office/drawing/2014/main" id="{8E67292F-DC17-4414-AD67-4BDBF9B2A1B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69" name="AutoShape 10">
          <a:extLst>
            <a:ext uri="{FF2B5EF4-FFF2-40B4-BE49-F238E27FC236}">
              <a16:creationId xmlns:a16="http://schemas.microsoft.com/office/drawing/2014/main" id="{F8439240-66D5-4AC0-80AD-E5E07882D90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0" name="AutoShape 11">
          <a:extLst>
            <a:ext uri="{FF2B5EF4-FFF2-40B4-BE49-F238E27FC236}">
              <a16:creationId xmlns:a16="http://schemas.microsoft.com/office/drawing/2014/main" id="{E9275912-B358-4CC1-A966-D09D927633E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1" name="AutoShape 12">
          <a:extLst>
            <a:ext uri="{FF2B5EF4-FFF2-40B4-BE49-F238E27FC236}">
              <a16:creationId xmlns:a16="http://schemas.microsoft.com/office/drawing/2014/main" id="{A3B35E94-A51F-4F7A-8080-4871E7C0F59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2" name="AutoShape 13">
          <a:extLst>
            <a:ext uri="{FF2B5EF4-FFF2-40B4-BE49-F238E27FC236}">
              <a16:creationId xmlns:a16="http://schemas.microsoft.com/office/drawing/2014/main" id="{EB12CC69-6CA8-44E4-BB88-F9D7CC87247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3" name="AutoShape 14">
          <a:extLst>
            <a:ext uri="{FF2B5EF4-FFF2-40B4-BE49-F238E27FC236}">
              <a16:creationId xmlns:a16="http://schemas.microsoft.com/office/drawing/2014/main" id="{EE41C229-BFC5-4648-937F-1703B6D36DA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4" name="AutoShape 15">
          <a:extLst>
            <a:ext uri="{FF2B5EF4-FFF2-40B4-BE49-F238E27FC236}">
              <a16:creationId xmlns:a16="http://schemas.microsoft.com/office/drawing/2014/main" id="{70A4BEF1-65C3-4E97-A342-33D70603DA8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5" name="AutoShape 16">
          <a:extLst>
            <a:ext uri="{FF2B5EF4-FFF2-40B4-BE49-F238E27FC236}">
              <a16:creationId xmlns:a16="http://schemas.microsoft.com/office/drawing/2014/main" id="{47BED881-43B9-418C-8043-319CCD4263D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6" name="AutoShape 4">
          <a:extLst>
            <a:ext uri="{FF2B5EF4-FFF2-40B4-BE49-F238E27FC236}">
              <a16:creationId xmlns:a16="http://schemas.microsoft.com/office/drawing/2014/main" id="{A26E356D-E3FD-4656-A0A1-922555AFB85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7" name="AutoShape 6">
          <a:extLst>
            <a:ext uri="{FF2B5EF4-FFF2-40B4-BE49-F238E27FC236}">
              <a16:creationId xmlns:a16="http://schemas.microsoft.com/office/drawing/2014/main" id="{CEEEDE9F-53FD-406E-B6C6-2C8A21003F6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8" name="AutoShape 7">
          <a:extLst>
            <a:ext uri="{FF2B5EF4-FFF2-40B4-BE49-F238E27FC236}">
              <a16:creationId xmlns:a16="http://schemas.microsoft.com/office/drawing/2014/main" id="{F6C7CF90-BDA0-469C-832C-9A43CC3113B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79" name="AutoShape 8">
          <a:extLst>
            <a:ext uri="{FF2B5EF4-FFF2-40B4-BE49-F238E27FC236}">
              <a16:creationId xmlns:a16="http://schemas.microsoft.com/office/drawing/2014/main" id="{2971ECB1-67F0-4761-AAF8-EC4519845E3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0" name="AutoShape 9">
          <a:extLst>
            <a:ext uri="{FF2B5EF4-FFF2-40B4-BE49-F238E27FC236}">
              <a16:creationId xmlns:a16="http://schemas.microsoft.com/office/drawing/2014/main" id="{473B1685-2DA8-47A5-A3DC-36FF51BA372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1" name="AutoShape 10">
          <a:extLst>
            <a:ext uri="{FF2B5EF4-FFF2-40B4-BE49-F238E27FC236}">
              <a16:creationId xmlns:a16="http://schemas.microsoft.com/office/drawing/2014/main" id="{092374C3-131A-46AF-8999-1395461476D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2" name="AutoShape 11">
          <a:extLst>
            <a:ext uri="{FF2B5EF4-FFF2-40B4-BE49-F238E27FC236}">
              <a16:creationId xmlns:a16="http://schemas.microsoft.com/office/drawing/2014/main" id="{44233878-BF6F-447B-9F28-904D23EA53E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3" name="AutoShape 12">
          <a:extLst>
            <a:ext uri="{FF2B5EF4-FFF2-40B4-BE49-F238E27FC236}">
              <a16:creationId xmlns:a16="http://schemas.microsoft.com/office/drawing/2014/main" id="{460D52E6-4D29-42E8-A1D1-400D9822118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4" name="AutoShape 13">
          <a:extLst>
            <a:ext uri="{FF2B5EF4-FFF2-40B4-BE49-F238E27FC236}">
              <a16:creationId xmlns:a16="http://schemas.microsoft.com/office/drawing/2014/main" id="{E9A4A348-40F9-42C2-872B-64B1FC7512A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5" name="AutoShape 14">
          <a:extLst>
            <a:ext uri="{FF2B5EF4-FFF2-40B4-BE49-F238E27FC236}">
              <a16:creationId xmlns:a16="http://schemas.microsoft.com/office/drawing/2014/main" id="{4B90A8E7-A70A-4BB3-98F6-087054B87C8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6" name="AutoShape 15">
          <a:extLst>
            <a:ext uri="{FF2B5EF4-FFF2-40B4-BE49-F238E27FC236}">
              <a16:creationId xmlns:a16="http://schemas.microsoft.com/office/drawing/2014/main" id="{7BAFFBE4-DEB8-40AC-8F0E-0A8F73AE99D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7" name="AutoShape 4">
          <a:extLst>
            <a:ext uri="{FF2B5EF4-FFF2-40B4-BE49-F238E27FC236}">
              <a16:creationId xmlns:a16="http://schemas.microsoft.com/office/drawing/2014/main" id="{ED62D12C-83F9-4D97-BD81-5DF5333F0AA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8" name="AutoShape 6">
          <a:extLst>
            <a:ext uri="{FF2B5EF4-FFF2-40B4-BE49-F238E27FC236}">
              <a16:creationId xmlns:a16="http://schemas.microsoft.com/office/drawing/2014/main" id="{FF2A1B00-6D2D-4E02-849B-DE570493C6B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89" name="AutoShape 7">
          <a:extLst>
            <a:ext uri="{FF2B5EF4-FFF2-40B4-BE49-F238E27FC236}">
              <a16:creationId xmlns:a16="http://schemas.microsoft.com/office/drawing/2014/main" id="{4CA7F1AF-351A-46C0-BC38-81E4741E695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0" name="AutoShape 8">
          <a:extLst>
            <a:ext uri="{FF2B5EF4-FFF2-40B4-BE49-F238E27FC236}">
              <a16:creationId xmlns:a16="http://schemas.microsoft.com/office/drawing/2014/main" id="{5EF2AA1C-745E-4F6E-B91D-6E24B8DAC41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1" name="AutoShape 9">
          <a:extLst>
            <a:ext uri="{FF2B5EF4-FFF2-40B4-BE49-F238E27FC236}">
              <a16:creationId xmlns:a16="http://schemas.microsoft.com/office/drawing/2014/main" id="{5A2DE34A-A5A0-461B-A08A-4718F140FDC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2" name="AutoShape 10">
          <a:extLst>
            <a:ext uri="{FF2B5EF4-FFF2-40B4-BE49-F238E27FC236}">
              <a16:creationId xmlns:a16="http://schemas.microsoft.com/office/drawing/2014/main" id="{69262022-5152-47EC-8877-582E297E4D8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3" name="AutoShape 11">
          <a:extLst>
            <a:ext uri="{FF2B5EF4-FFF2-40B4-BE49-F238E27FC236}">
              <a16:creationId xmlns:a16="http://schemas.microsoft.com/office/drawing/2014/main" id="{19B307CB-70CA-4327-8ED7-43AC75320D1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4" name="AutoShape 12">
          <a:extLst>
            <a:ext uri="{FF2B5EF4-FFF2-40B4-BE49-F238E27FC236}">
              <a16:creationId xmlns:a16="http://schemas.microsoft.com/office/drawing/2014/main" id="{88A751FF-9EF5-4CB0-93E7-454F04B6EA2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5" name="AutoShape 13">
          <a:extLst>
            <a:ext uri="{FF2B5EF4-FFF2-40B4-BE49-F238E27FC236}">
              <a16:creationId xmlns:a16="http://schemas.microsoft.com/office/drawing/2014/main" id="{36B66858-D726-4D1B-BE99-FBB726E2354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6" name="AutoShape 14">
          <a:extLst>
            <a:ext uri="{FF2B5EF4-FFF2-40B4-BE49-F238E27FC236}">
              <a16:creationId xmlns:a16="http://schemas.microsoft.com/office/drawing/2014/main" id="{BD8CFB7C-FDE6-4EEB-96C1-5822ABCA683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7" name="AutoShape 15">
          <a:extLst>
            <a:ext uri="{FF2B5EF4-FFF2-40B4-BE49-F238E27FC236}">
              <a16:creationId xmlns:a16="http://schemas.microsoft.com/office/drawing/2014/main" id="{52426163-271C-4543-8CB3-34D808F5E3B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8" name="AutoShape 16">
          <a:extLst>
            <a:ext uri="{FF2B5EF4-FFF2-40B4-BE49-F238E27FC236}">
              <a16:creationId xmlns:a16="http://schemas.microsoft.com/office/drawing/2014/main" id="{3FA9C935-776B-4D6D-8748-0547B821248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799" name="AutoShape 4">
          <a:extLst>
            <a:ext uri="{FF2B5EF4-FFF2-40B4-BE49-F238E27FC236}">
              <a16:creationId xmlns:a16="http://schemas.microsoft.com/office/drawing/2014/main" id="{292FE9E4-F7B5-41A6-B5E3-07F89B7A10B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0" name="AutoShape 6">
          <a:extLst>
            <a:ext uri="{FF2B5EF4-FFF2-40B4-BE49-F238E27FC236}">
              <a16:creationId xmlns:a16="http://schemas.microsoft.com/office/drawing/2014/main" id="{7B617564-47A6-415F-8E65-C9339FEA4B2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1" name="AutoShape 7">
          <a:extLst>
            <a:ext uri="{FF2B5EF4-FFF2-40B4-BE49-F238E27FC236}">
              <a16:creationId xmlns:a16="http://schemas.microsoft.com/office/drawing/2014/main" id="{60A7B615-EC05-4395-9C68-FA9EAC16166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2" name="AutoShape 8">
          <a:extLst>
            <a:ext uri="{FF2B5EF4-FFF2-40B4-BE49-F238E27FC236}">
              <a16:creationId xmlns:a16="http://schemas.microsoft.com/office/drawing/2014/main" id="{CC4E496E-A806-4E7A-BCF2-F2416D4EDA1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3" name="AutoShape 9">
          <a:extLst>
            <a:ext uri="{FF2B5EF4-FFF2-40B4-BE49-F238E27FC236}">
              <a16:creationId xmlns:a16="http://schemas.microsoft.com/office/drawing/2014/main" id="{C8145D9B-6123-4930-B7AA-0EF3DE24A0A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4" name="AutoShape 10">
          <a:extLst>
            <a:ext uri="{FF2B5EF4-FFF2-40B4-BE49-F238E27FC236}">
              <a16:creationId xmlns:a16="http://schemas.microsoft.com/office/drawing/2014/main" id="{47140743-A7B3-40EA-95C5-6A30A8BE724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5" name="AutoShape 11">
          <a:extLst>
            <a:ext uri="{FF2B5EF4-FFF2-40B4-BE49-F238E27FC236}">
              <a16:creationId xmlns:a16="http://schemas.microsoft.com/office/drawing/2014/main" id="{09CB8828-2E1B-46EB-B37D-57591194F65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6" name="AutoShape 12">
          <a:extLst>
            <a:ext uri="{FF2B5EF4-FFF2-40B4-BE49-F238E27FC236}">
              <a16:creationId xmlns:a16="http://schemas.microsoft.com/office/drawing/2014/main" id="{8FEFE580-212B-4B53-AEE0-FA2389578BD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7" name="AutoShape 13">
          <a:extLst>
            <a:ext uri="{FF2B5EF4-FFF2-40B4-BE49-F238E27FC236}">
              <a16:creationId xmlns:a16="http://schemas.microsoft.com/office/drawing/2014/main" id="{CCB4E44E-14AF-431C-AC0F-771711957FC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8" name="AutoShape 14">
          <a:extLst>
            <a:ext uri="{FF2B5EF4-FFF2-40B4-BE49-F238E27FC236}">
              <a16:creationId xmlns:a16="http://schemas.microsoft.com/office/drawing/2014/main" id="{692D411A-995B-45C4-A0C6-F7A3BE01EE6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09" name="AutoShape 15">
          <a:extLst>
            <a:ext uri="{FF2B5EF4-FFF2-40B4-BE49-F238E27FC236}">
              <a16:creationId xmlns:a16="http://schemas.microsoft.com/office/drawing/2014/main" id="{840F513E-8980-4915-8AC8-EA5FEDAE5F0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0" name="AutoShape 4">
          <a:extLst>
            <a:ext uri="{FF2B5EF4-FFF2-40B4-BE49-F238E27FC236}">
              <a16:creationId xmlns:a16="http://schemas.microsoft.com/office/drawing/2014/main" id="{91894B0F-CED9-4CCF-A2E5-5E8A3198463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1" name="AutoShape 6">
          <a:extLst>
            <a:ext uri="{FF2B5EF4-FFF2-40B4-BE49-F238E27FC236}">
              <a16:creationId xmlns:a16="http://schemas.microsoft.com/office/drawing/2014/main" id="{042BB6DE-DA56-4379-B690-C05CEAA7A3C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2" name="AutoShape 7">
          <a:extLst>
            <a:ext uri="{FF2B5EF4-FFF2-40B4-BE49-F238E27FC236}">
              <a16:creationId xmlns:a16="http://schemas.microsoft.com/office/drawing/2014/main" id="{05C22DE6-1FAF-49EC-9F11-7072E21C967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3" name="AutoShape 8">
          <a:extLst>
            <a:ext uri="{FF2B5EF4-FFF2-40B4-BE49-F238E27FC236}">
              <a16:creationId xmlns:a16="http://schemas.microsoft.com/office/drawing/2014/main" id="{DB57CFAB-8D32-47C3-9E0C-D0B342AD13A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4" name="AutoShape 9">
          <a:extLst>
            <a:ext uri="{FF2B5EF4-FFF2-40B4-BE49-F238E27FC236}">
              <a16:creationId xmlns:a16="http://schemas.microsoft.com/office/drawing/2014/main" id="{6D04599C-97D0-4CAE-A240-33C4D7F0254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5" name="AutoShape 10">
          <a:extLst>
            <a:ext uri="{FF2B5EF4-FFF2-40B4-BE49-F238E27FC236}">
              <a16:creationId xmlns:a16="http://schemas.microsoft.com/office/drawing/2014/main" id="{5D4B9744-9D1D-4ECE-8930-7EB7870DBBE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6" name="AutoShape 11">
          <a:extLst>
            <a:ext uri="{FF2B5EF4-FFF2-40B4-BE49-F238E27FC236}">
              <a16:creationId xmlns:a16="http://schemas.microsoft.com/office/drawing/2014/main" id="{B96141EA-196F-4FCA-93DA-0ED9546C85B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7" name="AutoShape 12">
          <a:extLst>
            <a:ext uri="{FF2B5EF4-FFF2-40B4-BE49-F238E27FC236}">
              <a16:creationId xmlns:a16="http://schemas.microsoft.com/office/drawing/2014/main" id="{762B2CDD-8BA4-4857-9BBB-705561FBFCE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8" name="AutoShape 13">
          <a:extLst>
            <a:ext uri="{FF2B5EF4-FFF2-40B4-BE49-F238E27FC236}">
              <a16:creationId xmlns:a16="http://schemas.microsoft.com/office/drawing/2014/main" id="{06FAAD0C-43F6-4A59-BCE9-F2591FFC1C5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19" name="AutoShape 14">
          <a:extLst>
            <a:ext uri="{FF2B5EF4-FFF2-40B4-BE49-F238E27FC236}">
              <a16:creationId xmlns:a16="http://schemas.microsoft.com/office/drawing/2014/main" id="{82145E3D-4D29-4FD0-A83A-1E5EF8331F0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20" name="AutoShape 15">
          <a:extLst>
            <a:ext uri="{FF2B5EF4-FFF2-40B4-BE49-F238E27FC236}">
              <a16:creationId xmlns:a16="http://schemas.microsoft.com/office/drawing/2014/main" id="{A7B8BA5F-2990-41ED-8876-9DCA5A0D7A6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1" name="AutoShape 16">
          <a:extLst>
            <a:ext uri="{FF2B5EF4-FFF2-40B4-BE49-F238E27FC236}">
              <a16:creationId xmlns:a16="http://schemas.microsoft.com/office/drawing/2014/main" id="{29E355AA-8FA6-47F0-ADF7-285C54C8D299}"/>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2" name="AutoShape 4">
          <a:extLst>
            <a:ext uri="{FF2B5EF4-FFF2-40B4-BE49-F238E27FC236}">
              <a16:creationId xmlns:a16="http://schemas.microsoft.com/office/drawing/2014/main" id="{782846AA-79AD-40AF-9D82-F6B6B1A7996B}"/>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3" name="AutoShape 6">
          <a:extLst>
            <a:ext uri="{FF2B5EF4-FFF2-40B4-BE49-F238E27FC236}">
              <a16:creationId xmlns:a16="http://schemas.microsoft.com/office/drawing/2014/main" id="{CB180B44-9430-4C29-92E7-30FC94488268}"/>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4" name="AutoShape 7">
          <a:extLst>
            <a:ext uri="{FF2B5EF4-FFF2-40B4-BE49-F238E27FC236}">
              <a16:creationId xmlns:a16="http://schemas.microsoft.com/office/drawing/2014/main" id="{61C3B7A2-3364-40EF-9E53-17B4EABDA495}"/>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5" name="AutoShape 8">
          <a:extLst>
            <a:ext uri="{FF2B5EF4-FFF2-40B4-BE49-F238E27FC236}">
              <a16:creationId xmlns:a16="http://schemas.microsoft.com/office/drawing/2014/main" id="{5C03DB8C-1F29-4DEC-804C-ACD1DE108F62}"/>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6" name="AutoShape 9">
          <a:extLst>
            <a:ext uri="{FF2B5EF4-FFF2-40B4-BE49-F238E27FC236}">
              <a16:creationId xmlns:a16="http://schemas.microsoft.com/office/drawing/2014/main" id="{FA0D4CCD-558B-4D9E-A3E0-19A7E83A88B1}"/>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7" name="AutoShape 10">
          <a:extLst>
            <a:ext uri="{FF2B5EF4-FFF2-40B4-BE49-F238E27FC236}">
              <a16:creationId xmlns:a16="http://schemas.microsoft.com/office/drawing/2014/main" id="{6B1F5096-56A8-49E5-A44E-74517B0D8492}"/>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8" name="AutoShape 11">
          <a:extLst>
            <a:ext uri="{FF2B5EF4-FFF2-40B4-BE49-F238E27FC236}">
              <a16:creationId xmlns:a16="http://schemas.microsoft.com/office/drawing/2014/main" id="{AA7B8180-F97F-4283-8E00-9A79A2641D25}"/>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29" name="AutoShape 12">
          <a:extLst>
            <a:ext uri="{FF2B5EF4-FFF2-40B4-BE49-F238E27FC236}">
              <a16:creationId xmlns:a16="http://schemas.microsoft.com/office/drawing/2014/main" id="{D527F401-33DF-48F0-9FCB-2B9EF8AEC91A}"/>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0" name="AutoShape 13">
          <a:extLst>
            <a:ext uri="{FF2B5EF4-FFF2-40B4-BE49-F238E27FC236}">
              <a16:creationId xmlns:a16="http://schemas.microsoft.com/office/drawing/2014/main" id="{9B10D5E6-C9B3-4316-A841-7928832ED46C}"/>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1" name="AutoShape 14">
          <a:extLst>
            <a:ext uri="{FF2B5EF4-FFF2-40B4-BE49-F238E27FC236}">
              <a16:creationId xmlns:a16="http://schemas.microsoft.com/office/drawing/2014/main" id="{E4261947-9155-4650-B35F-33A98F018CC7}"/>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2" name="AutoShape 15">
          <a:extLst>
            <a:ext uri="{FF2B5EF4-FFF2-40B4-BE49-F238E27FC236}">
              <a16:creationId xmlns:a16="http://schemas.microsoft.com/office/drawing/2014/main" id="{90A7AAF3-D625-4A96-96D3-37FCC0EF279E}"/>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3" name="AutoShape 4">
          <a:extLst>
            <a:ext uri="{FF2B5EF4-FFF2-40B4-BE49-F238E27FC236}">
              <a16:creationId xmlns:a16="http://schemas.microsoft.com/office/drawing/2014/main" id="{E32AD877-3097-4206-804A-344F799A3952}"/>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4" name="AutoShape 6">
          <a:extLst>
            <a:ext uri="{FF2B5EF4-FFF2-40B4-BE49-F238E27FC236}">
              <a16:creationId xmlns:a16="http://schemas.microsoft.com/office/drawing/2014/main" id="{E0FD9195-8044-4929-9DC4-17AA2768F7A4}"/>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5" name="AutoShape 7">
          <a:extLst>
            <a:ext uri="{FF2B5EF4-FFF2-40B4-BE49-F238E27FC236}">
              <a16:creationId xmlns:a16="http://schemas.microsoft.com/office/drawing/2014/main" id="{B2FDC150-391D-4A9A-A223-A3C970B21A35}"/>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6" name="AutoShape 8">
          <a:extLst>
            <a:ext uri="{FF2B5EF4-FFF2-40B4-BE49-F238E27FC236}">
              <a16:creationId xmlns:a16="http://schemas.microsoft.com/office/drawing/2014/main" id="{66DEAD94-9371-42D5-9695-FC3063D4A76E}"/>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7" name="AutoShape 9">
          <a:extLst>
            <a:ext uri="{FF2B5EF4-FFF2-40B4-BE49-F238E27FC236}">
              <a16:creationId xmlns:a16="http://schemas.microsoft.com/office/drawing/2014/main" id="{098E2B41-7F50-4168-BC94-85DD16801E5E}"/>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8" name="AutoShape 10">
          <a:extLst>
            <a:ext uri="{FF2B5EF4-FFF2-40B4-BE49-F238E27FC236}">
              <a16:creationId xmlns:a16="http://schemas.microsoft.com/office/drawing/2014/main" id="{6BCAF65F-9661-45E2-B908-7F61E2F257AB}"/>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39" name="AutoShape 11">
          <a:extLst>
            <a:ext uri="{FF2B5EF4-FFF2-40B4-BE49-F238E27FC236}">
              <a16:creationId xmlns:a16="http://schemas.microsoft.com/office/drawing/2014/main" id="{13E1E84F-AE65-4AEF-85F6-A2B06C187F5A}"/>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40" name="AutoShape 12">
          <a:extLst>
            <a:ext uri="{FF2B5EF4-FFF2-40B4-BE49-F238E27FC236}">
              <a16:creationId xmlns:a16="http://schemas.microsoft.com/office/drawing/2014/main" id="{6E0BE435-F0EB-486F-9839-1EEC7C29159B}"/>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41" name="AutoShape 13">
          <a:extLst>
            <a:ext uri="{FF2B5EF4-FFF2-40B4-BE49-F238E27FC236}">
              <a16:creationId xmlns:a16="http://schemas.microsoft.com/office/drawing/2014/main" id="{86A31FB7-58B8-418E-BD0A-FC0242A2F890}"/>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42" name="AutoShape 14">
          <a:extLst>
            <a:ext uri="{FF2B5EF4-FFF2-40B4-BE49-F238E27FC236}">
              <a16:creationId xmlns:a16="http://schemas.microsoft.com/office/drawing/2014/main" id="{8BAEA454-CEA3-4874-B1F0-2424D7B5BADA}"/>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43" name="AutoShape 15">
          <a:extLst>
            <a:ext uri="{FF2B5EF4-FFF2-40B4-BE49-F238E27FC236}">
              <a16:creationId xmlns:a16="http://schemas.microsoft.com/office/drawing/2014/main" id="{04A2749D-49DB-4A88-92CD-506D131065B6}"/>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44" name="AutoShape 16">
          <a:extLst>
            <a:ext uri="{FF2B5EF4-FFF2-40B4-BE49-F238E27FC236}">
              <a16:creationId xmlns:a16="http://schemas.microsoft.com/office/drawing/2014/main" id="{A0D321D4-5D2C-495C-8DDE-2FFF92E981B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45" name="AutoShape 4">
          <a:extLst>
            <a:ext uri="{FF2B5EF4-FFF2-40B4-BE49-F238E27FC236}">
              <a16:creationId xmlns:a16="http://schemas.microsoft.com/office/drawing/2014/main" id="{1BE30C70-C0CB-46C7-B56B-77642662C80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46" name="AutoShape 6">
          <a:extLst>
            <a:ext uri="{FF2B5EF4-FFF2-40B4-BE49-F238E27FC236}">
              <a16:creationId xmlns:a16="http://schemas.microsoft.com/office/drawing/2014/main" id="{A0B0B4D6-4FB6-457F-B38D-A9FF98CA8F7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47" name="AutoShape 7">
          <a:extLst>
            <a:ext uri="{FF2B5EF4-FFF2-40B4-BE49-F238E27FC236}">
              <a16:creationId xmlns:a16="http://schemas.microsoft.com/office/drawing/2014/main" id="{2D3A2B1F-8C40-4611-9FF2-077AF38B0C5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48" name="AutoShape 8">
          <a:extLst>
            <a:ext uri="{FF2B5EF4-FFF2-40B4-BE49-F238E27FC236}">
              <a16:creationId xmlns:a16="http://schemas.microsoft.com/office/drawing/2014/main" id="{1767FC3D-9386-4EFE-8C03-7547626219B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49" name="AutoShape 9">
          <a:extLst>
            <a:ext uri="{FF2B5EF4-FFF2-40B4-BE49-F238E27FC236}">
              <a16:creationId xmlns:a16="http://schemas.microsoft.com/office/drawing/2014/main" id="{BAFF8919-5234-4118-B7E1-583004BBE37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0" name="AutoShape 10">
          <a:extLst>
            <a:ext uri="{FF2B5EF4-FFF2-40B4-BE49-F238E27FC236}">
              <a16:creationId xmlns:a16="http://schemas.microsoft.com/office/drawing/2014/main" id="{6845DC63-3B09-452B-8601-BFE8BC3BE7E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1" name="AutoShape 11">
          <a:extLst>
            <a:ext uri="{FF2B5EF4-FFF2-40B4-BE49-F238E27FC236}">
              <a16:creationId xmlns:a16="http://schemas.microsoft.com/office/drawing/2014/main" id="{13F7EF28-FC2D-4633-90E3-0A0A3F7D4BD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2" name="AutoShape 12">
          <a:extLst>
            <a:ext uri="{FF2B5EF4-FFF2-40B4-BE49-F238E27FC236}">
              <a16:creationId xmlns:a16="http://schemas.microsoft.com/office/drawing/2014/main" id="{1E05283E-AE41-43D6-A516-D8672C1ED18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3" name="AutoShape 13">
          <a:extLst>
            <a:ext uri="{FF2B5EF4-FFF2-40B4-BE49-F238E27FC236}">
              <a16:creationId xmlns:a16="http://schemas.microsoft.com/office/drawing/2014/main" id="{2CBC07CB-A287-4A3F-AF83-BDAD0B50999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4" name="AutoShape 14">
          <a:extLst>
            <a:ext uri="{FF2B5EF4-FFF2-40B4-BE49-F238E27FC236}">
              <a16:creationId xmlns:a16="http://schemas.microsoft.com/office/drawing/2014/main" id="{57329388-7243-4A1D-9A36-100710A977A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5" name="AutoShape 15">
          <a:extLst>
            <a:ext uri="{FF2B5EF4-FFF2-40B4-BE49-F238E27FC236}">
              <a16:creationId xmlns:a16="http://schemas.microsoft.com/office/drawing/2014/main" id="{85A9F8B9-C0AA-41A4-9092-B1C23B433AB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6" name="AutoShape 4">
          <a:extLst>
            <a:ext uri="{FF2B5EF4-FFF2-40B4-BE49-F238E27FC236}">
              <a16:creationId xmlns:a16="http://schemas.microsoft.com/office/drawing/2014/main" id="{8DDB7D15-A596-449E-9A7A-58BA48701AC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7" name="AutoShape 6">
          <a:extLst>
            <a:ext uri="{FF2B5EF4-FFF2-40B4-BE49-F238E27FC236}">
              <a16:creationId xmlns:a16="http://schemas.microsoft.com/office/drawing/2014/main" id="{317C2783-7312-405B-91E1-092E26CDD534}"/>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8" name="AutoShape 7">
          <a:extLst>
            <a:ext uri="{FF2B5EF4-FFF2-40B4-BE49-F238E27FC236}">
              <a16:creationId xmlns:a16="http://schemas.microsoft.com/office/drawing/2014/main" id="{2393C332-EF7B-454C-8A4A-F2BB8A75575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59" name="AutoShape 8">
          <a:extLst>
            <a:ext uri="{FF2B5EF4-FFF2-40B4-BE49-F238E27FC236}">
              <a16:creationId xmlns:a16="http://schemas.microsoft.com/office/drawing/2014/main" id="{744B7868-D087-4908-B26F-AFAA6B4FA69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60" name="AutoShape 9">
          <a:extLst>
            <a:ext uri="{FF2B5EF4-FFF2-40B4-BE49-F238E27FC236}">
              <a16:creationId xmlns:a16="http://schemas.microsoft.com/office/drawing/2014/main" id="{C0BB79B8-6DA6-4BA4-B758-44B25621B20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61" name="AutoShape 10">
          <a:extLst>
            <a:ext uri="{FF2B5EF4-FFF2-40B4-BE49-F238E27FC236}">
              <a16:creationId xmlns:a16="http://schemas.microsoft.com/office/drawing/2014/main" id="{5E00EE83-CBD3-4837-8C9A-00C33AE0009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62" name="AutoShape 11">
          <a:extLst>
            <a:ext uri="{FF2B5EF4-FFF2-40B4-BE49-F238E27FC236}">
              <a16:creationId xmlns:a16="http://schemas.microsoft.com/office/drawing/2014/main" id="{5B1260C3-452F-43FD-ADA4-B94052A17E0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63" name="AutoShape 12">
          <a:extLst>
            <a:ext uri="{FF2B5EF4-FFF2-40B4-BE49-F238E27FC236}">
              <a16:creationId xmlns:a16="http://schemas.microsoft.com/office/drawing/2014/main" id="{E472A683-6AF6-4138-9751-28A99A1076C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64" name="AutoShape 13">
          <a:extLst>
            <a:ext uri="{FF2B5EF4-FFF2-40B4-BE49-F238E27FC236}">
              <a16:creationId xmlns:a16="http://schemas.microsoft.com/office/drawing/2014/main" id="{7784946B-C035-4608-B91B-2C54C44A5D5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65" name="AutoShape 14">
          <a:extLst>
            <a:ext uri="{FF2B5EF4-FFF2-40B4-BE49-F238E27FC236}">
              <a16:creationId xmlns:a16="http://schemas.microsoft.com/office/drawing/2014/main" id="{60A91A83-073D-4311-B114-3A251105E74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66" name="AutoShape 15">
          <a:extLst>
            <a:ext uri="{FF2B5EF4-FFF2-40B4-BE49-F238E27FC236}">
              <a16:creationId xmlns:a16="http://schemas.microsoft.com/office/drawing/2014/main" id="{B41E68FB-E739-4DE9-8FE8-1FC079E4E8B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67" name="AutoShape 16">
          <a:extLst>
            <a:ext uri="{FF2B5EF4-FFF2-40B4-BE49-F238E27FC236}">
              <a16:creationId xmlns:a16="http://schemas.microsoft.com/office/drawing/2014/main" id="{792F160A-A167-4931-BB92-7C1895B4A503}"/>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68" name="AutoShape 4">
          <a:extLst>
            <a:ext uri="{FF2B5EF4-FFF2-40B4-BE49-F238E27FC236}">
              <a16:creationId xmlns:a16="http://schemas.microsoft.com/office/drawing/2014/main" id="{9FD9F3D2-9C98-420D-8F95-0F00689B2830}"/>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69" name="AutoShape 6">
          <a:extLst>
            <a:ext uri="{FF2B5EF4-FFF2-40B4-BE49-F238E27FC236}">
              <a16:creationId xmlns:a16="http://schemas.microsoft.com/office/drawing/2014/main" id="{F2C7599F-A873-4EE8-B006-B721902B6B32}"/>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0" name="AutoShape 7">
          <a:extLst>
            <a:ext uri="{FF2B5EF4-FFF2-40B4-BE49-F238E27FC236}">
              <a16:creationId xmlns:a16="http://schemas.microsoft.com/office/drawing/2014/main" id="{E3CFA044-2832-49D8-BA57-4849452F870B}"/>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1" name="AutoShape 8">
          <a:extLst>
            <a:ext uri="{FF2B5EF4-FFF2-40B4-BE49-F238E27FC236}">
              <a16:creationId xmlns:a16="http://schemas.microsoft.com/office/drawing/2014/main" id="{38E73809-939A-4733-B03E-39419BADEDA3}"/>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2" name="AutoShape 9">
          <a:extLst>
            <a:ext uri="{FF2B5EF4-FFF2-40B4-BE49-F238E27FC236}">
              <a16:creationId xmlns:a16="http://schemas.microsoft.com/office/drawing/2014/main" id="{6AAB4B5B-1E01-422A-AE74-E4E80BA31B2C}"/>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3" name="AutoShape 10">
          <a:extLst>
            <a:ext uri="{FF2B5EF4-FFF2-40B4-BE49-F238E27FC236}">
              <a16:creationId xmlns:a16="http://schemas.microsoft.com/office/drawing/2014/main" id="{3313AF8C-30AD-4C70-A867-F154F24721EE}"/>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4" name="AutoShape 11">
          <a:extLst>
            <a:ext uri="{FF2B5EF4-FFF2-40B4-BE49-F238E27FC236}">
              <a16:creationId xmlns:a16="http://schemas.microsoft.com/office/drawing/2014/main" id="{C867D09B-E6FE-4194-8234-3EE944255CB9}"/>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5" name="AutoShape 12">
          <a:extLst>
            <a:ext uri="{FF2B5EF4-FFF2-40B4-BE49-F238E27FC236}">
              <a16:creationId xmlns:a16="http://schemas.microsoft.com/office/drawing/2014/main" id="{DBE05F25-E373-411B-BD23-F580F0A8F0C4}"/>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6" name="AutoShape 13">
          <a:extLst>
            <a:ext uri="{FF2B5EF4-FFF2-40B4-BE49-F238E27FC236}">
              <a16:creationId xmlns:a16="http://schemas.microsoft.com/office/drawing/2014/main" id="{9E4C4739-2A9B-441E-BCA1-BABAAC386188}"/>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7" name="AutoShape 14">
          <a:extLst>
            <a:ext uri="{FF2B5EF4-FFF2-40B4-BE49-F238E27FC236}">
              <a16:creationId xmlns:a16="http://schemas.microsoft.com/office/drawing/2014/main" id="{D99252D7-75FE-41C7-A5CF-F6AD8787E582}"/>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8" name="AutoShape 15">
          <a:extLst>
            <a:ext uri="{FF2B5EF4-FFF2-40B4-BE49-F238E27FC236}">
              <a16:creationId xmlns:a16="http://schemas.microsoft.com/office/drawing/2014/main" id="{73027C1B-2D2E-4086-9E12-FC0F2012144F}"/>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79" name="AutoShape 4">
          <a:extLst>
            <a:ext uri="{FF2B5EF4-FFF2-40B4-BE49-F238E27FC236}">
              <a16:creationId xmlns:a16="http://schemas.microsoft.com/office/drawing/2014/main" id="{C8C970E5-CCC9-4BEA-B31B-420626179A0C}"/>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0" name="AutoShape 6">
          <a:extLst>
            <a:ext uri="{FF2B5EF4-FFF2-40B4-BE49-F238E27FC236}">
              <a16:creationId xmlns:a16="http://schemas.microsoft.com/office/drawing/2014/main" id="{E6E4F0A6-3CAD-4C7E-B835-AD5CA098A5C4}"/>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1" name="AutoShape 7">
          <a:extLst>
            <a:ext uri="{FF2B5EF4-FFF2-40B4-BE49-F238E27FC236}">
              <a16:creationId xmlns:a16="http://schemas.microsoft.com/office/drawing/2014/main" id="{727A6D82-D5FD-4C52-AA67-52B4C312E09E}"/>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2" name="AutoShape 8">
          <a:extLst>
            <a:ext uri="{FF2B5EF4-FFF2-40B4-BE49-F238E27FC236}">
              <a16:creationId xmlns:a16="http://schemas.microsoft.com/office/drawing/2014/main" id="{6EADE9DB-290E-4ECA-8C6E-DC4CDF9DE872}"/>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3" name="AutoShape 9">
          <a:extLst>
            <a:ext uri="{FF2B5EF4-FFF2-40B4-BE49-F238E27FC236}">
              <a16:creationId xmlns:a16="http://schemas.microsoft.com/office/drawing/2014/main" id="{180056C1-9144-4EB4-82E9-66CEF6AC1CA8}"/>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4" name="AutoShape 10">
          <a:extLst>
            <a:ext uri="{FF2B5EF4-FFF2-40B4-BE49-F238E27FC236}">
              <a16:creationId xmlns:a16="http://schemas.microsoft.com/office/drawing/2014/main" id="{D4D457F2-360A-49CA-B52E-854D61E47A33}"/>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5" name="AutoShape 11">
          <a:extLst>
            <a:ext uri="{FF2B5EF4-FFF2-40B4-BE49-F238E27FC236}">
              <a16:creationId xmlns:a16="http://schemas.microsoft.com/office/drawing/2014/main" id="{4AB557A7-2EC1-4AAD-A082-31EE7D2F6BA9}"/>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6" name="AutoShape 12">
          <a:extLst>
            <a:ext uri="{FF2B5EF4-FFF2-40B4-BE49-F238E27FC236}">
              <a16:creationId xmlns:a16="http://schemas.microsoft.com/office/drawing/2014/main" id="{64EA211F-4742-41E7-B36B-39569C2B6CA9}"/>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7" name="AutoShape 13">
          <a:extLst>
            <a:ext uri="{FF2B5EF4-FFF2-40B4-BE49-F238E27FC236}">
              <a16:creationId xmlns:a16="http://schemas.microsoft.com/office/drawing/2014/main" id="{2DD96675-7AB9-4EEA-AD0C-78463E57C9E9}"/>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8" name="AutoShape 14">
          <a:extLst>
            <a:ext uri="{FF2B5EF4-FFF2-40B4-BE49-F238E27FC236}">
              <a16:creationId xmlns:a16="http://schemas.microsoft.com/office/drawing/2014/main" id="{746329D1-05D5-44F7-AC5E-57E9F58047C5}"/>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122</xdr:row>
      <xdr:rowOff>0</xdr:rowOff>
    </xdr:from>
    <xdr:ext cx="304800" cy="304800"/>
    <xdr:sp macro="" textlink="">
      <xdr:nvSpPr>
        <xdr:cNvPr id="889" name="AutoShape 15">
          <a:extLst>
            <a:ext uri="{FF2B5EF4-FFF2-40B4-BE49-F238E27FC236}">
              <a16:creationId xmlns:a16="http://schemas.microsoft.com/office/drawing/2014/main" id="{DB7585C3-31F2-41A1-87D3-004EE6DF1E2D}"/>
            </a:ext>
          </a:extLst>
        </xdr:cNvPr>
        <xdr:cNvSpPr>
          <a:spLocks noChangeAspect="1" noChangeArrowheads="1"/>
        </xdr:cNvSpPr>
      </xdr:nvSpPr>
      <xdr:spPr bwMode="auto">
        <a:xfrm>
          <a:off x="12801600" y="2628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0" name="AutoShape 16">
          <a:extLst>
            <a:ext uri="{FF2B5EF4-FFF2-40B4-BE49-F238E27FC236}">
              <a16:creationId xmlns:a16="http://schemas.microsoft.com/office/drawing/2014/main" id="{37A0DD57-CA49-4A92-B6D3-77CDFB6019C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1" name="AutoShape 4">
          <a:extLst>
            <a:ext uri="{FF2B5EF4-FFF2-40B4-BE49-F238E27FC236}">
              <a16:creationId xmlns:a16="http://schemas.microsoft.com/office/drawing/2014/main" id="{DF13CF8C-2A0C-46E4-8C1B-C4BE5C73D3B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2" name="AutoShape 6">
          <a:extLst>
            <a:ext uri="{FF2B5EF4-FFF2-40B4-BE49-F238E27FC236}">
              <a16:creationId xmlns:a16="http://schemas.microsoft.com/office/drawing/2014/main" id="{589594E7-46B7-489B-800C-92F0FCADFFC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3" name="AutoShape 7">
          <a:extLst>
            <a:ext uri="{FF2B5EF4-FFF2-40B4-BE49-F238E27FC236}">
              <a16:creationId xmlns:a16="http://schemas.microsoft.com/office/drawing/2014/main" id="{6FEFBB2A-BED9-4378-860D-370C0DC61FA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4" name="AutoShape 8">
          <a:extLst>
            <a:ext uri="{FF2B5EF4-FFF2-40B4-BE49-F238E27FC236}">
              <a16:creationId xmlns:a16="http://schemas.microsoft.com/office/drawing/2014/main" id="{1FF41106-1467-4889-AE9C-86968800871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5" name="AutoShape 9">
          <a:extLst>
            <a:ext uri="{FF2B5EF4-FFF2-40B4-BE49-F238E27FC236}">
              <a16:creationId xmlns:a16="http://schemas.microsoft.com/office/drawing/2014/main" id="{967B765A-FB82-41D1-B4FC-47FA90FDACE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6" name="AutoShape 10">
          <a:extLst>
            <a:ext uri="{FF2B5EF4-FFF2-40B4-BE49-F238E27FC236}">
              <a16:creationId xmlns:a16="http://schemas.microsoft.com/office/drawing/2014/main" id="{692FAFE9-666F-4154-8C2B-625D714B05E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7" name="AutoShape 11">
          <a:extLst>
            <a:ext uri="{FF2B5EF4-FFF2-40B4-BE49-F238E27FC236}">
              <a16:creationId xmlns:a16="http://schemas.microsoft.com/office/drawing/2014/main" id="{F8EF39EE-D334-4B56-A83C-9D04799D7C3C}"/>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8" name="AutoShape 12">
          <a:extLst>
            <a:ext uri="{FF2B5EF4-FFF2-40B4-BE49-F238E27FC236}">
              <a16:creationId xmlns:a16="http://schemas.microsoft.com/office/drawing/2014/main" id="{D02F7B0C-F5AD-4941-BF9B-891D3ACFDA8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899" name="AutoShape 13">
          <a:extLst>
            <a:ext uri="{FF2B5EF4-FFF2-40B4-BE49-F238E27FC236}">
              <a16:creationId xmlns:a16="http://schemas.microsoft.com/office/drawing/2014/main" id="{18868849-CE3A-4EF6-8DF7-8AD54F6ECBDA}"/>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0" name="AutoShape 14">
          <a:extLst>
            <a:ext uri="{FF2B5EF4-FFF2-40B4-BE49-F238E27FC236}">
              <a16:creationId xmlns:a16="http://schemas.microsoft.com/office/drawing/2014/main" id="{261B1D1E-FF28-4428-B42B-94706F96BA0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1" name="AutoShape 15">
          <a:extLst>
            <a:ext uri="{FF2B5EF4-FFF2-40B4-BE49-F238E27FC236}">
              <a16:creationId xmlns:a16="http://schemas.microsoft.com/office/drawing/2014/main" id="{02C1FA99-966E-4B29-85CD-B805EFF8F795}"/>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2" name="AutoShape 4">
          <a:extLst>
            <a:ext uri="{FF2B5EF4-FFF2-40B4-BE49-F238E27FC236}">
              <a16:creationId xmlns:a16="http://schemas.microsoft.com/office/drawing/2014/main" id="{F8737490-0DE4-4391-BFA4-325599D8441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3" name="AutoShape 6">
          <a:extLst>
            <a:ext uri="{FF2B5EF4-FFF2-40B4-BE49-F238E27FC236}">
              <a16:creationId xmlns:a16="http://schemas.microsoft.com/office/drawing/2014/main" id="{8272E449-C3F5-47AD-8F3A-57F4F0DC916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4" name="AutoShape 7">
          <a:extLst>
            <a:ext uri="{FF2B5EF4-FFF2-40B4-BE49-F238E27FC236}">
              <a16:creationId xmlns:a16="http://schemas.microsoft.com/office/drawing/2014/main" id="{82897D6D-1D99-4924-88F4-BE8C5667F1E9}"/>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5" name="AutoShape 8">
          <a:extLst>
            <a:ext uri="{FF2B5EF4-FFF2-40B4-BE49-F238E27FC236}">
              <a16:creationId xmlns:a16="http://schemas.microsoft.com/office/drawing/2014/main" id="{926D1106-8D0B-4B42-BEB6-9F5E309D94D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6" name="AutoShape 9">
          <a:extLst>
            <a:ext uri="{FF2B5EF4-FFF2-40B4-BE49-F238E27FC236}">
              <a16:creationId xmlns:a16="http://schemas.microsoft.com/office/drawing/2014/main" id="{AB924112-F6A7-47BC-9122-0C4709FD1AE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7" name="AutoShape 10">
          <a:extLst>
            <a:ext uri="{FF2B5EF4-FFF2-40B4-BE49-F238E27FC236}">
              <a16:creationId xmlns:a16="http://schemas.microsoft.com/office/drawing/2014/main" id="{0B8100C5-12FB-4C25-B5D4-E004D7F3736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8" name="AutoShape 11">
          <a:extLst>
            <a:ext uri="{FF2B5EF4-FFF2-40B4-BE49-F238E27FC236}">
              <a16:creationId xmlns:a16="http://schemas.microsoft.com/office/drawing/2014/main" id="{D418776F-2AF3-4927-A32C-771B645AA38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09" name="AutoShape 12">
          <a:extLst>
            <a:ext uri="{FF2B5EF4-FFF2-40B4-BE49-F238E27FC236}">
              <a16:creationId xmlns:a16="http://schemas.microsoft.com/office/drawing/2014/main" id="{27DE8323-9863-4455-87A6-B315BC73E7F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0" name="AutoShape 13">
          <a:extLst>
            <a:ext uri="{FF2B5EF4-FFF2-40B4-BE49-F238E27FC236}">
              <a16:creationId xmlns:a16="http://schemas.microsoft.com/office/drawing/2014/main" id="{138FCC3C-3D6B-4C11-B381-E546589BC6C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1" name="AutoShape 14">
          <a:extLst>
            <a:ext uri="{FF2B5EF4-FFF2-40B4-BE49-F238E27FC236}">
              <a16:creationId xmlns:a16="http://schemas.microsoft.com/office/drawing/2014/main" id="{54B20239-1C3F-4F77-AB92-CE93A10FA07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2" name="AutoShape 15">
          <a:extLst>
            <a:ext uri="{FF2B5EF4-FFF2-40B4-BE49-F238E27FC236}">
              <a16:creationId xmlns:a16="http://schemas.microsoft.com/office/drawing/2014/main" id="{065A45B5-8F0C-4B31-94EC-4C213684E05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3" name="AutoShape 16">
          <a:extLst>
            <a:ext uri="{FF2B5EF4-FFF2-40B4-BE49-F238E27FC236}">
              <a16:creationId xmlns:a16="http://schemas.microsoft.com/office/drawing/2014/main" id="{475383E0-0320-476E-B00A-D5AE54493FC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4" name="AutoShape 4">
          <a:extLst>
            <a:ext uri="{FF2B5EF4-FFF2-40B4-BE49-F238E27FC236}">
              <a16:creationId xmlns:a16="http://schemas.microsoft.com/office/drawing/2014/main" id="{F0F54D68-9861-415B-A92F-6E380912362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5" name="AutoShape 6">
          <a:extLst>
            <a:ext uri="{FF2B5EF4-FFF2-40B4-BE49-F238E27FC236}">
              <a16:creationId xmlns:a16="http://schemas.microsoft.com/office/drawing/2014/main" id="{D27BD579-B424-428D-8A6F-725E3AFAFF2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6" name="AutoShape 7">
          <a:extLst>
            <a:ext uri="{FF2B5EF4-FFF2-40B4-BE49-F238E27FC236}">
              <a16:creationId xmlns:a16="http://schemas.microsoft.com/office/drawing/2014/main" id="{2ECF5D3E-CC74-48CA-8D63-1ACF001CB1AF}"/>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7" name="AutoShape 8">
          <a:extLst>
            <a:ext uri="{FF2B5EF4-FFF2-40B4-BE49-F238E27FC236}">
              <a16:creationId xmlns:a16="http://schemas.microsoft.com/office/drawing/2014/main" id="{1224A6BC-10DE-48F9-936E-6DCAA54222C7}"/>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8" name="AutoShape 9">
          <a:extLst>
            <a:ext uri="{FF2B5EF4-FFF2-40B4-BE49-F238E27FC236}">
              <a16:creationId xmlns:a16="http://schemas.microsoft.com/office/drawing/2014/main" id="{5D96872C-4E54-4F18-AC8B-2994CAF14AF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19" name="AutoShape 10">
          <a:extLst>
            <a:ext uri="{FF2B5EF4-FFF2-40B4-BE49-F238E27FC236}">
              <a16:creationId xmlns:a16="http://schemas.microsoft.com/office/drawing/2014/main" id="{C99C6806-0EC8-4A0E-8958-4C61083AD5A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0" name="AutoShape 11">
          <a:extLst>
            <a:ext uri="{FF2B5EF4-FFF2-40B4-BE49-F238E27FC236}">
              <a16:creationId xmlns:a16="http://schemas.microsoft.com/office/drawing/2014/main" id="{944CB309-E95F-4C2B-84A1-94E1F7D952A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1" name="AutoShape 12">
          <a:extLst>
            <a:ext uri="{FF2B5EF4-FFF2-40B4-BE49-F238E27FC236}">
              <a16:creationId xmlns:a16="http://schemas.microsoft.com/office/drawing/2014/main" id="{B32C6DE3-A97B-47C1-B702-C644B132299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2" name="AutoShape 13">
          <a:extLst>
            <a:ext uri="{FF2B5EF4-FFF2-40B4-BE49-F238E27FC236}">
              <a16:creationId xmlns:a16="http://schemas.microsoft.com/office/drawing/2014/main" id="{AA13B634-37EB-431E-A2D4-0372D6905AF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3" name="AutoShape 14">
          <a:extLst>
            <a:ext uri="{FF2B5EF4-FFF2-40B4-BE49-F238E27FC236}">
              <a16:creationId xmlns:a16="http://schemas.microsoft.com/office/drawing/2014/main" id="{3D5F6023-236D-40DE-85B3-8534C5C0AC10}"/>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4" name="AutoShape 15">
          <a:extLst>
            <a:ext uri="{FF2B5EF4-FFF2-40B4-BE49-F238E27FC236}">
              <a16:creationId xmlns:a16="http://schemas.microsoft.com/office/drawing/2014/main" id="{48D88310-662D-42B5-A80F-8167981E4A9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5" name="AutoShape 4">
          <a:extLst>
            <a:ext uri="{FF2B5EF4-FFF2-40B4-BE49-F238E27FC236}">
              <a16:creationId xmlns:a16="http://schemas.microsoft.com/office/drawing/2014/main" id="{C43838E5-0BCB-484A-A559-DE123304BF4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6" name="AutoShape 6">
          <a:extLst>
            <a:ext uri="{FF2B5EF4-FFF2-40B4-BE49-F238E27FC236}">
              <a16:creationId xmlns:a16="http://schemas.microsoft.com/office/drawing/2014/main" id="{9651DD38-A4EC-471E-85FE-C5828DF3877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7" name="AutoShape 7">
          <a:extLst>
            <a:ext uri="{FF2B5EF4-FFF2-40B4-BE49-F238E27FC236}">
              <a16:creationId xmlns:a16="http://schemas.microsoft.com/office/drawing/2014/main" id="{8F44D7A3-B958-4CC6-9978-206B01F539CD}"/>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8" name="AutoShape 8">
          <a:extLst>
            <a:ext uri="{FF2B5EF4-FFF2-40B4-BE49-F238E27FC236}">
              <a16:creationId xmlns:a16="http://schemas.microsoft.com/office/drawing/2014/main" id="{DDBA2E6E-1430-4233-8EBD-2B965D12B371}"/>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29" name="AutoShape 9">
          <a:extLst>
            <a:ext uri="{FF2B5EF4-FFF2-40B4-BE49-F238E27FC236}">
              <a16:creationId xmlns:a16="http://schemas.microsoft.com/office/drawing/2014/main" id="{27669D53-1D83-4DEA-90C4-64719FF10C9B}"/>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30" name="AutoShape 10">
          <a:extLst>
            <a:ext uri="{FF2B5EF4-FFF2-40B4-BE49-F238E27FC236}">
              <a16:creationId xmlns:a16="http://schemas.microsoft.com/office/drawing/2014/main" id="{3535CE3D-C201-42A4-9360-130F3FBC2373}"/>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31" name="AutoShape 11">
          <a:extLst>
            <a:ext uri="{FF2B5EF4-FFF2-40B4-BE49-F238E27FC236}">
              <a16:creationId xmlns:a16="http://schemas.microsoft.com/office/drawing/2014/main" id="{1B48D0B0-E47A-40DF-9F94-E367DB00DAE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32" name="AutoShape 12">
          <a:extLst>
            <a:ext uri="{FF2B5EF4-FFF2-40B4-BE49-F238E27FC236}">
              <a16:creationId xmlns:a16="http://schemas.microsoft.com/office/drawing/2014/main" id="{49504395-F89C-45CD-AAE1-2B6A25330B3E}"/>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33" name="AutoShape 13">
          <a:extLst>
            <a:ext uri="{FF2B5EF4-FFF2-40B4-BE49-F238E27FC236}">
              <a16:creationId xmlns:a16="http://schemas.microsoft.com/office/drawing/2014/main" id="{5986D1EE-32E7-45FF-AB67-BCAF9F82DBC2}"/>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34" name="AutoShape 14">
          <a:extLst>
            <a:ext uri="{FF2B5EF4-FFF2-40B4-BE49-F238E27FC236}">
              <a16:creationId xmlns:a16="http://schemas.microsoft.com/office/drawing/2014/main" id="{5236904A-8100-4852-A03C-FBC892AD64A6}"/>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121</xdr:row>
      <xdr:rowOff>0</xdr:rowOff>
    </xdr:from>
    <xdr:ext cx="304800" cy="304800"/>
    <xdr:sp macro="" textlink="">
      <xdr:nvSpPr>
        <xdr:cNvPr id="935" name="AutoShape 15">
          <a:extLst>
            <a:ext uri="{FF2B5EF4-FFF2-40B4-BE49-F238E27FC236}">
              <a16:creationId xmlns:a16="http://schemas.microsoft.com/office/drawing/2014/main" id="{00665EF4-A0AC-47CF-A2DB-00FE283F6A48}"/>
            </a:ext>
          </a:extLst>
        </xdr:cNvPr>
        <xdr:cNvSpPr>
          <a:spLocks noChangeAspect="1" noChangeArrowheads="1"/>
        </xdr:cNvSpPr>
      </xdr:nvSpPr>
      <xdr:spPr bwMode="auto">
        <a:xfrm>
          <a:off x="12801600" y="2609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43</xdr:row>
      <xdr:rowOff>0</xdr:rowOff>
    </xdr:from>
    <xdr:ext cx="304800" cy="304800"/>
    <xdr:sp macro="" textlink="">
      <xdr:nvSpPr>
        <xdr:cNvPr id="936" name="AutoShape 20">
          <a:extLst>
            <a:ext uri="{FF2B5EF4-FFF2-40B4-BE49-F238E27FC236}">
              <a16:creationId xmlns:a16="http://schemas.microsoft.com/office/drawing/2014/main" id="{AD3B9125-F648-4E3A-8AA9-17168E204F8F}"/>
            </a:ext>
          </a:extLst>
        </xdr:cNvPr>
        <xdr:cNvSpPr>
          <a:spLocks noChangeAspect="1" noChangeArrowheads="1"/>
        </xdr:cNvSpPr>
      </xdr:nvSpPr>
      <xdr:spPr bwMode="auto">
        <a:xfrm>
          <a:off x="12801600" y="112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43</xdr:row>
      <xdr:rowOff>0</xdr:rowOff>
    </xdr:from>
    <xdr:ext cx="304800" cy="304800"/>
    <xdr:sp macro="" textlink="">
      <xdr:nvSpPr>
        <xdr:cNvPr id="937" name="AutoShape 18">
          <a:extLst>
            <a:ext uri="{FF2B5EF4-FFF2-40B4-BE49-F238E27FC236}">
              <a16:creationId xmlns:a16="http://schemas.microsoft.com/office/drawing/2014/main" id="{73F43EF6-48E9-4584-A72D-CD941E07BB04}"/>
            </a:ext>
          </a:extLst>
        </xdr:cNvPr>
        <xdr:cNvSpPr>
          <a:spLocks noChangeAspect="1" noChangeArrowheads="1"/>
        </xdr:cNvSpPr>
      </xdr:nvSpPr>
      <xdr:spPr bwMode="auto">
        <a:xfrm>
          <a:off x="12801600" y="112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43</xdr:row>
      <xdr:rowOff>0</xdr:rowOff>
    </xdr:from>
    <xdr:ext cx="304800" cy="304800"/>
    <xdr:sp macro="" textlink="">
      <xdr:nvSpPr>
        <xdr:cNvPr id="938" name="AutoShape 17">
          <a:extLst>
            <a:ext uri="{FF2B5EF4-FFF2-40B4-BE49-F238E27FC236}">
              <a16:creationId xmlns:a16="http://schemas.microsoft.com/office/drawing/2014/main" id="{5BA6C0F3-8D93-4460-B8BE-FCB03D959ACD}"/>
            </a:ext>
          </a:extLst>
        </xdr:cNvPr>
        <xdr:cNvSpPr>
          <a:spLocks noChangeAspect="1" noChangeArrowheads="1"/>
        </xdr:cNvSpPr>
      </xdr:nvSpPr>
      <xdr:spPr bwMode="auto">
        <a:xfrm>
          <a:off x="12801600" y="112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43</xdr:row>
      <xdr:rowOff>0</xdr:rowOff>
    </xdr:from>
    <xdr:ext cx="304800" cy="304800"/>
    <xdr:sp macro="" textlink="">
      <xdr:nvSpPr>
        <xdr:cNvPr id="939" name="AutoShape 17">
          <a:extLst>
            <a:ext uri="{FF2B5EF4-FFF2-40B4-BE49-F238E27FC236}">
              <a16:creationId xmlns:a16="http://schemas.microsoft.com/office/drawing/2014/main" id="{E8F2FEDF-38FD-44DE-889B-38442B7FBAEB}"/>
            </a:ext>
          </a:extLst>
        </xdr:cNvPr>
        <xdr:cNvSpPr>
          <a:spLocks noChangeAspect="1" noChangeArrowheads="1"/>
        </xdr:cNvSpPr>
      </xdr:nvSpPr>
      <xdr:spPr bwMode="auto">
        <a:xfrm>
          <a:off x="12801600" y="11239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51</xdr:row>
      <xdr:rowOff>0</xdr:rowOff>
    </xdr:from>
    <xdr:ext cx="304800" cy="304800"/>
    <xdr:sp macro="" textlink="">
      <xdr:nvSpPr>
        <xdr:cNvPr id="940" name="AutoShape 20">
          <a:extLst>
            <a:ext uri="{FF2B5EF4-FFF2-40B4-BE49-F238E27FC236}">
              <a16:creationId xmlns:a16="http://schemas.microsoft.com/office/drawing/2014/main" id="{499AAB7A-05DA-45E5-9A99-D2A06C23FE9C}"/>
            </a:ext>
          </a:extLst>
        </xdr:cNvPr>
        <xdr:cNvSpPr>
          <a:spLocks noChangeAspect="1" noChangeArrowheads="1"/>
        </xdr:cNvSpPr>
      </xdr:nvSpPr>
      <xdr:spPr bwMode="auto">
        <a:xfrm>
          <a:off x="1280160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51</xdr:row>
      <xdr:rowOff>0</xdr:rowOff>
    </xdr:from>
    <xdr:ext cx="304800" cy="304800"/>
    <xdr:sp macro="" textlink="">
      <xdr:nvSpPr>
        <xdr:cNvPr id="941" name="AutoShape 18">
          <a:extLst>
            <a:ext uri="{FF2B5EF4-FFF2-40B4-BE49-F238E27FC236}">
              <a16:creationId xmlns:a16="http://schemas.microsoft.com/office/drawing/2014/main" id="{08E8C892-3A8F-4BF9-B143-E2DDDBDBD3F7}"/>
            </a:ext>
          </a:extLst>
        </xdr:cNvPr>
        <xdr:cNvSpPr>
          <a:spLocks noChangeAspect="1" noChangeArrowheads="1"/>
        </xdr:cNvSpPr>
      </xdr:nvSpPr>
      <xdr:spPr bwMode="auto">
        <a:xfrm>
          <a:off x="1280160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51</xdr:row>
      <xdr:rowOff>0</xdr:rowOff>
    </xdr:from>
    <xdr:ext cx="304800" cy="304800"/>
    <xdr:sp macro="" textlink="">
      <xdr:nvSpPr>
        <xdr:cNvPr id="942" name="AutoShape 17">
          <a:extLst>
            <a:ext uri="{FF2B5EF4-FFF2-40B4-BE49-F238E27FC236}">
              <a16:creationId xmlns:a16="http://schemas.microsoft.com/office/drawing/2014/main" id="{1E8E38E2-8E08-4934-AABA-98FEEBA6AEAC}"/>
            </a:ext>
          </a:extLst>
        </xdr:cNvPr>
        <xdr:cNvSpPr>
          <a:spLocks noChangeAspect="1" noChangeArrowheads="1"/>
        </xdr:cNvSpPr>
      </xdr:nvSpPr>
      <xdr:spPr bwMode="auto">
        <a:xfrm>
          <a:off x="1280160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51</xdr:row>
      <xdr:rowOff>0</xdr:rowOff>
    </xdr:from>
    <xdr:ext cx="304800" cy="304800"/>
    <xdr:sp macro="" textlink="">
      <xdr:nvSpPr>
        <xdr:cNvPr id="943" name="AutoShape 17">
          <a:extLst>
            <a:ext uri="{FF2B5EF4-FFF2-40B4-BE49-F238E27FC236}">
              <a16:creationId xmlns:a16="http://schemas.microsoft.com/office/drawing/2014/main" id="{E5202244-1760-4688-9B9E-E4359D48F20B}"/>
            </a:ext>
          </a:extLst>
        </xdr:cNvPr>
        <xdr:cNvSpPr>
          <a:spLocks noChangeAspect="1" noChangeArrowheads="1"/>
        </xdr:cNvSpPr>
      </xdr:nvSpPr>
      <xdr:spPr bwMode="auto">
        <a:xfrm>
          <a:off x="1280160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59</xdr:row>
      <xdr:rowOff>0</xdr:rowOff>
    </xdr:from>
    <xdr:ext cx="304800" cy="304800"/>
    <xdr:sp macro="" textlink="">
      <xdr:nvSpPr>
        <xdr:cNvPr id="944" name="AutoShape 20">
          <a:extLst>
            <a:ext uri="{FF2B5EF4-FFF2-40B4-BE49-F238E27FC236}">
              <a16:creationId xmlns:a16="http://schemas.microsoft.com/office/drawing/2014/main" id="{0DED6CA1-8D8C-42A7-9997-347612A0764F}"/>
            </a:ext>
          </a:extLst>
        </xdr:cNvPr>
        <xdr:cNvSpPr>
          <a:spLocks noChangeAspect="1" noChangeArrowheads="1"/>
        </xdr:cNvSpPr>
      </xdr:nvSpPr>
      <xdr:spPr bwMode="auto">
        <a:xfrm>
          <a:off x="12801600"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59</xdr:row>
      <xdr:rowOff>0</xdr:rowOff>
    </xdr:from>
    <xdr:ext cx="304800" cy="304800"/>
    <xdr:sp macro="" textlink="">
      <xdr:nvSpPr>
        <xdr:cNvPr id="945" name="AutoShape 18">
          <a:extLst>
            <a:ext uri="{FF2B5EF4-FFF2-40B4-BE49-F238E27FC236}">
              <a16:creationId xmlns:a16="http://schemas.microsoft.com/office/drawing/2014/main" id="{77A81F97-7343-4725-AF0B-1CB1CFF1A638}"/>
            </a:ext>
          </a:extLst>
        </xdr:cNvPr>
        <xdr:cNvSpPr>
          <a:spLocks noChangeAspect="1" noChangeArrowheads="1"/>
        </xdr:cNvSpPr>
      </xdr:nvSpPr>
      <xdr:spPr bwMode="auto">
        <a:xfrm>
          <a:off x="12801600"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59</xdr:row>
      <xdr:rowOff>0</xdr:rowOff>
    </xdr:from>
    <xdr:ext cx="304800" cy="304800"/>
    <xdr:sp macro="" textlink="">
      <xdr:nvSpPr>
        <xdr:cNvPr id="946" name="AutoShape 17">
          <a:extLst>
            <a:ext uri="{FF2B5EF4-FFF2-40B4-BE49-F238E27FC236}">
              <a16:creationId xmlns:a16="http://schemas.microsoft.com/office/drawing/2014/main" id="{712D5186-836A-4C7A-9E57-378C15056734}"/>
            </a:ext>
          </a:extLst>
        </xdr:cNvPr>
        <xdr:cNvSpPr>
          <a:spLocks noChangeAspect="1" noChangeArrowheads="1"/>
        </xdr:cNvSpPr>
      </xdr:nvSpPr>
      <xdr:spPr bwMode="auto">
        <a:xfrm>
          <a:off x="12801600"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21</xdr:col>
      <xdr:colOff>0</xdr:colOff>
      <xdr:row>59</xdr:row>
      <xdr:rowOff>0</xdr:rowOff>
    </xdr:from>
    <xdr:ext cx="304800" cy="304800"/>
    <xdr:sp macro="" textlink="">
      <xdr:nvSpPr>
        <xdr:cNvPr id="947" name="AutoShape 17">
          <a:extLst>
            <a:ext uri="{FF2B5EF4-FFF2-40B4-BE49-F238E27FC236}">
              <a16:creationId xmlns:a16="http://schemas.microsoft.com/office/drawing/2014/main" id="{45F6D0C0-356F-468A-8239-4C6EF2B28858}"/>
            </a:ext>
          </a:extLst>
        </xdr:cNvPr>
        <xdr:cNvSpPr>
          <a:spLocks noChangeAspect="1" noChangeArrowheads="1"/>
        </xdr:cNvSpPr>
      </xdr:nvSpPr>
      <xdr:spPr bwMode="auto">
        <a:xfrm>
          <a:off x="12801600"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Inter%20Entity%20Loan"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er Entity Loan"/>
    </sheetNames>
    <sheetDataSet>
      <sheetData sheetId="0"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1"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5BF0CD-42CC-4174-B8D2-6D375C9A759E}">
  <we:reference id="WA200004977" version="1.0.0.10" store="en-au" storeType="OMEX"/>
  <we:alternateReferences/>
  <we:properties>
    <we:property name="Office.AutoShowTaskpaneWithDocument" value="true"/>
  </we:properties>
  <we:bindings>
    <we:binding id="b19cdfef-f3d5-4859-b72a-f0fe02c65aaa|J50_AprInst5A" type="matrix" appref="{1CA5ADE7-41E9-41BD-BB67-F4057AEF2342}"/>
    <we:binding id="b19cdfef-f3d5-4859-b72a-f0fe02c65aaa|J50_AprInst5B" type="matrix" appref="{9777B634-B8E1-400A-88E2-C966061DBC1D}"/>
    <we:binding id="b19cdfef-f3d5-4859-b72a-f0fe02c65aaa|J50_AugInst5A" type="matrix" appref="{BB7DCF56-1B0C-4AED-B3AD-A19DEFB4AB8A}"/>
    <we:binding id="b19cdfef-f3d5-4859-b72a-f0fe02c65aaa|J50_AugInst5B" type="matrix" appref="{0C4ADA78-D6E1-4A37-9947-894C8DD34A7D}"/>
    <we:binding id="b19cdfef-f3d5-4859-b72a-f0fe02c65aaa|J50_DecInst5A" type="matrix" appref="{2BD3084E-554C-40B0-86EE-31DD496646FA}"/>
    <we:binding id="b19cdfef-f3d5-4859-b72a-f0fe02c65aaa|J50_DecInst5B" type="matrix" appref="{10F6BAC8-49C2-4E52-A965-14790D0D4A05}"/>
    <we:binding id="b19cdfef-f3d5-4859-b72a-f0fe02c65aaa|J50_FebInst5A" type="matrix" appref="{327BC87B-6E6A-4202-8FD6-52A66BF4269A}"/>
    <we:binding id="b19cdfef-f3d5-4859-b72a-f0fe02c65aaa|J50_FebInst5B" type="matrix" appref="{F15BDB24-C466-4BAC-B626-8C23948BE05D}"/>
    <we:binding id="b19cdfef-f3d5-4859-b72a-f0fe02c65aaa|J50_JanInst5A" type="matrix" appref="{73F10F11-405E-4B07-B482-09B65F31B37F}"/>
    <we:binding id="b19cdfef-f3d5-4859-b72a-f0fe02c65aaa|J50_JanInst5B" type="matrix" appref="{80E43A8D-62F8-40DB-88D2-57DB58729F1F}"/>
    <we:binding id="b19cdfef-f3d5-4859-b72a-f0fe02c65aaa|J50_JulInst5A" type="matrix" appref="{CC0DCE96-947B-4A85-BA54-AC4FC36BF091}"/>
    <we:binding id="b19cdfef-f3d5-4859-b72a-f0fe02c65aaa|J50_JulInst5B" type="matrix" appref="{783E4D29-3A51-4111-9F6B-239FE9104ACB}"/>
    <we:binding id="b19cdfef-f3d5-4859-b72a-f0fe02c65aaa|J50_JunInst5A" type="matrix" appref="{D6D73217-CEAE-4D79-95B4-9BCB2FBFFF89}"/>
    <we:binding id="b19cdfef-f3d5-4859-b72a-f0fe02c65aaa|J50_JunInst5B" type="matrix" appref="{83EBCBC0-444C-45FC-B529-C9E3138DF0D3}"/>
    <we:binding id="b19cdfef-f3d5-4859-b72a-f0fe02c65aaa|J50_MarInst5A" type="matrix" appref="{095697F0-049C-4271-B8C9-0B5576D7D16F}"/>
    <we:binding id="b19cdfef-f3d5-4859-b72a-f0fe02c65aaa|J50_MarInst5B" type="matrix" appref="{AE02246D-A2D8-4052-A7BD-FF8264E7AE1C}"/>
    <we:binding id="b19cdfef-f3d5-4859-b72a-f0fe02c65aaa|J50_MayInst5A" type="matrix" appref="{45F8E7A0-F209-419D-A4E4-167B459621FE}"/>
    <we:binding id="b19cdfef-f3d5-4859-b72a-f0fe02c65aaa|J50_MayInst5B" type="matrix" appref="{25521AA4-9EFE-48B9-8EA3-3F0ECE3C7B98}"/>
    <we:binding id="b19cdfef-f3d5-4859-b72a-f0fe02c65aaa|J50_NetGST" type="matrix" appref="{ADD4E71E-BD48-4785-885C-30102F0B00FC}"/>
    <we:binding id="b19cdfef-f3d5-4859-b72a-f0fe02c65aaa|J50_NovInst5A" type="matrix" appref="{F33E96CA-55CA-43D7-957C-521D65648D38}"/>
    <we:binding id="b19cdfef-f3d5-4859-b72a-f0fe02c65aaa|J50_NovInst5B" type="matrix" appref="{C067A044-DEBA-43A5-870E-371D9C4D2C09}"/>
    <we:binding id="b19cdfef-f3d5-4859-b72a-f0fe02c65aaa|J50_OctInst5A" type="matrix" appref="{FBE0D1E4-F48F-42F6-A01B-4F6CF61333CD}"/>
    <we:binding id="b19cdfef-f3d5-4859-b72a-f0fe02c65aaa|J50_OctInst5B" type="matrix" appref="{4CE70F16-38F7-4A40-B932-B7478AED1F76}"/>
    <we:binding id="b19cdfef-f3d5-4859-b72a-f0fe02c65aaa|J50_PAYGI" type="matrix" appref="{17AFBC73-9F48-4148-A6E5-1850D3483BD8}"/>
    <we:binding id="b19cdfef-f3d5-4859-b72a-f0fe02c65aaa|J50_PAYGW2" type="matrix" appref="{C1EE9BB6-8996-4A6B-B8BF-5DB72D0B31C4}"/>
    <we:binding id="b19cdfef-f3d5-4859-b72a-f0fe02c65aaa|J50_PreYrJun5A" type="matrix" appref="{9D93C0B1-A9A8-4D95-8DDF-257C5F95D482}"/>
    <we:binding id="b19cdfef-f3d5-4859-b72a-f0fe02c65aaa|J50_PreYrJun5B" type="matrix" appref="{04F17625-5FCB-47B4-8E6E-37D34C56CD3A}"/>
    <we:binding id="b19cdfef-f3d5-4859-b72a-f0fe02c65aaa|J50_SepInst5A" type="matrix" appref="{D72049F5-446E-4726-A3A0-07498E92563D}"/>
    <we:binding id="b19cdfef-f3d5-4859-b72a-f0fe02c65aaa|J50_SepInst5B" type="matrix" appref="{75FA80A6-F913-44F7-8718-79C719561571}"/>
    <we:binding id="651ee67d-9c2a-46fb-9850-08f83f4e5d2f|N80_PayrollWages" type="matrix" appref="{C9165D92-AEC9-4A78-9512-963781BA5DF7}"/>
    <we:binding id="651ee67d-9c2a-46fb-9850-08f83f4e5d2f|N80_Salaries" type="matrix" appref="{2C222DF5-D37B-4F21-B9AA-F47FFC306840}"/>
    <we:binding id="651ee67d-9c2a-46fb-9850-08f83f4e5d2f|Reconcile_Liability_PAYGWithholding" type="matrix" appref="{B5BFBADA-F701-410A-A31C-96B8098AE702}"/>
    <we:binding id="651ee67d-9c2a-46fb-9850-08f83f4e5d2f|ReconcileStatus_Expense_WagesExpense" type="matrix" appref="{5308AECC-4756-4484-9B0C-F6D226AB4305}"/>
    <we:binding id="fc12680f-fca2-49d2-ad90-436f6e93d101|Reconcile_BankAccount1" type="matrix" appref="{C4AEF6BC-1B79-4D2F-AAAD-7CA24B86A89C}"/>
    <we:binding id="fc12680f-fca2-49d2-ad90-436f6e93d101|Reconcile_BankAccount2" type="matrix" appref="{9CF1AB4E-F85F-49E2-B004-95A6F18388C6}"/>
    <we:binding id="fc12680f-fca2-49d2-ad90-436f6e93d101|Reconcile_BankAccount3" type="matrix" appref="{18CCD9D9-FACB-4C60-8DFC-CB9E3D29C943}"/>
    <we:binding id="fc12680f-fca2-49d2-ad90-436f6e93d101|Reconcile_BankAccount4" type="matrix" appref="{20B62D59-769C-4487-867F-DF147A08E48B}"/>
    <we:binding id="fc12680f-fca2-49d2-ad90-436f6e93d101|Reconcile_BankAccount5" type="matrix" appref="{C8AA4EE3-669F-4028-A943-BB2D1EA3BC24}"/>
    <we:binding id="fc12680f-fca2-49d2-ad90-436f6e93d101|Reconcile_BankAccount6" type="matrix" appref="{A49A34EA-2B47-4EA1-B9A9-0D63AC22D025}"/>
    <we:binding id="5489bc5a-4938-4681-af31-1209c717a5d9|H25_BankFees" type="matrix" appref="{715303F9-CE46-49C0-9A62-DA857FD132F0}"/>
    <we:binding id="5489bc5a-4938-4681-af31-1209c717a5d9|H25_InterestExpense" type="matrix" appref="{078E3F72-4F6C-449E-B3C0-C0E01C150A50}"/>
    <we:binding id="5489bc5a-4938-4681-af31-1209c717a5d9|H25_Loan_1" type="matrix" appref="{4D318553-36BE-49CC-A8B9-77E3AF37945E}"/>
    <we:binding id="5489bc5a-4938-4681-af31-1209c717a5d9|H25_TotalLiability" type="matrix" appref="{231A8C59-7042-40B3-93BC-E6C41E80696B}"/>
    <we:binding id="5489bc5a-4938-4681-af31-1209c717a5d9|Reconcile_Loan1" type="matrix" appref="{D175B056-AC93-497B-A2AC-6F7BF5828B0E}"/>
    <we:binding id="44501a69-9068-4850-a870-66427fa58f0b|F05_GSTInDebtors" type="matrix" appref="{8E75BB4A-ED0C-45DC-849C-869E85B90484}"/>
    <we:binding id="44501a69-9068-4850-a870-66427fa58f0b|F05_ProvDoubtfulDebts" type="matrix" appref="{C1F29709-2477-4465-B73E-181D2CF3F2AC}"/>
    <we:binding id="44501a69-9068-4850-a870-66427fa58f0b|F05_TradeDebtors" type="matrix" appref="{93F30773-BB28-4572-9F3D-8C2858E20074}"/>
    <we:binding id="44501a69-9068-4850-a870-66427fa58f0b|F05_TradeDebtors0to90Days" type="matrix" appref="{D614486D-243C-4708-A51D-C2E5C2722F37}"/>
    <we:binding id="44501a69-9068-4850-a870-66427fa58f0b|Reconcile_AccountsReceivable" type="matrix" appref="{E18D3AF8-BAEF-4CF4-B189-FF131E44CD94}"/>
    <we:binding id="44501a69-9068-4850-a870-66427fa58f0b|Reconcile_ProvisionForDoubtfulDebts" type="matrix" appref="{88134644-A366-4808-8830-9C3D713550B8}"/>
    <we:binding id="2eb7627e-f3c4-46b6-aa03-ca13ad206628|Reconcile_GSTPayable" type="matrix" appref="{6E9E05DF-EE23-447E-BC8E-7AEF5CEA5905}"/>
    <we:binding id="e48e4322-24e2-4f91-8501-f51c85bba57b|H05_GSTInCreditors" type="matrix" appref="{8F1BA3C1-6CEB-4A27-9DE9-931513A2A47F}"/>
    <we:binding id="e48e4322-24e2-4f91-8501-f51c85bba57b|H05_TradeCreditors" type="matrix" appref="{52A499ED-F4EC-42B9-80E9-5C7D9F9589F0}"/>
    <we:binding id="e48e4322-24e2-4f91-8501-f51c85bba57b|Reconcile_AccountsPayable" type="matrix" appref="{93895EC1-43EC-4F5F-86E2-A4E65D86C795}"/>
    <we:binding id="943fa348-0b13-443d-bee5-9a2437baf598|N75_ClosingSuperPayable" type="matrix" appref="{46D8CD47-A462-4AF0-A4C5-5732D3F8DBAC}"/>
    <we:binding id="943fa348-0b13-443d-bee5-9a2437baf598|N75_DeductibleSuperExpense" type="matrix" appref="{29FE5239-B543-4907-8BB3-BB54B78B8386}"/>
    <we:binding id="943fa348-0b13-443d-bee5-9a2437baf598|N75_NonDeductibleSGC" type="matrix" appref="{743E1616-A835-4832-86EF-7F13BD92CD38}"/>
    <we:binding id="943fa348-0b13-443d-bee5-9a2437baf598|N75_OpeningSuperPayable" type="matrix" appref="{50250A85-28D8-4838-8669-A8B96B94FD62}"/>
    <we:binding id="943fa348-0b13-443d-bee5-9a2437baf598|N75_SuperExpense" type="matrix" appref="{EBCF0981-B685-48B6-9925-40BC7690962E}"/>
    <we:binding id="943fa348-0b13-443d-bee5-9a2437baf598|N75_SuperPaid" type="matrix" appref="{1C6A6D14-554A-4CCA-841C-ED820AFBCF99}"/>
    <we:binding id="943fa348-0b13-443d-bee5-9a2437baf598|Reconcile_Expense_SuperExpense" type="matrix" appref="{7DD6BD5F-2766-4165-9B1C-DE0AE5E09176}"/>
    <we:binding id="943fa348-0b13-443d-bee5-9a2437baf598|Reconcile_Liability_SuperPayable" type="matrix" appref="{DE8D3991-CFDB-4858-9759-C433FA0CA814}"/>
    <we:binding id="1483c980-ee7f-4e04-90f3-e76b673050a9|Tx_AllRet.ABNNotQuoted" type="matrix" appref="{E3B66867-4DC2-488C-9F16-235DBAE05112}"/>
    <we:binding id="1483c980-ee7f-4e04-90f3-e76b673050a9|Tx_AllRet.AdjustValues" type="matrix" appref="{89C9752A-407F-46AE-8423-79417936AD8F}"/>
    <we:binding id="1483c980-ee7f-4e04-90f3-e76b673050a9|Tx_AllRet.AggTurnover" type="matrix" appref="{C162765B-9EEA-4326-911C-E759D52471C8}"/>
    <we:binding id="1483c980-ee7f-4e04-90f3-e76b673050a9|Tx_AllRet.AggTurnoverRange" type="matrix" appref="{F8F93BE9-4636-4668-B542-416D0E3D4F4E}"/>
    <we:binding id="1483c980-ee7f-4e04-90f3-e76b673050a9|Tx_AllRet.AssesBalAdj" type="matrix" appref="{DD8836E0-751B-43D7-94D3-C52821F1B581}"/>
    <we:binding id="1483c980-ee7f-4e04-90f3-e76b673050a9|Tx_AllRet.Assets" type="matrix" appref="{951C0CB6-77B9-4B86-9BD7-03EF5D64DC45}"/>
    <we:binding id="1483c980-ee7f-4e04-90f3-e76b673050a9|Tx_AllRet.AssocPersons" type="matrix" appref="{6D3A3F43-B5F4-4D2E-804C-4CB4D0B6E5A6}"/>
    <we:binding id="1483c980-ee7f-4e04-90f3-e76b673050a9|Tx_AllRet.BadDebt" type="matrix" appref="{AE71024A-8689-40A5-91DB-4F565124DA7D}"/>
    <we:binding id="1483c980-ee7f-4e04-90f3-e76b673050a9|Tx_AllRet.CapitalLossesCF" type="matrix" appref="{4DDA9275-4552-4102-9979-E9B67078EE0C}"/>
    <we:binding id="1483c980-ee7f-4e04-90f3-e76b673050a9|Tx_AllRet.CGTEvent" type="matrix" appref="{4B673AAD-E04F-4974-9549-C79C0663977C}"/>
    <we:binding id="1483c980-ee7f-4e04-90f3-e76b673050a9|Tx_AllRet.CGTExempRollover" type="matrix" appref="{36EAED29-A22E-40D7-8963-DB8418540C4C}"/>
    <we:binding id="1483c980-ee7f-4e04-90f3-e76b673050a9|Tx_AllRet.Contractor" type="matrix" appref="{376AC43C-C52B-44AA-A598-ABC0983176C7}"/>
    <we:binding id="1483c980-ee7f-4e04-90f3-e76b673050a9|Tx_AllRet.COS" type="matrix" appref="{26F422CC-DA3B-4D83-A068-414B06F5589D}"/>
    <we:binding id="1483c980-ee7f-4e04-90f3-e76b673050a9|Tx_AllRet.CS" type="matrix" appref="{8E1CE0C4-CD90-43F8-93F4-D62AE2D08615}"/>
    <we:binding id="1483c980-ee7f-4e04-90f3-e76b673050a9|Tx_AllRet.CurrentAssets" type="matrix" appref="{CB21DADD-385C-4B1F-B73A-2B8BD7C3534D}"/>
    <we:binding id="1483c980-ee7f-4e04-90f3-e76b673050a9|Tx_AllRet.CurrentLiab" type="matrix" appref="{CDCB2B46-8B63-4511-A900-A7D836D817F8}"/>
    <we:binding id="1483c980-ee7f-4e04-90f3-e76b673050a9|Tx_AllRet.DedBalAdj" type="matrix" appref="{F7D6EF90-E825-4C61-BF3C-E60AB0EE13A0}"/>
    <we:binding id="1483c980-ee7f-4e04-90f3-e76b673050a9|Tx_AllRet.Depreciation" type="matrix" appref="{4DA64FDF-461D-4B31-BA99-553A30DB76EC}"/>
    <we:binding id="1483c980-ee7f-4e04-90f3-e76b673050a9|Tx_AllRet.EmployeeCont" type="matrix" appref="{3B45C2F8-CAE3-4F12-ABB6-D68023A6307E}"/>
    <we:binding id="1483c980-ee7f-4e04-90f3-e76b673050a9|Tx_AllRet.ExpenseForResWithholding" type="matrix" appref="{E7D10A60-38EA-4EF4-B367-91D1A85569B4}"/>
    <we:binding id="1483c980-ee7f-4e04-90f3-e76b673050a9|Tx_AllRet.FrankingCredits" type="matrix" appref="{DE06A364-5F09-4870-A42E-727F8A3B30D0}"/>
    <we:binding id="1483c980-ee7f-4e04-90f3-e76b673050a9|Tx_AllRet.GovtIndustryPaym" type="matrix" appref="{98C6CD2A-DF7F-4C2D-A7EA-20DAD571E6AF}"/>
    <we:binding id="1483c980-ee7f-4e04-90f3-e76b673050a9|Tx_AllRet.IncomeForResWithholding" type="matrix" appref="{D0C1A318-341F-4C27-A332-D68E1B727ACF}"/>
    <we:binding id="1483c980-ee7f-4e04-90f3-e76b673050a9|Tx_AllRet.LandcareDed" type="matrix" appref="{9963133F-AF40-47E9-BA84-5BA9DF2068CB}"/>
    <we:binding id="1483c980-ee7f-4e04-90f3-e76b673050a9|Tx_AllRet.Liab" type="matrix" appref="{9DD4D3F0-3ABB-4B5C-B5F5-72EEB6AD6E48}"/>
    <we:binding id="1483c980-ee7f-4e04-90f3-e76b673050a9|Tx_AllRet.MVExp" type="matrix" appref="{4E82F663-696A-47E1-981C-0F22BFA1596E}"/>
    <we:binding id="1483c980-ee7f-4e04-90f3-e76b673050a9|Tx_AllRet.NetCapGain" type="matrix" appref="{C33DE2AD-EC47-4724-963B-C11EFCF34C3F}"/>
    <we:binding id="1483c980-ee7f-4e04-90f3-e76b673050a9|Tx_AllRet.OS" type="matrix" appref="{83CCFBBA-1FCD-40AB-8529-2489310BF5B1}"/>
    <we:binding id="1483c980-ee7f-4e04-90f3-e76b673050a9|Tx_AllRet.OtherExpenses" type="matrix" appref="{5192FBED-B646-45E0-B635-03D746A342C5}"/>
    <we:binding id="1483c980-ee7f-4e04-90f3-e76b673050a9|Tx_AllRet.ProjectPoolDed" type="matrix" appref="{D6FD820A-1469-41B7-B9F0-6975095D4388}"/>
    <we:binding id="1483c980-ee7f-4e04-90f3-e76b673050a9|Tx_AllRet.Purchases" type="matrix" appref="{CA528EF5-90B8-4E27-9AFA-6BC60141D9D8}"/>
    <we:binding id="1483c980-ee7f-4e04-90f3-e76b673050a9|Tx_AllRet.RecalcEffectLife" type="matrix" appref="{15C73A84-7834-4BCC-BB21-E50FFD76F120}"/>
    <we:binding id="1483c980-ee7f-4e04-90f3-e76b673050a9|Tx_AllRet.RentExp" type="matrix" appref="{82C6AEB9-BD4E-4015-972F-0935B083F5F7}"/>
    <we:binding id="1483c980-ee7f-4e04-90f3-e76b673050a9|Tx_AllRet.ReturnYear" type="matrix" appref="{32CF2A0D-EF83-4163-870F-5C6FF84E6444}"/>
    <we:binding id="1483c980-ee7f-4e04-90f3-e76b673050a9|Tx_AllRet.RMExp" type="matrix" appref="{BCC30F8E-9143-42AC-8808-794336C3AB35}"/>
    <we:binding id="1483c980-ee7f-4e04-90f3-e76b673050a9|Tx_AllRet.Sales" type="matrix" appref="{92EA2A86-EE3B-45AB-8BE2-AFB0DBF372DC}"/>
    <we:binding id="1483c980-ee7f-4e04-90f3-e76b673050a9|Tx_AllRet.Sec40880" type="matrix" appref="{0D9C6978-CB74-4321-A91A-5308791450D9}"/>
    <we:binding id="1483c980-ee7f-4e04-90f3-e76b673050a9|Tx_AllRet.SelfAssEffectLife" type="matrix" appref="{F17A6DA5-9A0C-4166-829C-C58C05EA35CA}"/>
    <we:binding id="1483c980-ee7f-4e04-90f3-e76b673050a9|Tx_AllRet.StockElection" type="matrix" appref="{31701AE7-9343-4434-8CB7-105B4C15B3AA}"/>
    <we:binding id="1483c980-ee7f-4e04-90f3-e76b673050a9|Tx_AllRet.SubsYrAcceleratedDepn" type="matrix" appref="{C3690D58-37AA-48D4-9F5F-86C12CC4D229}"/>
    <we:binding id="1483c980-ee7f-4e04-90f3-e76b673050a9|Tx_AllRet.SuperExp" type="matrix" appref="{FAD7AA0E-69D8-4077-A16F-B33DE116E2BE}"/>
    <we:binding id="1483c980-ee7f-4e04-90f3-e76b673050a9|Tx_AllRet.TaxLossesCF" type="matrix" appref="{9599C057-6304-4495-9E71-A772A1A30DFC}"/>
    <we:binding id="1483c980-ee7f-4e04-90f3-e76b673050a9|Tx_AllRet.TermValueAssets" type="matrix" appref="{6FC6155B-E895-45B2-B0A2-8E1052BCD8A6}"/>
    <we:binding id="1483c980-ee7f-4e04-90f3-e76b673050a9|Tx_AllRet.TermValueIntangibles" type="matrix" appref="{6786D516-FA22-44A0-BAEE-FCEDAB271DA5}"/>
    <we:binding id="1483c980-ee7f-4e04-90f3-e76b673050a9|Tx_AllRet.TFN" type="matrix" appref="{425A3E5B-8291-4B1F-9D0C-B6821D5729C0}"/>
    <we:binding id="1483c980-ee7f-4e04-90f3-e76b673050a9|Tx_AllRet.TradeCreditors" type="matrix" appref="{2B93F125-C2A4-49C0-B9A8-6D85CCEEA985}"/>
    <we:binding id="1483c980-ee7f-4e04-90f3-e76b673050a9|Tx_AllRet.TradeDebtors" type="matrix" appref="{BA084CEF-D642-4D04-9313-9A267506B45F}"/>
    <we:binding id="1483c980-ee7f-4e04-90f3-e76b673050a9|Tx_AllRet.Wages" type="matrix" appref="{171FFCA8-F6CD-434E-9FB5-D65792A8420B}"/>
    <we:binding id="1483c980-ee7f-4e04-90f3-e76b673050a9|Tx_CTR.AttForIncomeListed" type="matrix" appref="{0C86E93B-BEF6-40DD-A6E6-25AE3C64BD23}"/>
    <we:binding id="1483c980-ee7f-4e04-90f3-e76b673050a9|Tx_CTR.AttForIncomeTrust" type="matrix" appref="{CCCDD261-0FB6-488B-84C9-8763779399B4}"/>
    <we:binding id="1483c980-ee7f-4e04-90f3-e76b673050a9|Tx_CTR.AttForIncomeUnlisted" type="matrix" appref="{DA519EA8-E185-47F9-915B-C461B47B8191}"/>
    <we:binding id="1483c980-ee7f-4e04-90f3-e76b673050a9|Tx_CTR.AUSFrankingCreditNZ" type="matrix" appref="{FEF7B1DC-9080-499F-AF02-1BDB26C10A59}"/>
    <we:binding id="1483c980-ee7f-4e04-90f3-e76b673050a9|Tx_CTR.CapWorksDed" type="matrix" appref="{B6FAB017-0257-48A0-A8DA-665A93CE8949}"/>
    <we:binding id="1483c980-ee7f-4e04-90f3-e76b673050a9|Tx_CTR.CBFrankingAcct" type="matrix" appref="{BA425430-84BD-4FE1-B962-8285A5D173DD}"/>
    <we:binding id="1483c980-ee7f-4e04-90f3-e76b673050a9|Tx_CTR.CommDebtForgive" type="matrix" appref="{2548D139-7352-4E36-99F9-3CD389CCB325}"/>
    <we:binding id="1483c980-ee7f-4e04-90f3-e76b673050a9|Tx_CTR.CreditH2" type="matrix" appref="{67D4118D-7C1E-4BBF-AB80-06D0D856F839}"/>
    <we:binding id="1483c980-ee7f-4e04-90f3-e76b673050a9|Tx_CTR.CreditH3" type="matrix" appref="{97A7693B-8DB5-409B-B657-0029A8384D17}"/>
    <we:binding id="1483c980-ee7f-4e04-90f3-e76b673050a9|Tx_CTR.CreditH4" type="matrix" appref="{3EB95067-71F3-4FE6-A8EC-F3FF775534FD}"/>
    <we:binding id="1483c980-ee7f-4e04-90f3-e76b673050a9|Tx_CTR.CreditH5" type="matrix" appref="{D72DB9FD-C4C7-436F-B07E-91E19B981DE8}"/>
    <we:binding id="1483c980-ee7f-4e04-90f3-e76b673050a9|Tx_CTR.CreditH7" type="matrix" appref="{F5696A7F-CFD3-4E95-A352-2F8F5D6F6ACC}"/>
    <we:binding id="1483c980-ee7f-4e04-90f3-e76b673050a9|Tx_CTR.CreditH8" type="matrix" appref="{15E594EA-9620-446D-9B15-32679FF21920}"/>
    <we:binding id="1483c980-ee7f-4e04-90f3-e76b673050a9|Tx_CTR.Currency" type="matrix" appref="{71F649E4-C544-430C-B311-616ED3044F52}"/>
    <we:binding id="1483c980-ee7f-4e04-90f3-e76b673050a9|Tx_CTR.CurrTranslationRate" type="matrix" appref="{91EC5930-5DF4-442E-ACC0-F2F2F2D4121C}"/>
    <we:binding id="1483c980-ee7f-4e04-90f3-e76b673050a9|Tx_CTR.Debt" type="matrix" appref="{A05115B7-F79F-4F2A-B13F-27C3265521A2}"/>
    <we:binding id="1483c980-ee7f-4e04-90f3-e76b673050a9|Tx_CTR.DepreciationTax" type="matrix" appref="{F75200AD-1672-4609-8037-0A1E782C87E9}"/>
    <we:binding id="1483c980-ee7f-4e04-90f3-e76b673050a9|Tx_CTR.DividendIncome" type="matrix" appref="{C6A7D6F4-BD51-480F-A862-B3DBC763A814}"/>
    <we:binding id="1483c980-ee7f-4e04-90f3-e76b673050a9|Tx_CTR.EnergyIncentive" type="matrix" appref="{34B70654-ACFC-4DEA-AA23-B037636236C8}"/>
    <we:binding id="1483c980-ee7f-4e04-90f3-e76b673050a9|Tx_CTR.EnvProtectExp" type="matrix" appref="{FBDC0BEF-2BD7-4830-8FA7-543C7051DD49}"/>
    <we:binding id="1483c980-ee7f-4e04-90f3-e76b673050a9|Tx_CTR.ExcessFrankingOffsets" type="matrix" appref="{1D4A9E8C-42CE-41EA-87F5-46ED07590DBE}"/>
    <we:binding id="1483c980-ee7f-4e04-90f3-e76b673050a9|Tx_CTR.ExemptIncome" type="matrix" appref="{001DB67F-4808-4C10-9387-B505D900E750}"/>
    <we:binding id="1483c980-ee7f-4e04-90f3-e76b673050a9|Tx_CTR.ForIncome" type="matrix" appref="{D5F55024-7B51-485C-A934-26AEA776CBB7}"/>
    <we:binding id="1483c980-ee7f-4e04-90f3-e76b673050a9|Tx_CTR.ForIncomeGross" type="matrix" appref="{F4021CE5-682B-4551-B372-EEB178036C10}"/>
    <we:binding id="1483c980-ee7f-4e04-90f3-e76b673050a9|Tx_CTR.FrankingDefTaxOffset" type="matrix" appref="{8C3353C9-4494-4818-8A84-5741F6E3C44E}"/>
    <we:binding id="1483c980-ee7f-4e04-90f3-e76b673050a9|Tx_CTR.ImmWriteOff" type="matrix" appref="{32D7530F-FEE1-42AB-8EDC-674FFC033E9E}"/>
    <we:binding id="1483c980-ee7f-4e04-90f3-e76b673050a9|Tx_CTR.InterestExpAUS" type="matrix" appref="{A5A46AB9-9F04-4E94-ABDF-314AF6BD8F08}"/>
    <we:binding id="1483c980-ee7f-4e04-90f3-e76b673050a9|Tx_CTR.InterestExpOverseas" type="matrix" appref="{08F4542F-F041-4740-9077-FD9BA0BBDF3B}"/>
    <we:binding id="1483c980-ee7f-4e04-90f3-e76b673050a9|Tx_CTR.InterestIncome" type="matrix" appref="{700B5EAF-7C61-4A84-8F78-203201153F6C}"/>
    <we:binding id="1483c980-ee7f-4e04-90f3-e76b673050a9|Tx_CTR.LeaseExpAUS" type="matrix" appref="{918674AC-58D0-4F44-AC11-97A977829327}"/>
    <we:binding id="1483c980-ee7f-4e04-90f3-e76b673050a9|Tx_CTR.LeaseExpOverseas" type="matrix" appref="{65C9A689-70DC-4739-93FD-14AD49D6BC2F}"/>
    <we:binding id="1483c980-ee7f-4e04-90f3-e76b673050a9|Tx_CTR.LoansToShareholders" type="matrix" appref="{4724CC15-AD5F-4C84-A5D9-799F435A328D}"/>
    <we:binding id="1483c980-ee7f-4e04-90f3-e76b673050a9|Tx_CTR.MiningAssetDepn" type="matrix" appref="{494866EA-FEE7-4330-BA35-2C345D06F274}"/>
    <we:binding id="1483c980-ee7f-4e04-90f3-e76b673050a9|Tx_CTR.MiningCapExp" type="matrix" appref="{6C6C1284-2E3E-46C2-B54E-ABEFC6D6E6ED}"/>
    <we:binding id="1483c980-ee7f-4e04-90f3-e76b673050a9|Tx_CTR.MiningIntangibleDepn" type="matrix" appref="{033CC209-0039-40F4-8E0F-2394FBA9EDE0}"/>
    <we:binding id="1483c980-ee7f-4e04-90f3-e76b673050a9|Tx_CTR.MISExp" type="matrix" appref="{C3C87E98-85E0-42A2-9585-98160B0DA66C}"/>
    <we:binding id="1483c980-ee7f-4e04-90f3-e76b673050a9|Tx_CTR.MISIncome" type="matrix" appref="{5E928CE9-CE2F-4577-ABDF-9B9D056ABC1B}"/>
    <we:binding id="1483c980-ee7f-4e04-90f3-e76b673050a9|Tx_CTR.NDExp" type="matrix" appref="{D1158C01-56EE-4CAF-8A28-0E4BF3751063}"/>
    <we:binding id="1483c980-ee7f-4e04-90f3-e76b673050a9|Tx_CTR.NonDedExempIncomeExp" type="matrix" appref="{3DDEB57E-246B-4634-8079-E69FCFBEAA9E}"/>
    <we:binding id="1483c980-ee7f-4e04-90f3-e76b673050a9|Tx_CTR.NonRefCFTaxOffsets" type="matrix" appref="{80B6A7A4-43CF-4001-99F6-9ADABCD9EA8A}"/>
    <we:binding id="1483c980-ee7f-4e04-90f3-e76b673050a9|Tx_CTR.NonRefNonCFTaxOffsets" type="matrix" appref="{07C9C1DA-FB3C-4637-A257-0ABE1ACC2D1E}"/>
    <we:binding id="1483c980-ee7f-4e04-90f3-e76b673050a9|Tx_CTR.OBFrankingAcct" type="matrix" appref="{2B6F0803-C8A3-4666-AEEC-2031E0306C69}"/>
    <we:binding id="1483c980-ee7f-4e04-90f3-e76b673050a9|Tx_CTR.OTherAssIncome" type="matrix" appref="{972085B3-933E-4C80-9DD2-5E20539199CC}"/>
    <we:binding id="1483c980-ee7f-4e04-90f3-e76b673050a9|Tx_CTR.OtherDedExp" type="matrix" appref="{C946D4C8-4426-4B42-AF82-F46940B2E420}"/>
    <we:binding id="1483c980-ee7f-4e04-90f3-e76b673050a9|Tx_CTR.OtherIncome" type="matrix" appref="{DFCD5BBD-1E9D-4284-A1FE-1BE293416094}"/>
    <we:binding id="1483c980-ee7f-4e04-90f3-e76b673050a9|Tx_CTR.OtherIncomeAssIncome" type="matrix" appref="{D9ECB2BB-A7A4-4C0B-AE0A-35D791C66853}"/>
    <we:binding id="1483c980-ee7f-4e04-90f3-e76b673050a9|Tx_CTR.PartnershipIncome" type="matrix" appref="{36691E86-1D57-4DDD-9AF5-ED58D17F6615}"/>
    <we:binding id="1483c980-ee7f-4e04-90f3-e76b673050a9|Tx_CTR.PAYGI" type="matrix" appref="{6B03A7DC-B844-49E8-BA98-CEC2D65914CE}"/>
    <we:binding id="1483c980-ee7f-4e04-90f3-e76b673050a9|Tx_CTR.RDExpAccounting" type="matrix" appref="{C82695CE-C64D-458B-94C3-7D13E7062B84}"/>
    <we:binding id="1483c980-ee7f-4e04-90f3-e76b673050a9|Tx_CTR.RefTaxOffsets" type="matrix" appref="{EE2B2843-44A0-4E56-86B5-8A6A4C5F2587}"/>
    <we:binding id="1483c980-ee7f-4e04-90f3-e76b673050a9|Tx_CTR.RentIncome" type="matrix" appref="{2CC70376-FF9D-4EFB-9A05-21F8A032942E}"/>
    <we:binding id="1483c980-ee7f-4e04-90f3-e76b673050a9|Tx_CTR.RoyaltyExpAUS" type="matrix" appref="{3A1D44F6-8456-42EC-995B-2A47EFBEEC28}"/>
    <we:binding id="1483c980-ee7f-4e04-90f3-e76b673050a9|Tx_CTR.RoyaltyExpOverseas" type="matrix" appref="{79EA3667-A873-4908-A147-B299FDABD118}"/>
    <we:binding id="1483c980-ee7f-4e04-90f3-e76b673050a9|Tx_CTR.Sec102AAM" type="matrix" appref="{9438A651-4151-4982-887B-663182D6D832}"/>
    <we:binding id="1483c980-ee7f-4e04-90f3-e76b673050a9|Tx_CTR.Sec46FA" type="matrix" appref="{83CB8FF8-FB7E-4379-9EDB-2D12A9D94D94}"/>
    <we:binding id="1483c980-ee7f-4e04-90f3-e76b673050a9|Tx_CTR.TaxLosses" type="matrix" appref="{7A7D5875-E2EC-42F5-8E9C-DB3AB6B499E6}"/>
    <we:binding id="1483c980-ee7f-4e04-90f3-e76b673050a9|Tx_CTR.TaxLossesTransferIn" type="matrix" appref="{2E6DD655-A0EA-4886-B133-0B60E568A082}"/>
    <we:binding id="1483c980-ee7f-4e04-90f3-e76b673050a9|Tx_CTR.TaxOffsetRef" type="matrix" appref="{B235B3B6-D0D6-47D2-97A6-A7CBB517A090}"/>
    <we:binding id="1483c980-ee7f-4e04-90f3-e76b673050a9|Tx_CTR.TOFAExp" type="matrix" appref="{5D25EBCE-1A5A-4E4C-8451-06810E290390}"/>
    <we:binding id="1483c980-ee7f-4e04-90f3-e76b673050a9|Tx_CTR.TOFAGains" type="matrix" appref="{3CF493DE-5751-40D3-8844-0C72D7DCBDE7}"/>
    <we:binding id="1483c980-ee7f-4e04-90f3-e76b673050a9|Tx_CTR.TOFAGainsFinancialArrang" type="matrix" appref="{38D5C3F2-DDDB-4032-8E43-066078E01C86}"/>
    <we:binding id="1483c980-ee7f-4e04-90f3-e76b673050a9|Tx_CTR.TOFAIncome" type="matrix" appref="{A48A45C1-9752-483A-A1FA-ACEF0FC28E52}"/>
    <we:binding id="1483c980-ee7f-4e04-90f3-e76b673050a9|Tx_CTR.TOFALosses" type="matrix" appref="{672D2621-84DE-4EAC-BCE4-7B9113FB9516}"/>
    <we:binding id="1483c980-ee7f-4e04-90f3-e76b673050a9|Tx_CTR.TrainBoost" type="matrix" appref="{F6AE0255-11B7-497E-804B-C317CE930321}"/>
    <we:binding id="1483c980-ee7f-4e04-90f3-e76b673050a9|Tx_CTR.TrustIncome" type="matrix" appref="{44CBDF81-E2CF-4279-9C5C-3D327763A438}"/>
    <we:binding id="1483c980-ee7f-4e04-90f3-e76b673050a9|Tx_CTR.UnrealisedGains" type="matrix" appref="{3C040319-DF53-4571-AB65-AFF4323D8110}"/>
    <we:binding id="1483c980-ee7f-4e04-90f3-e76b673050a9|Tx_CTR.UnrealisedLosses" type="matrix" appref="{F52BCBE2-A4A8-4B74-A7C8-37E06DBD6E1D}"/>
    <we:binding id="21ba64c1-b49c-4f3d-adde-5ffa9aee95c5|Reconcile_DivsDeclared" type="matrix" appref="{B11A86BF-6EF3-43EA-A416-2927CCE15AE0}"/>
    <we:binding id="21ba64c1-b49c-4f3d-adde-5ffa9aee95c5|Reconcile_DivsPayable" type="matrix" appref="{6643D86B-CA75-4B3B-9EAE-3EC9A5BBFA56}"/>
    <we:binding id="5224ea26-f560-4507-9764-2c4f53763a26|Reconcile_Asset_ICAReceivable" type="matrix" appref="{D711C2E6-C71B-4CEC-8619-307DF4A63A44}"/>
    <we:binding id="5224ea26-f560-4507-9764-2c4f53763a26|Reconcile_Liability_ICAPayable" type="matrix" appref="{67F24229-9336-42EA-B90D-E296408E1156}"/>
    <we:binding id="41258aca-6fe3-4669-9f9c-56c25149e6d9|Reconcile_Asset_ITAReceivable" type="matrix" appref="{812737D4-3346-40FB-BC6A-598C141858DC}"/>
    <we:binding id="41258aca-6fe3-4669-9f9c-56c25149e6d9|Reconcile_Liability_ITAPayable" type="matrix" appref="{2E3B41AF-2386-43F1-8886-2D6060A09824}"/>
    <we:binding id="93591c80-2a0a-4edc-9b10-091fcaa4314c|G31_LoanBalance" type="matrix" appref="{E1327695-7DC2-4910-BE36-8CF1E6740453}"/>
    <we:binding id="93591c80-2a0a-4edc-9b10-091fcaa4314c|Reconcile_LoanBalance" type="matrix" appref="{A69E62F2-BC62-459B-B8B8-B59BED12A90D}"/>
    <we:binding id="e1e8db58-faa9-458b-a758-89add784277b|G31_LoanBalance" type="matrix" appref="{35C39D9C-2A89-4281-8DFC-8E0E5A450380}"/>
    <we:binding id="e1e8db58-faa9-458b-a758-89add784277b|Reconcile_LoanBalance" type="matrix" appref="{7A155A13-F09A-4679-849C-6D44490CE27A}"/>
    <we:binding id="b63eb282-2113-4826-8d48-26b8f93e1444|H25_BankFees" type="matrix" appref="{C5D8F069-D7DF-4E99-AB9E-FC30C33CD57E}"/>
    <we:binding id="b63eb282-2113-4826-8d48-26b8f93e1444|H25_InterestExpense" type="matrix" appref="{96CEF7D6-78FE-431E-B371-CF303C46480E}"/>
    <we:binding id="b63eb282-2113-4826-8d48-26b8f93e1444|H25_Loan_1" type="matrix" appref="{1B3D0255-605C-406F-AA2C-9B68014D2AD2}"/>
    <we:binding id="b63eb282-2113-4826-8d48-26b8f93e1444|H25_TotalLiability" type="matrix" appref="{94B9A45E-1B15-412D-8774-02147B272C69}"/>
    <we:binding id="b63eb282-2113-4826-8d48-26b8f93e1444|Reconcile_Loan1" type="matrix" appref="{57838F26-4FED-42F8-BDCF-835E705C9739}"/>
    <we:binding id="6677d73b-785f-4d0a-9a85-a3abcca796be|Reconcile_CurrentLiability" type="matrix" appref="{1FCAC227-536D-4D77-B105-BFADCEEC300F}"/>
    <we:binding id="6677d73b-785f-4d0a-9a85-a3abcca796be|Reconcile_CurrentUnexpiredInterest" type="matrix" appref="{5518F571-847B-4BCA-869E-383DCBACD375}"/>
    <we:binding id="6677d73b-785f-4d0a-9a85-a3abcca796be|Reconcile_InterestExpense" type="matrix" appref="{703BF684-6A5F-4228-827D-DA7A680D1E61}"/>
    <we:binding id="6677d73b-785f-4d0a-9a85-a3abcca796be|Reconcile_NetCurrentLiability" type="matrix" appref="{1E7A13BA-5A20-4B0C-9E3A-D507FB5068E2}"/>
    <we:binding id="6677d73b-785f-4d0a-9a85-a3abcca796be|Reconcile_NetNonCurrentLiability" type="matrix" appref="{7250B48B-3548-41EE-A7E6-E91102E463A0}"/>
    <we:binding id="6677d73b-785f-4d0a-9a85-a3abcca796be|Reconcile_NonCurrentLiability" type="matrix" appref="{FE3A57F5-F893-4F3A-8EB8-1D35CFA566E5}"/>
    <we:binding id="6677d73b-785f-4d0a-9a85-a3abcca796be|Reconcile_NonCurrentUnexpiredInterest" type="matrix" appref="{97739CCB-84D3-4165-9545-CF50B69D4C44}"/>
    <we:binding id="6677d73b-785f-4d0a-9a85-a3abcca796be|Reconcile_TotalLiability" type="matrix" appref="{14E8F385-9404-4728-907D-4F361BBDD645}"/>
    <we:binding id="6677d73b-785f-4d0a-9a85-a3abcca796be|Reconcile_TotalNetLiability" type="matrix" appref="{393FD84F-11BA-437F-BFCE-2A3DC0E6413A}"/>
    <we:binding id="6677d73b-785f-4d0a-9a85-a3abcca796be|Reconcile_TotalUnexpiredInterest" type="matrix" appref="{554B0C0B-4B25-477F-A208-7BB6D926401D}"/>
    <we:binding id="b3b1aec4-0a26-491b-b887-e30d4e8ec90f|H12_Number_of_Loans" type="matrix" appref="{80147F15-3765-466E-957B-C240A9454321}"/>
    <we:binding id="b3b1aec4-0a26-491b-b887-e30d4e8ec90f|Reconcile_Summary_CurrentLiability" type="matrix" appref="{21E9DFA7-9FF7-4294-A0C4-E4E63AD3F1D5}"/>
    <we:binding id="b3b1aec4-0a26-491b-b887-e30d4e8ec90f|Reconcile_Summary_CurrentUnexpiredInterest" type="matrix" appref="{3576EC1A-BB75-4FD8-A26C-562FA66C4381}"/>
    <we:binding id="b3b1aec4-0a26-491b-b887-e30d4e8ec90f|Reconcile_Summary_InterestExpense" type="matrix" appref="{40EEEA09-B0D9-4852-8273-4C76D3287C21}"/>
    <we:binding id="b3b1aec4-0a26-491b-b887-e30d4e8ec90f|Reconcile_Summary_NonCurrentLiability" type="matrix" appref="{EFBA4C08-7EEF-4E62-B3EB-9B10F16BE130}"/>
    <we:binding id="b3b1aec4-0a26-491b-b887-e30d4e8ec90f|Reconcile_Summary_NonCurrentUnexpiredInterest" type="matrix" appref="{83DFE168-8B62-4208-949A-A187688FBBBB}"/>
    <we:binding id="b3b1aec4-0a26-491b-b887-e30d4e8ec90f|Reconcile_Summary_TotalLiability" type="matrix" appref="{E6C504A8-1ED3-4B63-A7E2-A7194EA86F17}"/>
    <we:binding id="b3b1aec4-0a26-491b-b887-e30d4e8ec90f|Reconcile_Summary_TotalUnexpiredInterest" type="matrix" appref="{180D0392-FDB6-4109-8748-01035927E709}"/>
    <we:binding id="5dfcbdb1-00dd-4b65-a0bd-069a747d9dc4|D08_UPEBalance" type="matrix" appref="{4485ED56-6819-480F-BF29-418A620A971D}"/>
    <we:binding id="5dfcbdb1-00dd-4b65-a0bd-069a747d9dc4|Reconcile_UPEBalance" type="matrix" appref="{7ABE8831-19C9-4058-B790-0B3CB1C5C6AC}"/>
    <we:binding id="6c0192c7-a80a-470d-9c5f-f21b20b858c3|D03_Number_of_Directors" type="matrix" appref="{F260DD7A-BFE3-4852-8BD2-CEE28D059348}"/>
    <we:binding id="6c0192c7-a80a-470d-9c5f-f21b20b858c3|D03_Number_of_Loans" type="matrix" appref="{E626E1C6-6897-4494-9657-8E650994D0EE}"/>
    <we:binding id="6c0192c7-a80a-470d-9c5f-f21b20b858c3|Reconcile_Director1LoanBalance" type="matrix" appref="{69DF4D21-7618-4DB5-895B-BA98343BCC75}"/>
    <we:binding id="6c0192c7-a80a-470d-9c5f-f21b20b858c3|Reconcile_Director2LoanBalance" type="matrix" appref="{E2466253-CC6D-4F26-893B-750009E7BB26}"/>
    <we:binding id="6c0192c7-a80a-470d-9c5f-f21b20b858c3|Reconcile_Director3LoanBalance" type="matrix" appref="{F6C03A82-7BCB-43E5-AE34-DFCBA1CBDD1F}"/>
    <we:binding id="6c0192c7-a80a-470d-9c5f-f21b20b858c3|Reconcile_Div7AClosingBalance" type="matrix" appref="{E0391CF0-34DA-4BD9-B9A6-23D60E9B15B9}"/>
    <we:binding id="6c0192c7-a80a-470d-9c5f-f21b20b858c3|Reconcile_TotalClosingBalance" type="matrix" appref="{4DA00947-BB24-4390-AB71-8CD8FB6DE1B8}"/>
    <we:binding id="6c0192c7-a80a-470d-9c5f-f21b20b858c3|Reconcile_UPEClosingBalance" type="matrix" appref="{3E823792-36D4-4C08-BAD8-851A40F8A3DF}"/>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_xldudf_WP_NAMEDRANGE</we:customFunctionIds>
        <we:customFunctionIds>_xldudf_WP_NOWSTRING</we:customFunctionIds>
        <we:customFunctionIds>_xldudf_WP_SUMNAMEDRANGE</we:customFunctionIds>
      </we:customFunctionIdList>
    </a:ext>
  </we:extLst>
</we:webextension>
</file>

<file path=xl/worksheets/_rels/sheet1.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ustomProperty" Target="../customProperty4.bin"/><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ato.gov.au/law/view/document?LocID=%22TXD%2FTD202211%2FNAT%2FATO%22&amp;PiT=99991231235958" TargetMode="External"/><Relationship Id="rId2" Type="http://schemas.openxmlformats.org/officeDocument/2006/relationships/hyperlink" Target="https://www.ato.gov.au/law/view/document?docid=PSR/PS20104/NAT/ATO/00001" TargetMode="External"/><Relationship Id="rId1" Type="http://schemas.openxmlformats.org/officeDocument/2006/relationships/hyperlink" Target="https://www.ato.gov.au/Business/Private-company-benefits---Division-7A-dividends/In-detail/Division-7A---trust-entitlements/" TargetMode="External"/><Relationship Id="rId6" Type="http://schemas.openxmlformats.org/officeDocument/2006/relationships/customProperty" Target="../customProperty6.bin"/><Relationship Id="rId5" Type="http://schemas.openxmlformats.org/officeDocument/2006/relationships/customProperty" Target="../customProperty5.bin"/><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8.bin"/><Relationship Id="rId2" Type="http://schemas.openxmlformats.org/officeDocument/2006/relationships/customProperty" Target="../customProperty7.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ustomProperty" Target="../customProperty10.bin"/><Relationship Id="rId2" Type="http://schemas.openxmlformats.org/officeDocument/2006/relationships/customProperty" Target="../customProperty9.bin"/><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customProperty" Target="../customProperty11.bin"/><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14.bin"/><Relationship Id="rId2" Type="http://schemas.openxmlformats.org/officeDocument/2006/relationships/customProperty" Target="../customProperty13.bin"/><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ustomProperty" Target="../customProperty16.bin"/><Relationship Id="rId2" Type="http://schemas.openxmlformats.org/officeDocument/2006/relationships/customProperty" Target="../customProperty15.bin"/><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ustomProperty" Target="../customProperty18.bin"/><Relationship Id="rId2" Type="http://schemas.openxmlformats.org/officeDocument/2006/relationships/customProperty" Target="../customProperty17.bin"/><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ustomProperty" Target="../customProperty20.bin"/><Relationship Id="rId2" Type="http://schemas.openxmlformats.org/officeDocument/2006/relationships/customProperty" Target="../customProperty19.bin"/><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www.ato.gov.au/calculators-and-tools/division-7a-calculator-and-decision-tool/" TargetMode="External"/><Relationship Id="rId2" Type="http://schemas.openxmlformats.org/officeDocument/2006/relationships/hyperlink" Target="https://www.ato.gov.au/business/private-company-benefits---division-7a-dividends/in-detail/division-7a-and-trusts/" TargetMode="External"/><Relationship Id="rId1" Type="http://schemas.openxmlformats.org/officeDocument/2006/relationships/hyperlink" Target="https://www.ato.gov.au/law/view/document?docid=PAC/19360027/109R" TargetMode="External"/><Relationship Id="rId6" Type="http://schemas.openxmlformats.org/officeDocument/2006/relationships/customProperty" Target="../customProperty22.bin"/><Relationship Id="rId5" Type="http://schemas.openxmlformats.org/officeDocument/2006/relationships/customProperty" Target="../customProperty21.bin"/><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ustomProperty" Target="../customProperty24.bin"/><Relationship Id="rId2" Type="http://schemas.openxmlformats.org/officeDocument/2006/relationships/customProperty" Target="../customProperty23.bin"/><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ustomProperty" Target="../customProperty26.bin"/><Relationship Id="rId2" Type="http://schemas.openxmlformats.org/officeDocument/2006/relationships/customProperty" Target="../customProperty25.bin"/><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ustomProperty" Target="../customProperty27.bin"/><Relationship Id="rId2" Type="http://schemas.openxmlformats.org/officeDocument/2006/relationships/printerSettings" Target="../printerSettings/printerSettings14.bin"/><Relationship Id="rId1" Type="http://schemas.openxmlformats.org/officeDocument/2006/relationships/hyperlink" Target="https://www.ato.gov.au/law/view/view.htm?docid=%22COG%2FLCR20195%2FNAT%2FATO%2F00001%22" TargetMode="External"/><Relationship Id="rId4" Type="http://schemas.openxmlformats.org/officeDocument/2006/relationships/customProperty" Target="../customProperty28.bin"/></Relationships>
</file>

<file path=xl/worksheets/_rels/sheet15.xml.rels><?xml version="1.0" encoding="UTF-8" standalone="yes"?>
<Relationships xmlns="http://schemas.openxmlformats.org/package/2006/relationships"><Relationship Id="rId3" Type="http://schemas.openxmlformats.org/officeDocument/2006/relationships/customProperty" Target="../customProperty30.bin"/><Relationship Id="rId2" Type="http://schemas.openxmlformats.org/officeDocument/2006/relationships/customProperty" Target="../customProperty29.bin"/><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ustomProperty" Target="../customProperty32.bin"/><Relationship Id="rId2" Type="http://schemas.openxmlformats.org/officeDocument/2006/relationships/customProperty" Target="../customProperty31.bin"/><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34.bin"/><Relationship Id="rId2" Type="http://schemas.openxmlformats.org/officeDocument/2006/relationships/customProperty" Target="../customProperty33.bin"/><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www.ato.gov.au/calculators-and-tools/division-7a-calculator-and-decision-tool/" TargetMode="External"/><Relationship Id="rId2" Type="http://schemas.openxmlformats.org/officeDocument/2006/relationships/hyperlink" Target="https://www.ato.gov.au/business/private-company-benefits---division-7a-dividends/in-detail/division-7a-and-trusts/" TargetMode="External"/><Relationship Id="rId1" Type="http://schemas.openxmlformats.org/officeDocument/2006/relationships/hyperlink" Target="https://www.ato.gov.au/law/view/document?docid=PAC/19360027/109R" TargetMode="External"/><Relationship Id="rId6" Type="http://schemas.openxmlformats.org/officeDocument/2006/relationships/customProperty" Target="../customProperty36.bin"/><Relationship Id="rId5" Type="http://schemas.openxmlformats.org/officeDocument/2006/relationships/customProperty" Target="../customProperty35.bin"/><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ustomProperty" Target="../customProperty38.bin"/><Relationship Id="rId2" Type="http://schemas.openxmlformats.org/officeDocument/2006/relationships/customProperty" Target="../customProperty37.bin"/><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ustomProperty" Target="../customProperty40.bin"/><Relationship Id="rId2" Type="http://schemas.openxmlformats.org/officeDocument/2006/relationships/customProperty" Target="../customProperty39.bin"/><Relationship Id="rId1" Type="http://schemas.openxmlformats.org/officeDocument/2006/relationships/printerSettings" Target="../printerSettings/printerSettings20.bin"/><Relationship Id="rId4" Type="http://schemas.openxmlformats.org/officeDocument/2006/relationships/drawing" Target="../drawings/drawing1.xml"/></Relationships>
</file>

<file path=xl/worksheets/_rels/sheet21.xml.rels><?xml version="1.0" encoding="UTF-8" standalone="yes"?>
<Relationships xmlns="http://schemas.openxmlformats.org/package/2006/relationships"><Relationship Id="rId3" Type="http://schemas.openxmlformats.org/officeDocument/2006/relationships/customProperty" Target="../customProperty42.bin"/><Relationship Id="rId2" Type="http://schemas.openxmlformats.org/officeDocument/2006/relationships/customProperty" Target="../customProperty41.bin"/><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ustomProperty" Target="../customProperty44.bin"/><Relationship Id="rId2" Type="http://schemas.openxmlformats.org/officeDocument/2006/relationships/customProperty" Target="../customProperty43.bin"/><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46.bin"/><Relationship Id="rId2" Type="http://schemas.openxmlformats.org/officeDocument/2006/relationships/customProperty" Target="../customProperty45.bin"/><Relationship Id="rId1" Type="http://schemas.openxmlformats.org/officeDocument/2006/relationships/printerSettings" Target="../printerSettings/printerSettings23.bin"/><Relationship Id="rId4"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customProperty" Target="../customProperty48.bin"/><Relationship Id="rId2" Type="http://schemas.openxmlformats.org/officeDocument/2006/relationships/customProperty" Target="../customProperty47.bin"/><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ustomProperty" Target="../customProperty49.bin"/><Relationship Id="rId2" Type="http://schemas.openxmlformats.org/officeDocument/2006/relationships/printerSettings" Target="../printerSettings/printerSettings25.bin"/><Relationship Id="rId1" Type="http://schemas.openxmlformats.org/officeDocument/2006/relationships/hyperlink" Target="https://www.ato.gov.au/Calculators-and-tools/Super-guarantee-charge-statement-and-calculator-tool/" TargetMode="External"/><Relationship Id="rId5" Type="http://schemas.openxmlformats.org/officeDocument/2006/relationships/drawing" Target="../drawings/drawing3.xml"/><Relationship Id="rId4" Type="http://schemas.openxmlformats.org/officeDocument/2006/relationships/customProperty" Target="../customProperty50.bin"/></Relationships>
</file>

<file path=xl/worksheets/_rels/sheet26.xml.rels><?xml version="1.0" encoding="UTF-8" standalone="yes"?>
<Relationships xmlns="http://schemas.openxmlformats.org/package/2006/relationships"><Relationship Id="rId1" Type="http://schemas.openxmlformats.org/officeDocument/2006/relationships/customProperty" Target="../customProperty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45"/>
  <sheetViews>
    <sheetView showGridLines="0" topLeftCell="A4" workbookViewId="0">
      <selection activeCell="A19" sqref="A19:B19"/>
    </sheetView>
  </sheetViews>
  <sheetFormatPr defaultColWidth="9" defaultRowHeight="14.25" customHeight="1"/>
  <cols>
    <col min="1" max="1" width="11.5703125" customWidth="1"/>
    <col min="2" max="2" width="77" customWidth="1"/>
    <col min="3" max="8" width="8.85546875" customWidth="1"/>
  </cols>
  <sheetData>
    <row r="2" ht="14.85" customHeight="1"/>
    <row r="3" ht="14.85" customHeight="1"/>
    <row r="17" spans="1:6" ht="22.5" customHeight="1">
      <c r="A17" s="1388" t="str" cm="1">
        <f t="array" ref="A17">IFERROR(Cl_Name, "")</f>
        <v>Springrange Holdings Pty Ltd</v>
      </c>
      <c r="B17" s="1388"/>
      <c r="C17" s="1388"/>
      <c r="D17" s="1388"/>
      <c r="E17" s="1388"/>
      <c r="F17" s="1388"/>
    </row>
    <row r="19" spans="1:6" ht="14.25" customHeight="1">
      <c r="A19" s="1390" t="s">
        <v>4</v>
      </c>
      <c r="B19" s="1390" t="s">
        <v>4</v>
      </c>
    </row>
    <row r="20" spans="1:6" ht="14.25" customHeight="1">
      <c r="A20" s="1389" cm="1">
        <f t="array" ref="A20">IFERROR(PeriodEndDate,"")</f>
        <v>45473</v>
      </c>
      <c r="B20" s="1389"/>
    </row>
    <row r="36" spans="1:2" ht="14.25" customHeight="1">
      <c r="A36" t="str" cm="1">
        <f t="array" ref="A36">IFERROR(Firm_Name,"")</f>
        <v>Main Office</v>
      </c>
    </row>
    <row r="38" spans="1:2" ht="14.25" customHeight="1">
      <c r="A38" s="1" t="s">
        <v>3</v>
      </c>
      <c r="B38" t="str">
        <f t="array" ref="B38">IFERROR(Firm_Partner,"")</f>
        <v>Fleur Active Data</v>
      </c>
    </row>
    <row r="39" spans="1:2" ht="14.25" customHeight="1">
      <c r="A39" s="1" t="s">
        <v>2</v>
      </c>
      <c r="B39" t="str" cm="1">
        <f t="array" ref="B39">IFERROR(Firm_Manager,"")</f>
        <v>Fleur Active Data</v>
      </c>
    </row>
    <row r="40" spans="1:2" ht="14.25" customHeight="1">
      <c r="A40" s="1" t="s">
        <v>0</v>
      </c>
      <c r="B40" t="str">
        <f t="array" ref="B40">IFERROR(Firm_Reviewer,"")</f>
        <v>Fleur Active Data</v>
      </c>
    </row>
    <row r="41" spans="1:2" ht="14.25" customHeight="1">
      <c r="A41" s="1" t="s">
        <v>1</v>
      </c>
      <c r="B41" t="str">
        <f t="array" ref="B41">IFERROR(Firm_Preparer,"")</f>
        <v>Fleur Active Data</v>
      </c>
    </row>
    <row r="44" spans="1:2" ht="14.85" customHeight="1"/>
    <row r="45" spans="1:2" ht="14.85" customHeight="1"/>
  </sheetData>
  <mergeCells count="5">
    <mergeCell ref="A17:B17"/>
    <mergeCell ref="C17:D17"/>
    <mergeCell ref="E17:F17"/>
    <mergeCell ref="A20:B20"/>
    <mergeCell ref="A19:B19"/>
  </mergeCells>
  <pageMargins left="0.7" right="0.7" top="0.75" bottom="0.75" header="0.3" footer="0.3"/>
  <pageSetup orientation="portrait" r:id="rId1"/>
  <customProperties>
    <customPr name="SheetId" r:id="rId2"/>
    <customPr name="SheetName" r:id="rId3"/>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B3491-E869-4A09-AFDD-C1BE7B53FAC2}">
  <sheetPr>
    <pageSetUpPr fitToPage="1"/>
  </sheetPr>
  <dimension ref="A1:K233"/>
  <sheetViews>
    <sheetView showGridLines="0" topLeftCell="A2" zoomScaleNormal="100" workbookViewId="0">
      <selection activeCell="A2" sqref="A2"/>
    </sheetView>
  </sheetViews>
  <sheetFormatPr defaultRowHeight="15"/>
  <cols>
    <col min="1" max="1" width="3.7109375" style="65" customWidth="1"/>
    <col min="2" max="2" width="2.42578125" style="65" customWidth="1"/>
    <col min="3" max="3" width="43.7109375" style="65" customWidth="1"/>
    <col min="4" max="4" width="13.28515625" style="65" customWidth="1"/>
    <col min="5" max="5" width="4.28515625" style="65" customWidth="1"/>
    <col min="6" max="8" width="13.28515625" style="65" customWidth="1"/>
    <col min="9" max="9" width="2.42578125" style="65" customWidth="1"/>
    <col min="10" max="10" width="9.140625" style="65"/>
    <col min="11" max="11" width="15.7109375" style="65" customWidth="1"/>
    <col min="12" max="12" width="11.28515625" style="65" bestFit="1" customWidth="1"/>
    <col min="13" max="16384" width="9.140625" style="65"/>
  </cols>
  <sheetData>
    <row r="1" spans="1:11" ht="15" hidden="1" customHeight="1">
      <c r="C1" s="65" t="s">
        <v>181</v>
      </c>
      <c r="D1" s="65" t="s">
        <v>821</v>
      </c>
      <c r="H1" s="65" t="s">
        <v>179</v>
      </c>
      <c r="I1" s="65" t="s">
        <v>820</v>
      </c>
    </row>
    <row r="2" spans="1:11" ht="7.5" customHeight="1"/>
    <row r="3" spans="1:11" ht="25.15" customHeight="1">
      <c r="C3" s="889" t="s">
        <v>819</v>
      </c>
      <c r="D3" s="889"/>
      <c r="E3" s="889"/>
      <c r="J3"/>
      <c r="K3" s="890" t="s">
        <v>174</v>
      </c>
    </row>
    <row r="4" spans="1:11" ht="17.25" customHeight="1"/>
    <row r="5" spans="1:11" ht="22.5" customHeight="1">
      <c r="A5" s="856" t="str">
        <f>IF(SUBTOTAL(103,B6),"-","+")</f>
        <v>-</v>
      </c>
      <c r="B5" s="1391" t="s">
        <v>818</v>
      </c>
      <c r="C5" s="1391"/>
      <c r="D5" s="1391"/>
      <c r="E5" s="1391"/>
    </row>
    <row r="6" spans="1:11" ht="7.5" customHeight="1">
      <c r="B6" s="65" t="s">
        <v>58</v>
      </c>
    </row>
    <row r="7" spans="1:11" ht="22.5" customHeight="1">
      <c r="B7" s="1396" t="s">
        <v>817</v>
      </c>
      <c r="C7" s="1397"/>
      <c r="D7" s="1397"/>
      <c r="E7" s="1398"/>
    </row>
    <row r="8" spans="1:11" ht="7.5" customHeight="1">
      <c r="B8" s="888"/>
      <c r="C8" s="867"/>
      <c r="D8" s="867"/>
      <c r="F8" s="364"/>
      <c r="G8" s="364"/>
      <c r="H8" s="364"/>
      <c r="I8" s="407"/>
    </row>
    <row r="9" spans="1:11" ht="17.25" customHeight="1">
      <c r="B9" s="887"/>
      <c r="C9" s="820" t="s">
        <v>791</v>
      </c>
      <c r="D9" s="828">
        <v>18200</v>
      </c>
      <c r="E9" s="820"/>
      <c r="F9" s="868"/>
      <c r="G9" s="868"/>
      <c r="H9" s="847">
        <v>0</v>
      </c>
      <c r="I9" s="858"/>
    </row>
    <row r="10" spans="1:11" ht="17.25" customHeight="1">
      <c r="B10" s="887"/>
      <c r="C10" s="820" t="s">
        <v>808</v>
      </c>
      <c r="D10" s="828">
        <f>D9+1</f>
        <v>18201</v>
      </c>
      <c r="E10" s="820" t="s">
        <v>743</v>
      </c>
      <c r="F10" s="828">
        <v>45000</v>
      </c>
      <c r="G10" s="828">
        <v>5092</v>
      </c>
      <c r="H10" s="847">
        <v>0.19</v>
      </c>
      <c r="I10" s="858"/>
    </row>
    <row r="11" spans="1:11" ht="17.25" customHeight="1">
      <c r="B11" s="887"/>
      <c r="C11" s="820" t="s">
        <v>808</v>
      </c>
      <c r="D11" s="828">
        <f>F10+1</f>
        <v>45001</v>
      </c>
      <c r="E11" s="820" t="s">
        <v>743</v>
      </c>
      <c r="F11" s="828">
        <v>120000</v>
      </c>
      <c r="G11" s="828">
        <v>29467</v>
      </c>
      <c r="H11" s="842">
        <v>0.32500000000000001</v>
      </c>
      <c r="I11" s="858"/>
    </row>
    <row r="12" spans="1:11" ht="17.25" customHeight="1">
      <c r="B12" s="887"/>
      <c r="C12" s="820" t="s">
        <v>808</v>
      </c>
      <c r="D12" s="828">
        <f>F11+1</f>
        <v>120001</v>
      </c>
      <c r="E12" s="820" t="s">
        <v>743</v>
      </c>
      <c r="F12" s="828">
        <v>180000</v>
      </c>
      <c r="G12" s="828">
        <v>51667</v>
      </c>
      <c r="H12" s="847">
        <v>0.37</v>
      </c>
      <c r="I12" s="858"/>
    </row>
    <row r="13" spans="1:11" ht="17.25" customHeight="1">
      <c r="B13" s="887"/>
      <c r="C13" s="820" t="s">
        <v>790</v>
      </c>
      <c r="D13" s="828">
        <f>F12+1</f>
        <v>180001</v>
      </c>
      <c r="E13" s="820"/>
      <c r="F13" s="868"/>
      <c r="G13" s="868"/>
      <c r="H13" s="847">
        <v>0.45</v>
      </c>
      <c r="I13" s="858"/>
    </row>
    <row r="14" spans="1:11" ht="7.5" customHeight="1">
      <c r="B14" s="886"/>
      <c r="C14" s="816"/>
      <c r="D14" s="816"/>
      <c r="E14" s="816"/>
      <c r="F14" s="816"/>
      <c r="G14" s="816"/>
      <c r="H14" s="816"/>
      <c r="I14" s="857"/>
    </row>
    <row r="15" spans="1:11" ht="7.5" customHeight="1"/>
    <row r="16" spans="1:11" ht="22.5" customHeight="1">
      <c r="B16" s="1396" t="s">
        <v>816</v>
      </c>
      <c r="C16" s="1397"/>
      <c r="D16" s="1397"/>
      <c r="E16" s="1398"/>
    </row>
    <row r="17" spans="2:9" ht="7.5" customHeight="1">
      <c r="B17" s="1399"/>
      <c r="C17" s="1400"/>
      <c r="D17" s="1400"/>
      <c r="E17" s="1400"/>
      <c r="F17" s="1400"/>
      <c r="G17" s="1400"/>
      <c r="H17" s="1400"/>
      <c r="I17" s="1401"/>
    </row>
    <row r="18" spans="2:9" ht="17.25" customHeight="1">
      <c r="B18" s="821"/>
      <c r="C18" s="820" t="s">
        <v>791</v>
      </c>
      <c r="D18" s="828">
        <v>416</v>
      </c>
      <c r="E18" s="820"/>
      <c r="F18" s="828"/>
      <c r="G18" s="828">
        <v>0</v>
      </c>
      <c r="H18" s="847">
        <v>0</v>
      </c>
      <c r="I18" s="864"/>
    </row>
    <row r="19" spans="2:9" ht="17.25" customHeight="1">
      <c r="B19" s="821"/>
      <c r="C19" s="820" t="s">
        <v>808</v>
      </c>
      <c r="D19" s="828">
        <f>D18+1</f>
        <v>417</v>
      </c>
      <c r="E19" s="820" t="s">
        <v>743</v>
      </c>
      <c r="F19" s="828">
        <v>1307</v>
      </c>
      <c r="G19" s="828">
        <v>1032</v>
      </c>
      <c r="H19" s="847">
        <v>0.66</v>
      </c>
      <c r="I19" s="864"/>
    </row>
    <row r="20" spans="2:9" ht="17.25" customHeight="1">
      <c r="B20" s="821"/>
      <c r="C20" s="820" t="s">
        <v>813</v>
      </c>
      <c r="D20" s="828">
        <f>F19</f>
        <v>1307</v>
      </c>
      <c r="E20" s="820"/>
      <c r="F20" s="828"/>
      <c r="G20" s="828"/>
      <c r="H20" s="847">
        <v>0.45</v>
      </c>
      <c r="I20" s="864"/>
    </row>
    <row r="21" spans="2:9" ht="7.5" customHeight="1">
      <c r="B21" s="863"/>
      <c r="C21" s="862"/>
      <c r="D21" s="862"/>
      <c r="E21" s="862"/>
      <c r="F21" s="862"/>
      <c r="G21" s="862"/>
      <c r="H21" s="862"/>
      <c r="I21" s="860"/>
    </row>
    <row r="22" spans="2:9" ht="7.15" customHeight="1"/>
    <row r="23" spans="2:9" ht="22.5" customHeight="1">
      <c r="B23" s="1396" t="s">
        <v>815</v>
      </c>
      <c r="C23" s="1397"/>
      <c r="D23" s="1397"/>
      <c r="E23" s="1398"/>
    </row>
    <row r="24" spans="2:9" ht="7.5" customHeight="1">
      <c r="B24" s="885"/>
      <c r="C24" s="874"/>
      <c r="D24" s="874"/>
      <c r="E24" s="364"/>
      <c r="F24" s="364"/>
      <c r="G24" s="364"/>
      <c r="H24" s="364"/>
      <c r="I24" s="407"/>
    </row>
    <row r="25" spans="2:9" ht="17.25" customHeight="1">
      <c r="B25" s="148"/>
      <c r="C25" s="820" t="s">
        <v>808</v>
      </c>
      <c r="D25" s="828">
        <v>0</v>
      </c>
      <c r="E25" s="820" t="s">
        <v>743</v>
      </c>
      <c r="F25" s="828">
        <v>120000</v>
      </c>
      <c r="G25" s="828">
        <v>39000</v>
      </c>
      <c r="H25" s="847">
        <v>0.32500000000000001</v>
      </c>
      <c r="I25" s="143"/>
    </row>
    <row r="26" spans="2:9" ht="17.25" customHeight="1">
      <c r="B26" s="148"/>
      <c r="C26" s="820" t="s">
        <v>808</v>
      </c>
      <c r="D26" s="828">
        <f>F25+1</f>
        <v>120001</v>
      </c>
      <c r="E26" s="820" t="s">
        <v>743</v>
      </c>
      <c r="F26" s="828">
        <v>180000</v>
      </c>
      <c r="G26" s="828">
        <v>61200</v>
      </c>
      <c r="H26" s="842">
        <v>0.37</v>
      </c>
      <c r="I26" s="143"/>
    </row>
    <row r="27" spans="2:9" ht="17.25" customHeight="1">
      <c r="B27" s="148"/>
      <c r="C27" s="820" t="s">
        <v>790</v>
      </c>
      <c r="D27" s="828">
        <f>F26</f>
        <v>180000</v>
      </c>
      <c r="F27" s="884"/>
      <c r="G27" s="884"/>
      <c r="H27" s="842">
        <v>0.45</v>
      </c>
      <c r="I27" s="143"/>
    </row>
    <row r="28" spans="2:9" ht="7.5" customHeight="1">
      <c r="B28" s="142"/>
      <c r="C28" s="138"/>
      <c r="D28" s="138"/>
      <c r="E28" s="138"/>
      <c r="F28" s="138"/>
      <c r="G28" s="138"/>
      <c r="H28" s="138"/>
      <c r="I28" s="137"/>
    </row>
    <row r="29" spans="2:9" ht="7.5" customHeight="1"/>
    <row r="30" spans="2:9" ht="22.5" customHeight="1">
      <c r="B30" s="1396" t="s">
        <v>814</v>
      </c>
      <c r="C30" s="1397"/>
      <c r="D30" s="1397"/>
      <c r="E30" s="1398"/>
    </row>
    <row r="31" spans="2:9" ht="7.5" customHeight="1">
      <c r="B31" s="1408"/>
      <c r="C31" s="1409"/>
      <c r="D31" s="1409"/>
      <c r="E31" s="1409"/>
      <c r="F31" s="1409"/>
      <c r="G31" s="1409"/>
      <c r="H31" s="1409"/>
      <c r="I31" s="407"/>
    </row>
    <row r="32" spans="2:9" ht="17.25" customHeight="1">
      <c r="B32" s="278"/>
      <c r="C32" s="820" t="s">
        <v>791</v>
      </c>
      <c r="D32" s="828">
        <v>416</v>
      </c>
      <c r="F32" s="828"/>
      <c r="H32" s="847">
        <v>0.32500000000000001</v>
      </c>
      <c r="I32" s="143"/>
    </row>
    <row r="33" spans="2:9" ht="17.25" customHeight="1">
      <c r="B33" s="278"/>
      <c r="C33" s="820" t="s">
        <v>808</v>
      </c>
      <c r="D33" s="828">
        <f>D32+1</f>
        <v>417</v>
      </c>
      <c r="E33" s="820" t="s">
        <v>743</v>
      </c>
      <c r="F33" s="828">
        <v>663</v>
      </c>
      <c r="H33" s="847">
        <v>0.66</v>
      </c>
      <c r="I33" s="143"/>
    </row>
    <row r="34" spans="2:9" ht="17.25" customHeight="1">
      <c r="B34" s="278"/>
      <c r="C34" s="820" t="s">
        <v>813</v>
      </c>
      <c r="D34" s="828">
        <f>F33</f>
        <v>663</v>
      </c>
      <c r="F34" s="828"/>
      <c r="H34" s="847">
        <v>0.45</v>
      </c>
      <c r="I34" s="143" t="s">
        <v>777</v>
      </c>
    </row>
    <row r="35" spans="2:9" ht="17.25" customHeight="1">
      <c r="B35" s="278" t="s">
        <v>777</v>
      </c>
      <c r="C35" s="1395" t="s">
        <v>812</v>
      </c>
      <c r="D35" s="1402"/>
      <c r="E35" s="1402"/>
      <c r="F35" s="1402"/>
      <c r="G35" s="1402"/>
      <c r="I35" s="143"/>
    </row>
    <row r="36" spans="2:9" ht="7.5" customHeight="1">
      <c r="B36" s="435"/>
      <c r="C36" s="138"/>
      <c r="D36" s="138"/>
      <c r="E36" s="138"/>
      <c r="F36" s="138"/>
      <c r="G36" s="138"/>
      <c r="H36" s="138"/>
      <c r="I36" s="137"/>
    </row>
    <row r="37" spans="2:9" ht="7.5" customHeight="1"/>
    <row r="38" spans="2:9" ht="22.5" customHeight="1">
      <c r="B38" s="1396" t="s">
        <v>811</v>
      </c>
      <c r="C38" s="1397"/>
      <c r="D38" s="1397"/>
      <c r="E38" s="1398"/>
    </row>
    <row r="39" spans="2:9" ht="7.5" customHeight="1">
      <c r="B39" s="885"/>
      <c r="C39" s="874"/>
      <c r="D39" s="874"/>
      <c r="E39" s="364"/>
      <c r="F39" s="364"/>
      <c r="G39" s="364"/>
      <c r="H39" s="364"/>
      <c r="I39" s="407"/>
    </row>
    <row r="40" spans="2:9" ht="17.25" customHeight="1">
      <c r="B40" s="148"/>
      <c r="C40" s="820" t="s">
        <v>808</v>
      </c>
      <c r="D40" s="828">
        <v>0</v>
      </c>
      <c r="E40" s="820" t="s">
        <v>743</v>
      </c>
      <c r="F40" s="828">
        <v>45000</v>
      </c>
      <c r="G40" s="828">
        <v>6750</v>
      </c>
      <c r="H40" s="842">
        <v>0.15</v>
      </c>
      <c r="I40" s="143"/>
    </row>
    <row r="41" spans="2:9" ht="17.25" customHeight="1">
      <c r="B41" s="148"/>
      <c r="C41" s="820" t="s">
        <v>808</v>
      </c>
      <c r="D41" s="828">
        <f>F40+1</f>
        <v>45001</v>
      </c>
      <c r="E41" s="820" t="s">
        <v>743</v>
      </c>
      <c r="F41" s="828">
        <v>120000</v>
      </c>
      <c r="G41" s="828">
        <v>31125</v>
      </c>
      <c r="H41" s="842">
        <v>0.32500000000000001</v>
      </c>
      <c r="I41" s="143"/>
    </row>
    <row r="42" spans="2:9" ht="17.25" customHeight="1">
      <c r="B42" s="148"/>
      <c r="C42" s="820" t="s">
        <v>808</v>
      </c>
      <c r="D42" s="828">
        <f>F41+1</f>
        <v>120001</v>
      </c>
      <c r="E42" s="820" t="s">
        <v>743</v>
      </c>
      <c r="F42" s="828">
        <v>180000</v>
      </c>
      <c r="G42" s="828">
        <v>53325</v>
      </c>
      <c r="H42" s="842">
        <v>0.37</v>
      </c>
      <c r="I42" s="143"/>
    </row>
    <row r="43" spans="2:9" ht="17.25" customHeight="1">
      <c r="B43" s="148"/>
      <c r="C43" s="820" t="s">
        <v>790</v>
      </c>
      <c r="D43" s="828">
        <f>F42</f>
        <v>180000</v>
      </c>
      <c r="F43" s="884"/>
      <c r="G43" s="884"/>
      <c r="H43" s="842">
        <v>0.45</v>
      </c>
      <c r="I43" s="143"/>
    </row>
    <row r="44" spans="2:9" ht="7.5" customHeight="1">
      <c r="B44" s="142"/>
      <c r="C44" s="138"/>
      <c r="D44" s="138"/>
      <c r="E44" s="138"/>
      <c r="F44" s="138"/>
      <c r="G44" s="138"/>
      <c r="H44" s="138"/>
      <c r="I44" s="137"/>
    </row>
    <row r="45" spans="2:9" ht="7.5" customHeight="1"/>
    <row r="46" spans="2:9" ht="22.5" customHeight="1">
      <c r="B46" s="1396" t="s">
        <v>810</v>
      </c>
      <c r="C46" s="1397"/>
      <c r="D46" s="1397"/>
      <c r="E46" s="1398"/>
      <c r="F46" s="883"/>
      <c r="G46" s="883"/>
      <c r="H46" s="883"/>
      <c r="I46" s="883"/>
    </row>
    <row r="47" spans="2:9" ht="7.5" customHeight="1">
      <c r="B47" s="1399"/>
      <c r="C47" s="1400"/>
      <c r="D47" s="1400"/>
      <c r="E47" s="1400"/>
      <c r="F47" s="1400"/>
      <c r="G47" s="1400"/>
      <c r="H47" s="1400"/>
      <c r="I47" s="1401"/>
    </row>
    <row r="48" spans="2:9" ht="17.25" customHeight="1">
      <c r="B48" s="821"/>
      <c r="C48" s="820" t="s">
        <v>791</v>
      </c>
      <c r="D48" s="828">
        <v>26000</v>
      </c>
      <c r="E48" s="820"/>
      <c r="F48" s="828"/>
      <c r="G48" s="828"/>
      <c r="H48" s="847">
        <v>0</v>
      </c>
      <c r="I48" s="864"/>
    </row>
    <row r="49" spans="2:9" ht="17.25" customHeight="1">
      <c r="B49" s="821"/>
      <c r="C49" s="820" t="s">
        <v>808</v>
      </c>
      <c r="D49" s="828">
        <f>D48+1</f>
        <v>26001</v>
      </c>
      <c r="E49" s="820" t="s">
        <v>743</v>
      </c>
      <c r="F49" s="828">
        <f>ROUNDUP(TaxRates_MCareLowerInc*0.1/0.08,)</f>
        <v>32500</v>
      </c>
      <c r="G49" s="828"/>
      <c r="H49" s="847">
        <v>0.1</v>
      </c>
      <c r="I49" s="864"/>
    </row>
    <row r="50" spans="2:9" ht="17.25" customHeight="1">
      <c r="B50" s="821"/>
      <c r="C50" s="820" t="s">
        <v>790</v>
      </c>
      <c r="D50" s="828">
        <f>TaxRates_MCareMidInc2+1</f>
        <v>32501</v>
      </c>
      <c r="E50" s="820"/>
      <c r="F50" s="828"/>
      <c r="G50" s="828"/>
      <c r="H50" s="847">
        <v>0.02</v>
      </c>
      <c r="I50" s="864"/>
    </row>
    <row r="51" spans="2:9" ht="7.5" customHeight="1">
      <c r="B51" s="863"/>
      <c r="C51" s="862"/>
      <c r="D51" s="862"/>
      <c r="E51" s="862"/>
      <c r="F51" s="862"/>
      <c r="G51" s="862"/>
      <c r="H51" s="862"/>
      <c r="I51" s="860"/>
    </row>
    <row r="52" spans="2:9" ht="7.5" customHeight="1">
      <c r="C52" s="17"/>
    </row>
    <row r="53" spans="2:9" ht="22.5" customHeight="1">
      <c r="B53" s="1396" t="s">
        <v>809</v>
      </c>
      <c r="C53" s="1397"/>
      <c r="D53" s="1397"/>
      <c r="E53" s="1398"/>
    </row>
    <row r="54" spans="2:9" ht="7.5" customHeight="1">
      <c r="B54" s="1399"/>
      <c r="C54" s="1400"/>
      <c r="D54" s="1400"/>
      <c r="E54" s="1400"/>
      <c r="F54" s="1400"/>
      <c r="G54" s="1400"/>
      <c r="H54" s="1400"/>
      <c r="I54" s="1401"/>
    </row>
    <row r="55" spans="2:9" ht="17.25" customHeight="1">
      <c r="B55" s="821"/>
      <c r="C55" s="820" t="s">
        <v>791</v>
      </c>
      <c r="D55" s="828">
        <v>37500</v>
      </c>
      <c r="E55" s="820"/>
      <c r="F55" s="828"/>
      <c r="G55" s="828"/>
      <c r="H55" s="828">
        <v>700</v>
      </c>
      <c r="I55" s="864"/>
    </row>
    <row r="56" spans="2:9" ht="17.25" customHeight="1">
      <c r="B56" s="821"/>
      <c r="C56" s="820" t="s">
        <v>808</v>
      </c>
      <c r="D56" s="828">
        <f>D55+1</f>
        <v>37501</v>
      </c>
      <c r="E56" s="820" t="s">
        <v>743</v>
      </c>
      <c r="F56" s="828">
        <v>45000</v>
      </c>
      <c r="G56" s="828"/>
      <c r="H56" s="842">
        <v>0.05</v>
      </c>
      <c r="I56" s="864"/>
    </row>
    <row r="57" spans="2:9" ht="17.25" customHeight="1">
      <c r="B57" s="821"/>
      <c r="C57" s="820" t="s">
        <v>808</v>
      </c>
      <c r="D57" s="828">
        <f>F56+1</f>
        <v>45001</v>
      </c>
      <c r="E57" s="820" t="s">
        <v>743</v>
      </c>
      <c r="F57" s="828">
        <v>66667</v>
      </c>
      <c r="G57" s="828"/>
      <c r="H57" s="842">
        <v>1.4999999999999999E-2</v>
      </c>
      <c r="I57" s="864"/>
    </row>
    <row r="58" spans="2:9" ht="17.25" customHeight="1">
      <c r="B58" s="821"/>
      <c r="C58" s="820" t="s">
        <v>790</v>
      </c>
      <c r="D58" s="828">
        <f>F57+1</f>
        <v>66668</v>
      </c>
      <c r="E58" s="820"/>
      <c r="F58" s="828"/>
      <c r="G58" s="828"/>
      <c r="H58" s="847">
        <v>0</v>
      </c>
      <c r="I58" s="864"/>
    </row>
    <row r="59" spans="2:9" ht="7.5" customHeight="1">
      <c r="B59" s="863"/>
      <c r="C59" s="862"/>
      <c r="D59" s="862"/>
      <c r="E59" s="862"/>
      <c r="F59" s="862"/>
      <c r="G59" s="862"/>
      <c r="H59" s="862"/>
      <c r="I59" s="860"/>
    </row>
    <row r="60" spans="2:9" ht="7.5" customHeight="1"/>
    <row r="61" spans="2:9" ht="22.5" hidden="1" customHeight="1">
      <c r="B61" s="1403" t="s">
        <v>807</v>
      </c>
      <c r="C61" s="1404"/>
      <c r="D61" s="1404"/>
      <c r="E61" s="1405"/>
    </row>
    <row r="62" spans="2:9" ht="7.5" hidden="1" customHeight="1">
      <c r="B62" s="1392"/>
      <c r="C62" s="1393"/>
      <c r="D62" s="1393"/>
      <c r="E62" s="1393"/>
      <c r="F62" s="1393"/>
      <c r="G62" s="1393"/>
      <c r="H62" s="1393"/>
      <c r="I62" s="1394"/>
    </row>
    <row r="63" spans="2:9" ht="17.25" hidden="1" customHeight="1">
      <c r="B63" s="278"/>
      <c r="C63" s="835" t="s">
        <v>778</v>
      </c>
      <c r="D63" s="881">
        <v>37000</v>
      </c>
      <c r="F63" s="881"/>
      <c r="G63" s="881"/>
      <c r="H63" s="881">
        <v>0</v>
      </c>
      <c r="I63" s="360"/>
    </row>
    <row r="64" spans="2:9" ht="17.25" hidden="1" customHeight="1">
      <c r="B64" s="278"/>
      <c r="C64" s="835" t="s">
        <v>776</v>
      </c>
      <c r="D64" s="881">
        <f>D63+1</f>
        <v>37001</v>
      </c>
      <c r="E64" s="835" t="s">
        <v>743</v>
      </c>
      <c r="F64" s="881">
        <v>48000</v>
      </c>
      <c r="G64" s="881"/>
      <c r="H64" s="882">
        <v>0</v>
      </c>
      <c r="I64" s="360"/>
    </row>
    <row r="65" spans="2:9" ht="17.25" hidden="1" customHeight="1">
      <c r="B65" s="278"/>
      <c r="C65" s="835" t="s">
        <v>776</v>
      </c>
      <c r="D65" s="881">
        <f>F64+1</f>
        <v>48001</v>
      </c>
      <c r="E65" s="835" t="s">
        <v>743</v>
      </c>
      <c r="F65" s="881">
        <v>90000</v>
      </c>
      <c r="G65" s="881"/>
      <c r="H65" s="881">
        <v>0</v>
      </c>
      <c r="I65" s="766"/>
    </row>
    <row r="66" spans="2:9" ht="17.25" hidden="1" customHeight="1">
      <c r="B66" s="278"/>
      <c r="C66" s="835" t="s">
        <v>776</v>
      </c>
      <c r="D66" s="881">
        <f>F65+1</f>
        <v>90001</v>
      </c>
      <c r="E66" s="835" t="s">
        <v>743</v>
      </c>
      <c r="F66" s="881">
        <v>126000</v>
      </c>
      <c r="G66" s="881"/>
      <c r="H66" s="882">
        <v>0</v>
      </c>
      <c r="I66" s="360"/>
    </row>
    <row r="67" spans="2:9" ht="17.25" hidden="1" customHeight="1">
      <c r="B67" s="278"/>
      <c r="C67" s="835" t="s">
        <v>775</v>
      </c>
      <c r="D67" s="881">
        <f>F66+1</f>
        <v>126001</v>
      </c>
      <c r="E67" s="835"/>
      <c r="F67" s="881"/>
      <c r="G67" s="881"/>
      <c r="H67" s="880">
        <v>0</v>
      </c>
      <c r="I67" s="360"/>
    </row>
    <row r="68" spans="2:9" ht="17.25" hidden="1" customHeight="1">
      <c r="B68" s="278"/>
      <c r="C68" s="1406"/>
      <c r="D68" s="1402"/>
      <c r="E68" s="1402"/>
      <c r="F68" s="1402"/>
      <c r="G68" s="1402"/>
      <c r="H68" s="1402"/>
      <c r="I68" s="360"/>
    </row>
    <row r="69" spans="2:9" ht="17.25" hidden="1" customHeight="1">
      <c r="B69" s="278"/>
      <c r="C69" s="1406"/>
      <c r="D69" s="1402"/>
      <c r="E69" s="1402"/>
      <c r="F69" s="1402"/>
      <c r="G69" s="1402"/>
      <c r="H69" s="1402"/>
      <c r="I69" s="360"/>
    </row>
    <row r="70" spans="2:9" ht="7.5" hidden="1" customHeight="1">
      <c r="B70" s="276"/>
      <c r="C70" s="862"/>
      <c r="D70" s="879"/>
      <c r="E70" s="862"/>
      <c r="F70" s="879"/>
      <c r="G70" s="879"/>
      <c r="H70" s="878"/>
      <c r="I70" s="274"/>
    </row>
    <row r="71" spans="2:9" ht="7.5" hidden="1" customHeight="1"/>
    <row r="72" spans="2:9" ht="22.5" customHeight="1">
      <c r="B72" s="1396" t="s">
        <v>806</v>
      </c>
      <c r="C72" s="1397"/>
      <c r="D72" s="1397"/>
      <c r="E72" s="1398"/>
    </row>
    <row r="73" spans="2:9" ht="7.5" customHeight="1">
      <c r="B73" s="1392"/>
      <c r="C73" s="1393"/>
      <c r="D73" s="1393"/>
      <c r="E73" s="1393"/>
      <c r="F73" s="1393"/>
      <c r="G73" s="1393"/>
      <c r="H73" s="1393"/>
      <c r="I73" s="1394"/>
    </row>
    <row r="74" spans="2:9" ht="17.25" customHeight="1">
      <c r="B74" s="278"/>
      <c r="D74" s="841" t="s">
        <v>805</v>
      </c>
      <c r="E74" s="841"/>
      <c r="F74" s="841" t="s">
        <v>804</v>
      </c>
      <c r="G74" s="841" t="s">
        <v>803</v>
      </c>
      <c r="H74" s="841" t="s">
        <v>802</v>
      </c>
      <c r="I74" s="360"/>
    </row>
    <row r="75" spans="2:9" ht="17.25" customHeight="1">
      <c r="B75" s="278"/>
      <c r="C75" s="820" t="s">
        <v>801</v>
      </c>
      <c r="D75" s="877">
        <v>338</v>
      </c>
      <c r="E75" s="877"/>
      <c r="F75" s="877">
        <v>57</v>
      </c>
      <c r="G75" s="877">
        <v>1173</v>
      </c>
      <c r="H75" s="877">
        <v>338</v>
      </c>
      <c r="I75" s="360"/>
    </row>
    <row r="76" spans="2:9" ht="17.25" customHeight="1">
      <c r="B76" s="278"/>
      <c r="C76" s="820" t="s">
        <v>800</v>
      </c>
      <c r="D76" s="876">
        <v>0.5</v>
      </c>
      <c r="E76" s="876"/>
      <c r="F76" s="876">
        <v>0.2</v>
      </c>
      <c r="G76" s="876">
        <v>0.5</v>
      </c>
      <c r="H76" s="876">
        <v>0.5</v>
      </c>
      <c r="I76" s="360"/>
    </row>
    <row r="77" spans="2:9" ht="60" customHeight="1">
      <c r="B77" s="278"/>
      <c r="C77" s="1395" t="s">
        <v>799</v>
      </c>
      <c r="D77" s="1395"/>
      <c r="E77" s="1395"/>
      <c r="F77" s="1395"/>
      <c r="G77" s="1395"/>
      <c r="H77" s="1395"/>
      <c r="I77" s="360"/>
    </row>
    <row r="78" spans="2:9" ht="7.5" customHeight="1">
      <c r="B78" s="276"/>
      <c r="C78" s="275"/>
      <c r="D78" s="275"/>
      <c r="E78" s="275"/>
      <c r="F78" s="275"/>
      <c r="G78" s="275"/>
      <c r="H78" s="275"/>
      <c r="I78" s="274"/>
    </row>
    <row r="79" spans="2:9" ht="7.5" customHeight="1"/>
    <row r="80" spans="2:9" ht="22.5" customHeight="1">
      <c r="B80" s="1396" t="s">
        <v>798</v>
      </c>
      <c r="C80" s="1397"/>
      <c r="D80" s="1397"/>
      <c r="E80" s="1398"/>
    </row>
    <row r="81" spans="2:9" ht="7.5" customHeight="1">
      <c r="B81" s="1392"/>
      <c r="C81" s="1393"/>
      <c r="D81" s="1393"/>
      <c r="E81" s="1393"/>
      <c r="F81" s="1393"/>
      <c r="G81" s="1393"/>
      <c r="H81" s="1393"/>
      <c r="I81" s="1394"/>
    </row>
    <row r="82" spans="2:9" ht="17.25" customHeight="1">
      <c r="B82" s="278"/>
      <c r="C82" s="1395" t="s">
        <v>797</v>
      </c>
      <c r="D82" s="1395"/>
      <c r="E82" s="1395"/>
      <c r="F82" s="1395"/>
      <c r="G82" s="828"/>
      <c r="H82" s="828">
        <v>3142</v>
      </c>
      <c r="I82" s="360"/>
    </row>
    <row r="83" spans="2:9" ht="17.25" customHeight="1">
      <c r="B83" s="278"/>
      <c r="C83" s="1395" t="s">
        <v>796</v>
      </c>
      <c r="D83" s="1395"/>
      <c r="E83" s="1395"/>
      <c r="F83" s="1395"/>
      <c r="G83" s="828"/>
      <c r="H83" s="838">
        <f>+TaxRates_InvalidOffset/365</f>
        <v>8.6082191780821926</v>
      </c>
      <c r="I83" s="360"/>
    </row>
    <row r="84" spans="2:9" ht="17.25" customHeight="1">
      <c r="B84" s="278"/>
      <c r="C84" s="820" t="s">
        <v>795</v>
      </c>
      <c r="D84" s="820"/>
      <c r="E84" s="820"/>
      <c r="F84" s="820"/>
      <c r="G84" s="828"/>
      <c r="H84" s="828">
        <v>112578</v>
      </c>
      <c r="I84" s="360"/>
    </row>
    <row r="85" spans="2:9" ht="7.5" customHeight="1">
      <c r="B85" s="276"/>
      <c r="C85" s="275"/>
      <c r="D85" s="275"/>
      <c r="E85" s="275"/>
      <c r="F85" s="275"/>
      <c r="G85" s="275"/>
      <c r="H85" s="275"/>
      <c r="I85" s="274"/>
    </row>
    <row r="86" spans="2:9" ht="7.5" customHeight="1"/>
    <row r="87" spans="2:9" ht="22.5" customHeight="1">
      <c r="B87" s="1396" t="s">
        <v>794</v>
      </c>
      <c r="C87" s="1397"/>
      <c r="D87" s="1397"/>
      <c r="E87" s="1398"/>
    </row>
    <row r="88" spans="2:9" ht="7.5" customHeight="1">
      <c r="B88" s="875"/>
      <c r="C88" s="874"/>
      <c r="D88" s="874"/>
      <c r="E88" s="873"/>
      <c r="F88" s="364"/>
      <c r="G88" s="364"/>
      <c r="H88" s="364"/>
      <c r="I88" s="407"/>
    </row>
    <row r="89" spans="2:9" ht="17.25" customHeight="1">
      <c r="B89" s="278"/>
      <c r="C89" s="872" t="s">
        <v>793</v>
      </c>
      <c r="D89" s="872"/>
      <c r="E89" s="872"/>
      <c r="F89" s="872"/>
      <c r="H89" s="871" t="s">
        <v>792</v>
      </c>
      <c r="I89" s="143"/>
    </row>
    <row r="90" spans="2:9" ht="17.25" customHeight="1">
      <c r="B90" s="278"/>
      <c r="C90" s="820" t="s">
        <v>791</v>
      </c>
      <c r="D90" s="828">
        <v>51550</v>
      </c>
      <c r="E90" s="820"/>
      <c r="F90" s="868"/>
      <c r="H90" s="846">
        <v>0</v>
      </c>
      <c r="I90" s="143"/>
    </row>
    <row r="91" spans="2:9" ht="17.25" customHeight="1">
      <c r="B91" s="278"/>
      <c r="C91" s="820" t="s">
        <v>776</v>
      </c>
      <c r="D91" s="828">
        <f>D90</f>
        <v>51550</v>
      </c>
      <c r="E91" s="820" t="s">
        <v>743</v>
      </c>
      <c r="F91" s="828">
        <v>59518</v>
      </c>
      <c r="H91" s="846">
        <v>0.01</v>
      </c>
      <c r="I91" s="143"/>
    </row>
    <row r="92" spans="2:9" ht="17.25" customHeight="1">
      <c r="B92" s="278"/>
      <c r="C92" s="820" t="s">
        <v>776</v>
      </c>
      <c r="D92" s="828">
        <f t="shared" ref="D92:D108" si="0">F91+1</f>
        <v>59519</v>
      </c>
      <c r="E92" s="820" t="s">
        <v>743</v>
      </c>
      <c r="F92" s="828">
        <v>63089</v>
      </c>
      <c r="H92" s="846">
        <v>0.02</v>
      </c>
      <c r="I92" s="143"/>
    </row>
    <row r="93" spans="2:9" ht="17.25" customHeight="1">
      <c r="B93" s="278"/>
      <c r="C93" s="820" t="s">
        <v>776</v>
      </c>
      <c r="D93" s="828">
        <f t="shared" si="0"/>
        <v>63090</v>
      </c>
      <c r="E93" s="820" t="s">
        <v>743</v>
      </c>
      <c r="F93" s="828">
        <v>66875</v>
      </c>
      <c r="H93" s="846">
        <v>2.5000000000000001E-2</v>
      </c>
      <c r="I93" s="143"/>
    </row>
    <row r="94" spans="2:9" ht="17.25" customHeight="1">
      <c r="B94" s="278"/>
      <c r="C94" s="820" t="s">
        <v>776</v>
      </c>
      <c r="D94" s="828">
        <f t="shared" si="0"/>
        <v>66876</v>
      </c>
      <c r="E94" s="820" t="s">
        <v>743</v>
      </c>
      <c r="F94" s="828">
        <v>70888</v>
      </c>
      <c r="H94" s="846">
        <v>0.03</v>
      </c>
      <c r="I94" s="143"/>
    </row>
    <row r="95" spans="2:9" ht="17.25" customHeight="1">
      <c r="B95" s="278"/>
      <c r="C95" s="820" t="s">
        <v>776</v>
      </c>
      <c r="D95" s="828">
        <f t="shared" si="0"/>
        <v>70889</v>
      </c>
      <c r="E95" s="820" t="s">
        <v>743</v>
      </c>
      <c r="F95" s="828">
        <v>75140</v>
      </c>
      <c r="H95" s="846">
        <v>3.5000000000000003E-2</v>
      </c>
      <c r="I95" s="143"/>
    </row>
    <row r="96" spans="2:9" ht="17.25" customHeight="1">
      <c r="B96" s="278"/>
      <c r="C96" s="820" t="s">
        <v>776</v>
      </c>
      <c r="D96" s="828">
        <f t="shared" si="0"/>
        <v>75141</v>
      </c>
      <c r="E96" s="820" t="s">
        <v>743</v>
      </c>
      <c r="F96" s="828">
        <v>79649</v>
      </c>
      <c r="H96" s="846">
        <v>0.04</v>
      </c>
      <c r="I96" s="143"/>
    </row>
    <row r="97" spans="1:9" ht="17.25" customHeight="1">
      <c r="B97" s="278"/>
      <c r="C97" s="820" t="s">
        <v>776</v>
      </c>
      <c r="D97" s="828">
        <f t="shared" si="0"/>
        <v>79650</v>
      </c>
      <c r="E97" s="820" t="s">
        <v>743</v>
      </c>
      <c r="F97" s="828">
        <v>84429</v>
      </c>
      <c r="H97" s="846">
        <v>4.4999999999999998E-2</v>
      </c>
      <c r="I97" s="143"/>
    </row>
    <row r="98" spans="1:9" ht="17.25" customHeight="1">
      <c r="B98" s="278"/>
      <c r="C98" s="820" t="s">
        <v>776</v>
      </c>
      <c r="D98" s="828">
        <f t="shared" si="0"/>
        <v>84430</v>
      </c>
      <c r="E98" s="820" t="s">
        <v>743</v>
      </c>
      <c r="F98" s="828">
        <v>89494</v>
      </c>
      <c r="H98" s="846">
        <v>0.05</v>
      </c>
      <c r="I98" s="143"/>
    </row>
    <row r="99" spans="1:9" ht="17.25" customHeight="1">
      <c r="B99" s="278"/>
      <c r="C99" s="820" t="s">
        <v>776</v>
      </c>
      <c r="D99" s="828">
        <f t="shared" si="0"/>
        <v>89495</v>
      </c>
      <c r="E99" s="820" t="s">
        <v>743</v>
      </c>
      <c r="F99" s="828">
        <v>94865</v>
      </c>
      <c r="H99" s="846">
        <v>5.5E-2</v>
      </c>
      <c r="I99" s="143"/>
    </row>
    <row r="100" spans="1:9" ht="17.25" customHeight="1">
      <c r="B100" s="278"/>
      <c r="C100" s="820" t="s">
        <v>776</v>
      </c>
      <c r="D100" s="828">
        <f t="shared" si="0"/>
        <v>94866</v>
      </c>
      <c r="E100" s="820" t="s">
        <v>743</v>
      </c>
      <c r="F100" s="828">
        <v>100557</v>
      </c>
      <c r="H100" s="846">
        <v>0.06</v>
      </c>
      <c r="I100" s="143"/>
    </row>
    <row r="101" spans="1:9" ht="17.25" customHeight="1">
      <c r="B101" s="278"/>
      <c r="C101" s="820" t="s">
        <v>776</v>
      </c>
      <c r="D101" s="828">
        <f t="shared" si="0"/>
        <v>100558</v>
      </c>
      <c r="E101" s="820" t="s">
        <v>743</v>
      </c>
      <c r="F101" s="828">
        <v>106590</v>
      </c>
      <c r="H101" s="846">
        <v>6.5000000000000002E-2</v>
      </c>
      <c r="I101" s="143"/>
    </row>
    <row r="102" spans="1:9" ht="17.25" customHeight="1">
      <c r="B102" s="278"/>
      <c r="C102" s="820" t="s">
        <v>776</v>
      </c>
      <c r="D102" s="828">
        <f t="shared" si="0"/>
        <v>106591</v>
      </c>
      <c r="E102" s="820" t="s">
        <v>743</v>
      </c>
      <c r="F102" s="828">
        <v>112985</v>
      </c>
      <c r="H102" s="846">
        <v>7.0000000000000007E-2</v>
      </c>
      <c r="I102" s="143"/>
    </row>
    <row r="103" spans="1:9" ht="17.25" customHeight="1">
      <c r="B103" s="278"/>
      <c r="C103" s="820" t="s">
        <v>776</v>
      </c>
      <c r="D103" s="828">
        <f t="shared" si="0"/>
        <v>112986</v>
      </c>
      <c r="E103" s="820" t="s">
        <v>743</v>
      </c>
      <c r="F103" s="828">
        <v>119764</v>
      </c>
      <c r="H103" s="846">
        <v>7.4999999999999997E-2</v>
      </c>
      <c r="I103" s="143"/>
    </row>
    <row r="104" spans="1:9" ht="17.25" customHeight="1">
      <c r="B104" s="278"/>
      <c r="C104" s="820" t="s">
        <v>776</v>
      </c>
      <c r="D104" s="828">
        <f t="shared" si="0"/>
        <v>119765</v>
      </c>
      <c r="E104" s="820" t="s">
        <v>743</v>
      </c>
      <c r="F104" s="828">
        <v>126950</v>
      </c>
      <c r="H104" s="846">
        <v>0.08</v>
      </c>
      <c r="I104" s="143"/>
    </row>
    <row r="105" spans="1:9" ht="17.25" customHeight="1">
      <c r="B105" s="278"/>
      <c r="C105" s="820" t="s">
        <v>776</v>
      </c>
      <c r="D105" s="828">
        <f t="shared" si="0"/>
        <v>126951</v>
      </c>
      <c r="E105" s="820" t="s">
        <v>743</v>
      </c>
      <c r="F105" s="828">
        <v>134568</v>
      </c>
      <c r="H105" s="846">
        <v>8.5000000000000006E-2</v>
      </c>
      <c r="I105" s="143"/>
    </row>
    <row r="106" spans="1:9" ht="17.25" customHeight="1">
      <c r="B106" s="278"/>
      <c r="C106" s="820" t="s">
        <v>776</v>
      </c>
      <c r="D106" s="828">
        <f t="shared" si="0"/>
        <v>134569</v>
      </c>
      <c r="E106" s="820" t="s">
        <v>743</v>
      </c>
      <c r="F106" s="828">
        <v>142642</v>
      </c>
      <c r="H106" s="846">
        <v>9.0000000000000094E-2</v>
      </c>
      <c r="I106" s="143"/>
    </row>
    <row r="107" spans="1:9" ht="17.25" customHeight="1">
      <c r="B107" s="278"/>
      <c r="C107" s="820" t="s">
        <v>776</v>
      </c>
      <c r="D107" s="828">
        <f t="shared" si="0"/>
        <v>142643</v>
      </c>
      <c r="E107" s="820" t="s">
        <v>743</v>
      </c>
      <c r="F107" s="828">
        <v>151200</v>
      </c>
      <c r="H107" s="846">
        <v>9.5000000000000195E-2</v>
      </c>
      <c r="I107" s="143"/>
    </row>
    <row r="108" spans="1:9" ht="17.25" customHeight="1">
      <c r="B108" s="278"/>
      <c r="C108" s="820" t="s">
        <v>790</v>
      </c>
      <c r="D108" s="828">
        <f t="shared" si="0"/>
        <v>151201</v>
      </c>
      <c r="F108" s="828"/>
      <c r="H108" s="846">
        <v>0.1</v>
      </c>
      <c r="I108" s="143"/>
    </row>
    <row r="109" spans="1:9" ht="7.5" customHeight="1">
      <c r="B109" s="435"/>
      <c r="C109" s="138"/>
      <c r="D109" s="138"/>
      <c r="E109" s="138"/>
      <c r="F109" s="138"/>
      <c r="G109" s="138"/>
      <c r="H109" s="138"/>
      <c r="I109" s="137"/>
    </row>
    <row r="110" spans="1:9" ht="7.5" customHeight="1"/>
    <row r="111" spans="1:9" ht="17.25" customHeight="1"/>
    <row r="112" spans="1:9" ht="22.5" customHeight="1">
      <c r="A112" s="856" t="str">
        <f>IF(SUBTOTAL(103,B113),"-","+")</f>
        <v>+</v>
      </c>
      <c r="B112" s="1391" t="s">
        <v>789</v>
      </c>
      <c r="C112" s="1391"/>
      <c r="D112" s="1391"/>
      <c r="E112" s="1391"/>
    </row>
    <row r="113" spans="2:9" ht="7.5" hidden="1" customHeight="1">
      <c r="B113" s="65" t="s">
        <v>58</v>
      </c>
    </row>
    <row r="114" spans="2:9" ht="22.5" hidden="1" customHeight="1">
      <c r="B114" s="1396" t="s">
        <v>788</v>
      </c>
      <c r="C114" s="1397"/>
      <c r="D114" s="1397"/>
      <c r="E114" s="1398"/>
    </row>
    <row r="115" spans="2:9" ht="7.5" hidden="1" customHeight="1">
      <c r="B115" s="1399"/>
      <c r="C115" s="1400"/>
      <c r="D115" s="1400"/>
      <c r="E115" s="1400"/>
      <c r="F115" s="1400"/>
      <c r="G115" s="1400"/>
      <c r="H115" s="1400"/>
      <c r="I115" s="1401"/>
    </row>
    <row r="116" spans="2:9" ht="17.25" hidden="1" customHeight="1">
      <c r="B116" s="821"/>
      <c r="C116" s="820" t="s">
        <v>787</v>
      </c>
      <c r="D116" s="820"/>
      <c r="E116" s="820"/>
      <c r="F116" s="820"/>
      <c r="G116" s="820"/>
      <c r="H116" s="847">
        <v>0.3</v>
      </c>
      <c r="I116" s="864"/>
    </row>
    <row r="117" spans="2:9" ht="17.25" hidden="1" customHeight="1">
      <c r="B117" s="821"/>
      <c r="C117" s="820" t="s">
        <v>786</v>
      </c>
      <c r="D117" s="820"/>
      <c r="E117" s="820"/>
      <c r="F117" s="820"/>
      <c r="G117" s="820"/>
      <c r="H117" s="842">
        <v>0.25</v>
      </c>
      <c r="I117" s="864"/>
    </row>
    <row r="118" spans="2:9" ht="17.25" hidden="1" customHeight="1">
      <c r="B118" s="821"/>
      <c r="C118" s="1395" t="s">
        <v>785</v>
      </c>
      <c r="D118" s="1402"/>
      <c r="E118" s="1402"/>
      <c r="F118" s="1402"/>
      <c r="H118" s="828">
        <v>50000000</v>
      </c>
      <c r="I118" s="864"/>
    </row>
    <row r="119" spans="2:9" ht="7.5" hidden="1" customHeight="1">
      <c r="B119" s="863"/>
      <c r="C119" s="862"/>
      <c r="D119" s="862"/>
      <c r="E119" s="862"/>
      <c r="F119" s="862"/>
      <c r="G119" s="862"/>
      <c r="H119" s="861"/>
      <c r="I119" s="860"/>
    </row>
    <row r="120" spans="2:9" ht="7.5" hidden="1" customHeight="1">
      <c r="B120" s="835"/>
      <c r="C120" s="835"/>
      <c r="D120" s="835"/>
      <c r="E120" s="835"/>
      <c r="F120" s="835"/>
      <c r="G120" s="835"/>
      <c r="H120" s="835"/>
      <c r="I120" s="835"/>
    </row>
    <row r="121" spans="2:9" ht="22.5" hidden="1" customHeight="1">
      <c r="B121" s="1396" t="s">
        <v>784</v>
      </c>
      <c r="C121" s="1397"/>
      <c r="D121" s="1397"/>
      <c r="E121" s="1398"/>
    </row>
    <row r="122" spans="2:9" ht="7.5" hidden="1" customHeight="1">
      <c r="B122" s="866"/>
      <c r="C122" s="802"/>
      <c r="D122" s="802"/>
      <c r="E122" s="865"/>
      <c r="F122" s="165"/>
      <c r="G122" s="165"/>
      <c r="H122" s="165"/>
      <c r="I122" s="361"/>
    </row>
    <row r="123" spans="2:9" ht="17.25" hidden="1" customHeight="1">
      <c r="B123" s="278"/>
      <c r="C123" s="820" t="s">
        <v>783</v>
      </c>
      <c r="H123" s="870">
        <v>0.16</v>
      </c>
      <c r="I123" s="869"/>
    </row>
    <row r="124" spans="2:9" ht="17.25" hidden="1" customHeight="1">
      <c r="B124" s="278"/>
      <c r="C124" s="820" t="s">
        <v>782</v>
      </c>
      <c r="H124" s="828">
        <v>1000</v>
      </c>
      <c r="I124" s="360"/>
    </row>
    <row r="125" spans="2:9" ht="17.25" hidden="1" customHeight="1">
      <c r="B125" s="278"/>
      <c r="C125" s="1395" t="s">
        <v>781</v>
      </c>
      <c r="D125" s="1402"/>
      <c r="E125" s="1402"/>
      <c r="F125" s="1402"/>
      <c r="H125" s="828">
        <v>5000000</v>
      </c>
      <c r="I125" s="360"/>
    </row>
    <row r="126" spans="2:9" ht="7.5" hidden="1" customHeight="1">
      <c r="B126" s="276"/>
      <c r="C126" s="275"/>
      <c r="D126" s="275"/>
      <c r="E126" s="275"/>
      <c r="F126" s="275"/>
      <c r="G126" s="275"/>
      <c r="H126" s="275"/>
      <c r="I126" s="274"/>
    </row>
    <row r="127" spans="2:9" ht="7.5" hidden="1" customHeight="1"/>
    <row r="128" spans="2:9" ht="17.25" customHeight="1">
      <c r="B128" s="835"/>
      <c r="C128" s="835"/>
      <c r="D128" s="835"/>
      <c r="E128" s="835"/>
      <c r="F128" s="835"/>
      <c r="G128" s="835"/>
      <c r="H128" s="835"/>
      <c r="I128" s="835"/>
    </row>
    <row r="129" spans="1:9" ht="22.5" customHeight="1">
      <c r="A129" s="856" t="str">
        <f>IF(SUBTOTAL(103,B130),"-","+")</f>
        <v>+</v>
      </c>
      <c r="B129" s="1391" t="s">
        <v>780</v>
      </c>
      <c r="C129" s="1391"/>
      <c r="D129" s="1391"/>
      <c r="E129" s="1391"/>
      <c r="F129" s="835"/>
      <c r="G129" s="835"/>
      <c r="H129" s="835"/>
      <c r="I129" s="835"/>
    </row>
    <row r="130" spans="1:9" ht="7.5" hidden="1" customHeight="1">
      <c r="B130" s="835" t="s">
        <v>58</v>
      </c>
      <c r="C130" s="835"/>
      <c r="D130" s="835"/>
      <c r="E130" s="835"/>
      <c r="F130" s="835"/>
      <c r="G130" s="835"/>
      <c r="H130" s="835"/>
      <c r="I130" s="835"/>
    </row>
    <row r="131" spans="1:9" ht="22.5" hidden="1" customHeight="1">
      <c r="B131" s="1396" t="s">
        <v>779</v>
      </c>
      <c r="C131" s="1397"/>
      <c r="D131" s="1397"/>
      <c r="E131" s="1398"/>
    </row>
    <row r="132" spans="1:9" ht="7.5" hidden="1" customHeight="1">
      <c r="B132" s="866"/>
      <c r="C132" s="802"/>
      <c r="D132" s="802"/>
      <c r="E132" s="165"/>
      <c r="F132" s="165"/>
      <c r="G132" s="165"/>
      <c r="H132" s="165"/>
      <c r="I132" s="361"/>
    </row>
    <row r="133" spans="1:9" ht="17.25" hidden="1" customHeight="1">
      <c r="B133" s="821"/>
      <c r="C133" s="820" t="s">
        <v>778</v>
      </c>
      <c r="D133" s="828">
        <v>416</v>
      </c>
      <c r="E133" s="820"/>
      <c r="F133" s="868"/>
      <c r="G133" s="868"/>
      <c r="H133" s="847">
        <v>0</v>
      </c>
      <c r="I133" s="864"/>
    </row>
    <row r="134" spans="1:9" ht="17.25" hidden="1" customHeight="1">
      <c r="B134" s="821"/>
      <c r="C134" s="820" t="s">
        <v>776</v>
      </c>
      <c r="D134" s="828">
        <f>D133+1</f>
        <v>417</v>
      </c>
      <c r="E134" s="820" t="s">
        <v>743</v>
      </c>
      <c r="F134" s="868">
        <v>670</v>
      </c>
      <c r="G134" s="868"/>
      <c r="H134" s="847">
        <v>0.5</v>
      </c>
      <c r="I134" s="864"/>
    </row>
    <row r="135" spans="1:9" ht="17.25" hidden="1" customHeight="1">
      <c r="B135" s="821"/>
      <c r="C135" s="820" t="s">
        <v>776</v>
      </c>
      <c r="D135" s="828">
        <f>F134+1</f>
        <v>671</v>
      </c>
      <c r="E135" s="820" t="s">
        <v>743</v>
      </c>
      <c r="F135" s="868">
        <v>45000</v>
      </c>
      <c r="G135" s="868"/>
      <c r="H135" s="847">
        <v>0.19</v>
      </c>
      <c r="I135" s="869" t="s">
        <v>777</v>
      </c>
    </row>
    <row r="136" spans="1:9" ht="17.25" hidden="1" customHeight="1">
      <c r="B136" s="821"/>
      <c r="C136" s="820" t="s">
        <v>776</v>
      </c>
      <c r="D136" s="828">
        <f>F135+1</f>
        <v>45001</v>
      </c>
      <c r="E136" s="820" t="s">
        <v>743</v>
      </c>
      <c r="F136" s="868">
        <v>120000</v>
      </c>
      <c r="G136" s="868"/>
      <c r="H136" s="842">
        <v>0.32500000000000001</v>
      </c>
      <c r="I136" s="864"/>
    </row>
    <row r="137" spans="1:9" ht="17.25" hidden="1" customHeight="1">
      <c r="B137" s="821"/>
      <c r="C137" s="820" t="s">
        <v>776</v>
      </c>
      <c r="D137" s="828">
        <f>F136+1</f>
        <v>120001</v>
      </c>
      <c r="E137" s="820" t="s">
        <v>743</v>
      </c>
      <c r="F137" s="868">
        <v>180000</v>
      </c>
      <c r="G137" s="868"/>
      <c r="H137" s="847">
        <v>0.37</v>
      </c>
      <c r="I137" s="864"/>
    </row>
    <row r="138" spans="1:9" ht="17.25" hidden="1" customHeight="1">
      <c r="B138" s="821"/>
      <c r="C138" s="820" t="s">
        <v>775</v>
      </c>
      <c r="D138" s="828">
        <f>F137+1</f>
        <v>180001</v>
      </c>
      <c r="E138" s="820"/>
      <c r="F138" s="868"/>
      <c r="G138" s="868"/>
      <c r="H138" s="847">
        <v>0.45</v>
      </c>
      <c r="I138" s="864"/>
    </row>
    <row r="139" spans="1:9" ht="17.25" hidden="1" customHeight="1">
      <c r="B139" s="821"/>
      <c r="C139" s="1395" t="s">
        <v>774</v>
      </c>
      <c r="D139" s="1404"/>
      <c r="E139" s="1404"/>
      <c r="F139" s="1404"/>
      <c r="G139" s="1404"/>
      <c r="H139" s="1404"/>
      <c r="I139" s="864"/>
    </row>
    <row r="140" spans="1:9" ht="7.5" hidden="1" customHeight="1">
      <c r="B140" s="863"/>
      <c r="C140" s="862"/>
      <c r="D140" s="88"/>
      <c r="E140" s="88"/>
      <c r="F140" s="88"/>
      <c r="G140" s="88"/>
      <c r="H140" s="88"/>
      <c r="I140" s="860"/>
    </row>
    <row r="141" spans="1:9" ht="7.5" hidden="1" customHeight="1">
      <c r="B141" s="835"/>
      <c r="C141" s="835"/>
      <c r="D141" s="835"/>
      <c r="E141" s="835"/>
      <c r="F141" s="835"/>
      <c r="G141" s="835"/>
      <c r="H141" s="835"/>
      <c r="I141" s="835"/>
    </row>
    <row r="142" spans="1:9" ht="17.25" customHeight="1">
      <c r="B142" s="835"/>
      <c r="C142" s="835"/>
      <c r="D142" s="835"/>
      <c r="E142" s="835"/>
      <c r="F142" s="835"/>
      <c r="G142" s="835"/>
      <c r="H142" s="835"/>
      <c r="I142" s="835"/>
    </row>
    <row r="143" spans="1:9" ht="22.5" customHeight="1">
      <c r="A143" s="856" t="str">
        <f>IF(SUBTOTAL(103,B144),"-","+")</f>
        <v>+</v>
      </c>
      <c r="B143" s="1391" t="s">
        <v>682</v>
      </c>
      <c r="C143" s="1391"/>
      <c r="D143" s="1391"/>
      <c r="E143" s="1391"/>
      <c r="F143" s="835"/>
      <c r="G143" s="835"/>
      <c r="H143" s="835"/>
      <c r="I143" s="835"/>
    </row>
    <row r="144" spans="1:9" ht="7.5" hidden="1" customHeight="1">
      <c r="B144" s="835" t="s">
        <v>58</v>
      </c>
      <c r="C144" s="835"/>
      <c r="D144" s="835"/>
      <c r="E144" s="835"/>
      <c r="F144" s="835"/>
      <c r="G144" s="835"/>
      <c r="H144" s="835"/>
      <c r="I144" s="835"/>
    </row>
    <row r="145" spans="2:9" ht="22.5" hidden="1" customHeight="1">
      <c r="B145" s="1396" t="s">
        <v>773</v>
      </c>
      <c r="C145" s="1397"/>
      <c r="D145" s="1397"/>
      <c r="E145" s="1398"/>
    </row>
    <row r="146" spans="2:9" ht="7.5" hidden="1" customHeight="1">
      <c r="B146" s="866"/>
      <c r="C146" s="802"/>
      <c r="D146" s="802"/>
      <c r="E146" s="865"/>
      <c r="F146" s="165"/>
      <c r="G146" s="165"/>
      <c r="H146" s="165"/>
      <c r="I146" s="361"/>
    </row>
    <row r="147" spans="2:9" ht="17.25" hidden="1" customHeight="1">
      <c r="B147" s="821"/>
      <c r="C147" s="820" t="s">
        <v>772</v>
      </c>
      <c r="D147" s="820"/>
      <c r="E147" s="820"/>
      <c r="F147" s="820"/>
      <c r="G147" s="820"/>
      <c r="H147" s="847">
        <v>0.15</v>
      </c>
      <c r="I147" s="864"/>
    </row>
    <row r="148" spans="2:9" ht="7.5" hidden="1" customHeight="1">
      <c r="B148" s="863"/>
      <c r="C148" s="862"/>
      <c r="D148" s="862"/>
      <c r="E148" s="862"/>
      <c r="F148" s="862"/>
      <c r="G148" s="862"/>
      <c r="H148" s="861"/>
      <c r="I148" s="860"/>
    </row>
    <row r="149" spans="2:9" ht="7.5" hidden="1" customHeight="1">
      <c r="B149" s="835"/>
      <c r="C149" s="835"/>
      <c r="D149" s="835"/>
      <c r="E149" s="835"/>
      <c r="F149" s="835"/>
      <c r="G149" s="835"/>
      <c r="H149" s="835"/>
      <c r="I149" s="835"/>
    </row>
    <row r="150" spans="2:9" ht="22.5" hidden="1" customHeight="1">
      <c r="B150" s="1396" t="s">
        <v>771</v>
      </c>
      <c r="C150" s="1397"/>
      <c r="D150" s="1397"/>
      <c r="E150" s="1398"/>
      <c r="I150" s="835"/>
    </row>
    <row r="151" spans="2:9" ht="7.5" hidden="1" customHeight="1">
      <c r="B151" s="365"/>
      <c r="C151" s="364"/>
      <c r="D151" s="364"/>
      <c r="E151" s="364"/>
      <c r="F151" s="364"/>
      <c r="G151" s="364"/>
      <c r="H151" s="364"/>
      <c r="I151" s="859"/>
    </row>
    <row r="152" spans="2:9" ht="17.25" hidden="1" customHeight="1">
      <c r="B152" s="278"/>
      <c r="C152" s="820" t="s">
        <v>770</v>
      </c>
      <c r="D152" s="820"/>
      <c r="E152" s="820"/>
      <c r="F152" s="820"/>
      <c r="H152" s="828">
        <v>27500</v>
      </c>
      <c r="I152" s="858"/>
    </row>
    <row r="153" spans="2:9" ht="7.5" hidden="1" customHeight="1">
      <c r="B153" s="435"/>
      <c r="C153" s="138"/>
      <c r="D153" s="138"/>
      <c r="E153" s="138"/>
      <c r="F153" s="138"/>
      <c r="G153" s="138"/>
      <c r="H153" s="138"/>
      <c r="I153" s="857"/>
    </row>
    <row r="154" spans="2:9" ht="7.5" hidden="1" customHeight="1">
      <c r="I154" s="835"/>
    </row>
    <row r="155" spans="2:9" ht="22.5" hidden="1" customHeight="1">
      <c r="B155" s="1396" t="s">
        <v>769</v>
      </c>
      <c r="C155" s="1397"/>
      <c r="D155" s="1397"/>
      <c r="E155" s="1398"/>
      <c r="I155" s="835"/>
    </row>
    <row r="156" spans="2:9" ht="7.5" hidden="1" customHeight="1">
      <c r="B156" s="365"/>
      <c r="C156" s="364"/>
      <c r="D156" s="364"/>
      <c r="E156" s="364"/>
      <c r="F156" s="364"/>
      <c r="G156" s="364"/>
      <c r="H156" s="364"/>
      <c r="I156" s="859"/>
    </row>
    <row r="157" spans="2:9" ht="17.25" hidden="1" customHeight="1">
      <c r="B157" s="278"/>
      <c r="C157" s="1395" t="s">
        <v>768</v>
      </c>
      <c r="D157" s="1395"/>
      <c r="E157" s="1395"/>
      <c r="F157" s="1395"/>
      <c r="H157" s="828">
        <v>249080</v>
      </c>
      <c r="I157" s="858"/>
    </row>
    <row r="158" spans="2:9" ht="17.25" hidden="1" customHeight="1">
      <c r="B158" s="278"/>
      <c r="C158" s="1395" t="s">
        <v>767</v>
      </c>
      <c r="D158" s="1395"/>
      <c r="H158" s="842">
        <v>0.11</v>
      </c>
      <c r="I158" s="858"/>
    </row>
    <row r="159" spans="2:9" ht="7.5" hidden="1" customHeight="1">
      <c r="B159" s="435"/>
      <c r="C159" s="138"/>
      <c r="D159" s="138"/>
      <c r="E159" s="138"/>
      <c r="F159" s="138"/>
      <c r="G159" s="138"/>
      <c r="H159" s="138"/>
      <c r="I159" s="857"/>
    </row>
    <row r="160" spans="2:9" ht="7.5" hidden="1" customHeight="1">
      <c r="I160" s="835"/>
    </row>
    <row r="161" spans="1:9" ht="17.25" customHeight="1">
      <c r="B161" s="835"/>
      <c r="C161" s="835"/>
      <c r="D161" s="835"/>
      <c r="E161" s="835"/>
      <c r="F161" s="835"/>
      <c r="G161" s="835"/>
      <c r="H161" s="835"/>
      <c r="I161" s="835"/>
    </row>
    <row r="162" spans="1:9" ht="22.5" customHeight="1">
      <c r="A162" s="856" t="str">
        <f>IF(SUBTOTAL(103,B163),"-","+")</f>
        <v>+</v>
      </c>
      <c r="B162" s="1391" t="s">
        <v>766</v>
      </c>
      <c r="C162" s="1391"/>
      <c r="D162" s="1391"/>
      <c r="E162" s="1391"/>
      <c r="F162" s="835"/>
      <c r="G162" s="835"/>
      <c r="H162" s="835"/>
      <c r="I162" s="835"/>
    </row>
    <row r="163" spans="1:9" ht="7.5" hidden="1" customHeight="1">
      <c r="B163" s="835" t="s">
        <v>58</v>
      </c>
      <c r="C163" s="835"/>
      <c r="D163" s="835"/>
      <c r="E163" s="835"/>
      <c r="F163" s="835"/>
      <c r="G163" s="835"/>
      <c r="H163" s="835"/>
      <c r="I163" s="835"/>
    </row>
    <row r="164" spans="1:9" ht="22.5" hidden="1" customHeight="1">
      <c r="B164" s="1396" t="s">
        <v>765</v>
      </c>
      <c r="C164" s="1397"/>
      <c r="D164" s="1397"/>
      <c r="E164" s="1398"/>
    </row>
    <row r="165" spans="1:9" ht="7.5" hidden="1" customHeight="1">
      <c r="B165" s="362"/>
      <c r="C165" s="852"/>
      <c r="D165" s="165"/>
      <c r="E165" s="165"/>
      <c r="F165" s="165"/>
      <c r="G165" s="165"/>
      <c r="H165" s="165"/>
      <c r="I165" s="361"/>
    </row>
    <row r="166" spans="1:9" ht="17.25" hidden="1" customHeight="1">
      <c r="B166" s="278"/>
      <c r="C166" s="18" t="s">
        <v>764</v>
      </c>
      <c r="H166" s="847">
        <v>0.47</v>
      </c>
      <c r="I166" s="360"/>
    </row>
    <row r="167" spans="1:9" ht="17.25" hidden="1" customHeight="1">
      <c r="B167" s="278"/>
      <c r="C167" s="855" t="s">
        <v>763</v>
      </c>
      <c r="H167" s="846">
        <v>7.7700000000000005E-2</v>
      </c>
      <c r="I167" s="360"/>
    </row>
    <row r="168" spans="1:9" ht="17.25" hidden="1" customHeight="1">
      <c r="B168" s="278"/>
      <c r="C168" s="855" t="s">
        <v>762</v>
      </c>
      <c r="H168" s="847">
        <v>0.47</v>
      </c>
      <c r="I168" s="360"/>
    </row>
    <row r="169" spans="1:9" ht="17.25" hidden="1" customHeight="1">
      <c r="B169" s="278"/>
      <c r="C169" s="1407" t="s">
        <v>761</v>
      </c>
      <c r="D169" s="1407"/>
      <c r="E169" s="1407"/>
      <c r="F169" s="1407"/>
      <c r="G169" s="1407"/>
      <c r="H169" s="1407"/>
      <c r="I169" s="360"/>
    </row>
    <row r="170" spans="1:9" ht="17.25" hidden="1" customHeight="1">
      <c r="B170" s="278"/>
      <c r="C170" s="820" t="s">
        <v>760</v>
      </c>
      <c r="H170" s="854">
        <v>2.0802</v>
      </c>
      <c r="I170" s="360"/>
    </row>
    <row r="171" spans="1:9" ht="17.25" hidden="1" customHeight="1">
      <c r="B171" s="278"/>
      <c r="C171" s="820" t="s">
        <v>759</v>
      </c>
      <c r="H171" s="854">
        <v>1.8868</v>
      </c>
      <c r="I171" s="360"/>
    </row>
    <row r="172" spans="1:9" ht="17.25" hidden="1" customHeight="1">
      <c r="B172" s="278"/>
      <c r="C172" s="849" t="s">
        <v>758</v>
      </c>
      <c r="H172" s="854"/>
      <c r="I172" s="360"/>
    </row>
    <row r="173" spans="1:9" ht="17.25" hidden="1" customHeight="1">
      <c r="B173" s="278"/>
      <c r="C173" s="1395" t="s">
        <v>757</v>
      </c>
      <c r="D173" s="1395"/>
      <c r="E173" s="1395"/>
      <c r="F173" s="1395"/>
      <c r="H173" s="828">
        <v>9786</v>
      </c>
      <c r="I173" s="360"/>
    </row>
    <row r="174" spans="1:9" ht="17.25" hidden="1" customHeight="1">
      <c r="B174" s="278"/>
      <c r="C174" s="1410" t="s">
        <v>756</v>
      </c>
      <c r="D174" s="1410"/>
      <c r="E174" s="1410"/>
      <c r="F174" s="1410"/>
      <c r="G174" s="1410"/>
      <c r="H174" s="854"/>
      <c r="I174" s="360"/>
    </row>
    <row r="175" spans="1:9" ht="17.25" hidden="1" customHeight="1">
      <c r="B175" s="278"/>
      <c r="C175" s="1395" t="s">
        <v>755</v>
      </c>
      <c r="D175" s="1395"/>
      <c r="E175" s="1395"/>
      <c r="F175" s="1395"/>
      <c r="H175" s="828">
        <v>2000</v>
      </c>
      <c r="I175" s="360"/>
    </row>
    <row r="176" spans="1:9" ht="17.25" hidden="1" customHeight="1">
      <c r="B176" s="278"/>
      <c r="C176" s="1395" t="s">
        <v>754</v>
      </c>
      <c r="D176" s="1395"/>
      <c r="E176" s="1395"/>
      <c r="F176" s="1395"/>
      <c r="H176" s="828">
        <v>3773</v>
      </c>
      <c r="I176" s="360"/>
    </row>
    <row r="177" spans="2:9" ht="7.5" hidden="1" customHeight="1">
      <c r="B177" s="276"/>
      <c r="C177" s="275"/>
      <c r="D177" s="275"/>
      <c r="E177" s="275"/>
      <c r="F177" s="275"/>
      <c r="G177" s="275"/>
      <c r="H177" s="275"/>
      <c r="I177" s="274"/>
    </row>
    <row r="178" spans="2:9" ht="7.5" hidden="1" customHeight="1"/>
    <row r="179" spans="2:9" ht="22.5" hidden="1" customHeight="1">
      <c r="B179" s="1396" t="s">
        <v>753</v>
      </c>
      <c r="C179" s="1397"/>
      <c r="D179" s="1397"/>
      <c r="E179" s="1398"/>
    </row>
    <row r="180" spans="2:9" ht="7.5" hidden="1" customHeight="1">
      <c r="B180" s="853"/>
      <c r="C180" s="852"/>
      <c r="D180" s="165"/>
      <c r="E180" s="165"/>
      <c r="F180" s="165"/>
      <c r="G180" s="165"/>
      <c r="H180" s="165"/>
      <c r="I180" s="520"/>
    </row>
    <row r="181" spans="2:9" ht="17.25" hidden="1" customHeight="1">
      <c r="B181" s="148"/>
      <c r="C181" s="849" t="s">
        <v>752</v>
      </c>
      <c r="D181" s="851"/>
      <c r="E181" s="848"/>
      <c r="H181" s="850">
        <v>0.85</v>
      </c>
      <c r="I181" s="143"/>
    </row>
    <row r="182" spans="2:9" ht="17.25" hidden="1" customHeight="1">
      <c r="B182" s="148"/>
      <c r="C182" s="1411" t="s">
        <v>751</v>
      </c>
      <c r="D182" s="1411"/>
      <c r="E182" s="820"/>
      <c r="H182" s="828">
        <v>68108</v>
      </c>
      <c r="I182" s="143"/>
    </row>
    <row r="183" spans="2:9" ht="16.899999999999999" hidden="1" customHeight="1">
      <c r="B183" s="148"/>
      <c r="C183" s="1407" t="s">
        <v>750</v>
      </c>
      <c r="D183" s="1407"/>
      <c r="E183" s="1407"/>
      <c r="F183" s="1407"/>
      <c r="G183" s="1407"/>
      <c r="H183" s="1407"/>
      <c r="I183" s="143"/>
    </row>
    <row r="184" spans="2:9" ht="17.25" hidden="1" customHeight="1">
      <c r="B184" s="148"/>
      <c r="C184" s="820" t="s">
        <v>748</v>
      </c>
      <c r="D184" s="841">
        <v>0</v>
      </c>
      <c r="E184" s="839" t="s">
        <v>747</v>
      </c>
      <c r="F184" s="841">
        <v>14999</v>
      </c>
      <c r="G184" s="848"/>
      <c r="H184" s="847">
        <v>0.26</v>
      </c>
      <c r="I184" s="143"/>
    </row>
    <row r="185" spans="2:9" ht="17.25" hidden="1" customHeight="1">
      <c r="B185" s="148"/>
      <c r="C185" s="820" t="s">
        <v>748</v>
      </c>
      <c r="D185" s="841">
        <v>15000</v>
      </c>
      <c r="E185" s="839" t="s">
        <v>747</v>
      </c>
      <c r="F185" s="841">
        <v>24999</v>
      </c>
      <c r="G185" s="848"/>
      <c r="H185" s="847">
        <v>0.2</v>
      </c>
      <c r="I185" s="143"/>
    </row>
    <row r="186" spans="2:9" ht="17.25" hidden="1" customHeight="1">
      <c r="B186" s="148"/>
      <c r="C186" s="820" t="s">
        <v>748</v>
      </c>
      <c r="D186" s="841">
        <v>25000</v>
      </c>
      <c r="E186" s="839" t="s">
        <v>747</v>
      </c>
      <c r="F186" s="841">
        <v>40000</v>
      </c>
      <c r="G186" s="848"/>
      <c r="H186" s="847">
        <v>0.11</v>
      </c>
      <c r="I186" s="143"/>
    </row>
    <row r="187" spans="2:9" ht="17.25" hidden="1" customHeight="1">
      <c r="B187" s="148"/>
      <c r="C187" s="820" t="s">
        <v>748</v>
      </c>
      <c r="D187" s="841">
        <v>40001</v>
      </c>
      <c r="E187" s="839" t="s">
        <v>747</v>
      </c>
      <c r="F187" s="841">
        <v>1000000</v>
      </c>
      <c r="G187" s="848"/>
      <c r="H187" s="847">
        <v>7.0000000000000007E-2</v>
      </c>
      <c r="I187" s="143"/>
    </row>
    <row r="188" spans="2:9" ht="17.25" hidden="1" customHeight="1">
      <c r="B188" s="148"/>
      <c r="C188" s="1407" t="s">
        <v>749</v>
      </c>
      <c r="D188" s="1407"/>
      <c r="E188" s="1407"/>
      <c r="F188" s="1407"/>
      <c r="G188" s="1407"/>
      <c r="H188" s="1407"/>
      <c r="I188" s="143"/>
    </row>
    <row r="189" spans="2:9" ht="17.25" hidden="1" customHeight="1">
      <c r="B189" s="148"/>
      <c r="C189" s="820" t="s">
        <v>748</v>
      </c>
      <c r="D189" s="841">
        <v>0</v>
      </c>
      <c r="E189" s="839" t="s">
        <v>747</v>
      </c>
      <c r="F189" s="841">
        <v>1000000</v>
      </c>
      <c r="G189" s="848"/>
      <c r="H189" s="847">
        <v>0.2</v>
      </c>
      <c r="I189" s="143"/>
    </row>
    <row r="190" spans="2:9" ht="17.25" hidden="1" customHeight="1">
      <c r="B190" s="148"/>
      <c r="C190" s="1407" t="s">
        <v>746</v>
      </c>
      <c r="D190" s="1407"/>
      <c r="E190" s="1407"/>
      <c r="F190" s="1407"/>
      <c r="G190" s="1407"/>
      <c r="H190" s="1407"/>
      <c r="I190" s="143"/>
    </row>
    <row r="191" spans="2:9" ht="17.25" hidden="1" customHeight="1">
      <c r="B191" s="148"/>
      <c r="C191" s="820" t="s">
        <v>745</v>
      </c>
      <c r="F191" s="844">
        <v>38847</v>
      </c>
      <c r="G191" s="843"/>
      <c r="H191" s="847">
        <v>0.25</v>
      </c>
      <c r="I191" s="143"/>
    </row>
    <row r="192" spans="2:9" ht="17.25" hidden="1" customHeight="1">
      <c r="B192" s="148"/>
      <c r="C192" s="820" t="s">
        <v>744</v>
      </c>
      <c r="D192" s="844">
        <v>37437</v>
      </c>
      <c r="E192" s="845" t="s">
        <v>743</v>
      </c>
      <c r="F192" s="844">
        <v>38846</v>
      </c>
      <c r="G192" s="843"/>
      <c r="H192" s="846">
        <v>0.1875</v>
      </c>
      <c r="I192" s="143"/>
    </row>
    <row r="193" spans="2:9" ht="17.25" hidden="1" customHeight="1">
      <c r="B193" s="148"/>
      <c r="C193" s="820" t="s">
        <v>742</v>
      </c>
      <c r="D193" s="843"/>
      <c r="E193" s="845"/>
      <c r="F193" s="844">
        <v>37438</v>
      </c>
      <c r="G193" s="843"/>
      <c r="H193" s="842">
        <v>0.22500000000000001</v>
      </c>
      <c r="I193" s="143"/>
    </row>
    <row r="194" spans="2:9" ht="17.25" hidden="1" customHeight="1">
      <c r="B194" s="148"/>
      <c r="C194" s="1407" t="s">
        <v>741</v>
      </c>
      <c r="D194" s="1407"/>
      <c r="E194" s="1407"/>
      <c r="F194" s="1407"/>
      <c r="G194" s="1407"/>
      <c r="H194" s="1407"/>
      <c r="I194" s="143"/>
    </row>
    <row r="195" spans="2:9" ht="17.25" hidden="1" customHeight="1">
      <c r="B195" s="148"/>
      <c r="C195" s="820" t="s">
        <v>738</v>
      </c>
      <c r="D195" s="841">
        <v>0</v>
      </c>
      <c r="E195" s="841" t="s">
        <v>740</v>
      </c>
      <c r="F195" s="841" t="s">
        <v>739</v>
      </c>
      <c r="G195" s="473"/>
      <c r="H195" s="838">
        <v>0.62</v>
      </c>
      <c r="I195" s="143"/>
    </row>
    <row r="196" spans="2:9" ht="17.25" hidden="1" customHeight="1">
      <c r="B196" s="148"/>
      <c r="C196" s="820" t="s">
        <v>738</v>
      </c>
      <c r="D196" s="841" t="s">
        <v>737</v>
      </c>
      <c r="E196" s="841"/>
      <c r="F196" s="841" t="s">
        <v>736</v>
      </c>
      <c r="G196" s="473"/>
      <c r="H196" s="838">
        <v>0.73</v>
      </c>
      <c r="I196" s="143"/>
    </row>
    <row r="197" spans="2:9" ht="17.25" hidden="1" customHeight="1">
      <c r="B197" s="148"/>
      <c r="C197" s="840" t="s">
        <v>735</v>
      </c>
      <c r="D197" s="839"/>
      <c r="E197" s="839"/>
      <c r="G197" s="473"/>
      <c r="H197" s="838">
        <v>0.18</v>
      </c>
      <c r="I197" s="143"/>
    </row>
    <row r="198" spans="2:9" ht="7.5" hidden="1" customHeight="1">
      <c r="B198" s="142"/>
      <c r="C198" s="138"/>
      <c r="D198" s="138"/>
      <c r="E198" s="138"/>
      <c r="F198" s="138"/>
      <c r="G198" s="138"/>
      <c r="H198" s="138"/>
      <c r="I198" s="137"/>
    </row>
    <row r="199" spans="2:9" ht="7.5" hidden="1" customHeight="1"/>
    <row r="200" spans="2:9" ht="22.5" hidden="1" customHeight="1">
      <c r="B200" s="1396" t="s">
        <v>734</v>
      </c>
      <c r="C200" s="1397"/>
      <c r="D200" s="1397"/>
      <c r="E200" s="1398"/>
      <c r="H200" s="835"/>
    </row>
    <row r="201" spans="2:9" ht="7.5" hidden="1" customHeight="1">
      <c r="B201" s="825"/>
      <c r="C201" s="824"/>
      <c r="D201" s="824"/>
      <c r="E201" s="824"/>
      <c r="F201" s="824"/>
      <c r="G201" s="824"/>
      <c r="H201" s="824"/>
      <c r="I201" s="407"/>
    </row>
    <row r="202" spans="2:9" ht="17.25" hidden="1" customHeight="1">
      <c r="B202" s="829"/>
      <c r="C202" s="820" t="s">
        <v>734</v>
      </c>
      <c r="D202" s="820"/>
      <c r="E202" s="820"/>
      <c r="F202" s="820"/>
      <c r="H202" s="837">
        <v>10.4</v>
      </c>
      <c r="I202" s="143"/>
    </row>
    <row r="203" spans="2:9" ht="7.5" hidden="1" customHeight="1">
      <c r="B203" s="827"/>
      <c r="C203" s="816"/>
      <c r="D203" s="816"/>
      <c r="E203" s="816"/>
      <c r="F203" s="816"/>
      <c r="G203" s="816"/>
      <c r="H203" s="816"/>
      <c r="I203" s="137"/>
    </row>
    <row r="204" spans="2:9" ht="7.5" hidden="1" customHeight="1"/>
    <row r="205" spans="2:9" ht="22.5" hidden="1" customHeight="1">
      <c r="B205" s="1396" t="s">
        <v>733</v>
      </c>
      <c r="C205" s="1397"/>
      <c r="D205" s="1397"/>
      <c r="E205" s="1398"/>
      <c r="F205" s="454"/>
      <c r="G205" s="836"/>
      <c r="H205" s="835"/>
    </row>
    <row r="206" spans="2:9" ht="7.5" hidden="1" customHeight="1">
      <c r="B206" s="834"/>
      <c r="C206" s="824"/>
      <c r="D206" s="833"/>
      <c r="E206" s="832"/>
      <c r="F206" s="831"/>
      <c r="G206" s="830"/>
      <c r="H206" s="824"/>
      <c r="I206" s="407"/>
    </row>
    <row r="207" spans="2:9" hidden="1">
      <c r="B207" s="829"/>
      <c r="C207" s="1395" t="s">
        <v>732</v>
      </c>
      <c r="D207" s="1395"/>
      <c r="E207" s="1395"/>
      <c r="F207" s="1395"/>
      <c r="G207" s="1395"/>
      <c r="H207" s="819"/>
      <c r="I207" s="143"/>
    </row>
    <row r="208" spans="2:9" hidden="1">
      <c r="B208" s="829"/>
      <c r="C208" s="1395" t="s">
        <v>731</v>
      </c>
      <c r="D208" s="1395"/>
      <c r="E208" s="819"/>
      <c r="F208" s="820"/>
      <c r="H208" s="828">
        <v>316</v>
      </c>
      <c r="I208" s="143"/>
    </row>
    <row r="209" spans="2:9" hidden="1">
      <c r="B209" s="829"/>
      <c r="C209" s="1395" t="s">
        <v>730</v>
      </c>
      <c r="D209" s="1395"/>
      <c r="E209" s="819"/>
      <c r="F209" s="820"/>
      <c r="H209" s="828">
        <v>474</v>
      </c>
      <c r="I209" s="143"/>
    </row>
    <row r="210" spans="2:9" hidden="1">
      <c r="B210" s="829"/>
      <c r="C210" s="1395" t="s">
        <v>729</v>
      </c>
      <c r="D210" s="1395"/>
      <c r="E210" s="819"/>
      <c r="F210" s="820"/>
      <c r="H210" s="828">
        <v>632</v>
      </c>
      <c r="I210" s="143"/>
    </row>
    <row r="211" spans="2:9" hidden="1">
      <c r="B211" s="829"/>
      <c r="C211" s="1395" t="s">
        <v>728</v>
      </c>
      <c r="D211" s="1395"/>
      <c r="E211" s="819"/>
      <c r="F211" s="820"/>
      <c r="H211" s="828">
        <v>395</v>
      </c>
      <c r="I211" s="143"/>
    </row>
    <row r="212" spans="2:9" hidden="1">
      <c r="B212" s="829"/>
      <c r="C212" s="1395" t="s">
        <v>727</v>
      </c>
      <c r="D212" s="1395"/>
      <c r="E212" s="819"/>
      <c r="F212" s="820"/>
      <c r="H212" s="828">
        <v>553</v>
      </c>
      <c r="I212" s="143"/>
    </row>
    <row r="213" spans="2:9" hidden="1">
      <c r="B213" s="829"/>
      <c r="C213" s="1395" t="s">
        <v>726</v>
      </c>
      <c r="D213" s="1395"/>
      <c r="E213" s="819"/>
      <c r="F213" s="820"/>
      <c r="H213" s="828">
        <v>632</v>
      </c>
      <c r="I213" s="143"/>
    </row>
    <row r="214" spans="2:9" hidden="1">
      <c r="B214" s="829"/>
      <c r="C214" s="1395" t="s">
        <v>725</v>
      </c>
      <c r="D214" s="1395"/>
      <c r="E214" s="819"/>
      <c r="F214" s="820"/>
      <c r="H214" s="828">
        <v>711</v>
      </c>
      <c r="I214" s="143"/>
    </row>
    <row r="215" spans="2:9" hidden="1">
      <c r="B215" s="829"/>
      <c r="C215" s="1395" t="s">
        <v>724</v>
      </c>
      <c r="D215" s="1395"/>
      <c r="E215" s="819"/>
      <c r="F215" s="820"/>
      <c r="H215" s="828">
        <v>711</v>
      </c>
      <c r="I215" s="143"/>
    </row>
    <row r="216" spans="2:9" hidden="1">
      <c r="B216" s="829"/>
      <c r="C216" s="1395" t="s">
        <v>723</v>
      </c>
      <c r="D216" s="1395"/>
      <c r="E216" s="819"/>
      <c r="F216" s="820"/>
      <c r="H216" s="828">
        <v>790</v>
      </c>
      <c r="I216" s="143"/>
    </row>
    <row r="217" spans="2:9" hidden="1">
      <c r="B217" s="829"/>
      <c r="C217" s="1395" t="s">
        <v>722</v>
      </c>
      <c r="D217" s="1395"/>
      <c r="E217" s="819"/>
      <c r="F217" s="820"/>
      <c r="H217" s="828">
        <v>790</v>
      </c>
      <c r="I217" s="143"/>
    </row>
    <row r="218" spans="2:9" hidden="1">
      <c r="B218" s="829"/>
      <c r="C218" s="1395" t="s">
        <v>721</v>
      </c>
      <c r="D218" s="1395"/>
      <c r="E218" s="819"/>
      <c r="F218" s="820"/>
      <c r="H218" s="828">
        <v>79</v>
      </c>
      <c r="I218" s="143"/>
    </row>
    <row r="219" spans="2:9" hidden="1">
      <c r="B219" s="829"/>
      <c r="C219" s="1395" t="s">
        <v>720</v>
      </c>
      <c r="D219" s="1395"/>
      <c r="E219" s="819"/>
      <c r="F219" s="820"/>
      <c r="H219" s="828">
        <v>158</v>
      </c>
      <c r="I219" s="143"/>
    </row>
    <row r="220" spans="2:9" ht="7.5" hidden="1" customHeight="1">
      <c r="B220" s="827"/>
      <c r="C220" s="814"/>
      <c r="D220" s="814"/>
      <c r="E220" s="814"/>
      <c r="F220" s="814"/>
      <c r="G220" s="815"/>
      <c r="H220" s="814"/>
      <c r="I220" s="137"/>
    </row>
    <row r="221" spans="2:9" ht="7.5" hidden="1" customHeight="1">
      <c r="B221" s="819"/>
      <c r="C221" s="819"/>
      <c r="D221" s="819"/>
      <c r="E221" s="819"/>
      <c r="F221" s="819"/>
      <c r="G221" s="826"/>
      <c r="H221" s="819"/>
    </row>
    <row r="222" spans="2:9" ht="22.5" hidden="1" customHeight="1">
      <c r="B222" s="1396" t="s">
        <v>719</v>
      </c>
      <c r="C222" s="1397"/>
      <c r="D222" s="1397"/>
      <c r="E222" s="1398"/>
      <c r="F222" s="819"/>
      <c r="G222" s="826"/>
      <c r="H222" s="819"/>
    </row>
    <row r="223" spans="2:9" ht="7.5" hidden="1" customHeight="1">
      <c r="B223" s="825"/>
      <c r="C223" s="824"/>
      <c r="D223" s="824"/>
      <c r="E223" s="822"/>
      <c r="F223" s="822"/>
      <c r="G223" s="823"/>
      <c r="H223" s="822"/>
      <c r="I223" s="407"/>
    </row>
    <row r="224" spans="2:9" hidden="1">
      <c r="B224" s="821"/>
      <c r="C224" s="820" t="s">
        <v>718</v>
      </c>
      <c r="D224" s="819"/>
      <c r="E224" s="819"/>
      <c r="F224" s="819"/>
      <c r="H224" s="818">
        <v>1.0529999999999999</v>
      </c>
      <c r="I224" s="143"/>
    </row>
    <row r="225" spans="2:9" hidden="1">
      <c r="B225" s="821"/>
      <c r="C225" s="820" t="s">
        <v>717</v>
      </c>
      <c r="D225" s="819"/>
      <c r="E225" s="819"/>
      <c r="F225" s="819"/>
      <c r="H225" s="818">
        <v>1.0089999999999999</v>
      </c>
      <c r="I225" s="143"/>
    </row>
    <row r="226" spans="2:9" hidden="1">
      <c r="B226" s="821"/>
      <c r="C226" s="820" t="s">
        <v>716</v>
      </c>
      <c r="D226" s="819"/>
      <c r="E226" s="819"/>
      <c r="F226" s="819"/>
      <c r="H226" s="818">
        <v>1.1000000000000001</v>
      </c>
      <c r="I226" s="143"/>
    </row>
    <row r="227" spans="2:9" hidden="1">
      <c r="B227" s="821"/>
      <c r="C227" s="820" t="s">
        <v>715</v>
      </c>
      <c r="D227" s="819"/>
      <c r="E227" s="819"/>
      <c r="F227" s="819"/>
      <c r="H227" s="818">
        <v>1.046</v>
      </c>
      <c r="I227" s="143"/>
    </row>
    <row r="228" spans="2:9" hidden="1">
      <c r="B228" s="821"/>
      <c r="C228" s="820" t="s">
        <v>714</v>
      </c>
      <c r="D228" s="819"/>
      <c r="E228" s="819"/>
      <c r="F228" s="819"/>
      <c r="H228" s="818">
        <v>1.0389999999999999</v>
      </c>
      <c r="I228" s="143"/>
    </row>
    <row r="229" spans="2:9" hidden="1">
      <c r="B229" s="821"/>
      <c r="C229" s="820" t="s">
        <v>713</v>
      </c>
      <c r="D229" s="819"/>
      <c r="E229" s="819"/>
      <c r="F229" s="819"/>
      <c r="H229" s="818">
        <v>1.0549999999999999</v>
      </c>
      <c r="I229" s="143"/>
    </row>
    <row r="230" spans="2:9" hidden="1">
      <c r="B230" s="821"/>
      <c r="C230" s="820" t="s">
        <v>712</v>
      </c>
      <c r="D230" s="819"/>
      <c r="E230" s="819"/>
      <c r="F230" s="819"/>
      <c r="H230" s="818">
        <v>1.087</v>
      </c>
      <c r="I230" s="143"/>
    </row>
    <row r="231" spans="2:9" hidden="1">
      <c r="B231" s="821"/>
      <c r="C231" s="820" t="s">
        <v>711</v>
      </c>
      <c r="D231" s="819"/>
      <c r="E231" s="819"/>
      <c r="F231" s="819"/>
      <c r="H231" s="818">
        <v>1.006</v>
      </c>
      <c r="I231" s="143"/>
    </row>
    <row r="232" spans="2:9" ht="7.5" hidden="1" customHeight="1">
      <c r="B232" s="817"/>
      <c r="C232" s="816"/>
      <c r="D232" s="816"/>
      <c r="E232" s="814"/>
      <c r="F232" s="814"/>
      <c r="G232" s="815"/>
      <c r="H232" s="814"/>
      <c r="I232" s="137"/>
    </row>
    <row r="233" spans="2:9" hidden="1"/>
  </sheetData>
  <sheetProtection sheet="1" objects="1" scenarios="1" formatCells="0" formatColumns="0" formatRows="0" insertColumns="0" insertRows="0" insertHyperlinks="0"/>
  <mergeCells count="69">
    <mergeCell ref="C173:F173"/>
    <mergeCell ref="C174:G174"/>
    <mergeCell ref="C175:F175"/>
    <mergeCell ref="C176:F176"/>
    <mergeCell ref="C190:H190"/>
    <mergeCell ref="C188:H188"/>
    <mergeCell ref="B179:E179"/>
    <mergeCell ref="C183:H183"/>
    <mergeCell ref="C182:D182"/>
    <mergeCell ref="C194:H194"/>
    <mergeCell ref="B200:E200"/>
    <mergeCell ref="C217:D217"/>
    <mergeCell ref="C218:D218"/>
    <mergeCell ref="C219:D219"/>
    <mergeCell ref="B205:E205"/>
    <mergeCell ref="C207:G207"/>
    <mergeCell ref="C208:D208"/>
    <mergeCell ref="C209:D209"/>
    <mergeCell ref="C210:D210"/>
    <mergeCell ref="B222:E222"/>
    <mergeCell ref="C211:D211"/>
    <mergeCell ref="C212:D212"/>
    <mergeCell ref="C213:D213"/>
    <mergeCell ref="C214:D214"/>
    <mergeCell ref="C215:D215"/>
    <mergeCell ref="C216:D216"/>
    <mergeCell ref="B17:I17"/>
    <mergeCell ref="B46:E46"/>
    <mergeCell ref="B30:E30"/>
    <mergeCell ref="B31:H31"/>
    <mergeCell ref="C35:G35"/>
    <mergeCell ref="B23:E23"/>
    <mergeCell ref="B5:E5"/>
    <mergeCell ref="B72:E72"/>
    <mergeCell ref="B121:E121"/>
    <mergeCell ref="B164:E164"/>
    <mergeCell ref="C169:H169"/>
    <mergeCell ref="B155:E155"/>
    <mergeCell ref="C157:F157"/>
    <mergeCell ref="C82:F82"/>
    <mergeCell ref="B7:E7"/>
    <mergeCell ref="B16:E16"/>
    <mergeCell ref="B131:E131"/>
    <mergeCell ref="C139:H139"/>
    <mergeCell ref="B38:E38"/>
    <mergeCell ref="B47:I47"/>
    <mergeCell ref="B53:E53"/>
    <mergeCell ref="B54:I54"/>
    <mergeCell ref="B61:E61"/>
    <mergeCell ref="B62:I62"/>
    <mergeCell ref="C68:H68"/>
    <mergeCell ref="C83:F83"/>
    <mergeCell ref="B87:E87"/>
    <mergeCell ref="C69:H69"/>
    <mergeCell ref="B162:E162"/>
    <mergeCell ref="B73:I73"/>
    <mergeCell ref="C77:H77"/>
    <mergeCell ref="B80:E80"/>
    <mergeCell ref="B81:I81"/>
    <mergeCell ref="B150:E150"/>
    <mergeCell ref="B114:E114"/>
    <mergeCell ref="B115:I115"/>
    <mergeCell ref="C118:F118"/>
    <mergeCell ref="B145:E145"/>
    <mergeCell ref="C158:D158"/>
    <mergeCell ref="C125:F125"/>
    <mergeCell ref="B112:E112"/>
    <mergeCell ref="B129:E129"/>
    <mergeCell ref="B143:E143"/>
  </mergeCells>
  <hyperlinks>
    <hyperlink ref="K3" location="'TR_1 Tax Rates'!Go_Index" tooltip="Go to Record" display="Show Record" xr:uid="{10AA3E55-D6F6-42E3-BF84-A6115BE87FDF}"/>
    <hyperlink ref="A5:E5" location="'TR_1 Tax Rates'!Go_RollUp_01" tooltip="Show/hide cells" display="'Tax Rates'!Go_RollUp_01" xr:uid="{BE435CF0-78C8-473C-80C6-E8F7D564F7D6}"/>
    <hyperlink ref="A112:E112" location="'TR_1 Tax Rates'!Go_RollUp_02" tooltip="Show/hide cells" display="'Tax Rates'!Go_RollUp_02" xr:uid="{2F1827BB-8993-4CD0-B93B-C6B351D5EDFE}"/>
    <hyperlink ref="A129:E129" location="'TR_1 Tax Rates'!Go_RollUp_03" tooltip="Show/hide cells" display="'Tax Rates'!Go_RollUp_03" xr:uid="{2526656D-6FB1-44BC-BD39-7EC1A787C8A9}"/>
    <hyperlink ref="A143:E143" location="'TR_1 Tax Rates'!Go_RollUp_04" tooltip="Show/hide cells" display="'Tax Rates'!Go_RollUp_04" xr:uid="{EFC1FAC7-6A8C-4F27-B149-B4FCB9C0218F}"/>
    <hyperlink ref="A162:E162" location="'TR_1 Tax Rates'!Go_RollUp_05" tooltip="Show/hide cells" display="'Tax Rates'!Go_RollUp_05" xr:uid="{51C0D1D2-6314-4386-9FF1-A69BA90EDF52}"/>
  </hyperlinks>
  <printOptions horizontalCentered="1"/>
  <pageMargins left="0.59055118110236227" right="0.59055118110236227" top="0.59055118110236227" bottom="0.78740157480314965" header="0" footer="0"/>
  <pageSetup paperSize="9" scale="95" orientation="portrait" blackAndWhite="1" r:id="rId1"/>
  <headerFooter alignWithMargins="0">
    <oddFooter>&amp;L&amp;F
Copyright © 2003-Present Business Fitness Pty Ltd&amp;R&amp;A &amp;P</oddFooter>
  </headerFooter>
  <customProperties>
    <customPr name="SheetId" r:id="rId2"/>
    <customPr name="SheetName" r:id="rId3"/>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E97A6-3AF0-4AED-982A-F574FDF173F2}">
  <dimension ref="A1:Q143"/>
  <sheetViews>
    <sheetView showGridLines="0" topLeftCell="A3" zoomScaleNormal="100" zoomScaleSheetLayoutView="70" workbookViewId="0">
      <selection activeCell="A3" sqref="A3"/>
    </sheetView>
  </sheetViews>
  <sheetFormatPr defaultRowHeight="15"/>
  <cols>
    <col min="1" max="1" width="4.28515625" style="2090" customWidth="1"/>
    <col min="2" max="2" width="1.42578125" style="2090" customWidth="1"/>
    <col min="3" max="4" width="15.7109375" style="2090" hidden="1" customWidth="1"/>
    <col min="5" max="9" width="15.7109375" style="2090" customWidth="1"/>
    <col min="10" max="10" width="15.7109375" style="2090" hidden="1" customWidth="1"/>
    <col min="11" max="13" width="15.7109375" style="2090" customWidth="1"/>
    <col min="14" max="14" width="1.42578125" style="2090" customWidth="1"/>
    <col min="15" max="15" width="4.28515625" style="2090" customWidth="1"/>
    <col min="16" max="17" width="15.7109375" style="2112" customWidth="1"/>
    <col min="18" max="16384" width="9.140625" style="2090"/>
  </cols>
  <sheetData>
    <row r="1" spans="2:17" hidden="1">
      <c r="D1" s="1379" t="s">
        <v>1528</v>
      </c>
      <c r="G1" s="2211" t="s">
        <v>1565</v>
      </c>
      <c r="H1" s="2211" t="s">
        <v>395</v>
      </c>
      <c r="K1" s="2210" t="s">
        <v>399</v>
      </c>
      <c r="L1" s="2210" t="s">
        <v>1562</v>
      </c>
    </row>
    <row r="2" spans="2:17" hidden="1">
      <c r="E2" s="2101" t="s">
        <v>181</v>
      </c>
      <c r="F2" s="2090" t="s">
        <v>2123</v>
      </c>
      <c r="H2" s="2100"/>
      <c r="K2" s="2209" t="s">
        <v>177</v>
      </c>
      <c r="L2" s="2208" t="str" cm="1">
        <f t="array" ref="L2">IFERROR(Tm_Jurisdiction,"AU")</f>
        <v>AU</v>
      </c>
    </row>
    <row r="3" spans="2:17" ht="9" customHeight="1">
      <c r="C3" s="417"/>
      <c r="D3" s="417"/>
      <c r="E3" s="417"/>
      <c r="F3" s="417"/>
      <c r="G3" s="417"/>
      <c r="H3" s="417"/>
    </row>
    <row r="4" spans="2:17" ht="24.95" customHeight="1">
      <c r="B4" s="417"/>
      <c r="C4" s="417"/>
      <c r="D4" s="417"/>
      <c r="E4" s="561" t="s">
        <v>2122</v>
      </c>
      <c r="F4" s="417"/>
      <c r="G4" s="417"/>
      <c r="H4" s="417"/>
      <c r="K4"/>
      <c r="L4" s="2000" t="s">
        <v>174</v>
      </c>
      <c r="M4" s="2207" t="s">
        <v>2121</v>
      </c>
      <c r="P4" s="2206" t="s">
        <v>179</v>
      </c>
      <c r="Q4" s="2205" t="s">
        <v>318</v>
      </c>
    </row>
    <row r="5" spans="2:17" ht="24.95" customHeight="1">
      <c r="E5" s="1044" t="str">
        <f>_xlfn.TEXTJOIN(" ",1,IFERROR(_xlfn.SINGLE(Cl_Name),"Client Name"),IF(IFERROR(_xlfn.SINGLE(Cl_Code),"")="","","("&amp;_xlfn.SINGLE(Cl_Code)&amp;")"))</f>
        <v>Springrange Holdings Pty Ltd (MuM001)</v>
      </c>
      <c r="M5" s="2204" t="str">
        <f>IF(ISBLANK(Tm_TBAccount),_xlfn.TEXTJOIN("-",1,L7:M7),TEXT(Tm_TBAccount,"0"))</f>
        <v/>
      </c>
    </row>
    <row r="6" spans="2:17" ht="24.95" customHeight="1">
      <c r="E6" s="2203">
        <f>IFERROR(_xlfn.SINGLE(PeriodEndDate),DATE(1901,1,1))</f>
        <v>45473</v>
      </c>
      <c r="F6" s="2202"/>
      <c r="G6" s="2202"/>
      <c r="H6" s="2202"/>
      <c r="I6" s="2201"/>
      <c r="M6" s="771" t="str">
        <f>K54</f>
        <v>Pending</v>
      </c>
      <c r="N6" s="2090">
        <f>IFERROR(_xlfn.XLOOKUP("aecac858-58b7-4082-81ed-6ab8f4b2fb81",RecordInfo.RecordId,RecordInfo.Tolerances),0)</f>
        <v>0.01</v>
      </c>
    </row>
    <row r="7" spans="2:17" ht="17.25" hidden="1" customHeight="1">
      <c r="E7" s="2200"/>
      <c r="K7" s="2199"/>
      <c r="L7" s="2199"/>
      <c r="M7" s="2199"/>
    </row>
    <row r="8" spans="2:17" ht="7.5" customHeight="1">
      <c r="B8" s="411"/>
      <c r="C8" s="411"/>
      <c r="D8" s="411"/>
      <c r="E8" s="411"/>
      <c r="F8" s="411"/>
      <c r="G8" s="411"/>
      <c r="H8" s="411"/>
      <c r="I8" s="2095"/>
      <c r="J8" s="2095"/>
      <c r="K8" s="2095"/>
      <c r="L8" s="2095"/>
      <c r="M8" s="2095"/>
      <c r="N8" s="2095"/>
    </row>
    <row r="9" spans="2:17" ht="7.5" customHeight="1"/>
    <row r="10" spans="2:17" ht="24.95" customHeight="1">
      <c r="E10" s="2198" t="s">
        <v>2120</v>
      </c>
      <c r="F10" s="2198"/>
      <c r="G10" s="2198"/>
      <c r="H10" s="2198"/>
      <c r="I10" s="2198"/>
      <c r="J10" s="2198"/>
      <c r="K10" s="2198"/>
      <c r="L10" s="2198"/>
    </row>
    <row r="11" spans="2:17" ht="30" customHeight="1">
      <c r="E11" s="2197" t="s">
        <v>2119</v>
      </c>
      <c r="F11" s="2197"/>
      <c r="G11" s="2197"/>
      <c r="H11" s="2197"/>
      <c r="I11" s="2197"/>
      <c r="J11" s="2197"/>
      <c r="K11" s="2197"/>
      <c r="L11" s="2197"/>
      <c r="M11" s="2197"/>
    </row>
    <row r="12" spans="2:17" ht="17.25" customHeight="1">
      <c r="E12" s="2196" t="s">
        <v>2118</v>
      </c>
      <c r="F12" s="2196"/>
      <c r="G12" s="2196"/>
      <c r="H12" s="2196"/>
      <c r="I12" s="2196"/>
      <c r="J12" s="2196"/>
      <c r="K12" s="2196"/>
      <c r="L12" s="2196"/>
      <c r="M12" s="2196"/>
    </row>
    <row r="13" spans="2:17" ht="17.25" customHeight="1">
      <c r="E13" s="2195" t="s">
        <v>2117</v>
      </c>
      <c r="F13" s="2193" t="s">
        <v>2116</v>
      </c>
      <c r="G13" s="2193"/>
      <c r="H13" s="2193"/>
      <c r="I13" s="2193"/>
      <c r="J13" s="2193"/>
      <c r="K13" s="2193"/>
      <c r="L13" s="2193"/>
      <c r="M13" s="2193"/>
    </row>
    <row r="14" spans="2:17" ht="17.25" customHeight="1">
      <c r="E14" s="2194"/>
      <c r="F14" s="2193" t="s">
        <v>2115</v>
      </c>
      <c r="G14" s="2193"/>
      <c r="H14" s="2193"/>
      <c r="I14" s="2193"/>
      <c r="J14" s="2193"/>
      <c r="K14" s="2193"/>
      <c r="L14" s="2193"/>
      <c r="M14" s="2193"/>
    </row>
    <row r="15" spans="2:17" ht="17.25" customHeight="1">
      <c r="E15" s="2194"/>
      <c r="F15" s="2193" t="s">
        <v>2114</v>
      </c>
      <c r="G15" s="2193"/>
      <c r="H15" s="2193"/>
      <c r="I15" s="2193"/>
      <c r="J15" s="2193"/>
      <c r="K15" s="2193"/>
      <c r="L15" s="2193"/>
      <c r="M15" s="2193"/>
    </row>
    <row r="16" spans="2:17" ht="22.5" customHeight="1"/>
    <row r="17" spans="1:15" ht="22.5" customHeight="1">
      <c r="A17" s="2143" t="str">
        <f>IF(SUBTOTAL(103,A18),"-","+")</f>
        <v>+</v>
      </c>
      <c r="B17" s="2142" t="s">
        <v>2113</v>
      </c>
      <c r="C17" s="2141"/>
      <c r="D17" s="2141"/>
      <c r="E17" s="2141"/>
      <c r="F17" s="2141"/>
      <c r="G17" s="2140"/>
      <c r="H17" s="355"/>
      <c r="I17" s="355"/>
      <c r="J17" s="355"/>
      <c r="K17" s="355"/>
      <c r="L17" s="355"/>
      <c r="M17" s="355"/>
    </row>
    <row r="18" spans="1:15" ht="7.5" hidden="1" customHeight="1">
      <c r="A18" s="2090" t="s">
        <v>58</v>
      </c>
      <c r="B18" s="2129"/>
      <c r="H18" s="2093"/>
      <c r="I18" s="2093"/>
      <c r="J18" s="2093"/>
      <c r="K18" s="2093"/>
      <c r="L18" s="2093"/>
      <c r="M18" s="2093"/>
      <c r="N18" s="2173"/>
    </row>
    <row r="19" spans="1:15" ht="17.25" hidden="1" customHeight="1">
      <c r="B19" s="2129"/>
      <c r="K19" s="406" t="s">
        <v>2112</v>
      </c>
      <c r="L19" s="404" t="s">
        <v>2111</v>
      </c>
      <c r="N19" s="2126"/>
    </row>
    <row r="20" spans="1:15" ht="17.25" hidden="1" customHeight="1">
      <c r="B20" s="2129"/>
      <c r="G20" s="1321">
        <v>41456</v>
      </c>
      <c r="H20" s="1360" t="s">
        <v>747</v>
      </c>
      <c r="I20" s="1321">
        <v>41820</v>
      </c>
      <c r="J20" s="1321"/>
      <c r="K20" s="1361">
        <v>6.2E-2</v>
      </c>
      <c r="L20" s="1361">
        <v>9.1999999999999998E-2</v>
      </c>
      <c r="N20" s="2126"/>
      <c r="O20" s="2179"/>
    </row>
    <row r="21" spans="1:15" ht="17.25" hidden="1" customHeight="1">
      <c r="B21" s="2129"/>
      <c r="G21" s="1321">
        <v>41821</v>
      </c>
      <c r="H21" s="2192" t="s">
        <v>747</v>
      </c>
      <c r="I21" s="1321">
        <v>42185</v>
      </c>
      <c r="J21" s="1321"/>
      <c r="K21" s="1361">
        <v>5.9499999999999997E-2</v>
      </c>
      <c r="L21" s="1361">
        <v>8.9499999999999996E-2</v>
      </c>
      <c r="N21" s="2126"/>
      <c r="O21" s="2180"/>
    </row>
    <row r="22" spans="1:15" ht="17.25" hidden="1" customHeight="1">
      <c r="B22" s="2129"/>
      <c r="G22" s="1321">
        <v>42186</v>
      </c>
      <c r="H22" s="2192" t="s">
        <v>747</v>
      </c>
      <c r="I22" s="1321">
        <v>42551</v>
      </c>
      <c r="J22" s="1321"/>
      <c r="K22" s="1361">
        <v>5.45E-2</v>
      </c>
      <c r="L22" s="1361">
        <v>8.4500000000000006E-2</v>
      </c>
      <c r="N22" s="2126"/>
      <c r="O22" s="2180"/>
    </row>
    <row r="23" spans="1:15" ht="17.25" hidden="1" customHeight="1">
      <c r="B23" s="2129"/>
      <c r="G23" s="1321">
        <v>42552</v>
      </c>
      <c r="H23" s="2192" t="s">
        <v>747</v>
      </c>
      <c r="I23" s="1321">
        <v>42916</v>
      </c>
      <c r="J23" s="1321"/>
      <c r="K23" s="1361">
        <v>5.3999999999999999E-2</v>
      </c>
      <c r="L23" s="1361">
        <v>8.3500000000000005E-2</v>
      </c>
      <c r="N23" s="2126"/>
      <c r="O23" s="2179"/>
    </row>
    <row r="24" spans="1:15" ht="17.25" hidden="1" customHeight="1">
      <c r="B24" s="2129"/>
      <c r="G24" s="1321">
        <v>42917</v>
      </c>
      <c r="H24" s="2192" t="s">
        <v>747</v>
      </c>
      <c r="I24" s="1321">
        <v>43281</v>
      </c>
      <c r="J24" s="1321"/>
      <c r="K24" s="1361">
        <v>5.2999999999999999E-2</v>
      </c>
      <c r="L24" s="1361">
        <v>8.3000000000000004E-2</v>
      </c>
      <c r="N24" s="2126"/>
      <c r="O24" s="2179"/>
    </row>
    <row r="25" spans="1:15" ht="17.25" hidden="1" customHeight="1">
      <c r="B25" s="2129"/>
      <c r="G25" s="1321">
        <v>43282</v>
      </c>
      <c r="H25" s="2192" t="s">
        <v>747</v>
      </c>
      <c r="I25" s="1321">
        <v>43646</v>
      </c>
      <c r="J25" s="1321"/>
      <c r="K25" s="1361">
        <v>5.1999999999999998E-2</v>
      </c>
      <c r="L25" s="1361">
        <v>8.3000000000000004E-2</v>
      </c>
      <c r="N25" s="2126"/>
      <c r="O25" s="2179"/>
    </row>
    <row r="26" spans="1:15" ht="17.25" hidden="1" customHeight="1">
      <c r="B26" s="2129"/>
      <c r="G26" s="1321">
        <v>43647</v>
      </c>
      <c r="H26" s="2192" t="s">
        <v>747</v>
      </c>
      <c r="I26" s="1321">
        <v>44012</v>
      </c>
      <c r="J26" s="1321"/>
      <c r="K26" s="1359">
        <v>5.3699999999999998E-2</v>
      </c>
      <c r="L26" s="1359">
        <v>8.3199999999999996E-2</v>
      </c>
      <c r="N26" s="2126"/>
      <c r="O26" s="2179"/>
    </row>
    <row r="27" spans="1:15" ht="17.25" hidden="1" customHeight="1">
      <c r="B27" s="2129"/>
      <c r="G27" s="1321">
        <v>44013</v>
      </c>
      <c r="H27" s="2192" t="s">
        <v>747</v>
      </c>
      <c r="I27" s="1321">
        <v>44377</v>
      </c>
      <c r="J27" s="1321"/>
      <c r="K27" s="1359">
        <v>4.5199999999999997E-2</v>
      </c>
      <c r="L27" s="1359">
        <v>6.5699999999999995E-2</v>
      </c>
      <c r="N27" s="2126"/>
      <c r="O27" s="2179"/>
    </row>
    <row r="28" spans="1:15" ht="17.25" hidden="1" customHeight="1">
      <c r="B28" s="2129"/>
      <c r="G28" s="1321">
        <v>44378</v>
      </c>
      <c r="H28" s="2192" t="s">
        <v>747</v>
      </c>
      <c r="I28" s="1321">
        <v>44742</v>
      </c>
      <c r="J28" s="1321"/>
      <c r="K28" s="1359">
        <v>4.5199999999999997E-2</v>
      </c>
      <c r="L28" s="1359">
        <v>6.5100000000000005E-2</v>
      </c>
      <c r="N28" s="2126"/>
      <c r="O28" s="2179"/>
    </row>
    <row r="29" spans="1:15" ht="17.25" hidden="1" customHeight="1">
      <c r="B29" s="2129"/>
      <c r="G29" s="1321">
        <v>44743</v>
      </c>
      <c r="H29" s="2192" t="s">
        <v>747</v>
      </c>
      <c r="I29" s="1321">
        <v>45107</v>
      </c>
      <c r="J29" s="1321"/>
      <c r="K29" s="1359">
        <v>4.7699999999999999E-2</v>
      </c>
      <c r="L29" s="1359">
        <v>6.8199999999999997E-2</v>
      </c>
      <c r="N29" s="2126"/>
      <c r="O29" s="2179"/>
    </row>
    <row r="30" spans="1:15" ht="17.25" hidden="1" customHeight="1">
      <c r="B30" s="2129"/>
      <c r="G30" s="1321">
        <v>45108</v>
      </c>
      <c r="H30" s="2192" t="s">
        <v>747</v>
      </c>
      <c r="I30" s="1321">
        <v>45473</v>
      </c>
      <c r="J30" s="1321"/>
      <c r="K30" s="1359">
        <v>8.2699999999999996E-2</v>
      </c>
      <c r="L30" s="1359">
        <v>0.1026</v>
      </c>
      <c r="N30" s="2126"/>
      <c r="O30" s="2179"/>
    </row>
    <row r="31" spans="1:15" ht="17.25" hidden="1" customHeight="1">
      <c r="B31" s="2129"/>
      <c r="G31" s="1321">
        <v>45474</v>
      </c>
      <c r="H31" s="2192" t="s">
        <v>747</v>
      </c>
      <c r="I31" s="1321">
        <v>45838</v>
      </c>
      <c r="J31" s="1321"/>
      <c r="K31" s="1359">
        <v>8.77E-2</v>
      </c>
      <c r="L31" s="1359">
        <v>0.1079</v>
      </c>
      <c r="N31" s="2126"/>
      <c r="O31" s="2179"/>
    </row>
    <row r="32" spans="1:15" ht="7.5" hidden="1" customHeight="1">
      <c r="B32" s="2123"/>
      <c r="C32" s="2095"/>
      <c r="D32" s="2095"/>
      <c r="E32" s="2095"/>
      <c r="F32" s="2191"/>
      <c r="G32" s="2190"/>
      <c r="H32" s="2095"/>
      <c r="I32" s="2189"/>
      <c r="J32" s="2189"/>
      <c r="K32" s="2095"/>
      <c r="L32" s="2095"/>
      <c r="M32" s="2095"/>
      <c r="N32" s="2122"/>
      <c r="O32" s="2179"/>
    </row>
    <row r="33" spans="2:17" ht="22.5" customHeight="1">
      <c r="F33" s="2188"/>
      <c r="G33" s="2187"/>
      <c r="I33" s="2186"/>
      <c r="J33" s="2186"/>
      <c r="O33" s="2179"/>
    </row>
    <row r="34" spans="2:17" ht="22.5" customHeight="1">
      <c r="B34" s="2142" t="s">
        <v>2110</v>
      </c>
      <c r="C34" s="2141"/>
      <c r="D34" s="2141"/>
      <c r="E34" s="2141"/>
      <c r="F34" s="2141"/>
      <c r="G34" s="2140"/>
      <c r="I34" s="2186"/>
      <c r="J34" s="2186"/>
      <c r="O34" s="2179"/>
      <c r="P34" s="2185" t="s">
        <v>409</v>
      </c>
      <c r="Q34" s="2184"/>
    </row>
    <row r="35" spans="2:17" ht="7.5" customHeight="1">
      <c r="B35" s="2138"/>
      <c r="C35" s="2093"/>
      <c r="D35" s="2093"/>
      <c r="E35" s="2183"/>
      <c r="F35" s="2182"/>
      <c r="G35" s="2182"/>
      <c r="H35" s="2182"/>
      <c r="I35" s="2182"/>
      <c r="J35" s="2182"/>
      <c r="K35" s="2093"/>
      <c r="L35" s="2181"/>
      <c r="M35" s="2093"/>
      <c r="N35" s="2173"/>
      <c r="O35" s="2180"/>
    </row>
    <row r="36" spans="2:17" ht="17.25" customHeight="1">
      <c r="B36" s="2129"/>
      <c r="E36" s="523" t="s">
        <v>2109</v>
      </c>
      <c r="F36" s="1549"/>
      <c r="G36" s="1550"/>
      <c r="H36" s="1550"/>
      <c r="I36" s="1550"/>
      <c r="J36" s="1550"/>
      <c r="K36" s="1551"/>
      <c r="L36" s="2104"/>
      <c r="M36" s="2104"/>
      <c r="N36" s="2126"/>
      <c r="O36" s="2179"/>
      <c r="P36" s="2125"/>
      <c r="Q36" s="2124"/>
    </row>
    <row r="37" spans="2:17" ht="7.5" customHeight="1">
      <c r="B37" s="2129"/>
      <c r="N37" s="2126"/>
      <c r="O37" s="2172"/>
      <c r="P37" s="2178"/>
    </row>
    <row r="38" spans="2:17" ht="17.25" customHeight="1">
      <c r="B38" s="2129"/>
      <c r="E38" s="2174" t="s">
        <v>1551</v>
      </c>
      <c r="F38" s="2174"/>
      <c r="G38" s="2174"/>
      <c r="H38" s="2109"/>
      <c r="I38" s="2109"/>
      <c r="K38" s="1350"/>
      <c r="N38" s="2126"/>
      <c r="O38" s="2172"/>
      <c r="P38" s="2125"/>
      <c r="Q38" s="2124"/>
    </row>
    <row r="39" spans="2:17" ht="17.25" customHeight="1">
      <c r="B39" s="2129"/>
      <c r="E39" s="2174" t="s">
        <v>2108</v>
      </c>
      <c r="F39" s="2174"/>
      <c r="G39" s="2174"/>
      <c r="H39" s="2109"/>
      <c r="I39" s="2109"/>
      <c r="J39" s="2108"/>
      <c r="K39" s="1350"/>
      <c r="L39" s="2177"/>
      <c r="N39" s="2126"/>
      <c r="O39" s="2172"/>
      <c r="P39" s="2125"/>
      <c r="Q39" s="2124"/>
    </row>
    <row r="40" spans="2:17" ht="17.25" customHeight="1">
      <c r="B40" s="2129"/>
      <c r="E40" s="2174" t="s">
        <v>2107</v>
      </c>
      <c r="F40" s="2174"/>
      <c r="G40" s="2174"/>
      <c r="H40" s="2174"/>
      <c r="I40" s="2174"/>
      <c r="J40" s="77"/>
      <c r="K40" s="1305" t="str">
        <f>IF(K39="Option 1",7,IF(K39="Option 2",10,""))</f>
        <v/>
      </c>
      <c r="N40" s="2126"/>
      <c r="O40" s="2172"/>
      <c r="P40" s="2125"/>
      <c r="Q40" s="2124"/>
    </row>
    <row r="41" spans="2:17" ht="17.25" customHeight="1">
      <c r="B41" s="2129"/>
      <c r="E41" s="2174" t="s">
        <v>2106</v>
      </c>
      <c r="F41" s="2174"/>
      <c r="G41" s="2174"/>
      <c r="H41" s="2174"/>
      <c r="I41" s="2174"/>
      <c r="J41" s="77"/>
      <c r="K41" s="2176" t="str">
        <f>IF($E$6="",0,IF(K39="Option 1",VLOOKUP($E$6,G20:L31,5),IF(K39="Option 2",VLOOKUP($E$6,G20:L31,6),"")))</f>
        <v/>
      </c>
      <c r="N41" s="2126"/>
      <c r="O41" s="2172"/>
      <c r="P41" s="2125"/>
      <c r="Q41" s="2124"/>
    </row>
    <row r="42" spans="2:17" ht="17.25" customHeight="1">
      <c r="B42" s="2129"/>
      <c r="E42" s="2174" t="s">
        <v>2105</v>
      </c>
      <c r="F42" s="2174"/>
      <c r="G42" s="2174"/>
      <c r="H42" s="2174"/>
      <c r="I42" s="2174"/>
      <c r="J42" s="77"/>
      <c r="K42" s="351"/>
      <c r="L42" s="2175" t="str">
        <f>IF(K42="","",IF(K42&lt;40724,"Check start date",""))</f>
        <v/>
      </c>
      <c r="M42" s="2109"/>
      <c r="N42" s="2126"/>
      <c r="O42" s="2172"/>
      <c r="P42" s="2125"/>
      <c r="Q42" s="2124"/>
    </row>
    <row r="43" spans="2:17" ht="17.25" customHeight="1">
      <c r="B43" s="2129"/>
      <c r="E43" s="2174" t="s">
        <v>2104</v>
      </c>
      <c r="F43" s="2174"/>
      <c r="G43" s="2174"/>
      <c r="H43" s="2174"/>
      <c r="I43" s="2174"/>
      <c r="J43" s="77"/>
      <c r="K43" s="399" t="str">
        <f>IF(K42="","",IF(AND(DAY(K42)=DAY(E6),MONTH(K42)=MONTH(E6)),DATE(YEAR(K42)+K40,MONTH(K42),DAY(K42)),DATE(YEAR(K42)+K40,MONTH(K42),DAY(K42)-1)))</f>
        <v/>
      </c>
      <c r="L43" s="2175"/>
      <c r="M43" s="2109"/>
      <c r="N43" s="2126"/>
      <c r="O43" s="2172"/>
      <c r="P43" s="2125"/>
      <c r="Q43" s="2124"/>
    </row>
    <row r="44" spans="2:17" ht="17.25" customHeight="1">
      <c r="B44" s="2129"/>
      <c r="E44" s="2174" t="s">
        <v>2103</v>
      </c>
      <c r="F44" s="2174"/>
      <c r="G44" s="2174"/>
      <c r="H44" s="2174"/>
      <c r="I44" s="2174"/>
      <c r="J44" s="77"/>
      <c r="K44" s="347"/>
      <c r="N44" s="2126"/>
      <c r="O44" s="2172"/>
      <c r="P44" s="2125"/>
      <c r="Q44" s="2124"/>
    </row>
    <row r="45" spans="2:17" ht="7.5" customHeight="1">
      <c r="B45" s="2123"/>
      <c r="C45" s="2095"/>
      <c r="D45" s="2095"/>
      <c r="E45" s="2095"/>
      <c r="F45" s="2095"/>
      <c r="G45" s="2095"/>
      <c r="H45" s="2095"/>
      <c r="I45" s="2095"/>
      <c r="J45" s="2095"/>
      <c r="K45" s="2095"/>
      <c r="L45" s="2095"/>
      <c r="M45" s="2095"/>
      <c r="N45" s="2122"/>
      <c r="O45" s="2172"/>
    </row>
    <row r="46" spans="2:17" ht="22.5" customHeight="1">
      <c r="O46" s="2172"/>
    </row>
    <row r="47" spans="2:17" ht="22.5" customHeight="1">
      <c r="B47" s="2142" t="s">
        <v>1351</v>
      </c>
      <c r="C47" s="2141"/>
      <c r="D47" s="2141"/>
      <c r="E47" s="2141"/>
      <c r="F47" s="2141"/>
      <c r="G47" s="2140"/>
      <c r="H47" s="355"/>
      <c r="I47" s="355"/>
      <c r="J47" s="355"/>
      <c r="K47" s="355"/>
      <c r="L47" s="355"/>
      <c r="M47" s="355"/>
      <c r="O47" s="2172"/>
      <c r="P47" s="2090"/>
    </row>
    <row r="48" spans="2:17" ht="7.5" customHeight="1">
      <c r="B48" s="2138"/>
      <c r="C48" s="2093"/>
      <c r="D48" s="2093"/>
      <c r="E48" s="2093"/>
      <c r="F48" s="2093"/>
      <c r="G48" s="2093"/>
      <c r="H48" s="2093"/>
      <c r="I48" s="2093"/>
      <c r="J48" s="2093"/>
      <c r="K48" s="2093"/>
      <c r="L48" s="2093"/>
      <c r="M48" s="2093"/>
      <c r="N48" s="2173"/>
      <c r="O48" s="2172"/>
    </row>
    <row r="49" spans="1:17" ht="17.25" customHeight="1">
      <c r="B49" s="2129"/>
      <c r="F49" s="1423" t="s">
        <v>2102</v>
      </c>
      <c r="G49" s="1423"/>
      <c r="H49" s="1423"/>
      <c r="I49" s="1423"/>
      <c r="J49" s="77"/>
      <c r="K49" s="2103">
        <f>I91</f>
        <v>0</v>
      </c>
      <c r="N49" s="2136"/>
      <c r="P49" s="2125"/>
      <c r="Q49" s="2124"/>
    </row>
    <row r="50" spans="1:17" ht="7.5" customHeight="1">
      <c r="B50" s="2129"/>
      <c r="F50" s="77"/>
      <c r="G50" s="77"/>
      <c r="H50" s="77"/>
      <c r="I50" s="77"/>
      <c r="J50" s="77"/>
      <c r="N50" s="2136"/>
      <c r="P50" s="2090"/>
      <c r="Q50" s="2090"/>
    </row>
    <row r="51" spans="1:17" ht="17.25" customHeight="1">
      <c r="B51" s="2129"/>
      <c r="F51" s="1423" t="s">
        <v>2101</v>
      </c>
      <c r="G51" s="1423"/>
      <c r="H51" s="1423"/>
      <c r="I51" s="1423"/>
      <c r="J51" s="77"/>
      <c r="K51" s="2171">
        <f>K89</f>
        <v>0</v>
      </c>
      <c r="L51" s="2170" t="str">
        <f>IF(K43="","",IF(OR(E6-K43&lt;0, E6-K43&gt;366),"",CONCATENATE("Principal must be repaid by ",TEXT(K43,"dd mmmm yyy"))))</f>
        <v/>
      </c>
      <c r="M51" s="2169"/>
      <c r="N51" s="2136"/>
      <c r="P51" s="2125"/>
      <c r="Q51" s="2124"/>
    </row>
    <row r="52" spans="1:17" ht="17.25" customHeight="1">
      <c r="B52" s="2129"/>
      <c r="F52" s="77" t="s">
        <v>356</v>
      </c>
      <c r="G52" s="77"/>
      <c r="H52" s="77"/>
      <c r="I52" s="77"/>
      <c r="J52" s="77"/>
      <c r="K52" s="2168"/>
      <c r="L52" s="2165"/>
      <c r="M52" s="2164"/>
      <c r="N52" s="2136"/>
      <c r="P52" s="2125"/>
      <c r="Q52" s="2124"/>
    </row>
    <row r="53" spans="1:17" ht="17.25" customHeight="1">
      <c r="B53" s="2129"/>
      <c r="F53" s="77" t="s">
        <v>280</v>
      </c>
      <c r="G53" s="77"/>
      <c r="H53" s="77"/>
      <c r="I53" s="77"/>
      <c r="J53" s="77"/>
      <c r="K53" s="2167" t="str">
        <f>IF(AND(K51=0,K52=0),"",K52-K51)</f>
        <v/>
      </c>
      <c r="L53" s="2165"/>
      <c r="M53" s="2164"/>
      <c r="N53" s="2136"/>
      <c r="P53" s="2125"/>
      <c r="Q53" s="2124"/>
    </row>
    <row r="54" spans="1:17" ht="17.25" hidden="1" customHeight="1">
      <c r="B54" s="2129"/>
      <c r="F54" s="77"/>
      <c r="G54" s="77"/>
      <c r="H54" s="77"/>
      <c r="I54" s="77"/>
      <c r="J54" s="77"/>
      <c r="K54" s="2166" t="str" cm="1">
        <f t="array" ref="K54">IF(K53="","Pending",IF(ABS(K53)&gt;Tm_Tolerance,"Out of Balance","Reconciled"))</f>
        <v>Pending</v>
      </c>
      <c r="L54" s="2165"/>
      <c r="M54" s="2164"/>
      <c r="N54" s="2136"/>
      <c r="P54" s="2163"/>
      <c r="Q54" s="2162"/>
    </row>
    <row r="55" spans="1:17" ht="7.5" customHeight="1">
      <c r="B55" s="2123"/>
      <c r="C55" s="2095"/>
      <c r="D55" s="2095"/>
      <c r="E55" s="2095"/>
      <c r="F55" s="2161"/>
      <c r="G55" s="2161"/>
      <c r="H55" s="2161"/>
      <c r="I55" s="2161"/>
      <c r="J55" s="2161"/>
      <c r="K55" s="2160"/>
      <c r="L55" s="2160"/>
      <c r="M55" s="2095"/>
      <c r="N55" s="2159"/>
    </row>
    <row r="56" spans="1:17" ht="22.5" customHeight="1">
      <c r="F56" s="77"/>
      <c r="G56" s="77"/>
      <c r="H56" s="77"/>
      <c r="I56" s="77"/>
      <c r="J56" s="77"/>
      <c r="K56" s="2158"/>
      <c r="L56" s="2158"/>
      <c r="N56" s="2139"/>
    </row>
    <row r="57" spans="1:17" ht="22.5" customHeight="1">
      <c r="A57" s="2143" t="str">
        <f>IF(SUBTOTAL(103,A58),"-","+")</f>
        <v>-</v>
      </c>
      <c r="B57" s="2142" t="s">
        <v>2100</v>
      </c>
      <c r="C57" s="2141"/>
      <c r="D57" s="2141"/>
      <c r="E57" s="2141"/>
      <c r="F57" s="2141"/>
      <c r="G57" s="2140"/>
      <c r="H57" s="77"/>
      <c r="I57" s="77"/>
      <c r="J57" s="77"/>
      <c r="K57" s="2158"/>
      <c r="L57" s="2158"/>
      <c r="N57" s="2139"/>
      <c r="P57" s="2090"/>
    </row>
    <row r="58" spans="1:17" ht="7.5" customHeight="1">
      <c r="A58" s="2090" t="s">
        <v>58</v>
      </c>
      <c r="B58" s="2138"/>
      <c r="C58" s="2093"/>
      <c r="D58" s="2093"/>
      <c r="E58" s="2093"/>
      <c r="F58" s="2157"/>
      <c r="G58" s="2157"/>
      <c r="H58" s="2157"/>
      <c r="I58" s="2157"/>
      <c r="J58" s="2157"/>
      <c r="K58" s="2156"/>
      <c r="L58" s="2156"/>
      <c r="M58" s="2093"/>
      <c r="N58" s="2137"/>
    </row>
    <row r="59" spans="1:17" ht="17.25" customHeight="1">
      <c r="B59" s="2129"/>
      <c r="E59" s="1533" t="s">
        <v>2099</v>
      </c>
      <c r="F59" s="1534"/>
      <c r="G59" s="1534"/>
      <c r="H59" s="1534"/>
      <c r="I59" s="1534"/>
      <c r="J59" s="1534"/>
      <c r="K59" s="1534"/>
      <c r="L59" s="1534"/>
      <c r="M59" s="1534"/>
      <c r="N59" s="2136"/>
      <c r="P59" s="2121"/>
    </row>
    <row r="60" spans="1:17" ht="7.5" customHeight="1">
      <c r="B60" s="2129"/>
      <c r="N60" s="2126"/>
      <c r="P60" s="2121"/>
    </row>
    <row r="61" spans="1:17" ht="60" customHeight="1">
      <c r="B61" s="2129"/>
      <c r="F61" s="2148"/>
      <c r="G61" s="406" t="s">
        <v>361</v>
      </c>
      <c r="H61" s="405" t="s">
        <v>2098</v>
      </c>
      <c r="I61" s="405" t="s">
        <v>2097</v>
      </c>
      <c r="J61" s="405"/>
      <c r="K61" s="404" t="s">
        <v>2096</v>
      </c>
      <c r="N61" s="2126"/>
      <c r="P61" s="2121"/>
    </row>
    <row r="62" spans="1:17" ht="7.5" customHeight="1">
      <c r="B62" s="2129"/>
      <c r="F62" s="2148"/>
      <c r="G62" s="1310"/>
      <c r="H62" s="1310"/>
      <c r="I62" s="1310"/>
      <c r="J62" s="1310"/>
      <c r="K62" s="1310"/>
      <c r="N62" s="2126"/>
      <c r="P62" s="2121"/>
    </row>
    <row r="63" spans="1:17" ht="17.25" customHeight="1">
      <c r="B63" s="2129"/>
      <c r="F63" s="2148"/>
      <c r="G63" s="2155">
        <f>IF($E$6="","",IF($E$6-K42&lt;E116,K42,IF(K42=$E$6,$E$6,DATE(YEAR($E$6)-1,MONTH($E$6),DAY($E$6)+1))))</f>
        <v>45108</v>
      </c>
      <c r="H63" s="2154" t="s">
        <v>514</v>
      </c>
      <c r="I63" s="2154"/>
      <c r="J63" s="2154"/>
      <c r="K63" s="1303">
        <f>K44</f>
        <v>0</v>
      </c>
      <c r="L63" s="2130"/>
      <c r="M63" s="2130"/>
      <c r="N63" s="2152"/>
      <c r="P63" s="2125"/>
      <c r="Q63" s="2124"/>
    </row>
    <row r="64" spans="1:17" ht="17.25" customHeight="1">
      <c r="B64" s="2129"/>
      <c r="F64" s="2148"/>
      <c r="G64" s="2153"/>
      <c r="H64" s="2149"/>
      <c r="I64" s="1303">
        <f>ROUND(IF(OR($K$41=0,G64=0,G64&lt;$G$63,K63&lt;=0),0,IF(G64=$K$43,($K$41*K63)/$E$116*(G64-G63+1),IF(AND($G$63&gt;=0,$K$44&gt;=0),($K$41*K63)/$E$116*(G64-G63),IF(AND(G64&lt;=$E$6,G63&gt;=$E$6-$E$116),0,$K$41*K63/$E$116*(G64-G63))))),2)</f>
        <v>0</v>
      </c>
      <c r="J64" s="1303"/>
      <c r="K64" s="1303">
        <f>IF(OR(G64=0,H64=0),K63,IF($K$63-SUM($H$64:H64)&lt;=0,0,K63-H64))</f>
        <v>0</v>
      </c>
      <c r="L64" s="2148"/>
      <c r="M64" s="2130"/>
      <c r="N64" s="2152"/>
      <c r="P64" s="2125"/>
      <c r="Q64" s="2124"/>
    </row>
    <row r="65" spans="2:17" ht="17.25" customHeight="1">
      <c r="B65" s="2129"/>
      <c r="F65" s="2148"/>
      <c r="G65" s="2151"/>
      <c r="H65" s="2149"/>
      <c r="I65" s="1303">
        <f>ROUND(IF(OR($K$41=0,G65=0,G65&lt;$G$63,K64&lt;=0),0,IF(G65=$K$43,($K$41*K64)/$E$116*(G65-G64+1),IF(AND($G$63&gt;=0,$K$44&gt;=0),($K$41*K64)/$E$116*(G65-G64),IF(AND(G65&lt;=$E$6,G64&gt;=$E$6-$E$116),0,$K$41*K64/$E$116*(G65-G64))))),2)</f>
        <v>0</v>
      </c>
      <c r="J65" s="1303"/>
      <c r="K65" s="1303">
        <f>IF(OR(G65=0,H65=0),K64,IF($K$63-SUM($H$64:H65)&lt;=0,0,K64-H65))</f>
        <v>0</v>
      </c>
      <c r="L65" s="2148"/>
      <c r="M65" s="2130"/>
      <c r="N65" s="2152"/>
      <c r="P65" s="2125"/>
      <c r="Q65" s="2124"/>
    </row>
    <row r="66" spans="2:17" ht="17.25" customHeight="1">
      <c r="B66" s="2129"/>
      <c r="F66" s="2148"/>
      <c r="G66" s="2151"/>
      <c r="H66" s="2149"/>
      <c r="I66" s="1303">
        <f>ROUND(IF(OR($K$41=0,G66=0,G66&lt;$G$63,K65&lt;=0),0,IF(G66=$K$43,($K$41*K65)/$E$116*(G66-G65+1),IF(AND($G$63&gt;=0,$K$44&gt;=0),($K$41*K65)/$E$116*(G66-G65),IF(AND(G66&lt;=$E$6,G65&gt;=$E$6-$E$116),0,$K$41*K65/$E$116*(G66-G65))))),2)</f>
        <v>0</v>
      </c>
      <c r="J66" s="1303"/>
      <c r="K66" s="1303">
        <f>IF(OR(G66=0,H66=0),K65,IF($K$63-SUM($H$64:H66)&lt;=0,0,K65-H66))</f>
        <v>0</v>
      </c>
      <c r="L66" s="2148"/>
      <c r="M66" s="2130"/>
      <c r="N66" s="2152"/>
      <c r="P66" s="2125"/>
      <c r="Q66" s="2124"/>
    </row>
    <row r="67" spans="2:17" ht="17.25" customHeight="1">
      <c r="B67" s="2129"/>
      <c r="F67" s="2148"/>
      <c r="G67" s="2151"/>
      <c r="H67" s="2149"/>
      <c r="I67" s="1303">
        <f>ROUND(IF(OR($K$41=0,G67=0,G67&lt;$G$63,K66&lt;=0),0,IF(G67=$K$43,($K$41*K66)/$E$116*(G67-G66+1),IF(AND($G$63&gt;=0,$K$44&gt;=0),($K$41*K66)/$E$116*(G67-G66),IF(AND(G67&lt;=$E$6,G66&gt;=$E$6-$E$116),0,$K$41*K66/$E$116*(G67-G66))))),2)</f>
        <v>0</v>
      </c>
      <c r="J67" s="1303"/>
      <c r="K67" s="1303">
        <f>IF(OR(G67=0,H67=0),K66,IF($K$63-SUM($H$64:H67)&lt;=0,0,K66-H67))</f>
        <v>0</v>
      </c>
      <c r="L67" s="2148"/>
      <c r="M67" s="2130"/>
      <c r="N67" s="2152"/>
      <c r="P67" s="2125"/>
      <c r="Q67" s="2124"/>
    </row>
    <row r="68" spans="2:17" ht="17.25" customHeight="1">
      <c r="B68" s="2129"/>
      <c r="F68" s="2148"/>
      <c r="G68" s="2151"/>
      <c r="H68" s="2149"/>
      <c r="I68" s="1303">
        <f>ROUND(IF(OR($K$41=0,G68=0,G68&lt;$G$63,K67&lt;=0),0,IF(G68=$K$43,($K$41*K67)/$E$116*(G68-G67+1),IF(AND($G$63&gt;=0,$K$44&gt;=0),($K$41*K67)/$E$116*(G68-G67),IF(AND(G68&lt;=$E$6,G67&gt;=$E$6-$E$116),0,$K$41*K67/$E$116*(G68-G67))))),2)</f>
        <v>0</v>
      </c>
      <c r="J68" s="1303"/>
      <c r="K68" s="1303">
        <f>IF(OR(G68=0,H68=0),K67,IF($K$63-SUM($H$64:H68)&lt;=0,0,K67-H68))</f>
        <v>0</v>
      </c>
      <c r="L68" s="2148"/>
      <c r="M68" s="2130"/>
      <c r="N68" s="2152"/>
      <c r="P68" s="2125"/>
      <c r="Q68" s="2124"/>
    </row>
    <row r="69" spans="2:17" ht="17.25" customHeight="1">
      <c r="B69" s="2129"/>
      <c r="F69" s="2148"/>
      <c r="G69" s="2151"/>
      <c r="H69" s="2149"/>
      <c r="I69" s="1303">
        <f>ROUND(IF(OR($K$41=0,G69=0,G69&lt;$G$63,K68&lt;=0),0,IF(G69=$K$43,($K$41*K68)/$E$116*(G69-G68+1),IF(AND($G$63&gt;=0,$K$44&gt;=0),($K$41*K68)/$E$116*(G69-G68),IF(AND(G69&lt;=$E$6,G68&gt;=$E$6-$E$116),0,$K$41*K68/$E$116*(G69-G68))))),2)</f>
        <v>0</v>
      </c>
      <c r="J69" s="1303"/>
      <c r="K69" s="1303">
        <f>IF(OR(G69=0,H69=0),K68,IF($K$63-SUM($H$64:H69)&lt;=0,0,K68-H69))</f>
        <v>0</v>
      </c>
      <c r="L69" s="2148"/>
      <c r="M69" s="2130"/>
      <c r="N69" s="2152"/>
      <c r="P69" s="2125"/>
      <c r="Q69" s="2124"/>
    </row>
    <row r="70" spans="2:17" ht="17.25" customHeight="1">
      <c r="B70" s="2129"/>
      <c r="F70" s="2148"/>
      <c r="G70" s="2151"/>
      <c r="H70" s="2149"/>
      <c r="I70" s="1303">
        <f>ROUND(IF(OR($K$41=0,G70=0,G70&lt;$G$63,K69&lt;=0),0,IF(G70=$K$43,($K$41*K69)/$E$116*(G70-G69+1),IF(AND($G$63&gt;=0,$K$44&gt;=0),($K$41*K69)/$E$116*(G70-G69),IF(AND(G70&lt;=$E$6,G69&gt;=$E$6-$E$116),0,$K$41*K69/$E$116*(G70-G69))))),2)</f>
        <v>0</v>
      </c>
      <c r="J70" s="1303"/>
      <c r="K70" s="1303">
        <f>IF(OR(G70=0,H70=0),K69,IF($K$63-SUM($H$64:H70)&lt;=0,0,K69-H70))</f>
        <v>0</v>
      </c>
      <c r="L70" s="2148"/>
      <c r="M70" s="2130"/>
      <c r="N70" s="2152"/>
      <c r="P70" s="2125"/>
      <c r="Q70" s="2124"/>
    </row>
    <row r="71" spans="2:17" ht="17.25" customHeight="1">
      <c r="B71" s="2129"/>
      <c r="F71" s="2148"/>
      <c r="G71" s="2151"/>
      <c r="H71" s="2149"/>
      <c r="I71" s="1303">
        <f>ROUND(IF(OR($K$41=0,G71=0,G71&lt;$G$63,K70&lt;=0),0,IF(G71=$K$43,($K$41*K70)/$E$116*(G71-G70+1),IF(AND($G$63&gt;=0,$K$44&gt;=0),($K$41*K70)/$E$116*(G71-G70),IF(AND(G71&lt;=$E$6,G70&gt;=$E$6-$E$116),0,$K$41*K70/$E$116*(G71-G70))))),2)</f>
        <v>0</v>
      </c>
      <c r="J71" s="1303"/>
      <c r="K71" s="1303">
        <f>IF(OR(G71=0,H71=0),K70,IF($K$63-SUM($H$64:H71)&lt;=0,0,K70-H71))</f>
        <v>0</v>
      </c>
      <c r="L71" s="2148"/>
      <c r="M71" s="2130"/>
      <c r="N71" s="2126"/>
      <c r="P71" s="2125"/>
      <c r="Q71" s="2124"/>
    </row>
    <row r="72" spans="2:17" ht="17.25" customHeight="1">
      <c r="B72" s="2129"/>
      <c r="F72" s="2148"/>
      <c r="G72" s="2151"/>
      <c r="H72" s="2149"/>
      <c r="I72" s="1303">
        <f>ROUND(IF(OR($K$41=0,G72=0,G72&lt;$G$63,K71&lt;=0),0,IF(G72=$K$43,($K$41*K71)/$E$116*(G72-G71+1),IF(AND($G$63&gt;=0,$K$44&gt;=0),($K$41*K71)/$E$116*(G72-G71),IF(AND(G72&lt;=$E$6,G71&gt;=$E$6-$E$116),0,$K$41*K71/$E$116*(G72-G71))))),2)</f>
        <v>0</v>
      </c>
      <c r="J72" s="1303"/>
      <c r="K72" s="1303">
        <f>IF(OR(G72=0,H72=0),K71,IF($K$63-SUM($H$64:H72)&lt;=0,0,K71-H72))</f>
        <v>0</v>
      </c>
      <c r="L72" s="2148"/>
      <c r="M72" s="2130"/>
      <c r="N72" s="2126"/>
      <c r="P72" s="2125"/>
      <c r="Q72" s="2124"/>
    </row>
    <row r="73" spans="2:17" ht="17.25" customHeight="1">
      <c r="B73" s="2129"/>
      <c r="F73" s="2148"/>
      <c r="G73" s="2151"/>
      <c r="H73" s="2149"/>
      <c r="I73" s="1303">
        <f>ROUND(IF(OR($K$41=0,G73=0,G73&lt;$G$63,K72&lt;=0),0,IF(G73=$K$43,($K$41*K72)/$E$116*(G73-G72+1),IF(AND($G$63&gt;=0,$K$44&gt;=0),($K$41*K72)/$E$116*(G73-G72),IF(AND(G73&lt;=$E$6,G72&gt;=$E$6-$E$116),0,$K$41*K72/$E$116*(G73-G72))))),2)</f>
        <v>0</v>
      </c>
      <c r="J73" s="1303"/>
      <c r="K73" s="1303">
        <f>IF(OR(G73=0,H73=0),K72,IF($K$63-SUM($H$64:H73)&lt;=0,0,K72-H73))</f>
        <v>0</v>
      </c>
      <c r="L73" s="2148"/>
      <c r="M73" s="2130"/>
      <c r="N73" s="2126"/>
      <c r="P73" s="2125"/>
      <c r="Q73" s="2124"/>
    </row>
    <row r="74" spans="2:17" ht="17.25" customHeight="1">
      <c r="B74" s="2129"/>
      <c r="F74" s="2148"/>
      <c r="G74" s="2151"/>
      <c r="H74" s="2149"/>
      <c r="I74" s="1303">
        <f>ROUND(IF(OR($K$41=0,G74=0,G74&lt;$G$63,K73&lt;=0),0,IF(G74=$K$43,($K$41*K73)/$E$116*(G74-G73+1),IF(AND($G$63&gt;=0,$K$44&gt;=0),($K$41*K73)/$E$116*(G74-G73),IF(AND(G74&lt;=$E$6,G73&gt;=$E$6-$E$116),0,$K$41*K73/$E$116*(G74-G73))))),2)</f>
        <v>0</v>
      </c>
      <c r="J74" s="1303"/>
      <c r="K74" s="1303">
        <f>IF(OR(G74=0,H74=0),K73,IF($K$63-SUM($H$64:H74)&lt;=0,0,K73-H74))</f>
        <v>0</v>
      </c>
      <c r="L74" s="2148"/>
      <c r="M74" s="2130"/>
      <c r="N74" s="2126"/>
      <c r="P74" s="2125"/>
      <c r="Q74" s="2124"/>
    </row>
    <row r="75" spans="2:17" ht="17.25" customHeight="1">
      <c r="B75" s="2129"/>
      <c r="F75" s="2148"/>
      <c r="G75" s="2151"/>
      <c r="H75" s="2149"/>
      <c r="I75" s="1303">
        <f>ROUND(IF(OR($K$41=0,G75=0,G75&lt;$G$63,K74&lt;=0),0,IF(G75=$K$43,($K$41*K74)/$E$116*(G75-G74+1),IF(AND($G$63&gt;=0,$K$44&gt;=0),($K$41*K74)/$E$116*(G75-G74),IF(AND(G75&lt;=$E$6,G74&gt;=$E$6-$E$116),0,$K$41*K74/$E$116*(G75-G74))))),2)</f>
        <v>0</v>
      </c>
      <c r="J75" s="1303"/>
      <c r="K75" s="1303">
        <f>IF(OR(G75=0,H75=0),K74,IF($K$63-SUM($H$64:H75)&lt;=0,0,K74-H75))</f>
        <v>0</v>
      </c>
      <c r="L75" s="2148"/>
      <c r="M75" s="2130"/>
      <c r="N75" s="2126"/>
      <c r="P75" s="2125"/>
      <c r="Q75" s="2124"/>
    </row>
    <row r="76" spans="2:17" ht="17.25" customHeight="1">
      <c r="B76" s="2129"/>
      <c r="F76" s="2148"/>
      <c r="G76" s="2151"/>
      <c r="H76" s="2149"/>
      <c r="I76" s="1303">
        <f>ROUND(IF(OR($K$41=0,G76=0,G76&lt;$G$63,K75&lt;=0),0,IF(G76=$K$43,($K$41*K75)/$E$116*(G76-G75+1),IF(AND($G$63&gt;=0,$K$44&gt;=0),($K$41*K75)/$E$116*(G76-G75),IF(AND(G76&lt;=$E$6,G75&gt;=$E$6-$E$116),0,$K$41*K75/$E$116*(G76-G75))))),2)</f>
        <v>0</v>
      </c>
      <c r="J76" s="1303"/>
      <c r="K76" s="1303">
        <f>IF(OR(G76=0,H76=0),K75,IF($K$63-SUM($H$64:H76)&lt;=0,0,K75-H76))</f>
        <v>0</v>
      </c>
      <c r="L76" s="2148"/>
      <c r="M76" s="2130"/>
      <c r="N76" s="2126"/>
      <c r="P76" s="2125"/>
      <c r="Q76" s="2124"/>
    </row>
    <row r="77" spans="2:17" ht="17.25" customHeight="1">
      <c r="B77" s="2129"/>
      <c r="F77" s="2148"/>
      <c r="G77" s="2151"/>
      <c r="H77" s="2149"/>
      <c r="I77" s="1303">
        <f>ROUND(IF(OR($K$41=0,G77=0,G77&lt;$G$63,K76&lt;=0),0,IF(G77=$K$43,($K$41*K76)/$E$116*(G77-G76+1),IF(AND($G$63&gt;=0,$K$44&gt;=0),($K$41*K76)/$E$116*(G77-G76),IF(AND(G77&lt;=$E$6,G76&gt;=$E$6-$E$116),0,$K$41*K76/$E$116*(G77-G76))))),2)</f>
        <v>0</v>
      </c>
      <c r="J77" s="1303"/>
      <c r="K77" s="1303">
        <f>IF(OR(G77=0,H77=0),K76,IF($K$63-SUM($H$64:H77)&lt;=0,0,K76-H77))</f>
        <v>0</v>
      </c>
      <c r="L77" s="2148"/>
      <c r="M77" s="2130"/>
      <c r="N77" s="2126"/>
      <c r="P77" s="2125"/>
      <c r="Q77" s="2124"/>
    </row>
    <row r="78" spans="2:17" ht="17.25" customHeight="1">
      <c r="B78" s="2129"/>
      <c r="F78" s="2148"/>
      <c r="G78" s="2151"/>
      <c r="H78" s="2149"/>
      <c r="I78" s="1303">
        <f>ROUND(IF(OR($K$41=0,G78=0,G78&lt;$G$63,K77&lt;=0),0,IF(G78=$K$43,($K$41*K77)/$E$116*(G78-G77+1),IF(AND($G$63&gt;=0,$K$44&gt;=0),($K$41*K77)/$E$116*(G78-G77),IF(AND(G78&lt;=$E$6,G77&gt;=$E$6-$E$116),0,$K$41*K77/$E$116*(G78-G77))))),2)</f>
        <v>0</v>
      </c>
      <c r="J78" s="1303"/>
      <c r="K78" s="1303">
        <f>IF(OR(G78=0,H78=0),K77,IF($K$63-SUM($H$64:H78)&lt;=0,0,K77-H78))</f>
        <v>0</v>
      </c>
      <c r="L78" s="2148"/>
      <c r="M78" s="2130"/>
      <c r="N78" s="2126"/>
      <c r="P78" s="2125"/>
      <c r="Q78" s="2124"/>
    </row>
    <row r="79" spans="2:17" ht="17.25" customHeight="1">
      <c r="B79" s="2129"/>
      <c r="F79" s="2148"/>
      <c r="G79" s="2151"/>
      <c r="H79" s="2149"/>
      <c r="I79" s="1303">
        <f>ROUND(IF(OR($K$41=0,G79=0,G79&lt;$G$63,K78&lt;=0),0,IF(G79=$K$43,($K$41*K78)/$E$116*(G79-G78+1),IF(AND($G$63&gt;=0,$K$44&gt;=0),($K$41*K78)/$E$116*(G79-G78),IF(AND(G79&lt;=$E$6,G78&gt;=$E$6-$E$116),0,$K$41*K78/$E$116*(G79-G78))))),2)</f>
        <v>0</v>
      </c>
      <c r="J79" s="1303"/>
      <c r="K79" s="1303">
        <f>IF(OR(G79=0,H79=0),K78,IF($K$63-SUM($H$64:H79)&lt;=0,0,K78-H79))</f>
        <v>0</v>
      </c>
      <c r="L79" s="2148"/>
      <c r="M79" s="2130"/>
      <c r="N79" s="2126"/>
      <c r="P79" s="2125"/>
      <c r="Q79" s="2124"/>
    </row>
    <row r="80" spans="2:17" ht="17.25" customHeight="1">
      <c r="B80" s="2129"/>
      <c r="F80" s="2148"/>
      <c r="G80" s="2151"/>
      <c r="H80" s="2149"/>
      <c r="I80" s="1303">
        <f>ROUND(IF(OR($K$41=0,G80=0,G80&lt;$G$63,K79&lt;=0),0,IF(G80=$K$43,($K$41*K79)/$E$116*(G80-G79+1),IF(AND($G$63&gt;=0,$K$44&gt;=0),($K$41*K79)/$E$116*(G80-G79),IF(AND(G80&lt;=$E$6,G79&gt;=$E$6-$E$116),0,$K$41*K79/$E$116*(G80-G79))))),2)</f>
        <v>0</v>
      </c>
      <c r="J80" s="1303"/>
      <c r="K80" s="1303">
        <f>IF(OR(G80=0,H80=0),K79,IF($K$63-SUM($H$64:H80)&lt;=0,0,K79-H80))</f>
        <v>0</v>
      </c>
      <c r="L80" s="2148"/>
      <c r="M80" s="2130"/>
      <c r="N80" s="2126"/>
      <c r="P80" s="2125"/>
      <c r="Q80" s="2124"/>
    </row>
    <row r="81" spans="1:17" ht="17.25" customHeight="1">
      <c r="B81" s="2129"/>
      <c r="F81" s="2148"/>
      <c r="G81" s="2151"/>
      <c r="H81" s="2149"/>
      <c r="I81" s="1303">
        <f>ROUND(IF(OR($K$41=0,G81=0,G81&lt;$G$63,K80&lt;=0),0,IF(G81=$K$43,($K$41*K80)/$E$116*(G81-G80+1),IF(AND($G$63&gt;=0,$K$44&gt;=0),($K$41*K80)/$E$116*(G81-G80),IF(AND(G81&lt;=$E$6,G80&gt;=$E$6-$E$116),0,$K$41*K80/$E$116*(G81-G80))))),2)</f>
        <v>0</v>
      </c>
      <c r="J81" s="1303"/>
      <c r="K81" s="1303">
        <f>IF(OR(G81=0,H81=0),K80,IF($K$63-SUM($H$64:H81)&lt;=0,0,K80-H81))</f>
        <v>0</v>
      </c>
      <c r="L81" s="2148"/>
      <c r="M81" s="2130"/>
      <c r="N81" s="2126"/>
      <c r="P81" s="2125"/>
      <c r="Q81" s="2124"/>
    </row>
    <row r="82" spans="1:17" ht="17.25" customHeight="1">
      <c r="B82" s="2129"/>
      <c r="F82" s="2148"/>
      <c r="G82" s="2151"/>
      <c r="H82" s="2149"/>
      <c r="I82" s="1303">
        <f>ROUND(IF(OR($K$41=0,G82=0,G82&lt;$G$63,K81&lt;=0),0,IF(G82=$K$43,($K$41*K81)/$E$116*(G82-G81+1),IF(AND($G$63&gt;=0,$K$44&gt;=0),($K$41*K81)/$E$116*(G82-G81),IF(AND(G82&lt;=$E$6,G81&gt;=$E$6-$E$116),0,$K$41*K81/$E$116*(G82-G81))))),2)</f>
        <v>0</v>
      </c>
      <c r="J82" s="1303"/>
      <c r="K82" s="1303">
        <f>IF(OR(G82=0,H82=0),K81,IF($K$63-SUM($H$64:H82)&lt;=0,0,K81-H82))</f>
        <v>0</v>
      </c>
      <c r="L82" s="2148"/>
      <c r="M82" s="2130"/>
      <c r="N82" s="2136"/>
      <c r="P82" s="2125"/>
      <c r="Q82" s="2124"/>
    </row>
    <row r="83" spans="1:17" ht="17.25" customHeight="1">
      <c r="B83" s="2129"/>
      <c r="F83" s="2148"/>
      <c r="G83" s="2151"/>
      <c r="H83" s="2149"/>
      <c r="I83" s="1303">
        <f>ROUND(IF(OR($K$41=0,G83=0,G83&lt;$G$63,K82&lt;=0),0,IF(G83=$K$43,($K$41*K82)/$E$116*(G83-G82+1),IF(AND($G$63&gt;=0,$K$44&gt;=0),($K$41*K82)/$E$116*(G83-G82),IF(AND(G83&lt;=$E$6,G82&gt;=$E$6-$E$116),0,$K$41*K82/$E$116*(G83-G82))))),2)</f>
        <v>0</v>
      </c>
      <c r="J83" s="1303"/>
      <c r="K83" s="1303">
        <f>IF(OR(G83=0,H83=0),K82,IF($K$63-SUM($H$64:H83)&lt;=0,0,K82-H83))</f>
        <v>0</v>
      </c>
      <c r="L83" s="2148"/>
      <c r="M83" s="2130"/>
      <c r="N83" s="2136"/>
      <c r="P83" s="2125"/>
      <c r="Q83" s="2124"/>
    </row>
    <row r="84" spans="1:17" ht="17.25" customHeight="1">
      <c r="B84" s="2129"/>
      <c r="F84" s="2148"/>
      <c r="G84" s="2151"/>
      <c r="H84" s="2149"/>
      <c r="I84" s="1303">
        <f>ROUND(IF(OR($K$41=0,G84=0,G84&lt;$G$63,K83&lt;=0),0,IF(G84=$K$43,($K$41*K83)/$E$116*(G84-G83+1),IF(AND($G$63&gt;=0,$K$44&gt;=0),($K$41*K83)/$E$116*(G84-G83),IF(AND(G84&lt;=$E$6,G83&gt;=$E$6-$E$116),0,$K$41*K83/$E$116*(G84-G83))))),2)</f>
        <v>0</v>
      </c>
      <c r="J84" s="1303"/>
      <c r="K84" s="1303">
        <f>IF(OR(G84=0,H84=0),K83,IF($K$63-SUM($H$64:H84)&lt;=0,0,K83-H84))</f>
        <v>0</v>
      </c>
      <c r="L84" s="2148"/>
      <c r="M84" s="2130"/>
      <c r="N84" s="2126"/>
      <c r="P84" s="2125"/>
      <c r="Q84" s="2124"/>
    </row>
    <row r="85" spans="1:17" ht="17.25" customHeight="1">
      <c r="B85" s="2129"/>
      <c r="F85" s="2148"/>
      <c r="G85" s="2151"/>
      <c r="H85" s="2149"/>
      <c r="I85" s="1303">
        <f>ROUND(IF(OR($K$41=0,G85=0,G85&lt;$G$63,K84&lt;=0),0,IF(G85=$K$43,($K$41*K84)/$E$116*(G85-G84+1),IF(AND($G$63&gt;=0,$K$44&gt;=0),($K$41*K84)/$E$116*(G85-G84),IF(AND(G85&lt;=$E$6,G84&gt;=$E$6-$E$116),0,$K$41*K84/$E$116*(G85-G84))))),2)</f>
        <v>0</v>
      </c>
      <c r="J85" s="1303"/>
      <c r="K85" s="1303">
        <f>IF(OR(G85=0,H85=0),K84,IF($K$63-SUM($H$64:H85)&lt;=0,0,K84-H85))</f>
        <v>0</v>
      </c>
      <c r="L85" s="2148"/>
      <c r="M85" s="2130"/>
      <c r="N85" s="2126"/>
      <c r="P85" s="2125"/>
      <c r="Q85" s="2124"/>
    </row>
    <row r="86" spans="1:17" ht="17.25" customHeight="1">
      <c r="B86" s="2129"/>
      <c r="F86" s="2148"/>
      <c r="G86" s="2151"/>
      <c r="H86" s="2149"/>
      <c r="I86" s="1303">
        <f>ROUND(IF(OR($K$41=0,G86=0,G86&lt;$G$63,K85&lt;=0),0,IF(G86=$K$43,($K$41*K85)/$E$116*(G86-G85+1),IF(AND($G$63&gt;=0,$K$44&gt;=0),($K$41*K85)/$E$116*(G86-G85),IF(AND(G86&lt;=$E$6,G85&gt;=$E$6-$E$116),0,$K$41*K85/$E$116*(G86-G85))))),2)</f>
        <v>0</v>
      </c>
      <c r="J86" s="1303"/>
      <c r="K86" s="1303">
        <f>IF(OR(G86=0,H86=0),K85,IF($K$63-SUM($H$64:H86)&lt;=0,0,K85-H86))</f>
        <v>0</v>
      </c>
      <c r="L86" s="2148"/>
      <c r="M86" s="2130"/>
      <c r="N86" s="2126"/>
      <c r="P86" s="2125"/>
      <c r="Q86" s="2124"/>
    </row>
    <row r="87" spans="1:17" ht="17.25" customHeight="1">
      <c r="B87" s="2129"/>
      <c r="F87" s="2148"/>
      <c r="G87" s="2151"/>
      <c r="H87" s="2149"/>
      <c r="I87" s="1303">
        <f>ROUND(IF(OR($K$41=0,G87=0,G87&lt;$G$63,K86&lt;=0),0,IF(G87=$K$43,($K$41*K86)/$E$116*(G87-G86+1),IF(AND($G$63&gt;=0,$K$44&gt;=0),($K$41*K86)/$E$116*(G87-G86),IF(AND(G87&lt;=$E$6,G86&gt;=$E$6-$E$116),0,$K$41*K86/$E$116*(G87-G86))))),2)</f>
        <v>0</v>
      </c>
      <c r="J87" s="1303"/>
      <c r="K87" s="1303">
        <f>IF(OR(G87=0,H87=0),K86,IF($K$63-SUM($H$64:H87)&lt;=0,0,K86-H87))</f>
        <v>0</v>
      </c>
      <c r="L87" s="2148"/>
      <c r="M87" s="2130"/>
      <c r="N87" s="2126"/>
      <c r="P87" s="2125"/>
      <c r="Q87" s="2124"/>
    </row>
    <row r="88" spans="1:17" ht="17.25" customHeight="1">
      <c r="B88" s="2129"/>
      <c r="F88" s="2148"/>
      <c r="G88" s="2151"/>
      <c r="H88" s="2149"/>
      <c r="I88" s="1303">
        <f>ROUND(IF(OR($K$41=0,G88=0,G88&lt;$G$63,K87&lt;=0),0,IF(G88=$K$43,($K$41*K87)/$E$116*(G88-G87+1),IF(AND($G$63&gt;=0,$K$44&gt;=0),($K$41*K87)/$E$116*(G88-G87),IF(AND(G88&lt;=$E$6,G87&gt;=$E$6-$E$116),0,$K$41*K87/$E$116*(G88-G87))))),2)</f>
        <v>0</v>
      </c>
      <c r="J88" s="1303"/>
      <c r="K88" s="1303">
        <f>IF(OR(G88=0,H88=0),K87,IF($K$63-SUM($H$64:H88)&lt;=0,0,K87-H88))</f>
        <v>0</v>
      </c>
      <c r="L88" s="2148"/>
      <c r="M88" s="2130"/>
      <c r="N88" s="2126"/>
      <c r="P88" s="2125"/>
      <c r="Q88" s="2124"/>
    </row>
    <row r="89" spans="1:17" ht="17.25" customHeight="1">
      <c r="B89" s="2129"/>
      <c r="F89" s="2148"/>
      <c r="G89" s="2150"/>
      <c r="H89" s="2149"/>
      <c r="I89" s="1303">
        <f>ROUND(IF(OR($K$41=0,G89=0,G89&lt;$G$63,K88&lt;=0),0,IF(G89=$K$43,($K$41*K88)/$E$116*(G89-G88+1),IF(AND($G$63&gt;=0,$K$44&gt;=0),($K$41*K88)/$E$116*(G89-G88),IF(AND(G89&lt;=$E$6,G88&gt;=$E$6-$E$116),0,$K$41*K88/$E$116*(G89-G88))))),2)</f>
        <v>0</v>
      </c>
      <c r="J89" s="1303"/>
      <c r="K89" s="1303">
        <f>IF(OR(G89=0,H89=0),K88,IF($K$63-SUM($H$64:H89)&lt;=0,0,K88-H89))</f>
        <v>0</v>
      </c>
      <c r="L89" s="2148"/>
      <c r="M89" s="2130"/>
      <c r="N89" s="2126"/>
      <c r="P89" s="2125"/>
      <c r="Q89" s="2124"/>
    </row>
    <row r="90" spans="1:17" ht="17.25" customHeight="1">
      <c r="B90" s="2129"/>
      <c r="F90" s="2147"/>
      <c r="G90" s="1321">
        <f>$E$6</f>
        <v>45473</v>
      </c>
      <c r="I90" s="1303">
        <f>IF(G90=G63,0,IF(ISERROR(IF($K$41=0,0,($K$41*VLOOKUP(G90,G64:K89,5)/E116))),IF(K63&gt;0,K41*K63*((G90-G63)+1)/E116,0),IF($K$41=0,0,($K$41*(VLOOKUP(G90,G64:K89,5)/E116)*(G90-VLOOKUP(G90,G64:K89,1)+1)))))</f>
        <v>0</v>
      </c>
      <c r="J90" s="2146"/>
      <c r="L90" s="2145"/>
      <c r="M90" s="2130"/>
      <c r="N90" s="2126"/>
      <c r="P90" s="2125"/>
      <c r="Q90" s="2124"/>
    </row>
    <row r="91" spans="1:17" ht="16.899999999999999" customHeight="1">
      <c r="B91" s="2129"/>
      <c r="H91" s="1886">
        <f>SUM(H64:H90)</f>
        <v>0</v>
      </c>
      <c r="I91" s="1886">
        <f>ROUNDDOWN(SUM(I64:I90),2)</f>
        <v>0</v>
      </c>
      <c r="J91" s="2144"/>
      <c r="K91" s="2130"/>
      <c r="N91" s="2126"/>
      <c r="P91" s="2125"/>
      <c r="Q91" s="2124"/>
    </row>
    <row r="92" spans="1:17" ht="7.5" customHeight="1">
      <c r="B92" s="2123"/>
      <c r="C92" s="2095"/>
      <c r="D92" s="2095"/>
      <c r="E92" s="2095"/>
      <c r="F92" s="2095"/>
      <c r="G92" s="2095"/>
      <c r="H92" s="2095"/>
      <c r="I92" s="2095"/>
      <c r="J92" s="2095"/>
      <c r="K92" s="2095"/>
      <c r="L92" s="2095"/>
      <c r="M92" s="2095"/>
      <c r="N92" s="2122"/>
    </row>
    <row r="93" spans="1:17" ht="17.25" customHeight="1"/>
    <row r="94" spans="1:17" ht="22.5" customHeight="1">
      <c r="A94" s="2143" t="str">
        <f>IF(SUBTOTAL(103,A95),"-","+")</f>
        <v>-</v>
      </c>
      <c r="B94" s="2142" t="s">
        <v>2095</v>
      </c>
      <c r="C94" s="2141"/>
      <c r="D94" s="2141"/>
      <c r="E94" s="2141"/>
      <c r="F94" s="2141"/>
      <c r="G94" s="2140"/>
      <c r="H94" s="355"/>
      <c r="I94" s="355"/>
      <c r="J94" s="355"/>
      <c r="K94" s="355"/>
      <c r="L94" s="355"/>
      <c r="M94" s="355"/>
      <c r="N94" s="2139"/>
      <c r="P94" s="2090"/>
    </row>
    <row r="95" spans="1:17" ht="7.5" customHeight="1">
      <c r="A95" s="2090" t="s">
        <v>58</v>
      </c>
      <c r="B95" s="2138"/>
      <c r="C95" s="2093"/>
      <c r="D95" s="2093"/>
      <c r="E95" s="552"/>
      <c r="F95" s="552"/>
      <c r="G95" s="552"/>
      <c r="H95" s="552"/>
      <c r="I95" s="552"/>
      <c r="J95" s="552"/>
      <c r="K95" s="552"/>
      <c r="L95" s="552"/>
      <c r="M95" s="552"/>
      <c r="N95" s="2137"/>
    </row>
    <row r="96" spans="1:17" ht="30" customHeight="1">
      <c r="B96" s="2129"/>
      <c r="E96" s="1536" t="s">
        <v>2094</v>
      </c>
      <c r="F96" s="1537"/>
      <c r="G96" s="1537"/>
      <c r="H96" s="1537"/>
      <c r="I96" s="1537"/>
      <c r="J96" s="1537"/>
      <c r="K96" s="1537"/>
      <c r="L96" s="1537"/>
      <c r="M96" s="1537"/>
      <c r="N96" s="2136"/>
      <c r="P96" s="2121"/>
    </row>
    <row r="97" spans="2:17" ht="7.5" customHeight="1">
      <c r="B97" s="2129"/>
      <c r="N97" s="2126"/>
      <c r="P97" s="2121"/>
    </row>
    <row r="98" spans="2:17" ht="39" customHeight="1">
      <c r="B98" s="2129"/>
      <c r="C98" s="2126"/>
      <c r="D98" s="405" t="s">
        <v>1528</v>
      </c>
      <c r="E98" s="1477" t="s">
        <v>1527</v>
      </c>
      <c r="F98" s="1532"/>
      <c r="G98" s="405" t="s">
        <v>514</v>
      </c>
      <c r="H98" s="405" t="s">
        <v>1526</v>
      </c>
      <c r="I98" s="405" t="s">
        <v>2093</v>
      </c>
      <c r="J98" s="405"/>
      <c r="K98" s="405" t="s">
        <v>399</v>
      </c>
      <c r="L98" s="404" t="s">
        <v>546</v>
      </c>
      <c r="M98" s="2135"/>
      <c r="N98" s="2126"/>
      <c r="P98" s="2121"/>
    </row>
    <row r="99" spans="2:17" ht="7.5" customHeight="1">
      <c r="B99" s="2129"/>
      <c r="E99" s="1310"/>
      <c r="F99" s="1310"/>
      <c r="G99" s="1310"/>
      <c r="H99" s="2135"/>
      <c r="I99" s="2135"/>
      <c r="J99" s="2135"/>
      <c r="K99" s="1310"/>
      <c r="L99" s="1310"/>
      <c r="M99" s="2135"/>
      <c r="N99" s="2126"/>
      <c r="P99" s="2121"/>
    </row>
    <row r="100" spans="2:17" ht="17.25" customHeight="1">
      <c r="B100" s="2129"/>
      <c r="C100" s="2134">
        <f>$F$36</f>
        <v>0</v>
      </c>
      <c r="D100" s="1308">
        <f>K38</f>
        <v>0</v>
      </c>
      <c r="E100" s="2128" t="str">
        <f>IF(K44&lt;=0,"",IF($E$6="","",$E$6))</f>
        <v/>
      </c>
      <c r="F100" s="2128"/>
      <c r="G100" s="2133">
        <f>K44</f>
        <v>0</v>
      </c>
      <c r="H100" s="2132">
        <f>IF(K44=0,0,H91)</f>
        <v>0</v>
      </c>
      <c r="I100" s="2131">
        <f>IF(E100=K43,K49+K44,K49)</f>
        <v>0</v>
      </c>
      <c r="J100" s="1303"/>
      <c r="K100" s="1303">
        <f>IF(K44&lt;=0,0,I91)</f>
        <v>0</v>
      </c>
      <c r="L100" s="1303">
        <f>$K$51</f>
        <v>0</v>
      </c>
      <c r="M100" s="2130"/>
      <c r="N100" s="2126"/>
      <c r="P100" s="2125"/>
      <c r="Q100" s="2124"/>
    </row>
    <row r="101" spans="2:17" ht="17.25" customHeight="1">
      <c r="B101" s="2129"/>
      <c r="E101" s="2128" t="str">
        <f>IF(OR(E100="",L100=0),"",IF(YEAR($K$43)=YEAR(E100)+1,$K$43,IF(YEAR($K$43)&lt;YEAR(E100)+1,"",DATE(YEAR(E100)+1,MONTH(E100),DAY(E100)))))</f>
        <v/>
      </c>
      <c r="F101" s="2128"/>
      <c r="G101" s="1303">
        <f>IF(L100&lt;=1,0,IF($K$44=0,0,L100))</f>
        <v>0</v>
      </c>
      <c r="H101" s="2127"/>
      <c r="I101" s="1303">
        <f>IF(E101=$K$43,G101+K101,K101)</f>
        <v>0</v>
      </c>
      <c r="J101" s="1303"/>
      <c r="K101" s="1303">
        <f>IF(G101=0,0,IF(E101=$K$43,G101*I131*($K$43-E100)/I117,G101*I131))</f>
        <v>0</v>
      </c>
      <c r="L101" s="1303">
        <f>IF(AND(G101=0,K101=0),0,G101-I101+K101)</f>
        <v>0</v>
      </c>
      <c r="N101" s="2126"/>
      <c r="P101" s="2125"/>
      <c r="Q101" s="2124"/>
    </row>
    <row r="102" spans="2:17" ht="17.25" customHeight="1">
      <c r="B102" s="2129"/>
      <c r="E102" s="2128" t="str">
        <f>IF(OR(E101="",L101=0),"",IF(YEAR($K$43)=YEAR(E101)+1,$K$43,IF(YEAR($K$43)&lt;YEAR(E101)+1,"",DATE(YEAR(E101)+1,MONTH(E101),DAY(E101)))))</f>
        <v/>
      </c>
      <c r="F102" s="2128"/>
      <c r="G102" s="1303">
        <f>IF(L101&lt;=1,0,IF($K$44=0,0,L101))</f>
        <v>0</v>
      </c>
      <c r="H102" s="2127"/>
      <c r="I102" s="1303">
        <f>IF(E102=$K$43,G102+K102,K102)</f>
        <v>0</v>
      </c>
      <c r="J102" s="1303"/>
      <c r="K102" s="1303">
        <f>IF(G102=0,0,IF(E102=$K$43,G102*I132*($K$43-E101)/I118,G102*I132))</f>
        <v>0</v>
      </c>
      <c r="L102" s="1303">
        <f>IF(AND(G102=0,K102=0),0,G102-I102+K102)</f>
        <v>0</v>
      </c>
      <c r="N102" s="2126"/>
      <c r="P102" s="2125"/>
      <c r="Q102" s="2124"/>
    </row>
    <row r="103" spans="2:17" ht="17.25" customHeight="1">
      <c r="B103" s="2129"/>
      <c r="E103" s="2128" t="str">
        <f>IF(OR(E102="",L102=0),"",IF(YEAR($K$43)=YEAR(E102)+1,$K$43,IF(YEAR($K$43)&lt;YEAR(E102)+1,"",DATE(YEAR(E102)+1,MONTH(E102),DAY(E102)))))</f>
        <v/>
      </c>
      <c r="F103" s="2128"/>
      <c r="G103" s="1303">
        <f>IF(L102&lt;=1,0,IF($K$44=0,0,L102))</f>
        <v>0</v>
      </c>
      <c r="H103" s="2127"/>
      <c r="I103" s="1303">
        <f>IF(E103=$K$43,G103+K103,K103)</f>
        <v>0</v>
      </c>
      <c r="J103" s="1303"/>
      <c r="K103" s="1303">
        <f>IF(G103=0,0,IF(E103=$K$43,G103*I133*($K$43-E102)/I119,G103*I133))</f>
        <v>0</v>
      </c>
      <c r="L103" s="1303">
        <f>IF(AND(G103=0,K103=0),0,G103-I103+K103)</f>
        <v>0</v>
      </c>
      <c r="N103" s="2126"/>
      <c r="P103" s="2125"/>
      <c r="Q103" s="2124"/>
    </row>
    <row r="104" spans="2:17" ht="17.25" customHeight="1">
      <c r="B104" s="2129"/>
      <c r="E104" s="2128" t="str">
        <f>IF(OR(E103="",L103=0),"",IF(YEAR($K$43)=YEAR(E103)+1,$K$43,IF(YEAR($K$43)&lt;YEAR(E103)+1,"",DATE(YEAR(E103)+1,MONTH(E103),DAY(E103)))))</f>
        <v/>
      </c>
      <c r="F104" s="2128"/>
      <c r="G104" s="1303">
        <f>IF(L103&lt;=1,0,IF($K$44=0,0,L103))</f>
        <v>0</v>
      </c>
      <c r="H104" s="2127"/>
      <c r="I104" s="1303">
        <f>IF(E104=$K$43,G104+K104,K104)</f>
        <v>0</v>
      </c>
      <c r="J104" s="1303"/>
      <c r="K104" s="1303">
        <f>IF(G104=0,0,IF(E104=$K$43,G104*I134*($K$43-E103)/I120,G104*I134))</f>
        <v>0</v>
      </c>
      <c r="L104" s="1303">
        <f>IF(AND(G104=0,K104=0),0,G104-I104+K104)</f>
        <v>0</v>
      </c>
      <c r="N104" s="2126"/>
      <c r="P104" s="2125"/>
      <c r="Q104" s="2124"/>
    </row>
    <row r="105" spans="2:17" ht="17.25" customHeight="1">
      <c r="B105" s="2129"/>
      <c r="E105" s="2128" t="str">
        <f>IF(OR(E104="",L104=0),"",IF(YEAR($K$43)=YEAR(E104)+1,$K$43,IF(YEAR($K$43)&lt;YEAR(E104)+1,"",DATE(YEAR(E104)+1,MONTH(E104),DAY(E104)))))</f>
        <v/>
      </c>
      <c r="F105" s="2128"/>
      <c r="G105" s="1303">
        <f>IF(L104&lt;=1,0,IF($K$44=0,0,L104))</f>
        <v>0</v>
      </c>
      <c r="H105" s="2127"/>
      <c r="I105" s="1303">
        <f>IF(E105=$K$43,G105+K105,K105)</f>
        <v>0</v>
      </c>
      <c r="J105" s="1303"/>
      <c r="K105" s="1303">
        <f>IF(G105=0,0,IF(E105=$K$43,G105*I135*($K$43-E104)/I121,G105*I135))</f>
        <v>0</v>
      </c>
      <c r="L105" s="1303">
        <f>IF(AND(G105=0,K105=0),0,G105-I105+K105)</f>
        <v>0</v>
      </c>
      <c r="N105" s="2126"/>
      <c r="P105" s="2125"/>
      <c r="Q105" s="2124"/>
    </row>
    <row r="106" spans="2:17" ht="17.25" customHeight="1">
      <c r="B106" s="2129"/>
      <c r="E106" s="2128" t="str">
        <f>IF(OR(E105="",L105=0),"",IF(YEAR($K$43)=YEAR(E105)+1,$K$43,IF(YEAR($K$43)&lt;YEAR(E105)+1,"",DATE(YEAR(E105)+1,MONTH(E105),DAY(E105)))))</f>
        <v/>
      </c>
      <c r="F106" s="2128"/>
      <c r="G106" s="1303">
        <f>IF(L105&lt;=1,0,IF($K$44=0,0,L105))</f>
        <v>0</v>
      </c>
      <c r="H106" s="2127"/>
      <c r="I106" s="1303">
        <f>IF(E106=$K$43,G106+K106,K106)</f>
        <v>0</v>
      </c>
      <c r="J106" s="1303"/>
      <c r="K106" s="1303">
        <f>IF(G106=0,0,IF(E106=$K$43,G106*I136*($K$43-E105)/I122,G106*I136))</f>
        <v>0</v>
      </c>
      <c r="L106" s="1303">
        <f>IF(AND(G106=0,K106=0),0,G106-I106+K106)</f>
        <v>0</v>
      </c>
      <c r="N106" s="2126"/>
      <c r="P106" s="2125"/>
      <c r="Q106" s="2124"/>
    </row>
    <row r="107" spans="2:17" ht="17.25" customHeight="1">
      <c r="B107" s="2129"/>
      <c r="E107" s="2128" t="str">
        <f>IF(OR(E106="",L106=0),"",IF(YEAR($K$43)=YEAR(E106)+1,$K$43,IF(YEAR($K$43)&lt;YEAR(E106)+1,"",DATE(YEAR(E106)+1,MONTH(E106),DAY(E106)))))</f>
        <v/>
      </c>
      <c r="F107" s="2128"/>
      <c r="G107" s="1303">
        <f>IF(L106&lt;=1,0,IF($K$44=0,0,L106))</f>
        <v>0</v>
      </c>
      <c r="H107" s="2127"/>
      <c r="I107" s="1303">
        <f>IF(E107=$K$43,G107+K107,K107)</f>
        <v>0</v>
      </c>
      <c r="J107" s="1303"/>
      <c r="K107" s="1303">
        <f>IF(G107=0,0,IF(E107=$K$43,G107*I137*($K$43-E106)/I123,G107*I137))</f>
        <v>0</v>
      </c>
      <c r="L107" s="1303">
        <f>IF(AND(G107=0,K107=0),0,G107-I107+K107)</f>
        <v>0</v>
      </c>
      <c r="N107" s="2126"/>
      <c r="P107" s="2125"/>
      <c r="Q107" s="2124"/>
    </row>
    <row r="108" spans="2:17" ht="17.25" customHeight="1">
      <c r="B108" s="2129"/>
      <c r="E108" s="2128" t="str">
        <f>IF(OR(E107="",L107=0),"",IF(YEAR($K$43)=YEAR(E107)+1,$K$43,IF(YEAR($K$43)&lt;YEAR(E107)+1,"",DATE(YEAR(E107)+1,MONTH(E107),DAY(E107)))))</f>
        <v/>
      </c>
      <c r="F108" s="2128"/>
      <c r="G108" s="1303">
        <f>IF(L107&lt;=1,0,IF($K$44=0,0,L107))</f>
        <v>0</v>
      </c>
      <c r="H108" s="2127"/>
      <c r="I108" s="1303">
        <f>IF(E108=$K$43,G108+K108,K108)</f>
        <v>0</v>
      </c>
      <c r="J108" s="1303"/>
      <c r="K108" s="1303">
        <f>IF(G108=0,0,IF(E108=$K$43,G108*I138*($K$43-E107)/I124,G108*I138))</f>
        <v>0</v>
      </c>
      <c r="L108" s="1303">
        <f>IF(AND(G108=0,K108=0),0,G108-I108+K108)</f>
        <v>0</v>
      </c>
      <c r="N108" s="2126"/>
      <c r="P108" s="2125"/>
      <c r="Q108" s="2124"/>
    </row>
    <row r="109" spans="2:17" ht="17.25" customHeight="1">
      <c r="B109" s="2129"/>
      <c r="E109" s="2128" t="str">
        <f>IF(OR(E108="",L108=0),"",IF(YEAR($K$43)=YEAR(E108)+1,$K$43,IF(YEAR($K$43)&lt;YEAR(E108)+1,"",DATE(YEAR(E108)+1,MONTH(E108),DAY(E108)))))</f>
        <v/>
      </c>
      <c r="F109" s="2128"/>
      <c r="G109" s="1303">
        <f>IF(L108&lt;=1,0,IF($K$44=0,0,L108))</f>
        <v>0</v>
      </c>
      <c r="H109" s="2127"/>
      <c r="I109" s="1303">
        <f>IF(E109=$K$43,G109+K109,K109)</f>
        <v>0</v>
      </c>
      <c r="J109" s="1303"/>
      <c r="K109" s="1303">
        <f>IF(G109=0,0,IF(E109=$K$43,G109*I142*($K$43-E108)/I125,G109*I142))</f>
        <v>0</v>
      </c>
      <c r="L109" s="1303">
        <f>IF(AND(G109=0,K109=0),0,G109-I109+K109)</f>
        <v>0</v>
      </c>
      <c r="N109" s="2126"/>
      <c r="P109" s="2125"/>
      <c r="Q109" s="2124"/>
    </row>
    <row r="110" spans="2:17" ht="17.25" customHeight="1">
      <c r="B110" s="2129"/>
      <c r="E110" s="2128" t="str">
        <f>IF(OR(E109="",L109=0),"",IF(YEAR($K$43)=YEAR(E109)+1,$K$43,IF(YEAR($K$43)&lt;YEAR(E109)+1,"",DATE(YEAR(E109)+1,MONTH(E109),DAY(E109)))))</f>
        <v/>
      </c>
      <c r="F110" s="2128"/>
      <c r="G110" s="1303">
        <f>IF(L109&lt;=1,0,IF($K$44=0,0,L109))</f>
        <v>0</v>
      </c>
      <c r="H110" s="2127"/>
      <c r="I110" s="1303">
        <f>IF(E110=$K$43,G110+K110,K110)</f>
        <v>0</v>
      </c>
      <c r="J110" s="1303"/>
      <c r="K110" s="1303">
        <f>IF(G110=0,0,IF(E110=$K$43,G110*I143*($K$43-E109)/I126,G110*I143))</f>
        <v>0</v>
      </c>
      <c r="L110" s="1303">
        <f>IF(AND(G110=0,K110=0),0,G110-I110+K110)</f>
        <v>0</v>
      </c>
      <c r="N110" s="2126"/>
      <c r="P110" s="2125"/>
      <c r="Q110" s="2124"/>
    </row>
    <row r="111" spans="2:17" ht="17.25" customHeight="1">
      <c r="B111" s="2129"/>
      <c r="E111" s="2128" t="str">
        <f>IF(OR(E110="",L110=0),"",IF(YEAR($K$43)=YEAR(E110)+1,$K$43,IF(YEAR($K$43)&lt;YEAR(E110)+1,"",DATE(YEAR(E110)+1,MONTH(E110),DAY(E110)))))</f>
        <v/>
      </c>
      <c r="F111" s="2128"/>
      <c r="G111" s="1303">
        <f>IF(L110&lt;=1,0,IF($K$44=0,0,L110))</f>
        <v>0</v>
      </c>
      <c r="H111" s="2127"/>
      <c r="I111" s="1303">
        <f>IF(E111=$K$43,G111+K111,K111)</f>
        <v>0</v>
      </c>
      <c r="J111" s="1303"/>
      <c r="K111" s="1303">
        <f>IF(G111=0,0,IF(E111=$K$43,G111*I144*($K$43-E110)/I127,G111*I144))</f>
        <v>0</v>
      </c>
      <c r="L111" s="1303">
        <f>IF(AND(G111=0,K111=0),0,G111-I111+K111)</f>
        <v>0</v>
      </c>
      <c r="N111" s="2126"/>
      <c r="P111" s="2125"/>
      <c r="Q111" s="2124"/>
    </row>
    <row r="112" spans="2:17" ht="17.25" customHeight="1">
      <c r="B112" s="2129"/>
      <c r="E112" s="2128" t="str">
        <f>IF(OR(E111="",L111=0),"",IF(YEAR($K$43)=YEAR(E111)+1,$K$43,IF(YEAR($K$43)&lt;YEAR(E111)+1,"",DATE(YEAR(E111)+1,MONTH(E111),DAY(E111)))))</f>
        <v/>
      </c>
      <c r="F112" s="2128"/>
      <c r="G112" s="1303">
        <f>IF(L111&lt;=1,0,IF($K$44=0,0,L111))</f>
        <v>0</v>
      </c>
      <c r="H112" s="2127"/>
      <c r="I112" s="1303">
        <f>IF(E112=$K$43,G112+K112,K112)</f>
        <v>0</v>
      </c>
      <c r="J112" s="1303"/>
      <c r="K112" s="1303">
        <f>IF(G112=0,0,IF(E112=$K$43,G112*I145*($K$43-E111)/I128,G112*I145))</f>
        <v>0</v>
      </c>
      <c r="L112" s="1303">
        <f>IF(AND(G112=0,K112=0),0,G112-I112+K112)</f>
        <v>0</v>
      </c>
      <c r="N112" s="2126"/>
      <c r="P112" s="2125"/>
      <c r="Q112" s="2124"/>
    </row>
    <row r="113" spans="2:16" ht="7.5" customHeight="1">
      <c r="B113" s="2123"/>
      <c r="C113" s="2095"/>
      <c r="D113" s="2095"/>
      <c r="E113" s="2095"/>
      <c r="F113" s="2095"/>
      <c r="G113" s="2095"/>
      <c r="H113" s="2095"/>
      <c r="I113" s="2095"/>
      <c r="J113" s="2095"/>
      <c r="K113" s="2095"/>
      <c r="L113" s="2095"/>
      <c r="M113" s="2095"/>
      <c r="N113" s="2122"/>
      <c r="P113" s="2121"/>
    </row>
    <row r="114" spans="2:16" ht="12.75" hidden="1" customHeight="1">
      <c r="P114" s="2115"/>
    </row>
    <row r="115" spans="2:16" ht="25.5" hidden="1">
      <c r="H115" s="32" t="s">
        <v>1527</v>
      </c>
      <c r="I115" s="32" t="s">
        <v>2092</v>
      </c>
      <c r="J115" s="32"/>
      <c r="P115" s="2115"/>
    </row>
    <row r="116" spans="2:16" hidden="1">
      <c r="E116" s="2119">
        <f>IF(MOD(YEAR($E$6),4)=0,366,365)</f>
        <v>366</v>
      </c>
      <c r="F116" s="341" t="s">
        <v>2091</v>
      </c>
      <c r="G116" s="2117"/>
      <c r="H116" s="2120" t="str">
        <f>E100</f>
        <v/>
      </c>
      <c r="I116" s="2119" t="str">
        <f>IF(H116="","",IF(MOD(YEAR(H116),4)=0,366,365))</f>
        <v/>
      </c>
      <c r="J116" s="2119"/>
      <c r="P116" s="2115"/>
    </row>
    <row r="117" spans="2:16" hidden="1">
      <c r="E117" s="2117"/>
      <c r="F117" s="2117"/>
      <c r="G117" s="2117"/>
      <c r="H117" s="2120" t="str">
        <f>E101</f>
        <v/>
      </c>
      <c r="I117" s="2119" t="str">
        <f>IF(H117="","",IF(MOD(YEAR(H117),4)=0,366,365))</f>
        <v/>
      </c>
      <c r="J117" s="2119"/>
      <c r="P117" s="2115"/>
    </row>
    <row r="118" spans="2:16" hidden="1">
      <c r="F118" s="2117"/>
      <c r="G118" s="2117"/>
      <c r="H118" s="2120" t="str">
        <f>E102</f>
        <v/>
      </c>
      <c r="I118" s="2119" t="str">
        <f>IF(H118="","",IF(MOD(YEAR(H118),4)=0,366,365))</f>
        <v/>
      </c>
      <c r="J118" s="2119"/>
      <c r="P118" s="2115"/>
    </row>
    <row r="119" spans="2:16" hidden="1">
      <c r="E119" s="2117"/>
      <c r="F119" s="2117"/>
      <c r="G119" s="2117"/>
      <c r="H119" s="2120" t="str">
        <f>E103</f>
        <v/>
      </c>
      <c r="I119" s="2119" t="str">
        <f>IF(H119="","",IF(MOD(YEAR(H119),4)=0,366,365))</f>
        <v/>
      </c>
      <c r="J119" s="2119"/>
      <c r="P119" s="2115"/>
    </row>
    <row r="120" spans="2:16" hidden="1">
      <c r="E120" s="2117"/>
      <c r="F120" s="2117"/>
      <c r="G120" s="2117"/>
      <c r="H120" s="2120" t="str">
        <f>E104</f>
        <v/>
      </c>
      <c r="I120" s="2119" t="str">
        <f>IF(H120="","",IF(MOD(YEAR(H120),4)=0,366,365))</f>
        <v/>
      </c>
      <c r="J120" s="2119"/>
      <c r="P120" s="2115"/>
    </row>
    <row r="121" spans="2:16" hidden="1">
      <c r="E121" s="2117"/>
      <c r="F121" s="2117"/>
      <c r="G121" s="2117"/>
      <c r="H121" s="2120" t="str">
        <f>E105</f>
        <v/>
      </c>
      <c r="I121" s="2119" t="str">
        <f>IF(H121="","",IF(MOD(YEAR(H121),4)=0,366,365))</f>
        <v/>
      </c>
      <c r="J121" s="2119"/>
      <c r="P121" s="2115"/>
    </row>
    <row r="122" spans="2:16" hidden="1">
      <c r="E122" s="2117"/>
      <c r="F122" s="2117"/>
      <c r="G122" s="2117"/>
      <c r="H122" s="2120" t="str">
        <f>E106</f>
        <v/>
      </c>
      <c r="I122" s="2119" t="str">
        <f>IF(H122="","",IF(MOD(YEAR(H122),4)=0,366,365))</f>
        <v/>
      </c>
      <c r="J122" s="2119"/>
      <c r="P122" s="2115"/>
    </row>
    <row r="123" spans="2:16" hidden="1">
      <c r="E123" s="2117"/>
      <c r="F123" s="2117"/>
      <c r="H123" s="2120" t="str">
        <f>E107</f>
        <v/>
      </c>
      <c r="I123" s="2119" t="str">
        <f>IF(H123="","",IF(MOD(YEAR(H123),4)=0,366,365))</f>
        <v/>
      </c>
      <c r="J123" s="2119"/>
      <c r="P123" s="2115"/>
    </row>
    <row r="124" spans="2:16" hidden="1">
      <c r="E124" s="2117"/>
      <c r="F124" s="2117"/>
      <c r="H124" s="2120" t="str">
        <f>E108</f>
        <v/>
      </c>
      <c r="I124" s="2119" t="str">
        <f>IF(H124="","",IF(MOD(YEAR(H124),4)=0,366,365))</f>
        <v/>
      </c>
      <c r="J124" s="2119"/>
      <c r="P124" s="2115"/>
    </row>
    <row r="125" spans="2:16" hidden="1">
      <c r="H125" s="2120" t="str">
        <f>E109</f>
        <v/>
      </c>
      <c r="I125" s="2119" t="str">
        <f>IF(H125="","",IF(MOD(YEAR(H125),4)=0,366,365))</f>
        <v/>
      </c>
      <c r="J125" s="2119"/>
      <c r="P125" s="2115"/>
    </row>
    <row r="126" spans="2:16" hidden="1">
      <c r="H126" s="2120" t="str">
        <f>E110</f>
        <v/>
      </c>
      <c r="I126" s="2119" t="str">
        <f>IF(H126="","",IF(MOD(YEAR(H126),4)=0,366,365))</f>
        <v/>
      </c>
      <c r="J126" s="2119"/>
      <c r="P126" s="2115"/>
    </row>
    <row r="127" spans="2:16" hidden="1">
      <c r="H127" s="2120" t="str">
        <f>E111</f>
        <v/>
      </c>
      <c r="I127" s="2119" t="str">
        <f>IF(H127="","",IF(MOD(YEAR(H127),4)=0,366,365))</f>
        <v/>
      </c>
      <c r="J127" s="2119"/>
      <c r="P127" s="2115"/>
    </row>
    <row r="128" spans="2:16" hidden="1">
      <c r="P128" s="2115"/>
    </row>
    <row r="129" spans="5:16" hidden="1">
      <c r="E129" s="2118" t="s">
        <v>2090</v>
      </c>
      <c r="F129" s="2117"/>
      <c r="P129" s="2115"/>
    </row>
    <row r="130" spans="5:16" hidden="1">
      <c r="E130" s="32" t="s">
        <v>1522</v>
      </c>
      <c r="F130" s="32" t="s">
        <v>2089</v>
      </c>
      <c r="G130" s="32" t="s">
        <v>2088</v>
      </c>
      <c r="H130" s="32" t="s">
        <v>1522</v>
      </c>
      <c r="I130" s="32" t="s">
        <v>1520</v>
      </c>
      <c r="J130" s="32"/>
      <c r="K130" s="2116"/>
      <c r="P130" s="2115"/>
    </row>
    <row r="131" spans="5:16" hidden="1">
      <c r="E131" s="2114">
        <f>YEAR(I20)</f>
        <v>2014</v>
      </c>
      <c r="F131" s="1295">
        <f>K20</f>
        <v>6.2E-2</v>
      </c>
      <c r="G131" s="1295">
        <f>L20</f>
        <v>9.1999999999999998E-2</v>
      </c>
      <c r="H131" s="2113" t="str">
        <f>IF(E101="","",YEAR(E101))</f>
        <v/>
      </c>
      <c r="I131" s="1295">
        <f>IF(AND(H131&gt;$E$142,$K$39="Option 1"),$F$142,IF(AND(H131&gt;$E$142,$K$39="Option 2"),$G$142,IF($K$39="Option 1",INDEX($F$131:$F$142,MATCH(H131,$E$131:$E$142)),IF($K$39="Option 2",INDEX($G$131:$G$142,MATCH(H131,$E$131:$E$142)),0))))</f>
        <v>0</v>
      </c>
      <c r="J131" s="1295"/>
      <c r="P131" s="2115"/>
    </row>
    <row r="132" spans="5:16" hidden="1">
      <c r="E132" s="2114">
        <f>YEAR(I21)</f>
        <v>2015</v>
      </c>
      <c r="F132" s="1295">
        <f>K21</f>
        <v>5.9499999999999997E-2</v>
      </c>
      <c r="G132" s="1295">
        <f>L21</f>
        <v>8.9499999999999996E-2</v>
      </c>
      <c r="H132" s="2113" t="str">
        <f>IF(E102="","",YEAR(E102))</f>
        <v/>
      </c>
      <c r="I132" s="1295">
        <f>IF(AND(H132&gt;$E$142,$K$39="Option 1"),$F$142,IF(AND(H132&gt;$E$142,$K$39="Option 2"),$G$142,IF($K$39="Option 1",INDEX($F$131:$F$142,MATCH(H132,$E$131:$E$142)),IF($K$39="Option 2",INDEX($G$131:$G$142,MATCH(H132,$E$131:$E$142)),0))))</f>
        <v>0</v>
      </c>
      <c r="J132" s="1295"/>
    </row>
    <row r="133" spans="5:16" hidden="1">
      <c r="E133" s="2114">
        <f>YEAR(I22)</f>
        <v>2016</v>
      </c>
      <c r="F133" s="1295">
        <f>K22</f>
        <v>5.45E-2</v>
      </c>
      <c r="G133" s="1295">
        <f>L22</f>
        <v>8.4500000000000006E-2</v>
      </c>
      <c r="H133" s="2113" t="str">
        <f>IF(E103="","",YEAR(E103))</f>
        <v/>
      </c>
      <c r="I133" s="1295">
        <f>IF(AND(H133&gt;$E$142,$K$39="Option 1"),$F$142,IF(AND(H133&gt;$E$142,$K$39="Option 2"),$G$142,IF($K$39="Option 1",INDEX($F$131:$F$142,MATCH(H133,$E$131:$E$142)),IF($K$39="Option 2",INDEX($G$131:$G$142,MATCH(H133,$E$131:$E$142)),0))))</f>
        <v>0</v>
      </c>
      <c r="J133" s="1295"/>
    </row>
    <row r="134" spans="5:16" hidden="1">
      <c r="E134" s="2114">
        <f>YEAR(I23)</f>
        <v>2017</v>
      </c>
      <c r="F134" s="1295">
        <f>K23</f>
        <v>5.3999999999999999E-2</v>
      </c>
      <c r="G134" s="1295">
        <f>L23</f>
        <v>8.3500000000000005E-2</v>
      </c>
      <c r="H134" s="2113" t="str">
        <f>IF(E104="","",YEAR(E104))</f>
        <v/>
      </c>
      <c r="I134" s="1295">
        <f>IF(AND(H134&gt;$E$142,$K$39="Option 1"),$F$142,IF(AND(H134&gt;$E$142,$K$39="Option 2"),$G$142,IF($K$39="Option 1",INDEX($F$131:$F$142,MATCH(H134,$E$131:$E$142)),IF($K$39="Option 2",INDEX($G$131:$G$142,MATCH(H134,$E$131:$E$142)),0))))</f>
        <v>0</v>
      </c>
      <c r="J134" s="1295"/>
    </row>
    <row r="135" spans="5:16" hidden="1">
      <c r="E135" s="2114">
        <f>YEAR(I24)</f>
        <v>2018</v>
      </c>
      <c r="F135" s="1295">
        <f>K24</f>
        <v>5.2999999999999999E-2</v>
      </c>
      <c r="G135" s="1295">
        <f>L24</f>
        <v>8.3000000000000004E-2</v>
      </c>
      <c r="H135" s="2113" t="str">
        <f>IF(E105="","",YEAR(E105))</f>
        <v/>
      </c>
      <c r="I135" s="1295">
        <f>IF(AND(H135&gt;$E$142,$K$39="Option 1"),$F$142,IF(AND(H135&gt;$E$142,$K$39="Option 2"),$G$142,IF($K$39="Option 1",INDEX($F$131:$F$142,MATCH(H135,$E$131:$E$142)),IF($K$39="Option 2",INDEX($G$131:$G$142,MATCH(H135,$E$131:$E$142)),0))))</f>
        <v>0</v>
      </c>
      <c r="J135" s="1295"/>
    </row>
    <row r="136" spans="5:16" hidden="1">
      <c r="E136" s="2114">
        <f>YEAR(I25)</f>
        <v>2019</v>
      </c>
      <c r="F136" s="1295">
        <f>K25</f>
        <v>5.1999999999999998E-2</v>
      </c>
      <c r="G136" s="1295">
        <f>L25</f>
        <v>8.3000000000000004E-2</v>
      </c>
      <c r="H136" s="2113" t="str">
        <f>IF(E106="","",YEAR(E106))</f>
        <v/>
      </c>
      <c r="I136" s="1295">
        <f>IF(AND(H136&gt;$E$142,$K$39="Option 1"),$F$142,IF(AND(H136&gt;$E$142,$K$39="Option 2"),$G$142,IF($K$39="Option 1",INDEX($F$131:$F$142,MATCH(H136,$E$131:$E$142)),IF($K$39="Option 2",INDEX($G$131:$G$142,MATCH(H136,$E$131:$E$142)),0))))</f>
        <v>0</v>
      </c>
      <c r="J136" s="1295"/>
    </row>
    <row r="137" spans="5:16" hidden="1">
      <c r="E137" s="2114">
        <f>YEAR(I26)</f>
        <v>2020</v>
      </c>
      <c r="F137" s="1295">
        <v>5.3699999999999998E-2</v>
      </c>
      <c r="G137" s="1295">
        <v>8.3199999999999996E-2</v>
      </c>
      <c r="H137" s="2113" t="str">
        <f>IF(E107="","",YEAR(E107))</f>
        <v/>
      </c>
      <c r="I137" s="1295">
        <f>IF(AND(H137&gt;$E$142,$K$39="Option 1"),$F$142,IF(AND(H137&gt;$E$142,$K$39="Option 2"),$G$142,IF($K$39="Option 1",INDEX($F$131:$F$142,MATCH(H137,$E$131:$E$142)),IF($K$39="Option 2",INDEX($G$131:$G$142,MATCH(H137,$E$131:$E$142)),0))))</f>
        <v>0</v>
      </c>
      <c r="J137" s="1295"/>
    </row>
    <row r="138" spans="5:16" hidden="1">
      <c r="E138" s="2114">
        <f>YEAR(I27)</f>
        <v>2021</v>
      </c>
      <c r="F138" s="1295">
        <v>4.5199999999999997E-2</v>
      </c>
      <c r="G138" s="1295">
        <v>6.5699999999999995E-2</v>
      </c>
      <c r="H138" s="2113" t="str">
        <f>IF(E108="","",YEAR(E108))</f>
        <v/>
      </c>
      <c r="I138" s="1295">
        <f>IF(AND(H138&gt;$E$142,$K$39="Option 1"),$F$142,IF(AND(H138&gt;$E$142,$K$39="Option 2"),$G$142,IF($K$39="Option 1",INDEX($F$131:$F$142,MATCH(H138,$E$131:$E$142)),IF($K$39="Option 2",INDEX($G$131:$G$142,MATCH(H138,$E$131:$E$142)),0))))</f>
        <v>0</v>
      </c>
      <c r="J138" s="1295"/>
    </row>
    <row r="139" spans="5:16" hidden="1">
      <c r="E139" s="2114">
        <f>YEAR(I28)</f>
        <v>2022</v>
      </c>
      <c r="F139" s="1295">
        <v>4.5199999999999997E-2</v>
      </c>
      <c r="G139" s="1295">
        <v>6.5100000000000005E-2</v>
      </c>
      <c r="H139" s="2113" t="str">
        <f>IF(E109="","",YEAR(E109))</f>
        <v/>
      </c>
      <c r="I139" s="1295">
        <f>IF(AND(H139&gt;$E$142,$K$39="Option 1"),$F$142,IF(AND(H139&gt;$E$142,$K$39="Option 2"),$G$142,IF($K$39="Option 1",INDEX($F$131:$F$142,MATCH(H139,$E$131:$E$142)),IF($K$39="Option 2",INDEX($G$131:$G$142,MATCH(H139,$E$131:$E$142)),0))))</f>
        <v>0</v>
      </c>
      <c r="J139" s="1295"/>
    </row>
    <row r="140" spans="5:16" hidden="1">
      <c r="E140" s="2114">
        <f>YEAR(I29)</f>
        <v>2023</v>
      </c>
      <c r="F140" s="1295">
        <v>4.7699999999999999E-2</v>
      </c>
      <c r="G140" s="1295">
        <v>6.8199999999999997E-2</v>
      </c>
      <c r="H140" s="2113" t="str">
        <f>IF(E110="","",YEAR(E110))</f>
        <v/>
      </c>
      <c r="I140" s="1295">
        <f>IF(AND(H140&gt;$E$142,$K$39="Option 1"),$F$142,IF(AND(H140&gt;$E$142,$K$39="Option 2"),$G$142,IF($K$39="Option 1",INDEX($F$131:$F$142,MATCH(H140,$E$131:$E$142)),IF($K$39="Option 2",INDEX($G$131:$G$142,MATCH(H140,$E$131:$E$142)),0))))</f>
        <v>0</v>
      </c>
      <c r="J140" s="1295"/>
    </row>
    <row r="141" spans="5:16" hidden="1">
      <c r="E141" s="2114">
        <f>YEAR(I30)</f>
        <v>2024</v>
      </c>
      <c r="F141" s="1295">
        <v>8.2699999999999996E-2</v>
      </c>
      <c r="G141" s="1295">
        <v>0.1026</v>
      </c>
      <c r="H141" s="2113" t="str">
        <f>IF(E111="","",YEAR(E111))</f>
        <v/>
      </c>
      <c r="I141" s="1295">
        <f>IF(AND(H141&gt;$E$142,$K$39="Option 1"),$F$142,IF(AND(H141&gt;$E$142,$K$39="Option 2"),$G$142,IF($K$39="Option 1",INDEX($F$131:$F$142,MATCH(H141,$E$131:$E$142)),IF($K$39="Option 2",INDEX($G$131:$G$142,MATCH(H141,$E$131:$E$142)),0))))</f>
        <v>0</v>
      </c>
      <c r="J141" s="1295"/>
    </row>
    <row r="142" spans="5:16" hidden="1">
      <c r="E142" s="2114">
        <f>YEAR(I31)</f>
        <v>2025</v>
      </c>
      <c r="F142" s="1295">
        <v>8.77E-2</v>
      </c>
      <c r="G142" s="1295">
        <v>0.1079</v>
      </c>
      <c r="H142" s="2113" t="str">
        <f>IF(E112="","",YEAR(E112))</f>
        <v/>
      </c>
      <c r="I142" s="1295">
        <f>IF(AND(H142&gt;$E$142,$K$39="Option 1"),$F$142,IF(AND(H142&gt;$E$142,$K$39="Option 2"),$G$142,IF($K$39="Option 1",INDEX($F$131:$F$142,MATCH(H142,$E$131:$E$142)),IF($K$39="Option 2",INDEX($G$131:$G$142,MATCH(H142,$E$131:$E$142)),0))))</f>
        <v>0</v>
      </c>
      <c r="J142" s="1295"/>
    </row>
    <row r="143" spans="5:16" hidden="1">
      <c r="H143" s="2113" t="str">
        <f>IF(E112="","",YEAR(E112))</f>
        <v/>
      </c>
      <c r="I143" s="1295">
        <f>IF(AND(H143&gt;$E$142,$K$39="Option 1"),$F$142,IF(AND(H143&gt;$E$142,$K$39="Option 2"),$G$142,IF($K$39="Option 1",INDEX($F$131:$F$142,MATCH(H143,$E$131:$E$142)),IF($K$39="Option 2",INDEX($G$131:$G$142,MATCH(H143,$E$131:$E$142)),0))))</f>
        <v>0</v>
      </c>
      <c r="J143" s="1295"/>
    </row>
  </sheetData>
  <sheetProtection sheet="1" formatCells="0" formatColumns="0" formatRows="0" insertColumns="0" insertRows="0" insertHyperlinks="0"/>
  <mergeCells count="43">
    <mergeCell ref="F14:M14"/>
    <mergeCell ref="E40:I40"/>
    <mergeCell ref="E111:F111"/>
    <mergeCell ref="B34:G34"/>
    <mergeCell ref="F36:K36"/>
    <mergeCell ref="E110:F110"/>
    <mergeCell ref="E39:I39"/>
    <mergeCell ref="E109:F109"/>
    <mergeCell ref="E38:I38"/>
    <mergeCell ref="E103:F103"/>
    <mergeCell ref="E104:F104"/>
    <mergeCell ref="E96:M96"/>
    <mergeCell ref="E98:F98"/>
    <mergeCell ref="E100:F100"/>
    <mergeCell ref="L51:M51"/>
    <mergeCell ref="E59:M59"/>
    <mergeCell ref="B94:G94"/>
    <mergeCell ref="B57:G57"/>
    <mergeCell ref="F51:I51"/>
    <mergeCell ref="E41:I41"/>
    <mergeCell ref="L36:M36"/>
    <mergeCell ref="F15:M15"/>
    <mergeCell ref="E6:I6"/>
    <mergeCell ref="E101:F101"/>
    <mergeCell ref="L42:M42"/>
    <mergeCell ref="L43:M43"/>
    <mergeCell ref="F49:I49"/>
    <mergeCell ref="E11:M11"/>
    <mergeCell ref="E112:F112"/>
    <mergeCell ref="E105:F105"/>
    <mergeCell ref="E106:F106"/>
    <mergeCell ref="E107:F107"/>
    <mergeCell ref="E108:F108"/>
    <mergeCell ref="E42:I42"/>
    <mergeCell ref="E43:I43"/>
    <mergeCell ref="E44:I44"/>
    <mergeCell ref="B47:G47"/>
    <mergeCell ref="E102:F102"/>
    <mergeCell ref="P34:Q34"/>
    <mergeCell ref="E10:L10"/>
    <mergeCell ref="E12:M12"/>
    <mergeCell ref="B17:G17"/>
    <mergeCell ref="F13:M13"/>
  </mergeCells>
  <conditionalFormatting sqref="G64:G89">
    <cfRule type="cellIs" dxfId="766" priority="21" stopIfTrue="1" operator="equal">
      <formula>0</formula>
    </cfRule>
    <cfRule type="cellIs" dxfId="765" priority="22" stopIfTrue="1" operator="lessThan">
      <formula>$G$63</formula>
    </cfRule>
    <cfRule type="cellIs" dxfId="764" priority="23" stopIfTrue="1" operator="greaterThan">
      <formula>$E$6</formula>
    </cfRule>
  </conditionalFormatting>
  <conditionalFormatting sqref="K51">
    <cfRule type="expression" dxfId="752" priority="2">
      <formula>$K$54="Reconciled"</formula>
    </cfRule>
    <cfRule type="expression" dxfId="751" priority="3">
      <formula>$K$54="Out of Balance"</formula>
    </cfRule>
  </conditionalFormatting>
  <conditionalFormatting sqref="K51:K52">
    <cfRule type="expression" dxfId="750" priority="1">
      <formula>$K$54="Reconciled"</formula>
    </cfRule>
    <cfRule type="expression" dxfId="749" priority="4">
      <formula>$K$54="Out of Balance"</formula>
    </cfRule>
  </conditionalFormatting>
  <conditionalFormatting sqref="K53">
    <cfRule type="expression" dxfId="748" priority="7">
      <formula>K54="Reconciled"</formula>
    </cfRule>
    <cfRule type="expression" dxfId="747" priority="8">
      <formula>K54="Out of Balance"</formula>
    </cfRule>
  </conditionalFormatting>
  <conditionalFormatting sqref="K55:L58">
    <cfRule type="cellIs" dxfId="746" priority="20" stopIfTrue="1" operator="equal">
      <formula>"Credit Account"</formula>
    </cfRule>
  </conditionalFormatting>
  <conditionalFormatting sqref="M6">
    <cfRule type="expression" dxfId="745" priority="5">
      <formula>$M$6="Reconciled"</formula>
    </cfRule>
    <cfRule type="expression" dxfId="744" priority="6">
      <formula>$M$6="Out of Balance"</formula>
    </cfRule>
  </conditionalFormatting>
  <dataValidations count="3">
    <dataValidation allowBlank="1" showInputMessage="1" showErrorMessage="1" prompt="Select from drop down menu if using this worksheet in the Company Debit Loan Calculator." sqref="G36:K36" xr:uid="{86F8EF51-98CA-4DE3-9FE4-5785F93DC083}"/>
    <dataValidation type="list" allowBlank="1" showInputMessage="1" showErrorMessage="1" sqref="K39" xr:uid="{00000000-0002-0000-0000-000000000000}">
      <formula1>"Option 1, Option 2"</formula1>
    </dataValidation>
    <dataValidation type="list" allowBlank="1" showInputMessage="1" showErrorMessage="1" sqref="F36" xr:uid="{0E580440-999D-4E28-BD74-5EBBA74C6BAF}">
      <formula1>CategoryList</formula1>
    </dataValidation>
  </dataValidations>
  <hyperlinks>
    <hyperlink ref="M4" location="'D08 UPE Calculator'!Go_RefreshSummary" tooltip="Refresh Summary" display="Refresh" xr:uid="{1F1931FC-74DF-406A-B8FD-D086F4FFFB8D}"/>
    <hyperlink ref="A17:G17" location="'D08 UPE Calculator'!Go_RollUp_01" tooltip="Show/hide cells" display="'UPE Calculator'!Go_RollUp_01" xr:uid="{9CFB668C-3622-4E6D-9AA7-7F731FDA4148}"/>
    <hyperlink ref="A57:G57" location="'D08 UPE Calculator'!Go_RollUp_02" tooltip="Show/hide cells" display="'UPE Calculator'!Go_RollUp_02" xr:uid="{102B21E8-A03D-4F58-B785-08C6CA038064}"/>
    <hyperlink ref="A94:G94" location="'D08 UPE Calculator'!Go_RollUp_03" tooltip="Show/hide cells" display="'UPE Calculator'!Go_RollUp_03" xr:uid="{EF09E891-EB7E-402F-866B-A76087C48DBD}"/>
    <hyperlink ref="M6" location="'D08 UPE Calculator'!Go_Variance" tooltip="Go to Reconciliation" display="'UPE Calculator'!Go_Variance" xr:uid="{180D41EB-F1D2-4830-B09A-E442F4F1DF29}"/>
    <hyperlink ref="F13:L13" r:id="rId1" location="''D08 UPE Calculator''!Entitlementsthatarosebefore1July2022" tooltip="Go to ATO website" display="ATO Unit trust arrangements and unpaid present entitlements before 1 July 2022" xr:uid="{036D06DB-7EEB-473A-9626-979624E0C52B}"/>
    <hyperlink ref="F14:L14" r:id="rId2" tooltip="Go to ATO website" display="PS LA 2010/4 - Division 7A Trust Entitlements" xr:uid="{E97929C7-36C4-46FE-B3F0-A8BE7C0BDEA4}"/>
    <hyperlink ref="F15:L15" r:id="rId3" tooltip="Go to ATO website" display="TD 2022/11 - Division 7A: when will a UPE or amount held on sub-trust become the provision of 'financial accommodation'" xr:uid="{127F706E-5F7B-499D-BB51-335E0D311B92}"/>
    <hyperlink ref="L4" location="'D08 UPE Calculator'!Go_Index" tooltip="Go to Record" display="Show Record" xr:uid="{7E9421EB-B5C5-4327-859B-4468C9463070}"/>
  </hyperlinks>
  <pageMargins left="0.74803149606299213" right="0.74803149606299213" top="0.98425196850393704" bottom="0.98425196850393704" header="0.51181102362204722" footer="0.51181102362204722"/>
  <pageSetup paperSize="9" scale="60" orientation="portrait" blackAndWhite="1" horizontalDpi="300" verticalDpi="300" r:id="rId4"/>
  <headerFooter alignWithMargins="0">
    <oddFooter>&amp;L&amp;F
Copyright(c) 2005-Present Business Fitness Pty Ltd&amp;R&amp;A  Page   &amp;"Arial,Regular"&amp;P</oddFooter>
  </headerFooter>
  <rowBreaks count="1" manualBreakCount="1">
    <brk id="93" min="4" max="11" man="1"/>
  </rowBreaks>
  <customProperties>
    <customPr name="SheetId" r:id="rId5"/>
    <customPr name="SheetName" r:id="rId6"/>
  </customProperties>
  <extLst>
    <ext xmlns:x15="http://schemas.microsoft.com/office/spreadsheetml/2010/11/main" uri="{F7C9EE02-42E1-4005-9D12-6889AFFD525C}">
      <x15:webExtensions xmlns:xm="http://schemas.microsoft.com/office/excel/2006/main">
        <x15:webExtension appRef="{4485ED56-6819-480F-BF29-418A620A971D}">
          <xm:f>'D08 UPE Calculator'!D08_UPEBalance</xm:f>
        </x15:webExtension>
        <x15:webExtension appRef="{7ABE8831-19C9-4058-B790-0B3CB1C5C6AC}">
          <xm:f>'D08 UPE Calculator'!Reconcile_UPEBalance</xm:f>
        </x15:webExtension>
      </x15:webExtens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6C420-1772-4B5E-8DBB-1554B96E3928}">
  <sheetPr>
    <pageSetUpPr autoPageBreaks="0" fitToPage="1"/>
  </sheetPr>
  <dimension ref="B1:L250"/>
  <sheetViews>
    <sheetView showGridLines="0" topLeftCell="A2" zoomScaleNormal="100" workbookViewId="0">
      <selection activeCell="A2" sqref="A2"/>
    </sheetView>
  </sheetViews>
  <sheetFormatPr defaultRowHeight="15"/>
  <cols>
    <col min="1" max="1" width="3.7109375" style="2090" customWidth="1"/>
    <col min="2" max="2" width="1.42578125" style="2090" customWidth="1"/>
    <col min="3" max="3" width="40.7109375" style="2090" customWidth="1"/>
    <col min="4" max="6" width="15.7109375" style="2090" customWidth="1"/>
    <col min="7" max="7" width="18.7109375" style="2090" customWidth="1"/>
    <col min="8" max="8" width="15.7109375" style="2090" customWidth="1"/>
    <col min="9" max="9" width="1.42578125" style="2090" customWidth="1"/>
    <col min="10" max="10" width="3.7109375" style="2090" customWidth="1"/>
    <col min="11" max="12" width="15.7109375" style="2090" customWidth="1"/>
    <col min="13" max="16384" width="9.140625" style="2090"/>
  </cols>
  <sheetData>
    <row r="1" spans="2:12" hidden="1">
      <c r="C1" s="2101" t="s">
        <v>181</v>
      </c>
      <c r="D1" s="2090" t="s">
        <v>2087</v>
      </c>
      <c r="G1" s="2100" t="s">
        <v>179</v>
      </c>
      <c r="H1" s="2090" t="s">
        <v>318</v>
      </c>
    </row>
    <row r="2" spans="2:12" ht="7.5" customHeight="1">
      <c r="C2" s="417"/>
      <c r="D2" s="417"/>
    </row>
    <row r="3" spans="2:12" ht="24.95" customHeight="1">
      <c r="C3" s="1547" t="str">
        <f>_xlfn.XLOOKUP("5a6e3134-b190-46f3-89b9-09ba9a3026e4",RecordInfo.SheetId,RecordInfo.RecordTitle)</f>
        <v>Spare Worksheet - List</v>
      </c>
      <c r="D3" s="1547"/>
      <c r="G3"/>
      <c r="H3" s="737" t="s">
        <v>174</v>
      </c>
    </row>
    <row r="4" spans="2:12" s="2092" customFormat="1" ht="22.5" customHeight="1">
      <c r="C4" s="734" t="str">
        <f>_xlfn.TEXTJOIN(" ",1,IFERROR(_xlfn.SINGLE(Cl_Name),"Client Name"),IF(IFERROR(_xlfn.SINGLE(Cl_Code),"")="","","("&amp;_xlfn.SINGLE(Cl_Code)&amp;")"))</f>
        <v>Springrange Holdings Pty Ltd (MuM001)</v>
      </c>
      <c r="D4" s="417"/>
      <c r="G4" s="1371"/>
      <c r="H4" s="2096"/>
    </row>
    <row r="5" spans="2:12" s="2092" customFormat="1" ht="22.5" customHeight="1">
      <c r="C5" s="2111">
        <f>IFERROR(_xlfn.SINGLE(PeriodEndDate),DATE(1901,6,30))</f>
        <v>45473</v>
      </c>
      <c r="D5" s="417"/>
      <c r="G5" s="1371"/>
      <c r="H5" s="2096"/>
    </row>
    <row r="6" spans="2:12" ht="7.5" customHeight="1">
      <c r="B6" s="411"/>
      <c r="C6" s="411"/>
      <c r="D6" s="411"/>
      <c r="E6" s="2095"/>
      <c r="F6" s="2095"/>
      <c r="G6" s="2095"/>
      <c r="H6" s="2095"/>
    </row>
    <row r="7" spans="2:12" ht="7.5" customHeight="1"/>
    <row r="8" spans="2:12" ht="17.25" customHeight="1">
      <c r="C8" s="1498" t="s">
        <v>2079</v>
      </c>
      <c r="D8" s="1498"/>
      <c r="E8" s="1498"/>
      <c r="F8" s="1498"/>
      <c r="G8" s="1498"/>
      <c r="H8" s="1498"/>
    </row>
    <row r="9" spans="2:12" ht="17.25" customHeight="1">
      <c r="C9" s="1669" t="s">
        <v>2078</v>
      </c>
      <c r="D9" s="1669"/>
      <c r="E9" s="1669"/>
      <c r="F9" s="1669"/>
      <c r="G9" s="1669"/>
      <c r="H9" s="1669"/>
    </row>
    <row r="10" spans="2:12" ht="17.25" customHeight="1">
      <c r="B10" s="2110"/>
      <c r="C10" s="2109"/>
      <c r="D10" s="2109"/>
      <c r="E10" s="2109"/>
      <c r="F10" s="2109"/>
      <c r="G10" s="2109"/>
      <c r="H10" s="2109"/>
      <c r="I10" s="2109"/>
    </row>
    <row r="11" spans="2:12" ht="22.5" customHeight="1">
      <c r="B11" s="1477" t="s">
        <v>2085</v>
      </c>
      <c r="C11" s="1532"/>
      <c r="D11" s="405" t="s">
        <v>2084</v>
      </c>
      <c r="E11" s="405" t="s">
        <v>2083</v>
      </c>
      <c r="F11" s="1532" t="s">
        <v>10</v>
      </c>
      <c r="G11" s="1532"/>
      <c r="H11" s="1532"/>
      <c r="I11" s="1478"/>
      <c r="K11" s="1552" t="s">
        <v>597</v>
      </c>
      <c r="L11" s="1553"/>
    </row>
    <row r="12" spans="2:12" ht="7.5" customHeight="1">
      <c r="C12" s="32"/>
      <c r="D12" s="32"/>
      <c r="E12" s="32"/>
      <c r="F12" s="32"/>
      <c r="G12" s="32"/>
      <c r="H12" s="32"/>
    </row>
    <row r="13" spans="2:12" ht="17.25" customHeight="1">
      <c r="B13" s="2107"/>
      <c r="C13" s="2107"/>
      <c r="D13" s="347"/>
      <c r="E13" s="393"/>
      <c r="F13" s="2106"/>
      <c r="G13" s="2106"/>
      <c r="H13" s="2106"/>
      <c r="I13" s="2106"/>
      <c r="K13" s="1108"/>
      <c r="L13" s="2105"/>
    </row>
    <row r="14" spans="2:12" ht="17.25" customHeight="1">
      <c r="B14" s="2107"/>
      <c r="C14" s="2107"/>
      <c r="D14" s="347"/>
      <c r="E14" s="393"/>
      <c r="F14" s="2106"/>
      <c r="G14" s="2106"/>
      <c r="H14" s="2106"/>
      <c r="I14" s="2106"/>
      <c r="K14" s="1108"/>
      <c r="L14" s="2105"/>
    </row>
    <row r="15" spans="2:12" ht="17.25" customHeight="1">
      <c r="B15" s="2107"/>
      <c r="C15" s="2107"/>
      <c r="D15" s="347"/>
      <c r="E15" s="393"/>
      <c r="F15" s="2106"/>
      <c r="G15" s="2106"/>
      <c r="H15" s="2106"/>
      <c r="I15" s="2106"/>
      <c r="K15" s="1108"/>
      <c r="L15" s="2105"/>
    </row>
    <row r="16" spans="2:12" ht="17.25" customHeight="1">
      <c r="B16" s="2107"/>
      <c r="C16" s="2107"/>
      <c r="D16" s="347"/>
      <c r="E16" s="393"/>
      <c r="F16" s="2106"/>
      <c r="G16" s="2106"/>
      <c r="H16" s="2106"/>
      <c r="I16" s="2106"/>
      <c r="K16" s="1108"/>
      <c r="L16" s="2105"/>
    </row>
    <row r="17" spans="2:12" ht="17.25" customHeight="1">
      <c r="B17" s="2107"/>
      <c r="C17" s="2107"/>
      <c r="D17" s="347"/>
      <c r="E17" s="393"/>
      <c r="F17" s="2106"/>
      <c r="G17" s="2106"/>
      <c r="H17" s="2106"/>
      <c r="I17" s="2106"/>
      <c r="K17" s="1108"/>
      <c r="L17" s="2105"/>
    </row>
    <row r="18" spans="2:12" ht="17.25" customHeight="1">
      <c r="B18" s="2107"/>
      <c r="C18" s="2107"/>
      <c r="D18" s="347"/>
      <c r="E18" s="393"/>
      <c r="F18" s="2106"/>
      <c r="G18" s="2106"/>
      <c r="H18" s="2106"/>
      <c r="I18" s="2106"/>
      <c r="K18" s="1108"/>
      <c r="L18" s="2105"/>
    </row>
    <row r="19" spans="2:12" ht="17.25" customHeight="1">
      <c r="B19" s="2107"/>
      <c r="C19" s="2107"/>
      <c r="D19" s="347"/>
      <c r="E19" s="393"/>
      <c r="F19" s="2106"/>
      <c r="G19" s="2106"/>
      <c r="H19" s="2106"/>
      <c r="I19" s="2106"/>
      <c r="K19" s="1108"/>
      <c r="L19" s="2105"/>
    </row>
    <row r="20" spans="2:12" ht="17.25" customHeight="1">
      <c r="B20" s="2107"/>
      <c r="C20" s="2107"/>
      <c r="D20" s="347"/>
      <c r="E20" s="393"/>
      <c r="F20" s="2106"/>
      <c r="G20" s="2106"/>
      <c r="H20" s="2106"/>
      <c r="I20" s="2106"/>
      <c r="K20" s="1108"/>
      <c r="L20" s="2105"/>
    </row>
    <row r="21" spans="2:12" ht="17.25" customHeight="1">
      <c r="B21" s="2107"/>
      <c r="C21" s="2107"/>
      <c r="D21" s="347"/>
      <c r="E21" s="393"/>
      <c r="F21" s="2106"/>
      <c r="G21" s="2106"/>
      <c r="H21" s="2106"/>
      <c r="I21" s="2106"/>
      <c r="K21" s="1108"/>
      <c r="L21" s="2105"/>
    </row>
    <row r="22" spans="2:12" ht="17.25" customHeight="1">
      <c r="B22" s="2107"/>
      <c r="C22" s="2107"/>
      <c r="D22" s="347"/>
      <c r="E22" s="393"/>
      <c r="F22" s="2106"/>
      <c r="G22" s="2106"/>
      <c r="H22" s="2106"/>
      <c r="I22" s="2106"/>
      <c r="K22" s="1108"/>
      <c r="L22" s="2105"/>
    </row>
    <row r="23" spans="2:12" ht="17.25" customHeight="1">
      <c r="B23" s="2107"/>
      <c r="C23" s="2107"/>
      <c r="D23" s="347"/>
      <c r="E23" s="393"/>
      <c r="F23" s="2106"/>
      <c r="G23" s="2106"/>
      <c r="H23" s="2106"/>
      <c r="I23" s="2106"/>
      <c r="K23" s="1108"/>
      <c r="L23" s="2105"/>
    </row>
    <row r="24" spans="2:12" ht="17.25" customHeight="1">
      <c r="B24" s="2107"/>
      <c r="C24" s="2107"/>
      <c r="D24" s="347"/>
      <c r="E24" s="393"/>
      <c r="F24" s="2106"/>
      <c r="G24" s="2106"/>
      <c r="H24" s="2106"/>
      <c r="I24" s="2106"/>
      <c r="K24" s="1108"/>
      <c r="L24" s="2105"/>
    </row>
    <row r="25" spans="2:12" ht="17.25" customHeight="1">
      <c r="B25" s="2107"/>
      <c r="C25" s="2107"/>
      <c r="D25" s="347"/>
      <c r="E25" s="393"/>
      <c r="F25" s="2106"/>
      <c r="G25" s="2106"/>
      <c r="H25" s="2106"/>
      <c r="I25" s="2106"/>
      <c r="K25" s="1108"/>
      <c r="L25" s="2105"/>
    </row>
    <row r="26" spans="2:12" ht="17.25" customHeight="1">
      <c r="B26" s="2107"/>
      <c r="C26" s="2107"/>
      <c r="D26" s="347"/>
      <c r="E26" s="393"/>
      <c r="F26" s="2106"/>
      <c r="G26" s="2106"/>
      <c r="H26" s="2106"/>
      <c r="I26" s="2106"/>
      <c r="K26" s="1108"/>
      <c r="L26" s="2105"/>
    </row>
    <row r="27" spans="2:12" ht="17.25" customHeight="1">
      <c r="B27" s="2107"/>
      <c r="C27" s="2107"/>
      <c r="D27" s="347"/>
      <c r="E27" s="393"/>
      <c r="F27" s="2106"/>
      <c r="G27" s="2106"/>
      <c r="H27" s="2106"/>
      <c r="I27" s="2106"/>
      <c r="K27" s="1108"/>
      <c r="L27" s="2105"/>
    </row>
    <row r="28" spans="2:12" ht="17.25" customHeight="1">
      <c r="B28" s="2107"/>
      <c r="C28" s="2107"/>
      <c r="D28" s="347"/>
      <c r="E28" s="393"/>
      <c r="F28" s="2106"/>
      <c r="G28" s="2106"/>
      <c r="H28" s="2106"/>
      <c r="I28" s="2106"/>
      <c r="K28" s="1108"/>
      <c r="L28" s="2105"/>
    </row>
    <row r="29" spans="2:12" ht="17.25" customHeight="1">
      <c r="B29" s="2107"/>
      <c r="C29" s="2107"/>
      <c r="D29" s="347"/>
      <c r="E29" s="393"/>
      <c r="F29" s="2106"/>
      <c r="G29" s="2106"/>
      <c r="H29" s="2106"/>
      <c r="I29" s="2106"/>
      <c r="K29" s="1108"/>
      <c r="L29" s="2105"/>
    </row>
    <row r="30" spans="2:12" ht="17.25" customHeight="1">
      <c r="B30" s="2107"/>
      <c r="C30" s="2107"/>
      <c r="D30" s="347"/>
      <c r="E30" s="393"/>
      <c r="F30" s="2106"/>
      <c r="G30" s="2106"/>
      <c r="H30" s="2106"/>
      <c r="I30" s="2106"/>
      <c r="K30" s="1108"/>
      <c r="L30" s="2105"/>
    </row>
    <row r="31" spans="2:12" ht="17.25" customHeight="1">
      <c r="B31" s="2107"/>
      <c r="C31" s="2107"/>
      <c r="D31" s="347"/>
      <c r="E31" s="393"/>
      <c r="F31" s="2106"/>
      <c r="G31" s="2106"/>
      <c r="H31" s="2106"/>
      <c r="I31" s="2106"/>
      <c r="K31" s="1108"/>
      <c r="L31" s="2105"/>
    </row>
    <row r="32" spans="2:12" ht="17.25" customHeight="1">
      <c r="B32" s="2107"/>
      <c r="C32" s="2107"/>
      <c r="D32" s="347"/>
      <c r="E32" s="393"/>
      <c r="F32" s="2106"/>
      <c r="G32" s="2106"/>
      <c r="H32" s="2106"/>
      <c r="I32" s="2106"/>
      <c r="K32" s="1108"/>
      <c r="L32" s="2105"/>
    </row>
    <row r="33" spans="2:12" ht="17.25" customHeight="1">
      <c r="B33" s="2107"/>
      <c r="C33" s="2107"/>
      <c r="D33" s="347"/>
      <c r="E33" s="393"/>
      <c r="F33" s="2106"/>
      <c r="G33" s="2106"/>
      <c r="H33" s="2106"/>
      <c r="I33" s="2106"/>
      <c r="K33" s="1108"/>
      <c r="L33" s="2105"/>
    </row>
    <row r="34" spans="2:12" ht="17.25" customHeight="1">
      <c r="B34" s="2107"/>
      <c r="C34" s="2107"/>
      <c r="D34" s="347"/>
      <c r="E34" s="393"/>
      <c r="F34" s="2106"/>
      <c r="G34" s="2106"/>
      <c r="H34" s="2106"/>
      <c r="I34" s="2106"/>
      <c r="K34" s="1108"/>
      <c r="L34" s="2105"/>
    </row>
    <row r="35" spans="2:12" ht="17.25" customHeight="1">
      <c r="B35" s="2107"/>
      <c r="C35" s="2107"/>
      <c r="D35" s="347"/>
      <c r="E35" s="393"/>
      <c r="F35" s="2106"/>
      <c r="G35" s="2106"/>
      <c r="H35" s="2106"/>
      <c r="I35" s="2106"/>
      <c r="K35" s="1108"/>
      <c r="L35" s="2105"/>
    </row>
    <row r="36" spans="2:12" ht="17.25" customHeight="1">
      <c r="B36" s="2107"/>
      <c r="C36" s="2107"/>
      <c r="D36" s="347"/>
      <c r="E36" s="393"/>
      <c r="F36" s="2106"/>
      <c r="G36" s="2106"/>
      <c r="H36" s="2106"/>
      <c r="I36" s="2106"/>
      <c r="K36" s="1108"/>
      <c r="L36" s="2105"/>
    </row>
    <row r="37" spans="2:12" ht="17.25" customHeight="1">
      <c r="B37" s="2107"/>
      <c r="C37" s="2107"/>
      <c r="D37" s="347"/>
      <c r="E37" s="393"/>
      <c r="F37" s="2106"/>
      <c r="G37" s="2106"/>
      <c r="H37" s="2106"/>
      <c r="I37" s="2106"/>
      <c r="K37" s="1108"/>
      <c r="L37" s="2105"/>
    </row>
    <row r="38" spans="2:12" ht="17.25" customHeight="1">
      <c r="B38" s="2107"/>
      <c r="C38" s="2107"/>
      <c r="D38" s="347"/>
      <c r="E38" s="393"/>
      <c r="F38" s="2106"/>
      <c r="G38" s="2106"/>
      <c r="H38" s="2106"/>
      <c r="I38" s="2106"/>
      <c r="K38" s="1108"/>
      <c r="L38" s="2105"/>
    </row>
    <row r="39" spans="2:12" ht="17.25" customHeight="1">
      <c r="B39" s="2107"/>
      <c r="C39" s="2107"/>
      <c r="D39" s="347"/>
      <c r="E39" s="393"/>
      <c r="F39" s="2106"/>
      <c r="G39" s="2106"/>
      <c r="H39" s="2106"/>
      <c r="I39" s="2106"/>
      <c r="K39" s="1108"/>
      <c r="L39" s="2105"/>
    </row>
    <row r="40" spans="2:12" ht="17.25" customHeight="1">
      <c r="B40" s="2107"/>
      <c r="C40" s="2107"/>
      <c r="D40" s="347"/>
      <c r="E40" s="393"/>
      <c r="F40" s="2106"/>
      <c r="G40" s="2106"/>
      <c r="H40" s="2106"/>
      <c r="I40" s="2106"/>
      <c r="K40" s="1108"/>
      <c r="L40" s="2105"/>
    </row>
    <row r="41" spans="2:12" ht="17.25" customHeight="1">
      <c r="B41" s="2107"/>
      <c r="C41" s="2107"/>
      <c r="D41" s="347"/>
      <c r="E41" s="393"/>
      <c r="F41" s="2106"/>
      <c r="G41" s="2106"/>
      <c r="H41" s="2106"/>
      <c r="I41" s="2106"/>
      <c r="K41" s="1108"/>
      <c r="L41" s="2105"/>
    </row>
    <row r="42" spans="2:12" ht="17.25" customHeight="1">
      <c r="B42" s="2107"/>
      <c r="C42" s="2107"/>
      <c r="D42" s="347"/>
      <c r="E42" s="393"/>
      <c r="F42" s="2106"/>
      <c r="G42" s="2106"/>
      <c r="H42" s="2106"/>
      <c r="I42" s="2106"/>
      <c r="K42" s="1108"/>
      <c r="L42" s="2105"/>
    </row>
    <row r="43" spans="2:12" ht="17.25" customHeight="1">
      <c r="B43" s="2107"/>
      <c r="C43" s="2107"/>
      <c r="D43" s="347"/>
      <c r="E43" s="393"/>
      <c r="F43" s="2106"/>
      <c r="G43" s="2106"/>
      <c r="H43" s="2106"/>
      <c r="I43" s="2106"/>
      <c r="K43" s="1108"/>
      <c r="L43" s="2105"/>
    </row>
    <row r="44" spans="2:12" ht="17.25" customHeight="1">
      <c r="B44" s="2107"/>
      <c r="C44" s="2107"/>
      <c r="D44" s="347"/>
      <c r="E44" s="393"/>
      <c r="F44" s="2106"/>
      <c r="G44" s="2106"/>
      <c r="H44" s="2106"/>
      <c r="I44" s="2106"/>
      <c r="K44" s="1108"/>
      <c r="L44" s="2105"/>
    </row>
    <row r="45" spans="2:12" ht="17.25" customHeight="1">
      <c r="B45" s="2107"/>
      <c r="C45" s="2107"/>
      <c r="D45" s="347"/>
      <c r="E45" s="393"/>
      <c r="F45" s="2106"/>
      <c r="G45" s="2106"/>
      <c r="H45" s="2106"/>
      <c r="I45" s="2106"/>
      <c r="K45" s="1108"/>
      <c r="L45" s="2105"/>
    </row>
    <row r="46" spans="2:12" ht="17.25" customHeight="1">
      <c r="B46" s="2107"/>
      <c r="C46" s="2107"/>
      <c r="D46" s="347"/>
      <c r="E46" s="393"/>
      <c r="F46" s="2106"/>
      <c r="G46" s="2106"/>
      <c r="H46" s="2106"/>
      <c r="I46" s="2106"/>
      <c r="K46" s="1108"/>
      <c r="L46" s="2105"/>
    </row>
    <row r="47" spans="2:12" ht="17.25" customHeight="1">
      <c r="B47" s="2107"/>
      <c r="C47" s="2107"/>
      <c r="D47" s="347"/>
      <c r="E47" s="393"/>
      <c r="F47" s="2106"/>
      <c r="G47" s="2106"/>
      <c r="H47" s="2106"/>
      <c r="I47" s="2106"/>
      <c r="K47" s="1108"/>
      <c r="L47" s="2105"/>
    </row>
    <row r="48" spans="2:12" ht="17.25" customHeight="1">
      <c r="B48" s="2107"/>
      <c r="C48" s="2107"/>
      <c r="D48" s="347"/>
      <c r="E48" s="393"/>
      <c r="F48" s="2106"/>
      <c r="G48" s="2106"/>
      <c r="H48" s="2106"/>
      <c r="I48" s="2106"/>
      <c r="K48" s="1108"/>
      <c r="L48" s="2105"/>
    </row>
    <row r="49" spans="2:7" ht="17.25" customHeight="1">
      <c r="B49" s="2104" t="s">
        <v>2082</v>
      </c>
      <c r="C49" s="2104"/>
      <c r="D49" s="2103">
        <f>SUM(D13:D48)</f>
        <v>0</v>
      </c>
      <c r="F49" s="2102"/>
      <c r="G49" s="2102"/>
    </row>
    <row r="50" spans="2:7" ht="15.95" customHeight="1"/>
    <row r="51" spans="2:7" ht="15.95" customHeight="1"/>
    <row r="52" spans="2:7" ht="15.95" customHeight="1"/>
    <row r="53" spans="2:7" ht="15.95" customHeight="1"/>
    <row r="54" spans="2:7" ht="15.95" customHeight="1"/>
    <row r="55" spans="2:7" ht="15.95" customHeight="1"/>
    <row r="56" spans="2:7" ht="15.95" customHeight="1"/>
    <row r="57" spans="2:7" ht="15.95" customHeight="1"/>
    <row r="58" spans="2:7" ht="15.95" customHeight="1"/>
    <row r="59" spans="2:7" ht="15.95" customHeight="1"/>
    <row r="60" spans="2:7" ht="15.95" customHeight="1"/>
    <row r="61" spans="2:7" ht="15.95" customHeight="1"/>
    <row r="62" spans="2:7" ht="15.95" customHeight="1"/>
    <row r="63" spans="2:7" ht="15.95" customHeight="1"/>
    <row r="64" spans="2:7" ht="15.95" customHeight="1"/>
    <row r="65" ht="15.95" customHeight="1"/>
    <row r="66" ht="15.95" customHeight="1"/>
    <row r="67" ht="15.95" customHeight="1"/>
    <row r="68" ht="15.95" customHeight="1"/>
    <row r="69" ht="15.95" customHeight="1"/>
    <row r="70" ht="15.95" customHeight="1"/>
    <row r="71" ht="15.95" customHeight="1"/>
    <row r="72" ht="15.95" customHeight="1"/>
    <row r="73" ht="15.95" customHeight="1"/>
    <row r="74" ht="15.95" customHeight="1"/>
    <row r="75" ht="15.95" customHeight="1"/>
    <row r="76" ht="15.95" customHeight="1"/>
    <row r="77" ht="15.95" customHeight="1"/>
    <row r="78" ht="15.95" customHeight="1"/>
    <row r="79" ht="15.95" customHeight="1"/>
    <row r="80" ht="15.95" customHeight="1"/>
    <row r="81" ht="15.95" customHeight="1"/>
    <row r="82" ht="15.95" customHeight="1"/>
    <row r="83" ht="15.95" customHeight="1"/>
    <row r="84" ht="15.95" customHeight="1"/>
    <row r="85" ht="15.95" customHeight="1"/>
    <row r="86" ht="15.95" customHeight="1"/>
    <row r="87" ht="15.95" customHeight="1"/>
    <row r="88" ht="15.95" customHeight="1"/>
    <row r="89" ht="15.95" customHeight="1"/>
    <row r="90" ht="15.95" customHeight="1"/>
    <row r="91" ht="15.95" customHeight="1"/>
    <row r="92" ht="15.95" customHeight="1"/>
    <row r="93" ht="15.95" customHeight="1"/>
    <row r="94" ht="15.95" customHeight="1"/>
    <row r="95" ht="15.95" customHeight="1"/>
    <row r="96" ht="15.95" customHeight="1"/>
    <row r="97" ht="15.95" customHeight="1"/>
    <row r="98" ht="15.95" customHeight="1"/>
    <row r="99" ht="15.95" customHeight="1"/>
    <row r="100" ht="15.95" customHeight="1"/>
    <row r="101" ht="15.95" customHeight="1"/>
    <row r="102" ht="15.95" customHeight="1"/>
    <row r="103" ht="15.95" customHeight="1"/>
    <row r="104" ht="15.95" customHeight="1"/>
    <row r="105" ht="15.95" customHeight="1"/>
    <row r="106" ht="15.95" customHeight="1"/>
    <row r="107" ht="15.95" customHeight="1"/>
    <row r="108" ht="15.95" customHeight="1"/>
    <row r="109" ht="15.95" customHeight="1"/>
    <row r="110" ht="15.95" customHeight="1"/>
    <row r="111" ht="15.95" customHeight="1"/>
    <row r="112" ht="15.95" customHeight="1"/>
    <row r="113" ht="15.95" customHeight="1"/>
    <row r="114" ht="15.95" customHeight="1"/>
    <row r="115" ht="15.95" customHeight="1"/>
    <row r="116" ht="15.95" customHeight="1"/>
    <row r="117" ht="15.95" customHeight="1"/>
    <row r="118" ht="15.95" customHeight="1"/>
    <row r="119" ht="15.95" customHeight="1"/>
    <row r="120" ht="15.95" customHeight="1"/>
    <row r="121" ht="15.95" customHeight="1"/>
    <row r="122" ht="15.95" customHeight="1"/>
    <row r="123" ht="15.95" customHeight="1"/>
    <row r="124" ht="15.95" customHeight="1"/>
    <row r="125" ht="15.95" customHeight="1"/>
    <row r="126" ht="15.95" customHeight="1"/>
    <row r="127" ht="15.95" customHeight="1"/>
    <row r="128" ht="15.95" customHeight="1"/>
    <row r="129" ht="15.95" customHeight="1"/>
    <row r="130" ht="15.95" customHeight="1"/>
    <row r="131" ht="15.95" customHeight="1"/>
    <row r="132" ht="15.95" customHeight="1"/>
    <row r="133" ht="15.95" customHeight="1"/>
    <row r="134" ht="15.95" customHeight="1"/>
    <row r="135" ht="15.95" customHeight="1"/>
    <row r="136" ht="15.95" customHeight="1"/>
    <row r="137" ht="15.95" customHeight="1"/>
    <row r="138" ht="15.95" customHeight="1"/>
    <row r="139" ht="15.95" customHeight="1"/>
    <row r="140" ht="15.95" customHeight="1"/>
    <row r="141" ht="15.95" customHeight="1"/>
    <row r="142" ht="15.95" customHeight="1"/>
    <row r="143" ht="15.95" customHeight="1"/>
    <row r="144" ht="15.95" customHeight="1"/>
    <row r="145" ht="15.95" customHeight="1"/>
    <row r="146" ht="15.95" customHeight="1"/>
    <row r="147" ht="15.95" customHeight="1"/>
    <row r="148" ht="15.95" customHeight="1"/>
    <row r="149" ht="15.95" customHeight="1"/>
    <row r="150" ht="15.95" customHeight="1"/>
    <row r="151" ht="15.95" customHeight="1"/>
    <row r="152" ht="15.95" customHeight="1"/>
    <row r="153" ht="15.95" customHeight="1"/>
    <row r="154" ht="15.95" customHeight="1"/>
    <row r="155" ht="15.95" customHeight="1"/>
    <row r="156" ht="15.95" customHeight="1"/>
    <row r="157" ht="15.95" customHeight="1"/>
    <row r="158" ht="15.95" customHeight="1"/>
    <row r="159" ht="15.95" customHeight="1"/>
    <row r="160" ht="15.95" customHeight="1"/>
    <row r="161" ht="15.95" customHeight="1"/>
    <row r="162" ht="15.95" customHeight="1"/>
    <row r="163" ht="15.95" customHeight="1"/>
    <row r="164" ht="15.95" customHeight="1"/>
    <row r="165" ht="15.95" customHeight="1"/>
    <row r="166" ht="15.95" customHeight="1"/>
    <row r="167" ht="15.95" customHeight="1"/>
    <row r="168" ht="15.95" customHeight="1"/>
    <row r="169" ht="15.95" customHeight="1"/>
    <row r="170" ht="15.95" customHeight="1"/>
    <row r="171" ht="15.95" customHeight="1"/>
    <row r="172" ht="15.95" customHeight="1"/>
    <row r="173" ht="15.95" customHeight="1"/>
    <row r="174" ht="15.95" customHeight="1"/>
    <row r="175" ht="15.95" customHeight="1"/>
    <row r="176" ht="15.95" customHeight="1"/>
    <row r="177" ht="15.95" customHeight="1"/>
    <row r="178" ht="15.95" customHeight="1"/>
    <row r="179" ht="15.95" customHeight="1"/>
    <row r="180" ht="15.95" customHeight="1"/>
    <row r="181" ht="15.95" customHeight="1"/>
    <row r="182" ht="15.95" customHeight="1"/>
    <row r="183" ht="15.95" customHeight="1"/>
    <row r="184" ht="15.95" customHeight="1"/>
    <row r="185" ht="15.95" customHeight="1"/>
    <row r="186" ht="15.95" customHeight="1"/>
    <row r="187" ht="15.95" customHeight="1"/>
    <row r="188" ht="15.95" customHeight="1"/>
    <row r="189" ht="15.95" customHeight="1"/>
    <row r="190" ht="15.95" customHeight="1"/>
    <row r="191" ht="15.95" customHeight="1"/>
    <row r="192" ht="15.95" customHeight="1"/>
    <row r="193" ht="15.95" customHeight="1"/>
    <row r="194" ht="15.95" customHeight="1"/>
    <row r="195" ht="15.95" customHeight="1"/>
    <row r="196" ht="15.95" customHeight="1"/>
    <row r="197" ht="15.95" customHeight="1"/>
    <row r="198" ht="15.95" customHeight="1"/>
    <row r="199" ht="15.95" customHeight="1"/>
    <row r="200" ht="15.95" customHeight="1"/>
    <row r="201" ht="15.95" customHeight="1"/>
    <row r="202" ht="15.95" customHeight="1"/>
    <row r="203" ht="15.95" customHeight="1"/>
    <row r="204" ht="15.95" customHeight="1"/>
    <row r="205" ht="15.95" customHeight="1"/>
    <row r="206" ht="15.95" customHeight="1"/>
    <row r="207" ht="15.95" customHeight="1"/>
    <row r="208" ht="15.95" customHeight="1"/>
    <row r="209" ht="15.95" customHeight="1"/>
    <row r="210" ht="15.95" customHeight="1"/>
    <row r="211" ht="15.95" customHeight="1"/>
    <row r="212" ht="15.95" customHeight="1"/>
    <row r="213" ht="15.95" customHeight="1"/>
    <row r="214" ht="15.95" customHeight="1"/>
    <row r="215" ht="15.95" customHeight="1"/>
    <row r="216" ht="15.95" customHeight="1"/>
    <row r="217" ht="15.95" customHeight="1"/>
    <row r="218" ht="15.95" customHeight="1"/>
    <row r="219" ht="15.95" customHeight="1"/>
    <row r="220" ht="15.95" customHeight="1"/>
    <row r="221" ht="15.95" customHeight="1"/>
    <row r="222" ht="15.95" customHeight="1"/>
    <row r="223" ht="15.95" customHeight="1"/>
    <row r="224" ht="15.95" customHeight="1"/>
    <row r="225" ht="15.95" customHeight="1"/>
    <row r="226" ht="15.95" customHeight="1"/>
    <row r="227" ht="15.95" customHeight="1"/>
    <row r="228" ht="15.95" customHeight="1"/>
    <row r="229" ht="15.95" customHeight="1"/>
    <row r="230" ht="15.95" customHeight="1"/>
    <row r="231" ht="15.95" customHeight="1"/>
    <row r="232" ht="15.95" customHeight="1"/>
    <row r="233" ht="15.95" customHeight="1"/>
    <row r="234" ht="15.95" customHeight="1"/>
    <row r="235" ht="15.95" customHeight="1"/>
    <row r="236" ht="15.95" customHeight="1"/>
    <row r="237" ht="15.95" customHeight="1"/>
    <row r="238" ht="15.95" customHeight="1"/>
    <row r="239" ht="15.95" customHeight="1"/>
    <row r="240" ht="15.95" customHeight="1"/>
    <row r="241" ht="15.95" customHeight="1"/>
    <row r="242" ht="15.95" customHeight="1"/>
    <row r="243" ht="15.95" customHeight="1"/>
    <row r="244" ht="15.95" customHeight="1"/>
    <row r="245" ht="15.95" customHeight="1"/>
    <row r="246" ht="15.95" customHeight="1"/>
    <row r="247" ht="15.95" customHeight="1"/>
    <row r="248" ht="15.95" customHeight="1"/>
    <row r="249" ht="15.95" customHeight="1"/>
    <row r="250" ht="15.95" customHeight="1"/>
  </sheetData>
  <sheetProtection sheet="1" objects="1" scenarios="1" formatCells="0" formatColumns="0" formatRows="0" insertColumns="0" insertRows="0" insertHyperlinks="0"/>
  <mergeCells count="81">
    <mergeCell ref="C3:D3"/>
    <mergeCell ref="K11:L11"/>
    <mergeCell ref="B10:I10"/>
    <mergeCell ref="C8:H8"/>
    <mergeCell ref="C9:H9"/>
    <mergeCell ref="F40:I40"/>
    <mergeCell ref="F41:I41"/>
    <mergeCell ref="F30:I30"/>
    <mergeCell ref="F31:I31"/>
    <mergeCell ref="F32:I32"/>
    <mergeCell ref="F33:I33"/>
    <mergeCell ref="F34:I34"/>
    <mergeCell ref="F39:I39"/>
    <mergeCell ref="F22:I22"/>
    <mergeCell ref="F23:I23"/>
    <mergeCell ref="F24:I24"/>
    <mergeCell ref="F25:I25"/>
    <mergeCell ref="F26:I26"/>
    <mergeCell ref="F27:I27"/>
    <mergeCell ref="F28:I28"/>
    <mergeCell ref="F29:I29"/>
    <mergeCell ref="F17:I17"/>
    <mergeCell ref="F18:I18"/>
    <mergeCell ref="F19:I19"/>
    <mergeCell ref="F20:I20"/>
    <mergeCell ref="F21:I21"/>
    <mergeCell ref="F44:I44"/>
    <mergeCell ref="F35:I35"/>
    <mergeCell ref="F36:I36"/>
    <mergeCell ref="F37:I37"/>
    <mergeCell ref="F38:I38"/>
    <mergeCell ref="B24:C24"/>
    <mergeCell ref="B25:C25"/>
    <mergeCell ref="B13:C13"/>
    <mergeCell ref="B14:C14"/>
    <mergeCell ref="F11:I11"/>
    <mergeCell ref="F13:I13"/>
    <mergeCell ref="F14:I14"/>
    <mergeCell ref="B11:C11"/>
    <mergeCell ref="F15:I15"/>
    <mergeCell ref="F16:I16"/>
    <mergeCell ref="B26:C26"/>
    <mergeCell ref="B15:C15"/>
    <mergeCell ref="B16:C16"/>
    <mergeCell ref="B17:C17"/>
    <mergeCell ref="B18:C18"/>
    <mergeCell ref="B19:C19"/>
    <mergeCell ref="B20:C20"/>
    <mergeCell ref="B21:C21"/>
    <mergeCell ref="B22:C22"/>
    <mergeCell ref="B23:C23"/>
    <mergeCell ref="B39:C39"/>
    <mergeCell ref="B40:C40"/>
    <mergeCell ref="B34:C34"/>
    <mergeCell ref="B36:C36"/>
    <mergeCell ref="B37:C37"/>
    <mergeCell ref="B38:C38"/>
    <mergeCell ref="B27:C27"/>
    <mergeCell ref="B28:C28"/>
    <mergeCell ref="B29:C29"/>
    <mergeCell ref="B30:C30"/>
    <mergeCell ref="B31:C31"/>
    <mergeCell ref="B35:C35"/>
    <mergeCell ref="B32:C32"/>
    <mergeCell ref="B33:C33"/>
    <mergeCell ref="B44:C44"/>
    <mergeCell ref="B45:C45"/>
    <mergeCell ref="B46:C46"/>
    <mergeCell ref="B47:C47"/>
    <mergeCell ref="F42:I42"/>
    <mergeCell ref="F43:I43"/>
    <mergeCell ref="B41:C41"/>
    <mergeCell ref="B42:C42"/>
    <mergeCell ref="B43:C43"/>
    <mergeCell ref="F49:G49"/>
    <mergeCell ref="F45:I45"/>
    <mergeCell ref="F46:I46"/>
    <mergeCell ref="F47:I47"/>
    <mergeCell ref="F48:I48"/>
    <mergeCell ref="B49:C49"/>
    <mergeCell ref="B48:C48"/>
  </mergeCells>
  <conditionalFormatting sqref="G4:G5">
    <cfRule type="cellIs" dxfId="743" priority="2" operator="equal">
      <formula>"Partner Approved"</formula>
    </cfRule>
    <cfRule type="cellIs" dxfId="742" priority="3" operator="equal">
      <formula>"Reviewed"</formula>
    </cfRule>
    <cfRule type="cellIs" dxfId="741" priority="4" operator="equal">
      <formula>"Rework Complete"</formula>
    </cfRule>
    <cfRule type="cellIs" dxfId="740" priority="5" operator="equal">
      <formula>"Client Query"</formula>
    </cfRule>
    <cfRule type="cellIs" dxfId="739" priority="6" operator="equal">
      <formula>"Started"</formula>
    </cfRule>
    <cfRule type="cellIs" dxfId="738" priority="7" operator="equal">
      <formula>"Ready for Review"</formula>
    </cfRule>
    <cfRule type="cellIs" dxfId="737" priority="8" operator="equal">
      <formula>"Rework Required"</formula>
    </cfRule>
    <cfRule type="cellIs" dxfId="736" priority="9" operator="equal">
      <formula>"Complete"</formula>
    </cfRule>
  </conditionalFormatting>
  <hyperlinks>
    <hyperlink ref="H3" location="'Z02 List'!Go_Index" tooltip="Go to Record" display="Show Record" xr:uid="{60987780-C16C-4AC5-8324-ACD921B5A35F}"/>
  </hyperlinks>
  <printOptions horizontalCentered="1"/>
  <pageMargins left="0.39370078740157483" right="0.39370078740157483" top="0.39370078740157483" bottom="0.39370078740157483" header="0" footer="0"/>
  <pageSetup paperSize="9" scale="74" orientation="portrait" r:id="rId1"/>
  <headerFooter alignWithMargins="0">
    <oddFooter>&amp;L&amp;F
Copyright © 2003-Present Business Fitness Pty Ltd&amp;R&amp;A &amp;P</oddFooter>
  </headerFooter>
  <customProperties>
    <customPr name="SheetId" r:id="rId2"/>
    <customPr name="SheetName"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4FFAE-BAFA-4982-909B-2E7B1E3D7152}">
  <sheetPr>
    <pageSetUpPr autoPageBreaks="0" fitToPage="1"/>
  </sheetPr>
  <dimension ref="B1:J248"/>
  <sheetViews>
    <sheetView showGridLines="0" topLeftCell="A2" zoomScaleNormal="100" workbookViewId="0">
      <selection activeCell="A2" sqref="A2"/>
    </sheetView>
  </sheetViews>
  <sheetFormatPr defaultRowHeight="15"/>
  <cols>
    <col min="1" max="1" width="4.28515625" style="2090" customWidth="1"/>
    <col min="2" max="2" width="1.42578125" style="2090" customWidth="1"/>
    <col min="3" max="3" width="40.7109375" style="2090" customWidth="1"/>
    <col min="4" max="8" width="15.7109375" style="2090" customWidth="1"/>
    <col min="9" max="9" width="18.7109375" style="2090" customWidth="1"/>
    <col min="10" max="10" width="15.7109375" style="2090" customWidth="1"/>
    <col min="11" max="11" width="1.42578125" style="2090" customWidth="1"/>
    <col min="12" max="12" width="3.7109375" style="2090" customWidth="1"/>
    <col min="13" max="16384" width="9.140625" style="2090"/>
  </cols>
  <sheetData>
    <row r="1" spans="2:10" ht="17.25" hidden="1" customHeight="1">
      <c r="C1" s="2101" t="s">
        <v>181</v>
      </c>
      <c r="D1" s="2090" t="s">
        <v>2081</v>
      </c>
      <c r="I1" s="2100" t="s">
        <v>179</v>
      </c>
      <c r="J1" s="2090" t="s">
        <v>318</v>
      </c>
    </row>
    <row r="2" spans="2:10" ht="7.5" customHeight="1">
      <c r="C2" s="2101"/>
      <c r="I2" s="2100"/>
    </row>
    <row r="3" spans="2:10" ht="24.95" customHeight="1">
      <c r="C3" s="2099" t="str">
        <f>_xlfn.XLOOKUP("96aff55d-91fa-4396-9519-3521083dd0e3",RecordInfo.SheetId,RecordInfo.RecordTitle)</f>
        <v>Spare Worksheet - Blank</v>
      </c>
      <c r="D3" s="2099"/>
      <c r="I3"/>
      <c r="J3" s="737" t="s">
        <v>174</v>
      </c>
    </row>
    <row r="4" spans="2:10" s="2092" customFormat="1" ht="24.95" customHeight="1">
      <c r="C4" s="1548" t="str">
        <f>_xlfn.TEXTJOIN(" ",1,IFERROR(_xlfn.SINGLE(Cl_Name),"Client Name"),IF(IFERROR(_xlfn.SINGLE(Cl_Code),"")="","","("&amp;_xlfn.SINGLE(Cl_Code)&amp;")"))</f>
        <v>Springrange Holdings Pty Ltd (MuM001)</v>
      </c>
      <c r="D4" s="1548"/>
      <c r="I4" s="1371"/>
      <c r="J4" s="2096"/>
    </row>
    <row r="5" spans="2:10" s="2092" customFormat="1" ht="24.95" customHeight="1">
      <c r="C5" s="2098">
        <f>IFERROR(_xlfn.SINGLE(PeriodEndDate),DATE(1901,6,30))</f>
        <v>45473</v>
      </c>
      <c r="D5" s="2097"/>
      <c r="I5" s="1371"/>
      <c r="J5" s="2096"/>
    </row>
    <row r="6" spans="2:10" ht="7.5" customHeight="1">
      <c r="B6" s="411"/>
      <c r="C6" s="411"/>
      <c r="D6" s="411"/>
      <c r="E6" s="2095"/>
      <c r="F6" s="2095"/>
      <c r="G6" s="2095"/>
      <c r="H6" s="2095"/>
      <c r="I6" s="2095"/>
      <c r="J6" s="2095"/>
    </row>
    <row r="7" spans="2:10" ht="7.5" customHeight="1"/>
    <row r="8" spans="2:10" ht="17.25" customHeight="1">
      <c r="C8" s="1498" t="s">
        <v>2079</v>
      </c>
      <c r="D8" s="1498"/>
      <c r="E8" s="1498"/>
      <c r="F8" s="1498"/>
      <c r="G8" s="1498"/>
      <c r="H8" s="1498"/>
      <c r="I8" s="1498"/>
      <c r="J8" s="1498"/>
    </row>
    <row r="9" spans="2:10" ht="7.5" customHeight="1">
      <c r="C9" s="101"/>
      <c r="D9" s="101"/>
      <c r="E9" s="101"/>
      <c r="F9" s="101"/>
      <c r="G9" s="101"/>
      <c r="H9" s="101"/>
      <c r="I9" s="101"/>
      <c r="J9" s="101"/>
    </row>
    <row r="10" spans="2:10" ht="17.25" customHeight="1">
      <c r="C10" s="2094" t="s">
        <v>2078</v>
      </c>
      <c r="D10" s="2094"/>
      <c r="E10" s="2094"/>
      <c r="F10" s="2094"/>
      <c r="G10" s="2094"/>
      <c r="H10" s="2094"/>
      <c r="I10" s="2094"/>
      <c r="J10" s="2094"/>
    </row>
    <row r="11" spans="2:10" ht="17.25" customHeight="1"/>
    <row r="12" spans="2:10" ht="7.5" customHeight="1">
      <c r="B12" s="2092"/>
      <c r="C12" s="2092"/>
      <c r="D12" s="2092"/>
      <c r="E12" s="2092"/>
      <c r="F12" s="2092"/>
      <c r="G12" s="2092"/>
      <c r="H12" s="2092"/>
      <c r="I12" s="2092"/>
      <c r="J12" s="2092"/>
    </row>
    <row r="13" spans="2:10" ht="17.25" customHeight="1">
      <c r="B13" s="2092"/>
      <c r="C13" s="2092"/>
      <c r="D13" s="2092"/>
      <c r="E13" s="2092"/>
      <c r="F13" s="2092"/>
      <c r="G13" s="2092"/>
      <c r="H13" s="2092"/>
      <c r="I13" s="2092"/>
      <c r="J13" s="2092"/>
    </row>
    <row r="14" spans="2:10" ht="17.25" customHeight="1">
      <c r="B14" s="2092"/>
      <c r="C14" s="2092"/>
      <c r="D14" s="2092"/>
      <c r="E14" s="2092"/>
      <c r="F14" s="2092"/>
      <c r="G14" s="2092"/>
      <c r="H14" s="2092"/>
      <c r="I14" s="2092"/>
      <c r="J14" s="2092"/>
    </row>
    <row r="15" spans="2:10" ht="17.25" customHeight="1">
      <c r="B15" s="2092"/>
      <c r="C15" s="2092"/>
      <c r="D15" s="2092"/>
      <c r="E15" s="2092"/>
      <c r="F15" s="2092"/>
      <c r="G15" s="2092"/>
      <c r="H15" s="2092"/>
      <c r="I15" s="2092"/>
      <c r="J15" s="2092"/>
    </row>
    <row r="16" spans="2:10" ht="17.25" customHeight="1">
      <c r="B16" s="2092"/>
      <c r="C16" s="2092"/>
      <c r="D16" s="2092"/>
      <c r="E16" s="2092"/>
      <c r="F16" s="2092"/>
      <c r="G16" s="2092"/>
      <c r="H16" s="2092"/>
      <c r="I16" s="2092"/>
      <c r="J16" s="2092"/>
    </row>
    <row r="17" spans="2:10" ht="17.25" customHeight="1">
      <c r="B17" s="2092"/>
      <c r="C17" s="2092"/>
      <c r="D17" s="2092"/>
      <c r="E17" s="2092"/>
      <c r="F17" s="2092"/>
      <c r="G17" s="2092"/>
      <c r="H17" s="2092"/>
      <c r="I17" s="2092"/>
      <c r="J17" s="2092"/>
    </row>
    <row r="18" spans="2:10" ht="17.25" customHeight="1">
      <c r="B18" s="2092"/>
      <c r="C18" s="2092"/>
      <c r="D18" s="2092"/>
      <c r="E18" s="2092"/>
      <c r="F18" s="2092"/>
      <c r="G18" s="2092"/>
      <c r="H18" s="2092"/>
      <c r="I18" s="2092"/>
      <c r="J18" s="2092"/>
    </row>
    <row r="19" spans="2:10" ht="17.25" customHeight="1">
      <c r="B19" s="2092"/>
      <c r="C19" s="2092"/>
      <c r="D19" s="2092"/>
      <c r="E19" s="2092"/>
      <c r="F19" s="2092"/>
      <c r="G19" s="2092"/>
      <c r="H19" s="2092"/>
      <c r="I19" s="2092"/>
      <c r="J19" s="2092"/>
    </row>
    <row r="20" spans="2:10" ht="17.25" customHeight="1">
      <c r="B20" s="2092"/>
      <c r="C20" s="2092"/>
      <c r="D20" s="2092"/>
      <c r="E20" s="2092"/>
      <c r="F20" s="2092"/>
      <c r="G20" s="2092"/>
      <c r="H20" s="2092"/>
      <c r="I20" s="2092"/>
      <c r="J20" s="2092"/>
    </row>
    <row r="21" spans="2:10" ht="17.25" customHeight="1">
      <c r="B21" s="2092"/>
      <c r="C21" s="2092"/>
      <c r="D21" s="2092"/>
      <c r="E21" s="2092"/>
      <c r="F21" s="2092"/>
      <c r="G21" s="2092"/>
      <c r="H21" s="2092"/>
      <c r="I21" s="2092"/>
      <c r="J21" s="2092"/>
    </row>
    <row r="22" spans="2:10" ht="17.25" customHeight="1">
      <c r="B22" s="2092"/>
      <c r="C22" s="2092"/>
      <c r="D22" s="2092"/>
      <c r="E22" s="2092"/>
      <c r="F22" s="2092"/>
      <c r="G22" s="2092"/>
      <c r="H22" s="2092"/>
      <c r="I22" s="2092"/>
      <c r="J22" s="2092"/>
    </row>
    <row r="23" spans="2:10" ht="17.25" customHeight="1">
      <c r="B23" s="2092"/>
      <c r="C23" s="2092"/>
      <c r="D23" s="2092"/>
      <c r="E23" s="2092"/>
      <c r="F23" s="2092"/>
      <c r="G23" s="2092"/>
      <c r="H23" s="2092"/>
      <c r="I23" s="2092"/>
      <c r="J23" s="2092"/>
    </row>
    <row r="24" spans="2:10" ht="17.25" customHeight="1">
      <c r="B24" s="2092"/>
      <c r="C24" s="2092"/>
      <c r="D24" s="2092"/>
      <c r="E24" s="2092"/>
      <c r="F24" s="2092"/>
      <c r="G24" s="2092"/>
      <c r="H24" s="2092"/>
      <c r="I24" s="2092"/>
      <c r="J24" s="2092"/>
    </row>
    <row r="25" spans="2:10" ht="17.25" customHeight="1">
      <c r="B25" s="2092"/>
      <c r="C25" s="2092"/>
      <c r="D25" s="2092"/>
      <c r="E25" s="2092"/>
      <c r="F25" s="2092"/>
      <c r="G25" s="2092"/>
      <c r="H25" s="2092"/>
      <c r="I25" s="2092"/>
      <c r="J25" s="2092"/>
    </row>
    <row r="26" spans="2:10" ht="17.25" customHeight="1">
      <c r="B26" s="2092"/>
      <c r="C26" s="2092"/>
      <c r="D26" s="2092"/>
      <c r="E26" s="2092"/>
      <c r="F26" s="2092"/>
      <c r="G26" s="2092"/>
      <c r="H26" s="2092"/>
      <c r="I26" s="2092"/>
      <c r="J26" s="2092"/>
    </row>
    <row r="27" spans="2:10" ht="17.25" customHeight="1">
      <c r="B27" s="2092"/>
      <c r="C27" s="2092"/>
      <c r="D27" s="2092"/>
      <c r="E27" s="2092"/>
      <c r="F27" s="2092"/>
      <c r="G27" s="2092"/>
      <c r="H27" s="2092"/>
      <c r="I27" s="2092"/>
      <c r="J27" s="2092"/>
    </row>
    <row r="28" spans="2:10" ht="17.25" customHeight="1">
      <c r="B28" s="2092"/>
      <c r="C28" s="2092"/>
      <c r="D28" s="2092"/>
      <c r="E28" s="2092"/>
      <c r="F28" s="2092"/>
      <c r="G28" s="2092"/>
      <c r="H28" s="2092"/>
      <c r="I28" s="2092"/>
      <c r="J28" s="2092"/>
    </row>
    <row r="29" spans="2:10" ht="17.25" customHeight="1">
      <c r="B29" s="2092"/>
      <c r="C29" s="2092"/>
      <c r="D29" s="2092"/>
      <c r="E29" s="2092"/>
      <c r="F29" s="2092"/>
      <c r="G29" s="2092"/>
      <c r="H29" s="2092"/>
      <c r="I29" s="2092"/>
      <c r="J29" s="2092"/>
    </row>
    <row r="30" spans="2:10" ht="17.25" customHeight="1">
      <c r="B30" s="2092"/>
      <c r="C30" s="2092"/>
      <c r="D30" s="2092"/>
      <c r="E30" s="2092"/>
      <c r="F30" s="2092"/>
      <c r="G30" s="2092"/>
      <c r="H30" s="2092"/>
      <c r="I30" s="2092"/>
      <c r="J30" s="2092"/>
    </row>
    <row r="31" spans="2:10" ht="17.25" customHeight="1">
      <c r="B31" s="2092"/>
      <c r="C31" s="2092"/>
      <c r="D31" s="2092"/>
      <c r="E31" s="2092"/>
      <c r="F31" s="2092"/>
      <c r="G31" s="2092"/>
      <c r="H31" s="2092"/>
      <c r="I31" s="2092"/>
      <c r="J31" s="2092"/>
    </row>
    <row r="32" spans="2:10" ht="17.25" customHeight="1">
      <c r="B32" s="2092"/>
      <c r="C32" s="2092"/>
      <c r="D32" s="2092"/>
      <c r="E32" s="2092"/>
      <c r="F32" s="2092"/>
      <c r="G32" s="2092"/>
      <c r="H32" s="2092"/>
      <c r="I32" s="2092"/>
      <c r="J32" s="2092"/>
    </row>
    <row r="33" spans="2:10" ht="17.25" customHeight="1">
      <c r="B33" s="2092"/>
      <c r="C33" s="2092"/>
      <c r="D33" s="2092"/>
      <c r="E33" s="2092"/>
      <c r="F33" s="2092"/>
      <c r="G33" s="2092"/>
      <c r="H33" s="2092"/>
      <c r="I33" s="2092"/>
      <c r="J33" s="2092"/>
    </row>
    <row r="34" spans="2:10" ht="17.25" customHeight="1">
      <c r="B34" s="2092"/>
      <c r="C34" s="2092"/>
      <c r="D34" s="2092"/>
      <c r="E34" s="2092"/>
      <c r="F34" s="2092"/>
      <c r="G34" s="2092"/>
      <c r="H34" s="2092"/>
      <c r="I34" s="2092"/>
      <c r="J34" s="2092"/>
    </row>
    <row r="35" spans="2:10" ht="17.25" customHeight="1">
      <c r="B35" s="2092"/>
      <c r="C35" s="2092"/>
      <c r="D35" s="2092"/>
      <c r="E35" s="2092"/>
      <c r="F35" s="2092"/>
      <c r="G35" s="2092"/>
      <c r="H35" s="2092"/>
      <c r="I35" s="2092"/>
      <c r="J35" s="2092"/>
    </row>
    <row r="36" spans="2:10" ht="17.25" customHeight="1">
      <c r="B36" s="2092"/>
      <c r="C36" s="2092"/>
      <c r="D36" s="2092"/>
      <c r="E36" s="2092"/>
      <c r="F36" s="2092"/>
      <c r="G36" s="2092"/>
      <c r="H36" s="2092"/>
      <c r="I36" s="2092"/>
      <c r="J36" s="2092"/>
    </row>
    <row r="37" spans="2:10" ht="17.25" customHeight="1">
      <c r="B37" s="2092"/>
      <c r="C37" s="2092"/>
      <c r="D37" s="2092"/>
      <c r="E37" s="2092"/>
      <c r="F37" s="2092"/>
      <c r="G37" s="2092"/>
      <c r="H37" s="2092"/>
      <c r="I37" s="2092"/>
      <c r="J37" s="2092"/>
    </row>
    <row r="38" spans="2:10" ht="17.25" customHeight="1">
      <c r="B38" s="2092"/>
      <c r="C38" s="2092"/>
      <c r="D38" s="2092"/>
      <c r="E38" s="2092"/>
      <c r="F38" s="2092"/>
      <c r="G38" s="2092"/>
      <c r="H38" s="2092"/>
      <c r="I38" s="2092"/>
      <c r="J38" s="2092"/>
    </row>
    <row r="39" spans="2:10" ht="17.25" customHeight="1">
      <c r="B39" s="2092"/>
      <c r="C39" s="2092"/>
      <c r="D39" s="2092"/>
      <c r="E39" s="2092"/>
      <c r="F39" s="2092"/>
      <c r="G39" s="2092"/>
      <c r="H39" s="2092"/>
      <c r="I39" s="2092"/>
      <c r="J39" s="2092"/>
    </row>
    <row r="40" spans="2:10" ht="17.25" customHeight="1">
      <c r="B40" s="2092"/>
      <c r="C40" s="2092"/>
      <c r="D40" s="2092"/>
      <c r="E40" s="2092"/>
      <c r="F40" s="2092"/>
      <c r="G40" s="2092"/>
      <c r="H40" s="2092"/>
      <c r="I40" s="2092"/>
      <c r="J40" s="2092"/>
    </row>
    <row r="41" spans="2:10" ht="17.25" customHeight="1">
      <c r="B41" s="2092"/>
      <c r="C41" s="2092"/>
      <c r="D41" s="2092"/>
      <c r="E41" s="2092"/>
      <c r="F41" s="2092"/>
      <c r="G41" s="2092"/>
      <c r="H41" s="2092"/>
      <c r="I41" s="2092"/>
      <c r="J41" s="2092"/>
    </row>
    <row r="42" spans="2:10" ht="17.25" customHeight="1">
      <c r="B42" s="2092"/>
      <c r="C42" s="2092"/>
      <c r="D42" s="2092"/>
      <c r="E42" s="2092"/>
      <c r="F42" s="2092"/>
      <c r="G42" s="2092"/>
      <c r="H42" s="2092"/>
      <c r="I42" s="2092"/>
      <c r="J42" s="2092"/>
    </row>
    <row r="43" spans="2:10" ht="17.25" customHeight="1">
      <c r="B43" s="2092"/>
      <c r="C43" s="2092"/>
      <c r="D43" s="2092"/>
      <c r="E43" s="2092"/>
      <c r="F43" s="2092"/>
      <c r="G43" s="2092"/>
      <c r="H43" s="2092"/>
      <c r="I43" s="2092"/>
      <c r="J43" s="2092"/>
    </row>
    <row r="44" spans="2:10" ht="17.25" customHeight="1">
      <c r="B44" s="2092"/>
      <c r="C44" s="2092"/>
      <c r="D44" s="2092"/>
      <c r="E44" s="2092"/>
      <c r="F44" s="2092"/>
      <c r="G44" s="2092"/>
      <c r="H44" s="2092"/>
      <c r="I44" s="2092"/>
      <c r="J44" s="2092"/>
    </row>
    <row r="45" spans="2:10" ht="17.25" customHeight="1">
      <c r="B45" s="2092"/>
      <c r="C45" s="2092"/>
      <c r="D45" s="2092"/>
      <c r="E45" s="2092"/>
      <c r="F45" s="2092"/>
      <c r="G45" s="2092"/>
      <c r="H45" s="2092"/>
      <c r="I45" s="2092"/>
      <c r="J45" s="2092"/>
    </row>
    <row r="46" spans="2:10" ht="17.25" customHeight="1">
      <c r="B46" s="2092"/>
      <c r="C46" s="2092"/>
      <c r="D46" s="2092"/>
      <c r="E46" s="2092"/>
      <c r="F46" s="2092"/>
      <c r="G46" s="2092"/>
      <c r="H46" s="2092"/>
      <c r="I46" s="2092"/>
      <c r="J46" s="2092"/>
    </row>
    <row r="47" spans="2:10" ht="17.25" customHeight="1">
      <c r="B47" s="2092"/>
      <c r="C47" s="2092"/>
      <c r="D47" s="2092"/>
      <c r="E47" s="2092"/>
      <c r="F47" s="2092"/>
      <c r="G47" s="2092"/>
      <c r="H47" s="2092"/>
      <c r="I47" s="2092"/>
      <c r="J47" s="2092"/>
    </row>
    <row r="48" spans="2:10" ht="17.25" customHeight="1">
      <c r="B48" s="2092"/>
      <c r="C48" s="2092"/>
      <c r="D48" s="2092"/>
      <c r="E48" s="2092"/>
      <c r="F48" s="2092"/>
      <c r="G48" s="2092"/>
      <c r="H48" s="2092"/>
      <c r="I48" s="2092"/>
      <c r="J48" s="2092"/>
    </row>
    <row r="49" spans="2:10" ht="15.95" customHeight="1">
      <c r="B49" s="2092"/>
      <c r="C49" s="2092"/>
      <c r="D49" s="2092"/>
      <c r="E49" s="2092"/>
      <c r="F49" s="2092"/>
      <c r="G49" s="2092"/>
      <c r="H49" s="2092"/>
      <c r="I49" s="2092"/>
      <c r="J49" s="2092"/>
    </row>
    <row r="50" spans="2:10" ht="15.95" customHeight="1">
      <c r="B50" s="2092"/>
      <c r="C50" s="2092"/>
      <c r="D50" s="2092"/>
      <c r="E50" s="2092"/>
      <c r="F50" s="2092"/>
      <c r="G50" s="2092"/>
      <c r="H50" s="2092"/>
      <c r="I50" s="2092"/>
      <c r="J50" s="2092"/>
    </row>
    <row r="51" spans="2:10" ht="15.95" customHeight="1">
      <c r="B51" s="2092"/>
      <c r="C51" s="2092"/>
      <c r="D51" s="2092"/>
      <c r="E51" s="2092"/>
      <c r="F51" s="2092"/>
      <c r="G51" s="2092"/>
      <c r="H51" s="2092"/>
      <c r="I51" s="2092"/>
      <c r="J51" s="2092"/>
    </row>
    <row r="52" spans="2:10" ht="15.95" customHeight="1">
      <c r="B52" s="2092"/>
      <c r="C52" s="2092"/>
      <c r="D52" s="2092"/>
      <c r="E52" s="2092"/>
      <c r="F52" s="2092"/>
      <c r="G52" s="2092"/>
      <c r="H52" s="2092"/>
      <c r="I52" s="2092"/>
      <c r="J52" s="2092"/>
    </row>
    <row r="53" spans="2:10" ht="15.95" customHeight="1">
      <c r="B53" s="2092"/>
      <c r="C53" s="2092"/>
      <c r="D53" s="2092"/>
      <c r="E53" s="2092"/>
      <c r="F53" s="2092"/>
      <c r="G53" s="2092"/>
      <c r="H53" s="2092"/>
      <c r="I53" s="2092"/>
      <c r="J53" s="2092"/>
    </row>
    <row r="54" spans="2:10" ht="15.95" customHeight="1">
      <c r="B54" s="2092"/>
      <c r="C54" s="2092"/>
      <c r="D54" s="2092"/>
      <c r="E54" s="2092"/>
      <c r="F54" s="2092"/>
      <c r="G54" s="2092"/>
      <c r="H54" s="2092"/>
      <c r="I54" s="2092"/>
      <c r="J54" s="2092"/>
    </row>
    <row r="55" spans="2:10" ht="15.95" customHeight="1">
      <c r="B55" s="2092"/>
      <c r="C55" s="2092"/>
      <c r="D55" s="2092"/>
      <c r="E55" s="2092"/>
      <c r="F55" s="2092"/>
      <c r="G55" s="2092"/>
      <c r="H55" s="2092"/>
      <c r="I55" s="2092"/>
      <c r="J55" s="2092"/>
    </row>
    <row r="56" spans="2:10" ht="15.95" customHeight="1">
      <c r="B56" s="2092"/>
      <c r="C56" s="2092"/>
      <c r="D56" s="2092"/>
      <c r="E56" s="2092"/>
      <c r="F56" s="2092"/>
      <c r="G56" s="2092"/>
      <c r="H56" s="2092"/>
      <c r="I56" s="2092"/>
      <c r="J56" s="2092"/>
    </row>
    <row r="57" spans="2:10" ht="15.95" customHeight="1">
      <c r="B57" s="2092"/>
      <c r="C57" s="2092"/>
      <c r="D57" s="2092"/>
      <c r="E57" s="2092"/>
      <c r="F57" s="2092"/>
      <c r="G57" s="2092"/>
      <c r="H57" s="2092"/>
      <c r="I57" s="2092"/>
      <c r="J57" s="2092"/>
    </row>
    <row r="58" spans="2:10" ht="15.95" customHeight="1">
      <c r="B58" s="2092"/>
      <c r="C58" s="2092"/>
      <c r="D58" s="2092"/>
      <c r="E58" s="2092"/>
      <c r="F58" s="2092"/>
      <c r="G58" s="2092"/>
      <c r="H58" s="2092"/>
      <c r="I58" s="2092"/>
      <c r="J58" s="2092"/>
    </row>
    <row r="59" spans="2:10" ht="15.95" customHeight="1">
      <c r="B59" s="2092"/>
      <c r="C59" s="2092"/>
      <c r="D59" s="2092"/>
      <c r="E59" s="2092"/>
      <c r="F59" s="2092"/>
      <c r="G59" s="2092"/>
      <c r="H59" s="2092"/>
      <c r="I59" s="2092"/>
      <c r="J59" s="2092"/>
    </row>
    <row r="60" spans="2:10" ht="15.95" customHeight="1">
      <c r="B60" s="2092"/>
      <c r="C60" s="2092"/>
      <c r="D60" s="2092"/>
      <c r="E60" s="2092"/>
      <c r="F60" s="2092"/>
      <c r="G60" s="2092"/>
      <c r="H60" s="2092"/>
      <c r="I60" s="2092"/>
      <c r="J60" s="2092"/>
    </row>
    <row r="61" spans="2:10" ht="15.95" customHeight="1">
      <c r="B61" s="2092"/>
      <c r="C61" s="2092"/>
      <c r="D61" s="2092"/>
      <c r="E61" s="2092"/>
      <c r="F61" s="2092"/>
      <c r="G61" s="2092"/>
      <c r="H61" s="2092"/>
      <c r="I61" s="2092"/>
      <c r="J61" s="2092"/>
    </row>
    <row r="62" spans="2:10" ht="15.95" customHeight="1">
      <c r="B62" s="2092"/>
      <c r="C62" s="2092"/>
      <c r="D62" s="2092"/>
      <c r="E62" s="2092"/>
      <c r="F62" s="2092"/>
      <c r="G62" s="2092"/>
      <c r="H62" s="2092"/>
      <c r="I62" s="2092"/>
      <c r="J62" s="2092"/>
    </row>
    <row r="63" spans="2:10" ht="15.95" customHeight="1">
      <c r="B63" s="2092"/>
      <c r="C63" s="2092"/>
      <c r="D63" s="2092"/>
      <c r="E63" s="2092"/>
      <c r="F63" s="2092"/>
      <c r="G63" s="2092"/>
      <c r="H63" s="2092"/>
      <c r="I63" s="2092"/>
      <c r="J63" s="2092"/>
    </row>
    <row r="64" spans="2:10" ht="15.95" customHeight="1">
      <c r="B64" s="2092"/>
      <c r="C64" s="2092"/>
      <c r="D64" s="2092"/>
      <c r="E64" s="2092"/>
      <c r="F64" s="2092"/>
      <c r="G64" s="2092"/>
      <c r="H64" s="2092"/>
      <c r="I64" s="2092"/>
      <c r="J64" s="2092"/>
    </row>
    <row r="65" spans="2:10" ht="15.95" customHeight="1">
      <c r="B65" s="2092"/>
      <c r="C65" s="2092"/>
      <c r="D65" s="2092"/>
      <c r="E65" s="2092"/>
      <c r="F65" s="2092"/>
      <c r="G65" s="2092"/>
      <c r="H65" s="2092"/>
      <c r="I65" s="2092"/>
      <c r="J65" s="2092"/>
    </row>
    <row r="66" spans="2:10" ht="15.95" customHeight="1">
      <c r="B66" s="2092"/>
      <c r="C66" s="2092"/>
      <c r="D66" s="2092"/>
      <c r="E66" s="2092"/>
      <c r="F66" s="2092"/>
      <c r="G66" s="2092"/>
      <c r="H66" s="2092"/>
      <c r="I66" s="2092"/>
      <c r="J66" s="2092"/>
    </row>
    <row r="67" spans="2:10" ht="15.95" customHeight="1">
      <c r="B67" s="2092"/>
      <c r="C67" s="2092"/>
      <c r="D67" s="2092"/>
      <c r="E67" s="2092"/>
      <c r="F67" s="2092"/>
      <c r="G67" s="2092"/>
      <c r="H67" s="2092"/>
      <c r="I67" s="2092"/>
      <c r="J67" s="2092"/>
    </row>
    <row r="68" spans="2:10" ht="15.95" customHeight="1">
      <c r="B68" s="2092"/>
      <c r="C68" s="2092"/>
      <c r="D68" s="2092"/>
      <c r="E68" s="2092"/>
      <c r="F68" s="2092"/>
      <c r="G68" s="2092"/>
      <c r="H68" s="2092"/>
      <c r="I68" s="2092"/>
      <c r="J68" s="2092"/>
    </row>
    <row r="69" spans="2:10" ht="15.95" customHeight="1">
      <c r="B69" s="2092"/>
      <c r="C69" s="2092"/>
      <c r="D69" s="2092"/>
      <c r="E69" s="2092"/>
      <c r="F69" s="2092"/>
      <c r="G69" s="2092"/>
      <c r="H69" s="2092"/>
      <c r="I69" s="2092"/>
      <c r="J69" s="2092"/>
    </row>
    <row r="70" spans="2:10" ht="15.95" customHeight="1">
      <c r="B70" s="2092"/>
      <c r="C70" s="2092"/>
      <c r="D70" s="2092"/>
      <c r="E70" s="2092"/>
      <c r="F70" s="2092"/>
      <c r="G70" s="2092"/>
      <c r="H70" s="2092"/>
      <c r="I70" s="2092"/>
      <c r="J70" s="2092"/>
    </row>
    <row r="71" spans="2:10" ht="15.95" customHeight="1">
      <c r="B71" s="2092"/>
      <c r="C71" s="2092"/>
      <c r="D71" s="2092"/>
      <c r="E71" s="2092"/>
      <c r="F71" s="2092"/>
      <c r="G71" s="2092"/>
      <c r="H71" s="2092"/>
      <c r="I71" s="2092"/>
      <c r="J71" s="2092"/>
    </row>
    <row r="72" spans="2:10" ht="15.95" customHeight="1">
      <c r="B72" s="2092"/>
      <c r="C72" s="2092"/>
      <c r="D72" s="2092"/>
      <c r="E72" s="2092"/>
      <c r="F72" s="2092"/>
      <c r="G72" s="2092"/>
      <c r="H72" s="2092"/>
      <c r="I72" s="2092"/>
      <c r="J72" s="2092"/>
    </row>
    <row r="73" spans="2:10" ht="15.95" customHeight="1">
      <c r="B73" s="2092"/>
      <c r="C73" s="2092"/>
      <c r="D73" s="2092"/>
      <c r="E73" s="2092"/>
      <c r="F73" s="2092"/>
      <c r="G73" s="2092"/>
      <c r="H73" s="2092"/>
      <c r="I73" s="2092"/>
      <c r="J73" s="2092"/>
    </row>
    <row r="74" spans="2:10" ht="15.95" customHeight="1">
      <c r="B74" s="2092"/>
      <c r="C74" s="2092"/>
      <c r="D74" s="2092"/>
      <c r="E74" s="2092"/>
      <c r="F74" s="2092"/>
      <c r="G74" s="2092"/>
      <c r="H74" s="2092"/>
      <c r="I74" s="2092"/>
      <c r="J74" s="2092"/>
    </row>
    <row r="75" spans="2:10" ht="15.95" customHeight="1">
      <c r="B75" s="2092"/>
      <c r="C75" s="2092"/>
      <c r="D75" s="2092"/>
      <c r="E75" s="2092"/>
      <c r="F75" s="2092"/>
      <c r="G75" s="2092"/>
      <c r="H75" s="2092"/>
      <c r="I75" s="2092"/>
      <c r="J75" s="2092"/>
    </row>
    <row r="76" spans="2:10" ht="15.95" customHeight="1">
      <c r="B76" s="2092"/>
      <c r="C76" s="2092"/>
      <c r="D76" s="2092"/>
      <c r="E76" s="2092"/>
      <c r="F76" s="2092"/>
      <c r="G76" s="2092"/>
      <c r="H76" s="2092"/>
      <c r="I76" s="2092"/>
      <c r="J76" s="2092"/>
    </row>
    <row r="77" spans="2:10" ht="15.95" customHeight="1">
      <c r="B77" s="2092"/>
      <c r="C77" s="2092"/>
      <c r="D77" s="2092"/>
      <c r="E77" s="2092"/>
      <c r="F77" s="2092"/>
      <c r="G77" s="2092"/>
      <c r="H77" s="2092"/>
      <c r="I77" s="2092"/>
      <c r="J77" s="2092"/>
    </row>
    <row r="78" spans="2:10" ht="15.95" customHeight="1">
      <c r="B78" s="2092"/>
      <c r="C78" s="2092"/>
      <c r="D78" s="2092"/>
      <c r="E78" s="2092"/>
      <c r="F78" s="2092"/>
      <c r="G78" s="2092"/>
      <c r="H78" s="2092"/>
      <c r="I78" s="2092"/>
      <c r="J78" s="2092"/>
    </row>
    <row r="79" spans="2:10" ht="15.95" customHeight="1">
      <c r="B79" s="2092"/>
      <c r="C79" s="2092"/>
      <c r="D79" s="2092"/>
      <c r="E79" s="2092"/>
      <c r="F79" s="2092"/>
      <c r="G79" s="2092"/>
      <c r="H79" s="2092"/>
      <c r="I79" s="2092"/>
      <c r="J79" s="2092"/>
    </row>
    <row r="80" spans="2:10" ht="15.95" customHeight="1">
      <c r="B80" s="2092"/>
      <c r="C80" s="2092"/>
      <c r="D80" s="2092"/>
      <c r="E80" s="2092"/>
      <c r="F80" s="2092"/>
      <c r="G80" s="2092"/>
      <c r="H80" s="2092"/>
      <c r="I80" s="2092"/>
      <c r="J80" s="2092"/>
    </row>
    <row r="81" spans="2:10" ht="15.95" customHeight="1">
      <c r="B81" s="2092"/>
      <c r="C81" s="2092"/>
      <c r="D81" s="2092"/>
      <c r="E81" s="2092"/>
      <c r="F81" s="2092"/>
      <c r="G81" s="2092"/>
      <c r="H81" s="2092"/>
      <c r="I81" s="2092"/>
      <c r="J81" s="2092"/>
    </row>
    <row r="82" spans="2:10" ht="15.95" customHeight="1">
      <c r="B82" s="2092"/>
      <c r="C82" s="2092"/>
      <c r="D82" s="2092"/>
      <c r="E82" s="2092"/>
      <c r="F82" s="2092"/>
      <c r="G82" s="2092"/>
      <c r="H82" s="2092"/>
      <c r="I82" s="2092"/>
      <c r="J82" s="2092"/>
    </row>
    <row r="83" spans="2:10" ht="15.95" customHeight="1">
      <c r="B83" s="2092"/>
      <c r="C83" s="2092"/>
      <c r="D83" s="2092"/>
      <c r="E83" s="2092"/>
      <c r="F83" s="2092"/>
      <c r="G83" s="2092"/>
      <c r="H83" s="2092"/>
      <c r="I83" s="2092"/>
      <c r="J83" s="2092"/>
    </row>
    <row r="84" spans="2:10" ht="15.95" customHeight="1">
      <c r="B84" s="2092"/>
      <c r="C84" s="2092"/>
      <c r="D84" s="2092"/>
      <c r="E84" s="2092"/>
      <c r="F84" s="2092"/>
      <c r="G84" s="2092"/>
      <c r="H84" s="2092"/>
      <c r="I84" s="2092"/>
      <c r="J84" s="2092"/>
    </row>
    <row r="85" spans="2:10" ht="15.95" customHeight="1">
      <c r="B85" s="2092"/>
      <c r="C85" s="2092"/>
      <c r="D85" s="2092"/>
      <c r="E85" s="2092"/>
      <c r="F85" s="2092"/>
      <c r="G85" s="2092"/>
      <c r="H85" s="2092"/>
      <c r="I85" s="2092"/>
      <c r="J85" s="2092"/>
    </row>
    <row r="86" spans="2:10" ht="15.95" customHeight="1">
      <c r="B86" s="2092"/>
      <c r="C86" s="2092"/>
      <c r="D86" s="2092"/>
      <c r="E86" s="2092"/>
      <c r="F86" s="2092"/>
      <c r="G86" s="2092"/>
      <c r="H86" s="2092"/>
      <c r="I86" s="2092"/>
      <c r="J86" s="2092"/>
    </row>
    <row r="87" spans="2:10" ht="15.95" customHeight="1">
      <c r="B87" s="2092"/>
      <c r="C87" s="2092"/>
      <c r="D87" s="2092"/>
      <c r="E87" s="2092"/>
      <c r="F87" s="2092"/>
      <c r="G87" s="2092"/>
      <c r="H87" s="2092"/>
      <c r="I87" s="2092"/>
      <c r="J87" s="2092"/>
    </row>
    <row r="88" spans="2:10" ht="15.95" customHeight="1">
      <c r="B88" s="2092"/>
      <c r="C88" s="2092"/>
      <c r="D88" s="2092"/>
      <c r="E88" s="2092"/>
      <c r="F88" s="2092"/>
      <c r="G88" s="2092"/>
      <c r="H88" s="2092"/>
      <c r="I88" s="2092"/>
      <c r="J88" s="2092"/>
    </row>
    <row r="89" spans="2:10" ht="15.95" customHeight="1">
      <c r="B89" s="2092"/>
      <c r="C89" s="2092"/>
      <c r="D89" s="2092"/>
      <c r="E89" s="2092"/>
      <c r="F89" s="2092"/>
      <c r="G89" s="2092"/>
      <c r="H89" s="2092"/>
      <c r="I89" s="2092"/>
      <c r="J89" s="2092"/>
    </row>
    <row r="90" spans="2:10" ht="15.95" customHeight="1">
      <c r="B90" s="2092"/>
      <c r="C90" s="2092"/>
      <c r="D90" s="2092"/>
      <c r="E90" s="2092"/>
      <c r="F90" s="2092"/>
      <c r="G90" s="2092"/>
      <c r="H90" s="2092"/>
      <c r="I90" s="2092"/>
      <c r="J90" s="2092"/>
    </row>
    <row r="91" spans="2:10" ht="15.95" customHeight="1">
      <c r="B91" s="2092"/>
      <c r="C91" s="2092"/>
      <c r="D91" s="2092"/>
      <c r="E91" s="2092"/>
      <c r="F91" s="2092"/>
      <c r="G91" s="2092"/>
      <c r="H91" s="2092"/>
      <c r="I91" s="2092"/>
      <c r="J91" s="2092"/>
    </row>
    <row r="92" spans="2:10" ht="15.95" customHeight="1">
      <c r="B92" s="2092"/>
      <c r="C92" s="2092"/>
      <c r="D92" s="2092"/>
      <c r="E92" s="2092"/>
      <c r="F92" s="2092"/>
      <c r="G92" s="2092"/>
      <c r="H92" s="2092"/>
      <c r="I92" s="2092"/>
      <c r="J92" s="2092"/>
    </row>
    <row r="93" spans="2:10" ht="15.95" customHeight="1">
      <c r="B93" s="2092"/>
      <c r="C93" s="2092"/>
      <c r="D93" s="2092"/>
      <c r="E93" s="2092"/>
      <c r="F93" s="2092"/>
      <c r="G93" s="2092"/>
      <c r="H93" s="2092"/>
      <c r="I93" s="2092"/>
      <c r="J93" s="2092"/>
    </row>
    <row r="94" spans="2:10" ht="15.95" customHeight="1">
      <c r="B94" s="2092"/>
      <c r="C94" s="2092"/>
      <c r="D94" s="2092"/>
      <c r="E94" s="2092"/>
      <c r="F94" s="2092"/>
      <c r="G94" s="2092"/>
      <c r="H94" s="2092"/>
      <c r="I94" s="2092"/>
      <c r="J94" s="2092"/>
    </row>
    <row r="95" spans="2:10" ht="15.95" customHeight="1">
      <c r="B95" s="2092"/>
      <c r="C95" s="2092"/>
      <c r="D95" s="2092"/>
      <c r="E95" s="2092"/>
      <c r="F95" s="2092"/>
      <c r="G95" s="2092"/>
      <c r="H95" s="2092"/>
      <c r="I95" s="2092"/>
      <c r="J95" s="2092"/>
    </row>
    <row r="96" spans="2:10" ht="15.95" customHeight="1">
      <c r="B96" s="2092"/>
      <c r="C96" s="2092"/>
      <c r="D96" s="2092"/>
      <c r="E96" s="2092"/>
      <c r="F96" s="2092"/>
      <c r="G96" s="2092"/>
      <c r="H96" s="2092"/>
      <c r="I96" s="2092"/>
      <c r="J96" s="2092"/>
    </row>
    <row r="97" spans="2:10" ht="15.95" customHeight="1">
      <c r="B97" s="2092"/>
      <c r="C97" s="2092"/>
      <c r="D97" s="2092"/>
      <c r="E97" s="2092"/>
      <c r="F97" s="2092"/>
      <c r="G97" s="2092"/>
      <c r="H97" s="2092"/>
      <c r="I97" s="2092"/>
      <c r="J97" s="2092"/>
    </row>
    <row r="98" spans="2:10" ht="15.95" customHeight="1">
      <c r="B98" s="2092"/>
      <c r="C98" s="2092"/>
      <c r="D98" s="2092"/>
      <c r="E98" s="2092"/>
      <c r="F98" s="2092"/>
      <c r="G98" s="2092"/>
      <c r="H98" s="2092"/>
      <c r="I98" s="2092"/>
      <c r="J98" s="2092"/>
    </row>
    <row r="99" spans="2:10" ht="15.95" customHeight="1">
      <c r="B99" s="2092"/>
      <c r="C99" s="2092"/>
      <c r="D99" s="2092"/>
      <c r="E99" s="2092"/>
      <c r="F99" s="2092"/>
      <c r="G99" s="2092"/>
      <c r="H99" s="2092"/>
      <c r="I99" s="2092"/>
      <c r="J99" s="2092"/>
    </row>
    <row r="100" spans="2:10" ht="15.95" customHeight="1">
      <c r="B100" s="2092"/>
      <c r="C100" s="2092"/>
      <c r="D100" s="2092"/>
      <c r="E100" s="2092"/>
      <c r="F100" s="2092"/>
      <c r="G100" s="2092"/>
      <c r="H100" s="2092"/>
      <c r="I100" s="2092"/>
      <c r="J100" s="2092"/>
    </row>
    <row r="101" spans="2:10" ht="15.95" customHeight="1">
      <c r="B101" s="2092"/>
      <c r="C101" s="2092"/>
      <c r="D101" s="2092"/>
      <c r="E101" s="2092"/>
      <c r="F101" s="2092"/>
      <c r="G101" s="2092"/>
      <c r="H101" s="2092"/>
      <c r="I101" s="2092"/>
      <c r="J101" s="2092"/>
    </row>
    <row r="102" spans="2:10" ht="15.95" customHeight="1">
      <c r="B102" s="2092"/>
      <c r="C102" s="2092"/>
      <c r="D102" s="2092"/>
      <c r="E102" s="2092"/>
      <c r="F102" s="2092"/>
      <c r="G102" s="2092"/>
      <c r="H102" s="2092"/>
      <c r="I102" s="2092"/>
      <c r="J102" s="2092"/>
    </row>
    <row r="103" spans="2:10" ht="15.95" customHeight="1">
      <c r="B103" s="2092"/>
      <c r="C103" s="2092"/>
      <c r="D103" s="2092"/>
      <c r="E103" s="2092"/>
      <c r="F103" s="2092"/>
      <c r="G103" s="2092"/>
      <c r="H103" s="2092"/>
      <c r="I103" s="2092"/>
      <c r="J103" s="2092"/>
    </row>
    <row r="104" spans="2:10" ht="15.95" customHeight="1">
      <c r="B104" s="2092"/>
      <c r="C104" s="2092"/>
      <c r="D104" s="2092"/>
      <c r="E104" s="2092"/>
      <c r="F104" s="2092"/>
      <c r="G104" s="2092"/>
      <c r="H104" s="2092"/>
      <c r="I104" s="2092"/>
      <c r="J104" s="2092"/>
    </row>
    <row r="105" spans="2:10" ht="15.95" customHeight="1">
      <c r="B105" s="2092"/>
      <c r="C105" s="2092"/>
      <c r="D105" s="2092"/>
      <c r="E105" s="2092"/>
      <c r="F105" s="2092"/>
      <c r="G105" s="2092"/>
      <c r="H105" s="2092"/>
      <c r="I105" s="2092"/>
      <c r="J105" s="2092"/>
    </row>
    <row r="106" spans="2:10" ht="15.95" customHeight="1">
      <c r="B106" s="2092"/>
      <c r="C106" s="2092"/>
      <c r="D106" s="2092"/>
      <c r="E106" s="2092"/>
      <c r="F106" s="2092"/>
      <c r="G106" s="2092"/>
      <c r="H106" s="2092"/>
      <c r="I106" s="2092"/>
      <c r="J106" s="2092"/>
    </row>
    <row r="107" spans="2:10" ht="15.95" customHeight="1">
      <c r="B107" s="2092"/>
      <c r="C107" s="2092"/>
      <c r="D107" s="2092"/>
      <c r="E107" s="2092"/>
      <c r="F107" s="2092"/>
      <c r="G107" s="2092"/>
      <c r="H107" s="2092"/>
      <c r="I107" s="2092"/>
      <c r="J107" s="2092"/>
    </row>
    <row r="108" spans="2:10" ht="15.95" customHeight="1">
      <c r="B108" s="2092"/>
      <c r="C108" s="2092"/>
      <c r="D108" s="2092"/>
      <c r="E108" s="2092"/>
      <c r="F108" s="2092"/>
      <c r="G108" s="2092"/>
      <c r="H108" s="2092"/>
      <c r="I108" s="2092"/>
      <c r="J108" s="2092"/>
    </row>
    <row r="109" spans="2:10" ht="15.95" customHeight="1">
      <c r="B109" s="2092"/>
      <c r="C109" s="2092"/>
      <c r="D109" s="2092"/>
      <c r="E109" s="2092"/>
      <c r="F109" s="2092"/>
      <c r="G109" s="2092"/>
      <c r="H109" s="2092"/>
      <c r="I109" s="2092"/>
      <c r="J109" s="2092"/>
    </row>
    <row r="110" spans="2:10" ht="15.95" customHeight="1">
      <c r="B110" s="2092"/>
      <c r="C110" s="2092"/>
      <c r="D110" s="2092"/>
      <c r="E110" s="2092"/>
      <c r="F110" s="2092"/>
      <c r="G110" s="2092"/>
      <c r="H110" s="2092"/>
      <c r="I110" s="2092"/>
      <c r="J110" s="2092"/>
    </row>
    <row r="111" spans="2:10" ht="15.95" customHeight="1">
      <c r="B111" s="2092"/>
      <c r="C111" s="2092"/>
      <c r="D111" s="2092"/>
      <c r="E111" s="2092"/>
      <c r="F111" s="2092"/>
      <c r="G111" s="2092"/>
      <c r="H111" s="2092"/>
      <c r="I111" s="2092"/>
      <c r="J111" s="2092"/>
    </row>
    <row r="112" spans="2:10" ht="15.95" customHeight="1">
      <c r="B112" s="2092"/>
      <c r="C112" s="2092"/>
      <c r="D112" s="2092"/>
      <c r="E112" s="2092"/>
      <c r="F112" s="2092"/>
      <c r="G112" s="2092"/>
      <c r="H112" s="2092"/>
      <c r="I112" s="2092"/>
      <c r="J112" s="2092"/>
    </row>
    <row r="113" spans="2:10" ht="15.95" customHeight="1">
      <c r="B113" s="2092"/>
      <c r="C113" s="2092"/>
      <c r="D113" s="2092"/>
      <c r="E113" s="2092"/>
      <c r="F113" s="2092"/>
      <c r="G113" s="2092"/>
      <c r="H113" s="2092"/>
      <c r="I113" s="2092"/>
      <c r="J113" s="2092"/>
    </row>
    <row r="114" spans="2:10" ht="15.95" customHeight="1">
      <c r="B114" s="2092"/>
      <c r="C114" s="2092"/>
      <c r="D114" s="2092"/>
      <c r="E114" s="2092"/>
      <c r="F114" s="2092"/>
      <c r="G114" s="2092"/>
      <c r="H114" s="2092"/>
      <c r="I114" s="2092"/>
      <c r="J114" s="2092"/>
    </row>
    <row r="115" spans="2:10" ht="15.95" customHeight="1">
      <c r="B115" s="2092"/>
      <c r="C115" s="2092"/>
      <c r="D115" s="2092"/>
      <c r="E115" s="2092"/>
      <c r="F115" s="2092"/>
      <c r="G115" s="2092"/>
      <c r="H115" s="2092"/>
      <c r="I115" s="2092"/>
      <c r="J115" s="2092"/>
    </row>
    <row r="116" spans="2:10" ht="15.95" customHeight="1">
      <c r="B116" s="2092"/>
      <c r="C116" s="2092"/>
      <c r="D116" s="2092"/>
      <c r="E116" s="2092"/>
      <c r="F116" s="2092"/>
      <c r="G116" s="2092"/>
      <c r="H116" s="2092"/>
      <c r="I116" s="2092"/>
      <c r="J116" s="2092"/>
    </row>
    <row r="117" spans="2:10" ht="15.95" customHeight="1">
      <c r="B117" s="2092"/>
      <c r="C117" s="2092"/>
      <c r="D117" s="2092"/>
      <c r="E117" s="2092"/>
      <c r="F117" s="2092"/>
      <c r="G117" s="2092"/>
      <c r="H117" s="2092"/>
      <c r="I117" s="2092"/>
      <c r="J117" s="2092"/>
    </row>
    <row r="118" spans="2:10" ht="15.95" customHeight="1">
      <c r="B118" s="2092"/>
      <c r="C118" s="2092"/>
      <c r="D118" s="2092"/>
      <c r="E118" s="2092"/>
      <c r="F118" s="2092"/>
      <c r="G118" s="2092"/>
      <c r="H118" s="2092"/>
      <c r="I118" s="2092"/>
      <c r="J118" s="2092"/>
    </row>
    <row r="119" spans="2:10" ht="15.95" customHeight="1">
      <c r="B119" s="2092"/>
      <c r="C119" s="2092"/>
      <c r="D119" s="2092"/>
      <c r="E119" s="2092"/>
      <c r="F119" s="2092"/>
      <c r="G119" s="2092"/>
      <c r="H119" s="2092"/>
      <c r="I119" s="2092"/>
      <c r="J119" s="2092"/>
    </row>
    <row r="120" spans="2:10" ht="15.95" customHeight="1">
      <c r="B120" s="2092"/>
      <c r="C120" s="2092"/>
      <c r="D120" s="2092"/>
      <c r="E120" s="2092"/>
      <c r="F120" s="2092"/>
      <c r="G120" s="2092"/>
      <c r="H120" s="2092"/>
      <c r="I120" s="2092"/>
      <c r="J120" s="2092"/>
    </row>
    <row r="121" spans="2:10" ht="15.95" customHeight="1">
      <c r="B121" s="2092"/>
      <c r="C121" s="2092"/>
      <c r="D121" s="2092"/>
      <c r="E121" s="2092"/>
      <c r="F121" s="2092"/>
      <c r="G121" s="2092"/>
      <c r="H121" s="2092"/>
      <c r="I121" s="2092"/>
      <c r="J121" s="2092"/>
    </row>
    <row r="122" spans="2:10" ht="15.95" customHeight="1">
      <c r="B122" s="2092"/>
      <c r="C122" s="2092"/>
      <c r="D122" s="2092"/>
      <c r="E122" s="2092"/>
      <c r="F122" s="2092"/>
      <c r="G122" s="2092"/>
      <c r="H122" s="2092"/>
      <c r="I122" s="2092"/>
      <c r="J122" s="2092"/>
    </row>
    <row r="123" spans="2:10" ht="15.95" customHeight="1">
      <c r="B123" s="2092"/>
      <c r="C123" s="2092"/>
      <c r="D123" s="2092"/>
      <c r="E123" s="2092"/>
      <c r="F123" s="2092"/>
      <c r="G123" s="2092"/>
      <c r="H123" s="2092"/>
      <c r="I123" s="2092"/>
      <c r="J123" s="2092"/>
    </row>
    <row r="124" spans="2:10" ht="15.95" customHeight="1">
      <c r="B124" s="2092"/>
      <c r="C124" s="2092"/>
      <c r="D124" s="2092"/>
      <c r="E124" s="2092"/>
      <c r="F124" s="2092"/>
      <c r="G124" s="2092"/>
      <c r="H124" s="2092"/>
      <c r="I124" s="2092"/>
      <c r="J124" s="2092"/>
    </row>
    <row r="125" spans="2:10" ht="15.95" customHeight="1">
      <c r="B125" s="2092"/>
      <c r="C125" s="2092"/>
      <c r="D125" s="2092"/>
      <c r="E125" s="2092"/>
      <c r="F125" s="2092"/>
      <c r="G125" s="2092"/>
      <c r="H125" s="2092"/>
      <c r="I125" s="2092"/>
      <c r="J125" s="2092"/>
    </row>
    <row r="126" spans="2:10" ht="15.95" customHeight="1">
      <c r="B126" s="2092"/>
      <c r="C126" s="2092"/>
      <c r="D126" s="2092"/>
      <c r="E126" s="2092"/>
      <c r="F126" s="2092"/>
      <c r="G126" s="2092"/>
      <c r="H126" s="2092"/>
      <c r="I126" s="2092"/>
      <c r="J126" s="2092"/>
    </row>
    <row r="127" spans="2:10" ht="15.95" customHeight="1">
      <c r="B127" s="2092"/>
      <c r="C127" s="2092"/>
      <c r="D127" s="2092"/>
      <c r="E127" s="2092"/>
      <c r="F127" s="2092"/>
      <c r="G127" s="2092"/>
      <c r="H127" s="2092"/>
      <c r="I127" s="2092"/>
      <c r="J127" s="2092"/>
    </row>
    <row r="128" spans="2:10" ht="15.95" customHeight="1">
      <c r="B128" s="2092"/>
      <c r="C128" s="2092"/>
      <c r="D128" s="2092"/>
      <c r="E128" s="2092"/>
      <c r="F128" s="2092"/>
      <c r="G128" s="2092"/>
      <c r="H128" s="2092"/>
      <c r="I128" s="2092"/>
      <c r="J128" s="2092"/>
    </row>
    <row r="129" spans="2:10" ht="15.95" customHeight="1">
      <c r="B129" s="2092"/>
      <c r="C129" s="2092"/>
      <c r="D129" s="2092"/>
      <c r="E129" s="2092"/>
      <c r="F129" s="2092"/>
      <c r="G129" s="2092"/>
      <c r="H129" s="2092"/>
      <c r="I129" s="2092"/>
      <c r="J129" s="2092"/>
    </row>
    <row r="130" spans="2:10" ht="15.95" customHeight="1">
      <c r="B130" s="2092"/>
      <c r="C130" s="2092"/>
      <c r="D130" s="2092"/>
      <c r="E130" s="2092"/>
      <c r="F130" s="2092"/>
      <c r="G130" s="2092"/>
      <c r="H130" s="2092"/>
      <c r="I130" s="2092"/>
      <c r="J130" s="2092"/>
    </row>
    <row r="131" spans="2:10" ht="15.95" customHeight="1">
      <c r="B131" s="2092"/>
      <c r="C131" s="2092"/>
      <c r="D131" s="2092"/>
      <c r="E131" s="2092"/>
      <c r="F131" s="2092"/>
      <c r="G131" s="2092"/>
      <c r="H131" s="2092"/>
      <c r="I131" s="2092"/>
      <c r="J131" s="2092"/>
    </row>
    <row r="132" spans="2:10" ht="15.95" customHeight="1">
      <c r="B132" s="2092"/>
      <c r="C132" s="2092"/>
      <c r="D132" s="2092"/>
      <c r="E132" s="2092"/>
      <c r="F132" s="2092"/>
      <c r="G132" s="2092"/>
      <c r="H132" s="2092"/>
      <c r="I132" s="2092"/>
      <c r="J132" s="2092"/>
    </row>
    <row r="133" spans="2:10" ht="15.95" customHeight="1">
      <c r="B133" s="2092"/>
      <c r="C133" s="2092"/>
      <c r="D133" s="2092"/>
      <c r="E133" s="2092"/>
      <c r="F133" s="2092"/>
      <c r="G133" s="2092"/>
      <c r="H133" s="2092"/>
      <c r="I133" s="2092"/>
      <c r="J133" s="2092"/>
    </row>
    <row r="134" spans="2:10" ht="15.95" customHeight="1">
      <c r="B134" s="2092"/>
      <c r="C134" s="2092"/>
      <c r="D134" s="2092"/>
      <c r="E134" s="2092"/>
      <c r="F134" s="2092"/>
      <c r="G134" s="2092"/>
      <c r="H134" s="2092"/>
      <c r="I134" s="2092"/>
      <c r="J134" s="2092"/>
    </row>
    <row r="135" spans="2:10" ht="15.95" customHeight="1">
      <c r="B135" s="2092"/>
      <c r="C135" s="2092"/>
      <c r="D135" s="2092"/>
      <c r="E135" s="2092"/>
      <c r="F135" s="2092"/>
      <c r="G135" s="2092"/>
      <c r="H135" s="2092"/>
      <c r="I135" s="2092"/>
      <c r="J135" s="2092"/>
    </row>
    <row r="136" spans="2:10" ht="15.95" customHeight="1">
      <c r="B136" s="2092"/>
      <c r="C136" s="2092"/>
      <c r="D136" s="2092"/>
      <c r="E136" s="2092"/>
      <c r="F136" s="2092"/>
      <c r="G136" s="2092"/>
      <c r="H136" s="2092"/>
      <c r="I136" s="2092"/>
      <c r="J136" s="2092"/>
    </row>
    <row r="137" spans="2:10" ht="15.95" customHeight="1">
      <c r="B137" s="2092"/>
      <c r="C137" s="2092"/>
      <c r="D137" s="2092"/>
      <c r="E137" s="2092"/>
      <c r="F137" s="2092"/>
      <c r="G137" s="2092"/>
      <c r="H137" s="2092"/>
      <c r="I137" s="2092"/>
      <c r="J137" s="2092"/>
    </row>
    <row r="138" spans="2:10" ht="15.95" customHeight="1">
      <c r="B138" s="2092"/>
      <c r="C138" s="2092"/>
      <c r="D138" s="2092"/>
      <c r="E138" s="2092"/>
      <c r="F138" s="2092"/>
      <c r="G138" s="2092"/>
      <c r="H138" s="2092"/>
      <c r="I138" s="2092"/>
      <c r="J138" s="2092"/>
    </row>
    <row r="139" spans="2:10" ht="15.95" customHeight="1">
      <c r="B139" s="2092"/>
      <c r="C139" s="2092"/>
      <c r="D139" s="2092"/>
      <c r="E139" s="2092"/>
      <c r="F139" s="2092"/>
      <c r="G139" s="2092"/>
      <c r="H139" s="2092"/>
      <c r="I139" s="2092"/>
      <c r="J139" s="2092"/>
    </row>
    <row r="140" spans="2:10" ht="15.95" customHeight="1">
      <c r="B140" s="2092"/>
      <c r="C140" s="2092"/>
      <c r="D140" s="2092"/>
      <c r="E140" s="2092"/>
      <c r="F140" s="2092"/>
      <c r="G140" s="2092"/>
      <c r="H140" s="2092"/>
      <c r="I140" s="2092"/>
      <c r="J140" s="2092"/>
    </row>
    <row r="141" spans="2:10" ht="15.95" customHeight="1">
      <c r="B141" s="2092"/>
      <c r="C141" s="2092"/>
      <c r="D141" s="2092"/>
      <c r="E141" s="2092"/>
      <c r="F141" s="2092"/>
      <c r="G141" s="2092"/>
      <c r="H141" s="2092"/>
      <c r="I141" s="2092"/>
      <c r="J141" s="2092"/>
    </row>
    <row r="142" spans="2:10" ht="15.95" customHeight="1">
      <c r="B142" s="2092"/>
      <c r="C142" s="2092"/>
      <c r="D142" s="2092"/>
      <c r="E142" s="2092"/>
      <c r="F142" s="2092"/>
      <c r="G142" s="2092"/>
      <c r="H142" s="2092"/>
      <c r="I142" s="2092"/>
      <c r="J142" s="2092"/>
    </row>
    <row r="143" spans="2:10" ht="15.95" customHeight="1">
      <c r="B143" s="2092"/>
      <c r="C143" s="2092"/>
      <c r="D143" s="2092"/>
      <c r="E143" s="2092"/>
      <c r="F143" s="2092"/>
      <c r="G143" s="2092"/>
      <c r="H143" s="2092"/>
      <c r="I143" s="2092"/>
      <c r="J143" s="2092"/>
    </row>
    <row r="144" spans="2:10" ht="15.95" customHeight="1">
      <c r="B144" s="2092"/>
      <c r="C144" s="2092"/>
      <c r="D144" s="2092"/>
      <c r="E144" s="2092"/>
      <c r="F144" s="2092"/>
      <c r="G144" s="2092"/>
      <c r="H144" s="2092"/>
      <c r="I144" s="2092"/>
      <c r="J144" s="2092"/>
    </row>
    <row r="145" spans="2:10" ht="15.95" customHeight="1">
      <c r="B145" s="2092"/>
      <c r="C145" s="2092"/>
      <c r="D145" s="2092"/>
      <c r="E145" s="2092"/>
      <c r="F145" s="2092"/>
      <c r="G145" s="2092"/>
      <c r="H145" s="2092"/>
      <c r="I145" s="2092"/>
      <c r="J145" s="2092"/>
    </row>
    <row r="146" spans="2:10" ht="15.95" customHeight="1">
      <c r="B146" s="2092"/>
      <c r="C146" s="2092"/>
      <c r="D146" s="2092"/>
      <c r="E146" s="2092"/>
      <c r="F146" s="2092"/>
      <c r="G146" s="2092"/>
      <c r="H146" s="2092"/>
      <c r="I146" s="2092"/>
      <c r="J146" s="2092"/>
    </row>
    <row r="147" spans="2:10" ht="15.95" customHeight="1">
      <c r="B147" s="2092"/>
      <c r="C147" s="2092"/>
      <c r="D147" s="2092"/>
      <c r="E147" s="2092"/>
      <c r="F147" s="2092"/>
      <c r="G147" s="2092"/>
      <c r="H147" s="2092"/>
      <c r="I147" s="2092"/>
      <c r="J147" s="2092"/>
    </row>
    <row r="148" spans="2:10" ht="15.95" customHeight="1">
      <c r="B148" s="2092"/>
      <c r="C148" s="2092"/>
      <c r="D148" s="2092"/>
      <c r="E148" s="2092"/>
      <c r="F148" s="2092"/>
      <c r="G148" s="2092"/>
      <c r="H148" s="2092"/>
      <c r="I148" s="2092"/>
      <c r="J148" s="2092"/>
    </row>
    <row r="149" spans="2:10" ht="15.95" customHeight="1">
      <c r="B149" s="2092"/>
      <c r="C149" s="2092"/>
      <c r="D149" s="2092"/>
      <c r="E149" s="2092"/>
      <c r="F149" s="2092"/>
      <c r="G149" s="2092"/>
      <c r="H149" s="2092"/>
      <c r="I149" s="2092"/>
      <c r="J149" s="2092"/>
    </row>
    <row r="150" spans="2:10" ht="15.95" customHeight="1">
      <c r="B150" s="2092"/>
      <c r="C150" s="2092"/>
      <c r="D150" s="2092"/>
      <c r="E150" s="2092"/>
      <c r="F150" s="2092"/>
      <c r="G150" s="2092"/>
      <c r="H150" s="2092"/>
      <c r="I150" s="2092"/>
      <c r="J150" s="2092"/>
    </row>
    <row r="151" spans="2:10" ht="15.95" customHeight="1">
      <c r="B151" s="2092"/>
      <c r="C151" s="2092"/>
      <c r="D151" s="2092"/>
      <c r="E151" s="2092"/>
      <c r="F151" s="2092"/>
      <c r="G151" s="2092"/>
      <c r="H151" s="2092"/>
      <c r="I151" s="2092"/>
      <c r="J151" s="2092"/>
    </row>
    <row r="152" spans="2:10" ht="15.95" customHeight="1">
      <c r="B152" s="2092"/>
      <c r="C152" s="2092"/>
      <c r="D152" s="2092"/>
      <c r="E152" s="2092"/>
      <c r="F152" s="2092"/>
      <c r="G152" s="2092"/>
      <c r="H152" s="2092"/>
      <c r="I152" s="2092"/>
      <c r="J152" s="2092"/>
    </row>
    <row r="153" spans="2:10" ht="15.95" customHeight="1">
      <c r="B153" s="2092"/>
      <c r="C153" s="2092"/>
      <c r="D153" s="2092"/>
      <c r="E153" s="2092"/>
      <c r="F153" s="2092"/>
      <c r="G153" s="2092"/>
      <c r="H153" s="2092"/>
      <c r="I153" s="2092"/>
      <c r="J153" s="2092"/>
    </row>
    <row r="154" spans="2:10" ht="15.95" customHeight="1">
      <c r="B154" s="2092"/>
      <c r="C154" s="2092"/>
      <c r="D154" s="2092"/>
      <c r="E154" s="2092"/>
      <c r="F154" s="2092"/>
      <c r="G154" s="2092"/>
      <c r="H154" s="2092"/>
      <c r="I154" s="2092"/>
      <c r="J154" s="2092"/>
    </row>
    <row r="155" spans="2:10" ht="15.95" customHeight="1">
      <c r="B155" s="2092"/>
      <c r="C155" s="2092"/>
      <c r="D155" s="2092"/>
      <c r="E155" s="2092"/>
      <c r="F155" s="2092"/>
      <c r="G155" s="2092"/>
      <c r="H155" s="2092"/>
      <c r="I155" s="2092"/>
      <c r="J155" s="2092"/>
    </row>
    <row r="156" spans="2:10" ht="15.95" customHeight="1">
      <c r="B156" s="2092"/>
      <c r="C156" s="2092"/>
      <c r="D156" s="2092"/>
      <c r="E156" s="2092"/>
      <c r="F156" s="2092"/>
      <c r="G156" s="2092"/>
      <c r="H156" s="2092"/>
      <c r="I156" s="2092"/>
      <c r="J156" s="2092"/>
    </row>
    <row r="157" spans="2:10" ht="15.95" customHeight="1">
      <c r="B157" s="2092"/>
      <c r="C157" s="2092"/>
      <c r="D157" s="2092"/>
      <c r="E157" s="2092"/>
      <c r="F157" s="2092"/>
      <c r="G157" s="2092"/>
      <c r="H157" s="2092"/>
      <c r="I157" s="2092"/>
      <c r="J157" s="2092"/>
    </row>
    <row r="158" spans="2:10" ht="15.95" customHeight="1">
      <c r="B158" s="2092"/>
      <c r="C158" s="2092"/>
      <c r="D158" s="2092"/>
      <c r="E158" s="2092"/>
      <c r="F158" s="2092"/>
      <c r="G158" s="2092"/>
      <c r="H158" s="2092"/>
      <c r="I158" s="2092"/>
      <c r="J158" s="2092"/>
    </row>
    <row r="159" spans="2:10" ht="15.95" customHeight="1">
      <c r="B159" s="2092"/>
      <c r="C159" s="2092"/>
      <c r="D159" s="2092"/>
      <c r="E159" s="2092"/>
      <c r="F159" s="2092"/>
      <c r="G159" s="2092"/>
      <c r="H159" s="2092"/>
      <c r="I159" s="2092"/>
      <c r="J159" s="2092"/>
    </row>
    <row r="160" spans="2:10" ht="15.95" customHeight="1">
      <c r="B160" s="2092"/>
      <c r="C160" s="2092"/>
      <c r="D160" s="2092"/>
      <c r="E160" s="2092"/>
      <c r="F160" s="2092"/>
      <c r="G160" s="2092"/>
      <c r="H160" s="2092"/>
      <c r="I160" s="2092"/>
      <c r="J160" s="2092"/>
    </row>
    <row r="161" spans="2:10" ht="15.95" customHeight="1">
      <c r="B161" s="2092"/>
      <c r="C161" s="2092"/>
      <c r="D161" s="2092"/>
      <c r="E161" s="2092"/>
      <c r="F161" s="2092"/>
      <c r="G161" s="2092"/>
      <c r="H161" s="2092"/>
      <c r="I161" s="2092"/>
      <c r="J161" s="2092"/>
    </row>
    <row r="162" spans="2:10" ht="15.95" customHeight="1">
      <c r="B162" s="2092"/>
      <c r="C162" s="2092"/>
      <c r="D162" s="2092"/>
      <c r="E162" s="2092"/>
      <c r="F162" s="2092"/>
      <c r="G162" s="2092"/>
      <c r="H162" s="2092"/>
      <c r="I162" s="2092"/>
      <c r="J162" s="2092"/>
    </row>
    <row r="163" spans="2:10" ht="15.95" customHeight="1">
      <c r="B163" s="2092"/>
      <c r="C163" s="2092"/>
      <c r="D163" s="2092"/>
      <c r="E163" s="2092"/>
      <c r="F163" s="2092"/>
      <c r="G163" s="2092"/>
      <c r="H163" s="2092"/>
      <c r="I163" s="2092"/>
      <c r="J163" s="2092"/>
    </row>
    <row r="164" spans="2:10" ht="15.95" customHeight="1">
      <c r="B164" s="2092"/>
      <c r="C164" s="2092"/>
      <c r="D164" s="2092"/>
      <c r="E164" s="2092"/>
      <c r="F164" s="2092"/>
      <c r="G164" s="2092"/>
      <c r="H164" s="2092"/>
      <c r="I164" s="2092"/>
      <c r="J164" s="2092"/>
    </row>
    <row r="165" spans="2:10" ht="15.95" customHeight="1"/>
    <row r="166" spans="2:10" ht="15.95" customHeight="1"/>
    <row r="167" spans="2:10" ht="15.95" customHeight="1"/>
    <row r="168" spans="2:10" ht="15.95" customHeight="1"/>
    <row r="169" spans="2:10" ht="15.95" customHeight="1"/>
    <row r="170" spans="2:10" ht="15.95" customHeight="1"/>
    <row r="171" spans="2:10" ht="15.95" customHeight="1"/>
    <row r="172" spans="2:10" ht="15.95" customHeight="1"/>
    <row r="173" spans="2:10" ht="15.95" customHeight="1"/>
    <row r="174" spans="2:10" ht="15.95" customHeight="1"/>
    <row r="175" spans="2:10" ht="15.95" customHeight="1"/>
    <row r="176" spans="2:10" ht="15.95" customHeight="1"/>
    <row r="177" ht="15.95" customHeight="1"/>
    <row r="178" ht="15.95" customHeight="1"/>
    <row r="179" ht="15.95" customHeight="1"/>
    <row r="180" ht="15.95" customHeight="1"/>
    <row r="181" ht="15.95" customHeight="1"/>
    <row r="182" ht="15.95" customHeight="1"/>
    <row r="183" ht="15.95" customHeight="1"/>
    <row r="184" ht="15.95" customHeight="1"/>
    <row r="185" ht="15.95" customHeight="1"/>
    <row r="186" ht="15.95" customHeight="1"/>
    <row r="187" ht="15.95" customHeight="1"/>
    <row r="188" ht="15.95" customHeight="1"/>
    <row r="189" ht="15.95" customHeight="1"/>
    <row r="190" ht="15.95" customHeight="1"/>
    <row r="191" ht="15.95" customHeight="1"/>
    <row r="192" ht="15.95" customHeight="1"/>
    <row r="193" ht="15.95" customHeight="1"/>
    <row r="194" ht="15.95" customHeight="1"/>
    <row r="195" ht="15.95" customHeight="1"/>
    <row r="196" ht="15.95" customHeight="1"/>
    <row r="197" ht="15.95" customHeight="1"/>
    <row r="198" ht="15.95" customHeight="1"/>
    <row r="199" ht="15.95" customHeight="1"/>
    <row r="200" ht="15.95" customHeight="1"/>
    <row r="201" ht="15.95" customHeight="1"/>
    <row r="202" ht="15.95" customHeight="1"/>
    <row r="203" ht="15.95" customHeight="1"/>
    <row r="204" ht="15.95" customHeight="1"/>
    <row r="205" ht="15.95" customHeight="1"/>
    <row r="206" ht="15.95" customHeight="1"/>
    <row r="207" ht="15.95" customHeight="1"/>
    <row r="208" ht="15.95" customHeight="1"/>
    <row r="209" ht="15.95" customHeight="1"/>
    <row r="210" ht="15.95" customHeight="1"/>
    <row r="211" ht="15.95" customHeight="1"/>
    <row r="212" ht="15.95" customHeight="1"/>
    <row r="213" ht="15.95" customHeight="1"/>
    <row r="214" ht="15.95" customHeight="1"/>
    <row r="215" ht="15.95" customHeight="1"/>
    <row r="216" ht="15.95" customHeight="1"/>
    <row r="217" ht="15.95" customHeight="1"/>
    <row r="218" ht="15.95" customHeight="1"/>
    <row r="219" ht="15.95" customHeight="1"/>
    <row r="220" ht="15.95" customHeight="1"/>
    <row r="221" ht="15.95" customHeight="1"/>
    <row r="222" ht="15.95" customHeight="1"/>
    <row r="223" ht="15.95" customHeight="1"/>
    <row r="224" ht="15.95" customHeight="1"/>
    <row r="225" ht="15.95" customHeight="1"/>
    <row r="226" ht="15.95" customHeight="1"/>
    <row r="227" ht="15.95" customHeight="1"/>
    <row r="228" ht="15.95" customHeight="1"/>
    <row r="229" ht="15.95" customHeight="1"/>
    <row r="230" ht="15.95" customHeight="1"/>
    <row r="231" ht="15.95" customHeight="1"/>
    <row r="232" ht="15.95" customHeight="1"/>
    <row r="233" ht="15.95" customHeight="1"/>
    <row r="234" ht="15.95" customHeight="1"/>
    <row r="235" ht="15.95" customHeight="1"/>
    <row r="236" ht="15.95" customHeight="1"/>
    <row r="237" ht="15.95" customHeight="1"/>
    <row r="238" ht="15.95" customHeight="1"/>
    <row r="239" ht="15.95" customHeight="1"/>
    <row r="240" ht="15.95" customHeight="1"/>
    <row r="241" ht="15.95" customHeight="1"/>
    <row r="242" ht="15.95" customHeight="1"/>
    <row r="243" ht="15.95" customHeight="1"/>
    <row r="244" ht="15.95" customHeight="1"/>
    <row r="245" ht="15.95" customHeight="1"/>
    <row r="246" ht="15.95" customHeight="1"/>
    <row r="247" ht="15.95" customHeight="1"/>
    <row r="248" ht="15.95" customHeight="1"/>
  </sheetData>
  <sheetProtection sheet="1" objects="1" scenarios="1" formatCells="0" formatColumns="0" formatRows="0" insertColumns="0" insertRows="0" insertHyperlinks="0"/>
  <mergeCells count="4">
    <mergeCell ref="C8:J8"/>
    <mergeCell ref="C10:J10"/>
    <mergeCell ref="C3:D3"/>
    <mergeCell ref="C4:D4"/>
  </mergeCells>
  <conditionalFormatting sqref="I4:I5">
    <cfRule type="cellIs" dxfId="735" priority="2" operator="equal">
      <formula>"Partner Approved"</formula>
    </cfRule>
    <cfRule type="cellIs" dxfId="734" priority="3" operator="equal">
      <formula>"Reviewed"</formula>
    </cfRule>
    <cfRule type="cellIs" dxfId="733" priority="4" operator="equal">
      <formula>"Rework Complete"</formula>
    </cfRule>
    <cfRule type="cellIs" dxfId="732" priority="5" operator="equal">
      <formula>"Client Query"</formula>
    </cfRule>
    <cfRule type="cellIs" dxfId="731" priority="6" operator="equal">
      <formula>"Started"</formula>
    </cfRule>
    <cfRule type="cellIs" dxfId="730" priority="7" operator="equal">
      <formula>"Ready for Review"</formula>
    </cfRule>
    <cfRule type="cellIs" dxfId="729" priority="8" operator="equal">
      <formula>"Rework Required"</formula>
    </cfRule>
    <cfRule type="cellIs" dxfId="728" priority="9" operator="equal">
      <formula>"Complete"</formula>
    </cfRule>
  </conditionalFormatting>
  <hyperlinks>
    <hyperlink ref="J3" location="'Z01 Blank'!Go_Index" tooltip="Go to Record" display="Show Record" xr:uid="{6C20496C-1D57-4744-9666-3570349C9B1C}"/>
  </hyperlinks>
  <printOptions horizontalCentered="1"/>
  <pageMargins left="0.39370078740157483" right="0.39370078740157483" top="0.39370078740157483" bottom="0.39370078740157483" header="0" footer="0"/>
  <pageSetup paperSize="9" scale="76" orientation="portrait" r:id="rId1"/>
  <headerFooter alignWithMargins="0">
    <oddFooter>&amp;L&amp;F
Copyright © 2003-Present Business Fitness Pty Ltd&amp;R&amp;A &amp;P</oddFooter>
  </headerFooter>
  <customProperties>
    <customPr name="SheetId" r:id="rId2"/>
    <customPr name="SheetName" r:id="rId3"/>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3828-2D53-44EF-B4C8-FC202C1F3F81}">
  <sheetPr>
    <tabColor theme="0" tint="-0.14999847407452621"/>
    <pageSetUpPr fitToPage="1"/>
  </sheetPr>
  <dimension ref="A1:W85"/>
  <sheetViews>
    <sheetView showGridLines="0" topLeftCell="A2" zoomScaleNormal="100" workbookViewId="0">
      <selection activeCell="A2" sqref="A2"/>
    </sheetView>
  </sheetViews>
  <sheetFormatPr defaultColWidth="9.140625" defaultRowHeight="15"/>
  <cols>
    <col min="1" max="1" width="4.28515625" style="1815" customWidth="1"/>
    <col min="2" max="2" width="1.42578125" style="1815" customWidth="1"/>
    <col min="3" max="3" width="42.7109375" style="1815" customWidth="1"/>
    <col min="4" max="4" width="5.7109375" style="1815" customWidth="1"/>
    <col min="5" max="5" width="7.140625" style="1815" hidden="1" customWidth="1"/>
    <col min="6" max="12" width="16.140625" style="1815" customWidth="1"/>
    <col min="13" max="13" width="1.42578125" style="1815" customWidth="1"/>
    <col min="14" max="14" width="4.28515625" style="1815" customWidth="1"/>
    <col min="15" max="16" width="15.7109375" style="2036" customWidth="1"/>
    <col min="17" max="22" width="9.140625" style="1815"/>
    <col min="23" max="23" width="9.140625" style="1815" hidden="1" customWidth="1"/>
    <col min="24" max="16384" width="9.140625" style="1815"/>
  </cols>
  <sheetData>
    <row r="1" spans="1:23" hidden="1">
      <c r="C1" s="1996" t="s">
        <v>181</v>
      </c>
      <c r="D1" s="1815" t="s">
        <v>2075</v>
      </c>
      <c r="H1" s="2034"/>
      <c r="W1" s="2090" t="s">
        <v>176</v>
      </c>
    </row>
    <row r="2" spans="1:23" ht="7.5" customHeight="1"/>
    <row r="3" spans="1:23" ht="24.95" customHeight="1">
      <c r="C3" s="561" t="s">
        <v>2074</v>
      </c>
      <c r="I3" s="414"/>
      <c r="J3" s="414"/>
      <c r="K3" s="414"/>
      <c r="L3" s="2091" t="s">
        <v>174</v>
      </c>
      <c r="O3" s="1993" t="s">
        <v>179</v>
      </c>
      <c r="P3" s="2089" t="s">
        <v>318</v>
      </c>
    </row>
    <row r="4" spans="1:23" ht="24.95" customHeight="1">
      <c r="C4" s="2088" t="str">
        <f>_xlfn.TEXTJOIN(" ",1,IFERROR(_xlfn.SINGLE(Cl_Name),"Client Name"),IF(IFERROR(_xlfn.SINGLE(Cl_Code),"")="","","("&amp;_xlfn.SINGLE(Cl_Code)&amp;")"))</f>
        <v>Springrange Holdings Pty Ltd (MuM001)</v>
      </c>
      <c r="I4" s="2086"/>
      <c r="J4" s="1371"/>
      <c r="K4" s="1371"/>
      <c r="L4" s="1808"/>
    </row>
    <row r="5" spans="1:23" ht="24.95" customHeight="1">
      <c r="B5" s="561"/>
      <c r="C5" s="2087">
        <f>IFERROR(_xlfn.SINGLE(PeriodEndDate),DATE(1901,3,31))</f>
        <v>45473</v>
      </c>
      <c r="I5" s="2086"/>
      <c r="J5" s="1371"/>
      <c r="K5" s="1371"/>
      <c r="L5" s="1808"/>
    </row>
    <row r="6" spans="1:23" ht="7.5" customHeight="1">
      <c r="B6" s="411"/>
      <c r="C6" s="1832"/>
      <c r="D6" s="1832"/>
      <c r="E6" s="1832"/>
      <c r="F6" s="1832"/>
      <c r="G6" s="1832"/>
      <c r="H6" s="1832"/>
      <c r="I6" s="1832"/>
      <c r="J6" s="1832"/>
      <c r="K6" s="1832"/>
      <c r="L6" s="1832"/>
      <c r="M6" s="1832"/>
    </row>
    <row r="7" spans="1:23" ht="7.5" customHeight="1"/>
    <row r="8" spans="1:23" ht="17.25" customHeight="1">
      <c r="A8" s="1834"/>
      <c r="C8" s="1498" t="s">
        <v>2073</v>
      </c>
      <c r="D8" s="1498"/>
      <c r="E8" s="1498"/>
      <c r="F8" s="1498"/>
      <c r="G8" s="1498"/>
      <c r="H8" s="1498"/>
      <c r="I8" s="1498"/>
      <c r="J8" s="1498"/>
      <c r="K8" s="1498"/>
      <c r="L8" s="1498"/>
      <c r="M8" s="2085"/>
    </row>
    <row r="9" spans="1:23" ht="17.25" customHeight="1">
      <c r="A9" s="1834"/>
      <c r="C9" s="1669" t="s">
        <v>2072</v>
      </c>
      <c r="D9" s="1669"/>
      <c r="E9" s="1669"/>
      <c r="F9" s="1669"/>
      <c r="G9" s="1669"/>
      <c r="H9" s="1669"/>
      <c r="I9" s="1669"/>
      <c r="J9" s="1669"/>
      <c r="K9" s="1669"/>
      <c r="L9" s="1669"/>
      <c r="M9" s="2085"/>
    </row>
    <row r="10" spans="1:23" ht="24.95" customHeight="1">
      <c r="A10" s="1834"/>
    </row>
    <row r="11" spans="1:23" ht="22.5" customHeight="1">
      <c r="A11" s="1834"/>
      <c r="B11" s="2063" t="s">
        <v>1351</v>
      </c>
      <c r="C11" s="2062"/>
      <c r="D11" s="2061"/>
      <c r="E11" s="2060"/>
    </row>
    <row r="12" spans="1:23" ht="7.5" customHeight="1">
      <c r="A12" s="1834"/>
      <c r="B12" s="1822"/>
      <c r="F12" s="1827"/>
      <c r="G12" s="1827"/>
      <c r="H12" s="1827"/>
      <c r="I12" s="1827"/>
      <c r="J12" s="1827"/>
      <c r="K12" s="1827"/>
      <c r="L12" s="1827"/>
      <c r="M12" s="1933"/>
      <c r="O12" s="2082"/>
    </row>
    <row r="13" spans="1:23" ht="22.5" customHeight="1">
      <c r="A13" s="1834"/>
      <c r="B13" s="1822"/>
      <c r="H13" s="2084" t="s">
        <v>2071</v>
      </c>
      <c r="I13" s="2083">
        <v>1</v>
      </c>
      <c r="K13" s="1474" t="s">
        <v>2070</v>
      </c>
      <c r="L13" s="1475"/>
      <c r="M13" s="1821"/>
      <c r="O13" s="2082"/>
    </row>
    <row r="14" spans="1:23" ht="7.5" customHeight="1">
      <c r="A14" s="1834"/>
      <c r="B14" s="1822"/>
      <c r="M14" s="1821"/>
      <c r="O14" s="2082"/>
    </row>
    <row r="15" spans="1:23" ht="39" customHeight="1">
      <c r="A15" s="1834"/>
      <c r="B15" s="1822"/>
      <c r="C15" s="340" t="s">
        <v>2069</v>
      </c>
      <c r="D15" s="339" t="s">
        <v>2068</v>
      </c>
      <c r="E15" s="339"/>
      <c r="F15" s="339" t="s">
        <v>399</v>
      </c>
      <c r="G15" s="339" t="s">
        <v>2067</v>
      </c>
      <c r="H15" s="339" t="s">
        <v>2066</v>
      </c>
      <c r="I15" s="339" t="s">
        <v>390</v>
      </c>
      <c r="J15" s="339" t="s">
        <v>1945</v>
      </c>
      <c r="K15" s="339" t="s">
        <v>2065</v>
      </c>
      <c r="L15" s="338" t="s">
        <v>2064</v>
      </c>
      <c r="M15" s="1821"/>
      <c r="O15" s="1412" t="s">
        <v>409</v>
      </c>
      <c r="P15" s="1413"/>
    </row>
    <row r="16" spans="1:23" ht="7.5" customHeight="1">
      <c r="B16" s="1822"/>
      <c r="M16" s="1821"/>
    </row>
    <row r="17" spans="2:23" s="1837" customFormat="1" ht="17.25" customHeight="1">
      <c r="B17" s="2081"/>
      <c r="C17" s="2080" cm="1">
        <f t="array" aca="1" ref="C17" ca="1">IFERROR(_xlfn.UNIQUE(_xlfn._xlws.FILTER(INDIRECT("HNSW_Summary!$A:$A"),ISNUMBER(SEARCH("*H11",INDIRECT("HNSW_Summary!$B:$B")))+ISNUMBER(SEARCH("*H13",INDIRECT("HNSW_Summary!$B:$B"))))),"...")</f>
        <v>0</v>
      </c>
      <c r="D17" s="2079" t="str">
        <f ca="1">IF(C17=E17, HYPERLINK("#'" &amp; VLOOKUP(C17,INDIRECT("HNSW_Summary!$A:$B"),2,0) &amp; "'!A1", "}"), "}")</f>
        <v>}</v>
      </c>
      <c r="E17" s="2078">
        <f ca="1">VLOOKUP(C17,INDIRECT("HNSW_Summary!$A:$B"),1,0)</f>
        <v>0</v>
      </c>
      <c r="F17" s="2077">
        <f ca="1">SUMIF(INDIRECT("HNSW_Summary!A:A"),C17,INDEX(INDIRECT("HNSW_Summary!A:Z"),0,MATCH("Interest",INDIRECT("HNSW_Summary!1:1"),0)))</f>
        <v>0</v>
      </c>
      <c r="G17" s="2077">
        <f ca="1">SUMIF(INDIRECT("HNSW_Summary!A:A"),C17,INDEX(INDIRECT("HNSW_Summary!A:Z"),0,MATCH("CL",INDIRECT("HNSW_Summary!1:1"),0)))</f>
        <v>0</v>
      </c>
      <c r="H17" s="2077">
        <f ca="1">SUMIF(INDIRECT("HNSW_Summary!A:A"),C17,INDEX(INDIRECT("HNSW_Summary!A:Z"),0,MATCH("CurrentUnexpInt",INDIRECT("HNSW_Summary!1:1"),0)))</f>
        <v>0</v>
      </c>
      <c r="I17" s="2077">
        <f ca="1">SUMIF(INDIRECT("HNSW_Summary!A:A"),C17,INDEX(INDIRECT("HNSW_Summary!A:Z"),0,MATCH("NCL",INDIRECT("HNSW_Summary!1:1"),0)))</f>
        <v>0</v>
      </c>
      <c r="J17" s="2077">
        <f ca="1">SUMIF(INDIRECT("HNSW_Summary!A:A"),C17,INDEX(INDIRECT("HNSW_Summary!A:Z"),0,MATCH("NCUnexpInt",INDIRECT("HNSW_Summary!1:1"),0)))</f>
        <v>0</v>
      </c>
      <c r="K17" s="2077">
        <f ca="1">I17+G17</f>
        <v>0</v>
      </c>
      <c r="L17" s="2077">
        <f ca="1">J17+H17</f>
        <v>0</v>
      </c>
      <c r="M17" s="2076"/>
      <c r="O17" s="2047"/>
      <c r="P17" s="2046"/>
      <c r="W17" s="1815" t="b">
        <f>IF(H12_Number_of_Loans&gt;=1,FALSE,TRUE)</f>
        <v>0</v>
      </c>
    </row>
    <row r="18" spans="2:23" s="1837" customFormat="1" ht="17.25" hidden="1" customHeight="1">
      <c r="B18" s="2081"/>
      <c r="C18" s="2080"/>
      <c r="D18" s="2079" t="str">
        <f ca="1">IF(C18=E18, HYPERLINK("#'" &amp; VLOOKUP(C18,INDIRECT("HNSW_Summary!$A:$B"),2,0) &amp; "'!A1", "}"), "}")</f>
        <v>}</v>
      </c>
      <c r="E18" s="2078">
        <f ca="1">VLOOKUP(C18,INDIRECT("HNSW_Summary!$A:$B"),1,0)</f>
        <v>0</v>
      </c>
      <c r="F18" s="2077">
        <f ca="1">SUMIF(INDIRECT("HNSW_Summary!A:A"),C18,INDEX(INDIRECT("HNSW_Summary!A:Z"),0,MATCH("Interest",INDIRECT("HNSW_Summary!1:1"),0)))</f>
        <v>0</v>
      </c>
      <c r="G18" s="2077">
        <f ca="1">SUMIF(INDIRECT("HNSW_Summary!A:A"),C18,INDEX(INDIRECT("HNSW_Summary!A:Z"),0,MATCH("CL",INDIRECT("HNSW_Summary!1:1"),0)))</f>
        <v>0</v>
      </c>
      <c r="H18" s="2077">
        <f ca="1">SUMIF(INDIRECT("HNSW_Summary!A:A"),C18,INDEX(INDIRECT("HNSW_Summary!A:Z"),0,MATCH("CurrentUnexpInt",INDIRECT("HNSW_Summary!1:1"),0)))</f>
        <v>0</v>
      </c>
      <c r="I18" s="2077">
        <f ca="1">SUMIF(INDIRECT("HNSW_Summary!A:A"),C18,INDEX(INDIRECT("HNSW_Summary!A:Z"),0,MATCH("NCL",INDIRECT("HNSW_Summary!1:1"),0)))</f>
        <v>0</v>
      </c>
      <c r="J18" s="2077">
        <f ca="1">SUMIF(INDIRECT("HNSW_Summary!A:A"),C18,INDEX(INDIRECT("HNSW_Summary!A:Z"),0,MATCH("NCUnexpInt",INDIRECT("HNSW_Summary!1:1"),0)))</f>
        <v>0</v>
      </c>
      <c r="K18" s="2077">
        <f ca="1">I18+G18</f>
        <v>0</v>
      </c>
      <c r="L18" s="2077">
        <f ca="1">J18+H18</f>
        <v>0</v>
      </c>
      <c r="M18" s="2076"/>
      <c r="O18" s="2047"/>
      <c r="P18" s="2046"/>
      <c r="W18" s="1815" t="b">
        <f>IF(H12_Number_of_Loans&gt;=2,FALSE,TRUE)</f>
        <v>1</v>
      </c>
    </row>
    <row r="19" spans="2:23" s="1837" customFormat="1" ht="17.25" hidden="1" customHeight="1">
      <c r="B19" s="2081"/>
      <c r="C19" s="2080"/>
      <c r="D19" s="2079" t="str">
        <f ca="1">IF(C19=E19, HYPERLINK("#'" &amp; VLOOKUP(C19,INDIRECT("HNSW_Summary!$A:$B"),2,0) &amp; "'!A1", "}"), "}")</f>
        <v>}</v>
      </c>
      <c r="E19" s="2078">
        <f ca="1">VLOOKUP(C19,INDIRECT("HNSW_Summary!$A:$B"),1,0)</f>
        <v>0</v>
      </c>
      <c r="F19" s="2077">
        <f ca="1">SUMIF(INDIRECT("HNSW_Summary!A:A"),C19,INDEX(INDIRECT("HNSW_Summary!A:Z"),0,MATCH("Interest",INDIRECT("HNSW_Summary!1:1"),0)))</f>
        <v>0</v>
      </c>
      <c r="G19" s="2077">
        <f ca="1">SUMIF(INDIRECT("HNSW_Summary!A:A"),C19,INDEX(INDIRECT("HNSW_Summary!A:Z"),0,MATCH("CL",INDIRECT("HNSW_Summary!1:1"),0)))</f>
        <v>0</v>
      </c>
      <c r="H19" s="2077">
        <f ca="1">SUMIF(INDIRECT("HNSW_Summary!A:A"),C19,INDEX(INDIRECT("HNSW_Summary!A:Z"),0,MATCH("CurrentUnexpInt",INDIRECT("HNSW_Summary!1:1"),0)))</f>
        <v>0</v>
      </c>
      <c r="I19" s="2077">
        <f ca="1">SUMIF(INDIRECT("HNSW_Summary!A:A"),C19,INDEX(INDIRECT("HNSW_Summary!A:Z"),0,MATCH("NCL",INDIRECT("HNSW_Summary!1:1"),0)))</f>
        <v>0</v>
      </c>
      <c r="J19" s="2077">
        <f ca="1">SUMIF(INDIRECT("HNSW_Summary!A:A"),C19,INDEX(INDIRECT("HNSW_Summary!A:Z"),0,MATCH("NCUnexpInt",INDIRECT("HNSW_Summary!1:1"),0)))</f>
        <v>0</v>
      </c>
      <c r="K19" s="2077">
        <f ca="1">I19+G19</f>
        <v>0</v>
      </c>
      <c r="L19" s="2077">
        <f ca="1">J19+H19</f>
        <v>0</v>
      </c>
      <c r="M19" s="2076"/>
      <c r="O19" s="2047"/>
      <c r="P19" s="2046"/>
      <c r="W19" s="1815" t="b">
        <f>IF(H12_Number_of_Loans&gt;=3,FALSE,TRUE)</f>
        <v>1</v>
      </c>
    </row>
    <row r="20" spans="2:23" s="1837" customFormat="1" ht="17.25" hidden="1" customHeight="1">
      <c r="B20" s="2081"/>
      <c r="C20" s="2080"/>
      <c r="D20" s="2079" t="str">
        <f ca="1">IF(C20=E20, HYPERLINK("#'" &amp; VLOOKUP(C20,INDIRECT("HNSW_Summary!$A:$B"),2,0) &amp; "'!A1", "}"), "}")</f>
        <v>}</v>
      </c>
      <c r="E20" s="2078">
        <f ca="1">VLOOKUP(C20,INDIRECT("HNSW_Summary!$A:$B"),1,0)</f>
        <v>0</v>
      </c>
      <c r="F20" s="2077">
        <f ca="1">SUMIF(INDIRECT("HNSW_Summary!A:A"),C20,INDEX(INDIRECT("HNSW_Summary!A:Z"),0,MATCH("Interest",INDIRECT("HNSW_Summary!1:1"),0)))</f>
        <v>0</v>
      </c>
      <c r="G20" s="2077">
        <f ca="1">SUMIF(INDIRECT("HNSW_Summary!A:A"),C20,INDEX(INDIRECT("HNSW_Summary!A:Z"),0,MATCH("CL",INDIRECT("HNSW_Summary!1:1"),0)))</f>
        <v>0</v>
      </c>
      <c r="H20" s="2077">
        <f ca="1">SUMIF(INDIRECT("HNSW_Summary!A:A"),C20,INDEX(INDIRECT("HNSW_Summary!A:Z"),0,MATCH("CurrentUnexpInt",INDIRECT("HNSW_Summary!1:1"),0)))</f>
        <v>0</v>
      </c>
      <c r="I20" s="2077">
        <f ca="1">SUMIF(INDIRECT("HNSW_Summary!A:A"),C20,INDEX(INDIRECT("HNSW_Summary!A:Z"),0,MATCH("NCL",INDIRECT("HNSW_Summary!1:1"),0)))</f>
        <v>0</v>
      </c>
      <c r="J20" s="2077">
        <f ca="1">SUMIF(INDIRECT("HNSW_Summary!A:A"),C20,INDEX(INDIRECT("HNSW_Summary!A:Z"),0,MATCH("NCUnexpInt",INDIRECT("HNSW_Summary!1:1"),0)))</f>
        <v>0</v>
      </c>
      <c r="K20" s="2077">
        <f ca="1">I20+G20</f>
        <v>0</v>
      </c>
      <c r="L20" s="2077">
        <f ca="1">J20+H20</f>
        <v>0</v>
      </c>
      <c r="M20" s="2076"/>
      <c r="O20" s="2047"/>
      <c r="P20" s="2046"/>
      <c r="W20" s="1815" t="b">
        <f>IF(H12_Number_of_Loans&gt;=4,FALSE,TRUE)</f>
        <v>1</v>
      </c>
    </row>
    <row r="21" spans="2:23" s="1837" customFormat="1" ht="17.25" hidden="1" customHeight="1">
      <c r="B21" s="2081"/>
      <c r="C21" s="2080"/>
      <c r="D21" s="2079" t="str">
        <f ca="1">IF(C21=E21, HYPERLINK("#'" &amp; VLOOKUP(C21,INDIRECT("HNSW_Summary!$A:$B"),2,0) &amp; "'!A1", "}"), "}")</f>
        <v>}</v>
      </c>
      <c r="E21" s="2078">
        <f ca="1">VLOOKUP(C21,INDIRECT("HNSW_Summary!$A:$B"),1,0)</f>
        <v>0</v>
      </c>
      <c r="F21" s="2077">
        <f ca="1">SUMIF(INDIRECT("HNSW_Summary!A:A"),C21,INDEX(INDIRECT("HNSW_Summary!A:Z"),0,MATCH("Interest",INDIRECT("HNSW_Summary!1:1"),0)))</f>
        <v>0</v>
      </c>
      <c r="G21" s="2077">
        <f ca="1">SUMIF(INDIRECT("HNSW_Summary!A:A"),C21,INDEX(INDIRECT("HNSW_Summary!A:Z"),0,MATCH("CL",INDIRECT("HNSW_Summary!1:1"),0)))</f>
        <v>0</v>
      </c>
      <c r="H21" s="2077">
        <f ca="1">SUMIF(INDIRECT("HNSW_Summary!A:A"),C21,INDEX(INDIRECT("HNSW_Summary!A:Z"),0,MATCH("CurrentUnexpInt",INDIRECT("HNSW_Summary!1:1"),0)))</f>
        <v>0</v>
      </c>
      <c r="I21" s="2077">
        <f ca="1">SUMIF(INDIRECT("HNSW_Summary!A:A"),C21,INDEX(INDIRECT("HNSW_Summary!A:Z"),0,MATCH("NCL",INDIRECT("HNSW_Summary!1:1"),0)))</f>
        <v>0</v>
      </c>
      <c r="J21" s="2077">
        <f ca="1">SUMIF(INDIRECT("HNSW_Summary!A:A"),C21,INDEX(INDIRECT("HNSW_Summary!A:Z"),0,MATCH("NCUnexpInt",INDIRECT("HNSW_Summary!1:1"),0)))</f>
        <v>0</v>
      </c>
      <c r="K21" s="2077">
        <f ca="1">I21+G21</f>
        <v>0</v>
      </c>
      <c r="L21" s="2077">
        <f ca="1">J21+H21</f>
        <v>0</v>
      </c>
      <c r="M21" s="2076"/>
      <c r="O21" s="2047"/>
      <c r="P21" s="2046"/>
      <c r="W21" s="1815" t="b">
        <f>IF(H12_Number_of_Loans&gt;=5,FALSE,TRUE)</f>
        <v>1</v>
      </c>
    </row>
    <row r="22" spans="2:23" s="1837" customFormat="1" ht="17.25" hidden="1" customHeight="1">
      <c r="B22" s="2081"/>
      <c r="C22" s="2080"/>
      <c r="D22" s="2079" t="str">
        <f ca="1">IF(C22=E22, HYPERLINK("#'" &amp; VLOOKUP(C22,INDIRECT("HNSW_Summary!$A:$B"),2,0) &amp; "'!A1", "}"), "}")</f>
        <v>}</v>
      </c>
      <c r="E22" s="2078">
        <f ca="1">VLOOKUP(C22,INDIRECT("HNSW_Summary!$A:$B"),1,0)</f>
        <v>0</v>
      </c>
      <c r="F22" s="2077">
        <f ca="1">SUMIF(INDIRECT("HNSW_Summary!A:A"),C22,INDEX(INDIRECT("HNSW_Summary!A:Z"),0,MATCH("Interest",INDIRECT("HNSW_Summary!1:1"),0)))</f>
        <v>0</v>
      </c>
      <c r="G22" s="2077">
        <f ca="1">SUMIF(INDIRECT("HNSW_Summary!A:A"),C22,INDEX(INDIRECT("HNSW_Summary!A:Z"),0,MATCH("CL",INDIRECT("HNSW_Summary!1:1"),0)))</f>
        <v>0</v>
      </c>
      <c r="H22" s="2077">
        <f ca="1">SUMIF(INDIRECT("HNSW_Summary!A:A"),C22,INDEX(INDIRECT("HNSW_Summary!A:Z"),0,MATCH("CurrentUnexpInt",INDIRECT("HNSW_Summary!1:1"),0)))</f>
        <v>0</v>
      </c>
      <c r="I22" s="2077">
        <f ca="1">SUMIF(INDIRECT("HNSW_Summary!A:A"),C22,INDEX(INDIRECT("HNSW_Summary!A:Z"),0,MATCH("NCL",INDIRECT("HNSW_Summary!1:1"),0)))</f>
        <v>0</v>
      </c>
      <c r="J22" s="2077">
        <f ca="1">SUMIF(INDIRECT("HNSW_Summary!A:A"),C22,INDEX(INDIRECT("HNSW_Summary!A:Z"),0,MATCH("NCUnexpInt",INDIRECT("HNSW_Summary!1:1"),0)))</f>
        <v>0</v>
      </c>
      <c r="K22" s="2077">
        <f ca="1">I22+G22</f>
        <v>0</v>
      </c>
      <c r="L22" s="2077">
        <f ca="1">J22+H22</f>
        <v>0</v>
      </c>
      <c r="M22" s="2076"/>
      <c r="O22" s="2047"/>
      <c r="P22" s="2046"/>
      <c r="W22" s="1815" t="b">
        <f>IF(H12_Number_of_Loans&gt;=6,FALSE,TRUE)</f>
        <v>1</v>
      </c>
    </row>
    <row r="23" spans="2:23" s="1837" customFormat="1" ht="17.25" hidden="1" customHeight="1">
      <c r="B23" s="2081"/>
      <c r="C23" s="2080"/>
      <c r="D23" s="2079" t="str">
        <f ca="1">IF(C23=E23, HYPERLINK("#'" &amp; VLOOKUP(C23,INDIRECT("HNSW_Summary!$A:$B"),2,0) &amp; "'!A1", "}"), "}")</f>
        <v>}</v>
      </c>
      <c r="E23" s="2078">
        <f ca="1">VLOOKUP(C23,INDIRECT("HNSW_Summary!$A:$B"),1,0)</f>
        <v>0</v>
      </c>
      <c r="F23" s="2077">
        <f ca="1">SUMIF(INDIRECT("HNSW_Summary!A:A"),C23,INDEX(INDIRECT("HNSW_Summary!A:Z"),0,MATCH("Interest",INDIRECT("HNSW_Summary!1:1"),0)))</f>
        <v>0</v>
      </c>
      <c r="G23" s="2077">
        <f ca="1">SUMIF(INDIRECT("HNSW_Summary!A:A"),C23,INDEX(INDIRECT("HNSW_Summary!A:Z"),0,MATCH("CL",INDIRECT("HNSW_Summary!1:1"),0)))</f>
        <v>0</v>
      </c>
      <c r="H23" s="2077">
        <f ca="1">SUMIF(INDIRECT("HNSW_Summary!A:A"),C23,INDEX(INDIRECT("HNSW_Summary!A:Z"),0,MATCH("CurrentUnexpInt",INDIRECT("HNSW_Summary!1:1"),0)))</f>
        <v>0</v>
      </c>
      <c r="I23" s="2077">
        <f ca="1">SUMIF(INDIRECT("HNSW_Summary!A:A"),C23,INDEX(INDIRECT("HNSW_Summary!A:Z"),0,MATCH("NCL",INDIRECT("HNSW_Summary!1:1"),0)))</f>
        <v>0</v>
      </c>
      <c r="J23" s="2077">
        <f ca="1">SUMIF(INDIRECT("HNSW_Summary!A:A"),C23,INDEX(INDIRECT("HNSW_Summary!A:Z"),0,MATCH("NCUnexpInt",INDIRECT("HNSW_Summary!1:1"),0)))</f>
        <v>0</v>
      </c>
      <c r="K23" s="2077">
        <f ca="1">I23+G23</f>
        <v>0</v>
      </c>
      <c r="L23" s="2077">
        <f ca="1">J23+H23</f>
        <v>0</v>
      </c>
      <c r="M23" s="2076"/>
      <c r="O23" s="2047"/>
      <c r="P23" s="2046"/>
      <c r="W23" s="1815" t="b">
        <f>IF(H12_Number_of_Loans&gt;=7,FALSE,TRUE)</f>
        <v>1</v>
      </c>
    </row>
    <row r="24" spans="2:23" s="1837" customFormat="1" ht="17.25" hidden="1" customHeight="1">
      <c r="B24" s="2081"/>
      <c r="C24" s="2080"/>
      <c r="D24" s="2079" t="str">
        <f ca="1">IF(C24=E24, HYPERLINK("#'" &amp; VLOOKUP(C24,INDIRECT("HNSW_Summary!$A:$B"),2,0) &amp; "'!A1", "}"), "}")</f>
        <v>}</v>
      </c>
      <c r="E24" s="2078">
        <f ca="1">VLOOKUP(C24,INDIRECT("HNSW_Summary!$A:$B"),1,0)</f>
        <v>0</v>
      </c>
      <c r="F24" s="2077">
        <f ca="1">SUMIF(INDIRECT("HNSW_Summary!A:A"),C24,INDEX(INDIRECT("HNSW_Summary!A:Z"),0,MATCH("Interest",INDIRECT("HNSW_Summary!1:1"),0)))</f>
        <v>0</v>
      </c>
      <c r="G24" s="2077">
        <f ca="1">SUMIF(INDIRECT("HNSW_Summary!A:A"),C24,INDEX(INDIRECT("HNSW_Summary!A:Z"),0,MATCH("CL",INDIRECT("HNSW_Summary!1:1"),0)))</f>
        <v>0</v>
      </c>
      <c r="H24" s="2077">
        <f ca="1">SUMIF(INDIRECT("HNSW_Summary!A:A"),C24,INDEX(INDIRECT("HNSW_Summary!A:Z"),0,MATCH("CurrentUnexpInt",INDIRECT("HNSW_Summary!1:1"),0)))</f>
        <v>0</v>
      </c>
      <c r="I24" s="2077">
        <f ca="1">SUMIF(INDIRECT("HNSW_Summary!A:A"),C24,INDEX(INDIRECT("HNSW_Summary!A:Z"),0,MATCH("NCL",INDIRECT("HNSW_Summary!1:1"),0)))</f>
        <v>0</v>
      </c>
      <c r="J24" s="2077">
        <f ca="1">SUMIF(INDIRECT("HNSW_Summary!A:A"),C24,INDEX(INDIRECT("HNSW_Summary!A:Z"),0,MATCH("NCUnexpInt",INDIRECT("HNSW_Summary!1:1"),0)))</f>
        <v>0</v>
      </c>
      <c r="K24" s="2077">
        <f ca="1">I24+G24</f>
        <v>0</v>
      </c>
      <c r="L24" s="2077">
        <f ca="1">J24+H24</f>
        <v>0</v>
      </c>
      <c r="M24" s="2076"/>
      <c r="O24" s="2047"/>
      <c r="P24" s="2046"/>
      <c r="W24" s="1815" t="b">
        <f>IF(H12_Number_of_Loans&gt;=8,FALSE,TRUE)</f>
        <v>1</v>
      </c>
    </row>
    <row r="25" spans="2:23" s="1837" customFormat="1" ht="17.25" hidden="1" customHeight="1">
      <c r="B25" s="2081"/>
      <c r="C25" s="2080"/>
      <c r="D25" s="2079" t="str">
        <f ca="1">IF(C25=E25, HYPERLINK("#'" &amp; VLOOKUP(C25,INDIRECT("HNSW_Summary!$A:$B"),2,0) &amp; "'!A1", "}"), "}")</f>
        <v>}</v>
      </c>
      <c r="E25" s="2078">
        <f ca="1">VLOOKUP(C25,INDIRECT("HNSW_Summary!$A:$B"),1,0)</f>
        <v>0</v>
      </c>
      <c r="F25" s="2077">
        <f ca="1">SUMIF(INDIRECT("HNSW_Summary!A:A"),C25,INDEX(INDIRECT("HNSW_Summary!A:Z"),0,MATCH("Interest",INDIRECT("HNSW_Summary!1:1"),0)))</f>
        <v>0</v>
      </c>
      <c r="G25" s="2077">
        <f ca="1">SUMIF(INDIRECT("HNSW_Summary!A:A"),C25,INDEX(INDIRECT("HNSW_Summary!A:Z"),0,MATCH("CL",INDIRECT("HNSW_Summary!1:1"),0)))</f>
        <v>0</v>
      </c>
      <c r="H25" s="2077">
        <f ca="1">SUMIF(INDIRECT("HNSW_Summary!A:A"),C25,INDEX(INDIRECT("HNSW_Summary!A:Z"),0,MATCH("CurrentUnexpInt",INDIRECT("HNSW_Summary!1:1"),0)))</f>
        <v>0</v>
      </c>
      <c r="I25" s="2077">
        <f ca="1">SUMIF(INDIRECT("HNSW_Summary!A:A"),C25,INDEX(INDIRECT("HNSW_Summary!A:Z"),0,MATCH("NCL",INDIRECT("HNSW_Summary!1:1"),0)))</f>
        <v>0</v>
      </c>
      <c r="J25" s="2077">
        <f ca="1">SUMIF(INDIRECT("HNSW_Summary!A:A"),C25,INDEX(INDIRECT("HNSW_Summary!A:Z"),0,MATCH("NCUnexpInt",INDIRECT("HNSW_Summary!1:1"),0)))</f>
        <v>0</v>
      </c>
      <c r="K25" s="2077">
        <f ca="1">I25+G25</f>
        <v>0</v>
      </c>
      <c r="L25" s="2077">
        <f ca="1">J25+H25</f>
        <v>0</v>
      </c>
      <c r="M25" s="2076"/>
      <c r="O25" s="2047"/>
      <c r="P25" s="2046"/>
      <c r="W25" s="1815" t="b">
        <f>IF(H12_Number_of_Loans&gt;=9,FALSE,TRUE)</f>
        <v>1</v>
      </c>
    </row>
    <row r="26" spans="2:23" s="1837" customFormat="1" ht="17.25" hidden="1" customHeight="1">
      <c r="B26" s="2081"/>
      <c r="C26" s="2080"/>
      <c r="D26" s="2079" t="str">
        <f ca="1">IF(C26=E26, HYPERLINK("#'" &amp; VLOOKUP(C26,INDIRECT("HNSW_Summary!$A:$B"),2,0) &amp; "'!A1", "}"), "}")</f>
        <v>}</v>
      </c>
      <c r="E26" s="2078">
        <f ca="1">VLOOKUP(C26,INDIRECT("HNSW_Summary!$A:$B"),1,0)</f>
        <v>0</v>
      </c>
      <c r="F26" s="2077">
        <f ca="1">SUMIF(INDIRECT("HNSW_Summary!A:A"),C26,INDEX(INDIRECT("HNSW_Summary!A:Z"),0,MATCH("Interest",INDIRECT("HNSW_Summary!1:1"),0)))</f>
        <v>0</v>
      </c>
      <c r="G26" s="2077">
        <f ca="1">SUMIF(INDIRECT("HNSW_Summary!A:A"),C26,INDEX(INDIRECT("HNSW_Summary!A:Z"),0,MATCH("CL",INDIRECT("HNSW_Summary!1:1"),0)))</f>
        <v>0</v>
      </c>
      <c r="H26" s="2077">
        <f ca="1">SUMIF(INDIRECT("HNSW_Summary!A:A"),C26,INDEX(INDIRECT("HNSW_Summary!A:Z"),0,MATCH("CurrentUnexpInt",INDIRECT("HNSW_Summary!1:1"),0)))</f>
        <v>0</v>
      </c>
      <c r="I26" s="2077">
        <f ca="1">SUMIF(INDIRECT("HNSW_Summary!A:A"),C26,INDEX(INDIRECT("HNSW_Summary!A:Z"),0,MATCH("NCL",INDIRECT("HNSW_Summary!1:1"),0)))</f>
        <v>0</v>
      </c>
      <c r="J26" s="2077">
        <f ca="1">SUMIF(INDIRECT("HNSW_Summary!A:A"),C26,INDEX(INDIRECT("HNSW_Summary!A:Z"),0,MATCH("NCUnexpInt",INDIRECT("HNSW_Summary!1:1"),0)))</f>
        <v>0</v>
      </c>
      <c r="K26" s="2077">
        <f ca="1">I26+G26</f>
        <v>0</v>
      </c>
      <c r="L26" s="2077">
        <f ca="1">J26+H26</f>
        <v>0</v>
      </c>
      <c r="M26" s="2076"/>
      <c r="O26" s="2047"/>
      <c r="P26" s="2046"/>
      <c r="W26" s="1815" t="b">
        <f>IF(H12_Number_of_Loans&gt;=10,FALSE,TRUE)</f>
        <v>1</v>
      </c>
    </row>
    <row r="27" spans="2:23" s="1837" customFormat="1" ht="17.25" hidden="1" customHeight="1">
      <c r="B27" s="2081"/>
      <c r="C27" s="2080"/>
      <c r="D27" s="2079" t="str">
        <f ca="1">IF(C27=E27, HYPERLINK("#'" &amp; VLOOKUP(C27,INDIRECT("HNSW_Summary!$A:$B"),2,0) &amp; "'!A1", "}"), "}")</f>
        <v>}</v>
      </c>
      <c r="E27" s="2078">
        <f ca="1">VLOOKUP(C27,INDIRECT("HNSW_Summary!$A:$B"),1,0)</f>
        <v>0</v>
      </c>
      <c r="F27" s="2077">
        <f ca="1">SUMIF(INDIRECT("HNSW_Summary!A:A"),C27,INDEX(INDIRECT("HNSW_Summary!A:Z"),0,MATCH("Interest",INDIRECT("HNSW_Summary!1:1"),0)))</f>
        <v>0</v>
      </c>
      <c r="G27" s="2077">
        <f ca="1">SUMIF(INDIRECT("HNSW_Summary!A:A"),C27,INDEX(INDIRECT("HNSW_Summary!A:Z"),0,MATCH("CL",INDIRECT("HNSW_Summary!1:1"),0)))</f>
        <v>0</v>
      </c>
      <c r="H27" s="2077">
        <f ca="1">SUMIF(INDIRECT("HNSW_Summary!A:A"),C27,INDEX(INDIRECT("HNSW_Summary!A:Z"),0,MATCH("CurrentUnexpInt",INDIRECT("HNSW_Summary!1:1"),0)))</f>
        <v>0</v>
      </c>
      <c r="I27" s="2077">
        <f ca="1">SUMIF(INDIRECT("HNSW_Summary!A:A"),C27,INDEX(INDIRECT("HNSW_Summary!A:Z"),0,MATCH("NCL",INDIRECT("HNSW_Summary!1:1"),0)))</f>
        <v>0</v>
      </c>
      <c r="J27" s="2077">
        <f ca="1">SUMIF(INDIRECT("HNSW_Summary!A:A"),C27,INDEX(INDIRECT("HNSW_Summary!A:Z"),0,MATCH("NCUnexpInt",INDIRECT("HNSW_Summary!1:1"),0)))</f>
        <v>0</v>
      </c>
      <c r="K27" s="2077">
        <f ca="1">I27+G27</f>
        <v>0</v>
      </c>
      <c r="L27" s="2077">
        <f ca="1">J27+H27</f>
        <v>0</v>
      </c>
      <c r="M27" s="2076"/>
      <c r="O27" s="2047"/>
      <c r="P27" s="2046"/>
      <c r="W27" s="1815" t="b">
        <f>IF(H12_Number_of_Loans&gt;=11,FALSE,TRUE)</f>
        <v>1</v>
      </c>
    </row>
    <row r="28" spans="2:23" s="1837" customFormat="1" ht="17.25" hidden="1" customHeight="1">
      <c r="B28" s="2081"/>
      <c r="C28" s="2080"/>
      <c r="D28" s="2079" t="str">
        <f ca="1">IF(C28=E28, HYPERLINK("#'" &amp; VLOOKUP(C28,INDIRECT("HNSW_Summary!$A:$B"),2,0) &amp; "'!A1", "}"), "}")</f>
        <v>}</v>
      </c>
      <c r="E28" s="2078">
        <f ca="1">VLOOKUP(C28,INDIRECT("HNSW_Summary!$A:$B"),1,0)</f>
        <v>0</v>
      </c>
      <c r="F28" s="2077">
        <f ca="1">SUMIF(INDIRECT("HNSW_Summary!A:A"),C28,INDEX(INDIRECT("HNSW_Summary!A:Z"),0,MATCH("Interest",INDIRECT("HNSW_Summary!1:1"),0)))</f>
        <v>0</v>
      </c>
      <c r="G28" s="2077">
        <f ca="1">SUMIF(INDIRECT("HNSW_Summary!A:A"),C28,INDEX(INDIRECT("HNSW_Summary!A:Z"),0,MATCH("CL",INDIRECT("HNSW_Summary!1:1"),0)))</f>
        <v>0</v>
      </c>
      <c r="H28" s="2077">
        <f ca="1">SUMIF(INDIRECT("HNSW_Summary!A:A"),C28,INDEX(INDIRECT("HNSW_Summary!A:Z"),0,MATCH("CurrentUnexpInt",INDIRECT("HNSW_Summary!1:1"),0)))</f>
        <v>0</v>
      </c>
      <c r="I28" s="2077">
        <f ca="1">SUMIF(INDIRECT("HNSW_Summary!A:A"),C28,INDEX(INDIRECT("HNSW_Summary!A:Z"),0,MATCH("NCL",INDIRECT("HNSW_Summary!1:1"),0)))</f>
        <v>0</v>
      </c>
      <c r="J28" s="2077">
        <f ca="1">SUMIF(INDIRECT("HNSW_Summary!A:A"),C28,INDEX(INDIRECT("HNSW_Summary!A:Z"),0,MATCH("NCUnexpInt",INDIRECT("HNSW_Summary!1:1"),0)))</f>
        <v>0</v>
      </c>
      <c r="K28" s="2077">
        <f ca="1">I28+G28</f>
        <v>0</v>
      </c>
      <c r="L28" s="2077">
        <f ca="1">J28+H28</f>
        <v>0</v>
      </c>
      <c r="M28" s="2076"/>
      <c r="O28" s="2047"/>
      <c r="P28" s="2046"/>
      <c r="W28" s="1815" t="b">
        <f>IF(H12_Number_of_Loans&gt;=12,FALSE,TRUE)</f>
        <v>1</v>
      </c>
    </row>
    <row r="29" spans="2:23" s="1837" customFormat="1" ht="17.25" hidden="1" customHeight="1">
      <c r="B29" s="2081"/>
      <c r="C29" s="2080"/>
      <c r="D29" s="2079" t="str">
        <f ca="1">IF(C29=E29, HYPERLINK("#'" &amp; VLOOKUP(C29,INDIRECT("HNSW_Summary!$A:$B"),2,0) &amp; "'!A1", "}"), "}")</f>
        <v>}</v>
      </c>
      <c r="E29" s="2078">
        <f ca="1">VLOOKUP(C29,INDIRECT("HNSW_Summary!$A:$B"),1,0)</f>
        <v>0</v>
      </c>
      <c r="F29" s="2077">
        <f ca="1">SUMIF(INDIRECT("HNSW_Summary!A:A"),C29,INDEX(INDIRECT("HNSW_Summary!A:Z"),0,MATCH("Interest",INDIRECT("HNSW_Summary!1:1"),0)))</f>
        <v>0</v>
      </c>
      <c r="G29" s="2077">
        <f ca="1">SUMIF(INDIRECT("HNSW_Summary!A:A"),C29,INDEX(INDIRECT("HNSW_Summary!A:Z"),0,MATCH("CL",INDIRECT("HNSW_Summary!1:1"),0)))</f>
        <v>0</v>
      </c>
      <c r="H29" s="2077">
        <f ca="1">SUMIF(INDIRECT("HNSW_Summary!A:A"),C29,INDEX(INDIRECT("HNSW_Summary!A:Z"),0,MATCH("CurrentUnexpInt",INDIRECT("HNSW_Summary!1:1"),0)))</f>
        <v>0</v>
      </c>
      <c r="I29" s="2077">
        <f ca="1">SUMIF(INDIRECT("HNSW_Summary!A:A"),C29,INDEX(INDIRECT("HNSW_Summary!A:Z"),0,MATCH("NCL",INDIRECT("HNSW_Summary!1:1"),0)))</f>
        <v>0</v>
      </c>
      <c r="J29" s="2077">
        <f ca="1">SUMIF(INDIRECT("HNSW_Summary!A:A"),C29,INDEX(INDIRECT("HNSW_Summary!A:Z"),0,MATCH("NCUnexpInt",INDIRECT("HNSW_Summary!1:1"),0)))</f>
        <v>0</v>
      </c>
      <c r="K29" s="2077">
        <f ca="1">I29+G29</f>
        <v>0</v>
      </c>
      <c r="L29" s="2077">
        <f ca="1">J29+H29</f>
        <v>0</v>
      </c>
      <c r="M29" s="2076"/>
      <c r="O29" s="2047"/>
      <c r="P29" s="2046"/>
      <c r="W29" s="1815" t="b">
        <f>IF(H12_Number_of_Loans&gt;=13,FALSE,TRUE)</f>
        <v>1</v>
      </c>
    </row>
    <row r="30" spans="2:23" s="1837" customFormat="1" ht="17.25" hidden="1" customHeight="1">
      <c r="B30" s="2081"/>
      <c r="C30" s="2080"/>
      <c r="D30" s="2079" t="str">
        <f ca="1">IF(C30=E30, HYPERLINK("#'" &amp; VLOOKUP(C30,INDIRECT("HNSW_Summary!$A:$B"),2,0) &amp; "'!A1", "}"), "}")</f>
        <v>}</v>
      </c>
      <c r="E30" s="2078">
        <f ca="1">VLOOKUP(C30,INDIRECT("HNSW_Summary!$A:$B"),1,0)</f>
        <v>0</v>
      </c>
      <c r="F30" s="2077">
        <f ca="1">SUMIF(INDIRECT("HNSW_Summary!A:A"),C30,INDEX(INDIRECT("HNSW_Summary!A:Z"),0,MATCH("Interest",INDIRECT("HNSW_Summary!1:1"),0)))</f>
        <v>0</v>
      </c>
      <c r="G30" s="2077">
        <f ca="1">SUMIF(INDIRECT("HNSW_Summary!A:A"),C30,INDEX(INDIRECT("HNSW_Summary!A:Z"),0,MATCH("CL",INDIRECT("HNSW_Summary!1:1"),0)))</f>
        <v>0</v>
      </c>
      <c r="H30" s="2077">
        <f ca="1">SUMIF(INDIRECT("HNSW_Summary!A:A"),C30,INDEX(INDIRECT("HNSW_Summary!A:Z"),0,MATCH("CurrentUnexpInt",INDIRECT("HNSW_Summary!1:1"),0)))</f>
        <v>0</v>
      </c>
      <c r="I30" s="2077">
        <f ca="1">SUMIF(INDIRECT("HNSW_Summary!A:A"),C30,INDEX(INDIRECT("HNSW_Summary!A:Z"),0,MATCH("NCL",INDIRECT("HNSW_Summary!1:1"),0)))</f>
        <v>0</v>
      </c>
      <c r="J30" s="2077">
        <f ca="1">SUMIF(INDIRECT("HNSW_Summary!A:A"),C30,INDEX(INDIRECT("HNSW_Summary!A:Z"),0,MATCH("NCUnexpInt",INDIRECT("HNSW_Summary!1:1"),0)))</f>
        <v>0</v>
      </c>
      <c r="K30" s="2077">
        <f ca="1">I30+G30</f>
        <v>0</v>
      </c>
      <c r="L30" s="2077">
        <f ca="1">J30+H30</f>
        <v>0</v>
      </c>
      <c r="M30" s="2076"/>
      <c r="O30" s="2047"/>
      <c r="P30" s="2046"/>
      <c r="W30" s="1815" t="b">
        <f>IF(H12_Number_of_Loans&gt;=14,FALSE,TRUE)</f>
        <v>1</v>
      </c>
    </row>
    <row r="31" spans="2:23" s="1837" customFormat="1" ht="17.25" hidden="1" customHeight="1">
      <c r="B31" s="2081"/>
      <c r="C31" s="2080"/>
      <c r="D31" s="2079" t="str">
        <f ca="1">IF(C31=E31, HYPERLINK("#'" &amp; VLOOKUP(C31,INDIRECT("HNSW_Summary!$A:$B"),2,0) &amp; "'!A1", "}"), "}")</f>
        <v>}</v>
      </c>
      <c r="E31" s="2078">
        <f ca="1">VLOOKUP(C31,INDIRECT("HNSW_Summary!$A:$B"),1,0)</f>
        <v>0</v>
      </c>
      <c r="F31" s="2077">
        <f ca="1">SUMIF(INDIRECT("HNSW_Summary!A:A"),C31,INDEX(INDIRECT("HNSW_Summary!A:Z"),0,MATCH("Interest",INDIRECT("HNSW_Summary!1:1"),0)))</f>
        <v>0</v>
      </c>
      <c r="G31" s="2077">
        <f ca="1">SUMIF(INDIRECT("HNSW_Summary!A:A"),C31,INDEX(INDIRECT("HNSW_Summary!A:Z"),0,MATCH("CL",INDIRECT("HNSW_Summary!1:1"),0)))</f>
        <v>0</v>
      </c>
      <c r="H31" s="2077">
        <f ca="1">SUMIF(INDIRECT("HNSW_Summary!A:A"),C31,INDEX(INDIRECT("HNSW_Summary!A:Z"),0,MATCH("CurrentUnexpInt",INDIRECT("HNSW_Summary!1:1"),0)))</f>
        <v>0</v>
      </c>
      <c r="I31" s="2077">
        <f ca="1">SUMIF(INDIRECT("HNSW_Summary!A:A"),C31,INDEX(INDIRECT("HNSW_Summary!A:Z"),0,MATCH("NCL",INDIRECT("HNSW_Summary!1:1"),0)))</f>
        <v>0</v>
      </c>
      <c r="J31" s="2077">
        <f ca="1">SUMIF(INDIRECT("HNSW_Summary!A:A"),C31,INDEX(INDIRECT("HNSW_Summary!A:Z"),0,MATCH("NCUnexpInt",INDIRECT("HNSW_Summary!1:1"),0)))</f>
        <v>0</v>
      </c>
      <c r="K31" s="2077">
        <f ca="1">I31+G31</f>
        <v>0</v>
      </c>
      <c r="L31" s="2077">
        <f ca="1">J31+H31</f>
        <v>0</v>
      </c>
      <c r="M31" s="2076"/>
      <c r="O31" s="2047"/>
      <c r="P31" s="2046"/>
      <c r="W31" s="1815" t="b">
        <f>IF(H12_Number_of_Loans&gt;=15,FALSE,TRUE)</f>
        <v>1</v>
      </c>
    </row>
    <row r="32" spans="2:23" s="1837" customFormat="1" ht="17.25" hidden="1" customHeight="1">
      <c r="B32" s="2081"/>
      <c r="C32" s="2080"/>
      <c r="D32" s="2079" t="str">
        <f ca="1">IF(C32=E32, HYPERLINK("#'" &amp; VLOOKUP(C32,INDIRECT("HNSW_Summary!$A:$B"),2,0) &amp; "'!A1", "}"), "}")</f>
        <v>}</v>
      </c>
      <c r="E32" s="2078">
        <f ca="1">VLOOKUP(C32,INDIRECT("HNSW_Summary!$A:$B"),1,0)</f>
        <v>0</v>
      </c>
      <c r="F32" s="2077">
        <f ca="1">SUMIF(INDIRECT("HNSW_Summary!A:A"),C32,INDEX(INDIRECT("HNSW_Summary!A:Z"),0,MATCH("Interest",INDIRECT("HNSW_Summary!1:1"),0)))</f>
        <v>0</v>
      </c>
      <c r="G32" s="2077">
        <f ca="1">SUMIF(INDIRECT("HNSW_Summary!A:A"),C32,INDEX(INDIRECT("HNSW_Summary!A:Z"),0,MATCH("CL",INDIRECT("HNSW_Summary!1:1"),0)))</f>
        <v>0</v>
      </c>
      <c r="H32" s="2077">
        <f ca="1">SUMIF(INDIRECT("HNSW_Summary!A:A"),C32,INDEX(INDIRECT("HNSW_Summary!A:Z"),0,MATCH("CurrentUnexpInt",INDIRECT("HNSW_Summary!1:1"),0)))</f>
        <v>0</v>
      </c>
      <c r="I32" s="2077">
        <f ca="1">SUMIF(INDIRECT("HNSW_Summary!A:A"),C32,INDEX(INDIRECT("HNSW_Summary!A:Z"),0,MATCH("NCL",INDIRECT("HNSW_Summary!1:1"),0)))</f>
        <v>0</v>
      </c>
      <c r="J32" s="2077">
        <f ca="1">SUMIF(INDIRECT("HNSW_Summary!A:A"),C32,INDEX(INDIRECT("HNSW_Summary!A:Z"),0,MATCH("NCUnexpInt",INDIRECT("HNSW_Summary!1:1"),0)))</f>
        <v>0</v>
      </c>
      <c r="K32" s="2077">
        <f ca="1">I32+G32</f>
        <v>0</v>
      </c>
      <c r="L32" s="2077">
        <f ca="1">J32+H32</f>
        <v>0</v>
      </c>
      <c r="M32" s="2076"/>
      <c r="O32" s="2047"/>
      <c r="P32" s="2046"/>
      <c r="W32" s="1815" t="b">
        <f>IF(H12_Number_of_Loans&gt;=16,FALSE,TRUE)</f>
        <v>1</v>
      </c>
    </row>
    <row r="33" spans="2:23" s="1837" customFormat="1" ht="17.25" hidden="1" customHeight="1">
      <c r="B33" s="2081"/>
      <c r="C33" s="2080"/>
      <c r="D33" s="2079" t="str">
        <f ca="1">IF(C33=E33, HYPERLINK("#'" &amp; VLOOKUP(C33,INDIRECT("HNSW_Summary!$A:$B"),2,0) &amp; "'!A1", "}"), "}")</f>
        <v>}</v>
      </c>
      <c r="E33" s="2078">
        <f ca="1">VLOOKUP(C33,INDIRECT("HNSW_Summary!$A:$B"),1,0)</f>
        <v>0</v>
      </c>
      <c r="F33" s="2077">
        <f ca="1">SUMIF(INDIRECT("HNSW_Summary!A:A"),C33,INDEX(INDIRECT("HNSW_Summary!A:Z"),0,MATCH("Interest",INDIRECT("HNSW_Summary!1:1"),0)))</f>
        <v>0</v>
      </c>
      <c r="G33" s="2077">
        <f ca="1">SUMIF(INDIRECT("HNSW_Summary!A:A"),C33,INDEX(INDIRECT("HNSW_Summary!A:Z"),0,MATCH("CL",INDIRECT("HNSW_Summary!1:1"),0)))</f>
        <v>0</v>
      </c>
      <c r="H33" s="2077">
        <f ca="1">SUMIF(INDIRECT("HNSW_Summary!A:A"),C33,INDEX(INDIRECT("HNSW_Summary!A:Z"),0,MATCH("CurrentUnexpInt",INDIRECT("HNSW_Summary!1:1"),0)))</f>
        <v>0</v>
      </c>
      <c r="I33" s="2077">
        <f ca="1">SUMIF(INDIRECT("HNSW_Summary!A:A"),C33,INDEX(INDIRECT("HNSW_Summary!A:Z"),0,MATCH("NCL",INDIRECT("HNSW_Summary!1:1"),0)))</f>
        <v>0</v>
      </c>
      <c r="J33" s="2077">
        <f ca="1">SUMIF(INDIRECT("HNSW_Summary!A:A"),C33,INDEX(INDIRECT("HNSW_Summary!A:Z"),0,MATCH("NCUnexpInt",INDIRECT("HNSW_Summary!1:1"),0)))</f>
        <v>0</v>
      </c>
      <c r="K33" s="2077">
        <f ca="1">I33+G33</f>
        <v>0</v>
      </c>
      <c r="L33" s="2077">
        <f ca="1">J33+H33</f>
        <v>0</v>
      </c>
      <c r="M33" s="2076"/>
      <c r="O33" s="2047"/>
      <c r="P33" s="2046"/>
      <c r="W33" s="1815" t="b">
        <f>IF(H12_Number_of_Loans&gt;=17,FALSE,TRUE)</f>
        <v>1</v>
      </c>
    </row>
    <row r="34" spans="2:23" s="1837" customFormat="1" ht="17.25" hidden="1" customHeight="1">
      <c r="B34" s="2081"/>
      <c r="C34" s="2080"/>
      <c r="D34" s="2079" t="str">
        <f ca="1">IF(C34=E34, HYPERLINK("#'" &amp; VLOOKUP(C34,INDIRECT("HNSW_Summary!$A:$B"),2,0) &amp; "'!A1", "}"), "}")</f>
        <v>}</v>
      </c>
      <c r="E34" s="2078">
        <f ca="1">VLOOKUP(C34,INDIRECT("HNSW_Summary!$A:$B"),1,0)</f>
        <v>0</v>
      </c>
      <c r="F34" s="2077">
        <f ca="1">SUMIF(INDIRECT("HNSW_Summary!A:A"),C34,INDEX(INDIRECT("HNSW_Summary!A:Z"),0,MATCH("Interest",INDIRECT("HNSW_Summary!1:1"),0)))</f>
        <v>0</v>
      </c>
      <c r="G34" s="2077">
        <f ca="1">SUMIF(INDIRECT("HNSW_Summary!A:A"),C34,INDEX(INDIRECT("HNSW_Summary!A:Z"),0,MATCH("CL",INDIRECT("HNSW_Summary!1:1"),0)))</f>
        <v>0</v>
      </c>
      <c r="H34" s="2077">
        <f ca="1">SUMIF(INDIRECT("HNSW_Summary!A:A"),C34,INDEX(INDIRECT("HNSW_Summary!A:Z"),0,MATCH("CurrentUnexpInt",INDIRECT("HNSW_Summary!1:1"),0)))</f>
        <v>0</v>
      </c>
      <c r="I34" s="2077">
        <f ca="1">SUMIF(INDIRECT("HNSW_Summary!A:A"),C34,INDEX(INDIRECT("HNSW_Summary!A:Z"),0,MATCH("NCL",INDIRECT("HNSW_Summary!1:1"),0)))</f>
        <v>0</v>
      </c>
      <c r="J34" s="2077">
        <f ca="1">SUMIF(INDIRECT("HNSW_Summary!A:A"),C34,INDEX(INDIRECT("HNSW_Summary!A:Z"),0,MATCH("NCUnexpInt",INDIRECT("HNSW_Summary!1:1"),0)))</f>
        <v>0</v>
      </c>
      <c r="K34" s="2077">
        <f ca="1">I34+G34</f>
        <v>0</v>
      </c>
      <c r="L34" s="2077">
        <f ca="1">J34+H34</f>
        <v>0</v>
      </c>
      <c r="M34" s="2076"/>
      <c r="O34" s="2047"/>
      <c r="P34" s="2046"/>
      <c r="W34" s="1815" t="b">
        <f>IF(H12_Number_of_Loans&gt;=18,FALSE,TRUE)</f>
        <v>1</v>
      </c>
    </row>
    <row r="35" spans="2:23" s="1837" customFormat="1" ht="17.25" hidden="1" customHeight="1">
      <c r="B35" s="2081"/>
      <c r="C35" s="2080"/>
      <c r="D35" s="2079" t="str">
        <f ca="1">IF(C35=E35, HYPERLINK("#'" &amp; VLOOKUP(C35,INDIRECT("HNSW_Summary!$A:$B"),2,0) &amp; "'!A1", "}"), "}")</f>
        <v>}</v>
      </c>
      <c r="E35" s="2078">
        <f ca="1">VLOOKUP(C35,INDIRECT("HNSW_Summary!$A:$B"),1,0)</f>
        <v>0</v>
      </c>
      <c r="F35" s="2077">
        <f ca="1">SUMIF(INDIRECT("HNSW_Summary!A:A"),C35,INDEX(INDIRECT("HNSW_Summary!A:Z"),0,MATCH("Interest",INDIRECT("HNSW_Summary!1:1"),0)))</f>
        <v>0</v>
      </c>
      <c r="G35" s="2077">
        <f ca="1">SUMIF(INDIRECT("HNSW_Summary!A:A"),C35,INDEX(INDIRECT("HNSW_Summary!A:Z"),0,MATCH("CL",INDIRECT("HNSW_Summary!1:1"),0)))</f>
        <v>0</v>
      </c>
      <c r="H35" s="2077">
        <f ca="1">SUMIF(INDIRECT("HNSW_Summary!A:A"),C35,INDEX(INDIRECT("HNSW_Summary!A:Z"),0,MATCH("CurrentUnexpInt",INDIRECT("HNSW_Summary!1:1"),0)))</f>
        <v>0</v>
      </c>
      <c r="I35" s="2077">
        <f ca="1">SUMIF(INDIRECT("HNSW_Summary!A:A"),C35,INDEX(INDIRECT("HNSW_Summary!A:Z"),0,MATCH("NCL",INDIRECT("HNSW_Summary!1:1"),0)))</f>
        <v>0</v>
      </c>
      <c r="J35" s="2077">
        <f ca="1">SUMIF(INDIRECT("HNSW_Summary!A:A"),C35,INDEX(INDIRECT("HNSW_Summary!A:Z"),0,MATCH("NCUnexpInt",INDIRECT("HNSW_Summary!1:1"),0)))</f>
        <v>0</v>
      </c>
      <c r="K35" s="2077">
        <f ca="1">I35+G35</f>
        <v>0</v>
      </c>
      <c r="L35" s="2077">
        <f ca="1">J35+H35</f>
        <v>0</v>
      </c>
      <c r="M35" s="2076"/>
      <c r="O35" s="2047"/>
      <c r="P35" s="2046"/>
      <c r="W35" s="1815" t="b">
        <f>IF(H12_Number_of_Loans&gt;=19,FALSE,TRUE)</f>
        <v>1</v>
      </c>
    </row>
    <row r="36" spans="2:23" s="1837" customFormat="1" ht="17.25" hidden="1" customHeight="1">
      <c r="B36" s="2081"/>
      <c r="C36" s="2080"/>
      <c r="D36" s="2079" t="str">
        <f ca="1">IF(C36=E36, HYPERLINK("#'" &amp; VLOOKUP(C36,INDIRECT("HNSW_Summary!$A:$B"),2,0) &amp; "'!A1", "}"), "}")</f>
        <v>}</v>
      </c>
      <c r="E36" s="2078">
        <f ca="1">VLOOKUP(C36,INDIRECT("HNSW_Summary!$A:$B"),1,0)</f>
        <v>0</v>
      </c>
      <c r="F36" s="2077">
        <f ca="1">SUMIF(INDIRECT("HNSW_Summary!A:A"),C36,INDEX(INDIRECT("HNSW_Summary!A:Z"),0,MATCH("Interest",INDIRECT("HNSW_Summary!1:1"),0)))</f>
        <v>0</v>
      </c>
      <c r="G36" s="2077">
        <f ca="1">SUMIF(INDIRECT("HNSW_Summary!A:A"),C36,INDEX(INDIRECT("HNSW_Summary!A:Z"),0,MATCH("CL",INDIRECT("HNSW_Summary!1:1"),0)))</f>
        <v>0</v>
      </c>
      <c r="H36" s="2077">
        <f ca="1">SUMIF(INDIRECT("HNSW_Summary!A:A"),C36,INDEX(INDIRECT("HNSW_Summary!A:Z"),0,MATCH("CurrentUnexpInt",INDIRECT("HNSW_Summary!1:1"),0)))</f>
        <v>0</v>
      </c>
      <c r="I36" s="2077">
        <f ca="1">SUMIF(INDIRECT("HNSW_Summary!A:A"),C36,INDEX(INDIRECT("HNSW_Summary!A:Z"),0,MATCH("NCL",INDIRECT("HNSW_Summary!1:1"),0)))</f>
        <v>0</v>
      </c>
      <c r="J36" s="2077">
        <f ca="1">SUMIF(INDIRECT("HNSW_Summary!A:A"),C36,INDEX(INDIRECT("HNSW_Summary!A:Z"),0,MATCH("NCUnexpInt",INDIRECT("HNSW_Summary!1:1"),0)))</f>
        <v>0</v>
      </c>
      <c r="K36" s="2077">
        <f ca="1">I36+G36</f>
        <v>0</v>
      </c>
      <c r="L36" s="2077">
        <f ca="1">J36+H36</f>
        <v>0</v>
      </c>
      <c r="M36" s="2076"/>
      <c r="O36" s="2047"/>
      <c r="P36" s="2046"/>
      <c r="W36" s="1815" t="b">
        <f>IF(H12_Number_of_Loans&gt;=20,FALSE,TRUE)</f>
        <v>1</v>
      </c>
    </row>
    <row r="37" spans="2:23" s="1837" customFormat="1" ht="17.25" hidden="1" customHeight="1">
      <c r="B37" s="2081"/>
      <c r="C37" s="2080"/>
      <c r="D37" s="2079" t="str">
        <f ca="1">IF(C37=E37, HYPERLINK("#'" &amp; VLOOKUP(C37,INDIRECT("HNSW_Summary!$A:$B"),2,0) &amp; "'!A1", "}"), "}")</f>
        <v>}</v>
      </c>
      <c r="E37" s="2078">
        <f ca="1">VLOOKUP(C37,INDIRECT("HNSW_Summary!$A:$B"),1,0)</f>
        <v>0</v>
      </c>
      <c r="F37" s="2077">
        <f ca="1">SUMIF(INDIRECT("HNSW_Summary!A:A"),C37,INDEX(INDIRECT("HNSW_Summary!A:Z"),0,MATCH("Interest",INDIRECT("HNSW_Summary!1:1"),0)))</f>
        <v>0</v>
      </c>
      <c r="G37" s="2077">
        <f ca="1">SUMIF(INDIRECT("HNSW_Summary!A:A"),C37,INDEX(INDIRECT("HNSW_Summary!A:Z"),0,MATCH("CL",INDIRECT("HNSW_Summary!1:1"),0)))</f>
        <v>0</v>
      </c>
      <c r="H37" s="2077">
        <f ca="1">SUMIF(INDIRECT("HNSW_Summary!A:A"),C37,INDEX(INDIRECT("HNSW_Summary!A:Z"),0,MATCH("CurrentUnexpInt",INDIRECT("HNSW_Summary!1:1"),0)))</f>
        <v>0</v>
      </c>
      <c r="I37" s="2077">
        <f ca="1">SUMIF(INDIRECT("HNSW_Summary!A:A"),C37,INDEX(INDIRECT("HNSW_Summary!A:Z"),0,MATCH("NCL",INDIRECT("HNSW_Summary!1:1"),0)))</f>
        <v>0</v>
      </c>
      <c r="J37" s="2077">
        <f ca="1">SUMIF(INDIRECT("HNSW_Summary!A:A"),C37,INDEX(INDIRECT("HNSW_Summary!A:Z"),0,MATCH("NCUnexpInt",INDIRECT("HNSW_Summary!1:1"),0)))</f>
        <v>0</v>
      </c>
      <c r="K37" s="2077">
        <f ca="1">I37+G37</f>
        <v>0</v>
      </c>
      <c r="L37" s="2077">
        <f ca="1">J37+H37</f>
        <v>0</v>
      </c>
      <c r="M37" s="2076"/>
      <c r="O37" s="2047"/>
      <c r="P37" s="2046"/>
      <c r="W37" s="1815" t="b">
        <f>IF(H12_Number_of_Loans&gt;=21,FALSE,TRUE)</f>
        <v>1</v>
      </c>
    </row>
    <row r="38" spans="2:23" s="1837" customFormat="1" ht="17.25" hidden="1" customHeight="1">
      <c r="B38" s="2081"/>
      <c r="C38" s="2080"/>
      <c r="D38" s="2079" t="str">
        <f ca="1">IF(C38=E38, HYPERLINK("#'" &amp; VLOOKUP(C38,INDIRECT("HNSW_Summary!$A:$B"),2,0) &amp; "'!A1", "}"), "}")</f>
        <v>}</v>
      </c>
      <c r="E38" s="2078">
        <f ca="1">VLOOKUP(C38,INDIRECT("HNSW_Summary!$A:$B"),1,0)</f>
        <v>0</v>
      </c>
      <c r="F38" s="2077">
        <f ca="1">SUMIF(INDIRECT("HNSW_Summary!A:A"),C38,INDEX(INDIRECT("HNSW_Summary!A:Z"),0,MATCH("Interest",INDIRECT("HNSW_Summary!1:1"),0)))</f>
        <v>0</v>
      </c>
      <c r="G38" s="2077">
        <f ca="1">SUMIF(INDIRECT("HNSW_Summary!A:A"),C38,INDEX(INDIRECT("HNSW_Summary!A:Z"),0,MATCH("CL",INDIRECT("HNSW_Summary!1:1"),0)))</f>
        <v>0</v>
      </c>
      <c r="H38" s="2077">
        <f ca="1">SUMIF(INDIRECT("HNSW_Summary!A:A"),C38,INDEX(INDIRECT("HNSW_Summary!A:Z"),0,MATCH("CurrentUnexpInt",INDIRECT("HNSW_Summary!1:1"),0)))</f>
        <v>0</v>
      </c>
      <c r="I38" s="2077">
        <f ca="1">SUMIF(INDIRECT("HNSW_Summary!A:A"),C38,INDEX(INDIRECT("HNSW_Summary!A:Z"),0,MATCH("NCL",INDIRECT("HNSW_Summary!1:1"),0)))</f>
        <v>0</v>
      </c>
      <c r="J38" s="2077">
        <f ca="1">SUMIF(INDIRECT("HNSW_Summary!A:A"),C38,INDEX(INDIRECT("HNSW_Summary!A:Z"),0,MATCH("NCUnexpInt",INDIRECT("HNSW_Summary!1:1"),0)))</f>
        <v>0</v>
      </c>
      <c r="K38" s="2077">
        <f ca="1">I38+G38</f>
        <v>0</v>
      </c>
      <c r="L38" s="2077">
        <f ca="1">J38+H38</f>
        <v>0</v>
      </c>
      <c r="M38" s="2076"/>
      <c r="O38" s="2047"/>
      <c r="P38" s="2046"/>
      <c r="W38" s="1815" t="b">
        <f>IF(H12_Number_of_Loans&gt;=22,FALSE,TRUE)</f>
        <v>1</v>
      </c>
    </row>
    <row r="39" spans="2:23" s="1837" customFormat="1" ht="17.25" hidden="1" customHeight="1">
      <c r="B39" s="2081"/>
      <c r="C39" s="2080"/>
      <c r="D39" s="2079" t="str">
        <f ca="1">IF(C39=E39, HYPERLINK("#'" &amp; VLOOKUP(C39,INDIRECT("HNSW_Summary!$A:$B"),2,0) &amp; "'!A1", "}"), "}")</f>
        <v>}</v>
      </c>
      <c r="E39" s="2078">
        <f ca="1">VLOOKUP(C39,INDIRECT("HNSW_Summary!$A:$B"),1,0)</f>
        <v>0</v>
      </c>
      <c r="F39" s="2077">
        <f ca="1">SUMIF(INDIRECT("HNSW_Summary!A:A"),C39,INDEX(INDIRECT("HNSW_Summary!A:Z"),0,MATCH("Interest",INDIRECT("HNSW_Summary!1:1"),0)))</f>
        <v>0</v>
      </c>
      <c r="G39" s="2077">
        <f ca="1">SUMIF(INDIRECT("HNSW_Summary!A:A"),C39,INDEX(INDIRECT("HNSW_Summary!A:Z"),0,MATCH("CL",INDIRECT("HNSW_Summary!1:1"),0)))</f>
        <v>0</v>
      </c>
      <c r="H39" s="2077">
        <f ca="1">SUMIF(INDIRECT("HNSW_Summary!A:A"),C39,INDEX(INDIRECT("HNSW_Summary!A:Z"),0,MATCH("CurrentUnexpInt",INDIRECT("HNSW_Summary!1:1"),0)))</f>
        <v>0</v>
      </c>
      <c r="I39" s="2077">
        <f ca="1">SUMIF(INDIRECT("HNSW_Summary!A:A"),C39,INDEX(INDIRECT("HNSW_Summary!A:Z"),0,MATCH("NCL",INDIRECT("HNSW_Summary!1:1"),0)))</f>
        <v>0</v>
      </c>
      <c r="J39" s="2077">
        <f ca="1">SUMIF(INDIRECT("HNSW_Summary!A:A"),C39,INDEX(INDIRECT("HNSW_Summary!A:Z"),0,MATCH("NCUnexpInt",INDIRECT("HNSW_Summary!1:1"),0)))</f>
        <v>0</v>
      </c>
      <c r="K39" s="2077">
        <f ca="1">I39+G39</f>
        <v>0</v>
      </c>
      <c r="L39" s="2077">
        <f ca="1">J39+H39</f>
        <v>0</v>
      </c>
      <c r="M39" s="2076"/>
      <c r="O39" s="2047"/>
      <c r="P39" s="2046"/>
      <c r="W39" s="1815" t="b">
        <f>IF(H12_Number_of_Loans&gt;=23,FALSE,TRUE)</f>
        <v>1</v>
      </c>
    </row>
    <row r="40" spans="2:23" s="1837" customFormat="1" ht="17.25" hidden="1" customHeight="1">
      <c r="B40" s="2081"/>
      <c r="C40" s="2080"/>
      <c r="D40" s="2079" t="str">
        <f ca="1">IF(C40=E40, HYPERLINK("#'" &amp; VLOOKUP(C40,INDIRECT("HNSW_Summary!$A:$B"),2,0) &amp; "'!A1", "}"), "}")</f>
        <v>}</v>
      </c>
      <c r="E40" s="2078">
        <f ca="1">VLOOKUP(C40,INDIRECT("HNSW_Summary!$A:$B"),1,0)</f>
        <v>0</v>
      </c>
      <c r="F40" s="2077">
        <f ca="1">SUMIF(INDIRECT("HNSW_Summary!A:A"),C40,INDEX(INDIRECT("HNSW_Summary!A:Z"),0,MATCH("Interest",INDIRECT("HNSW_Summary!1:1"),0)))</f>
        <v>0</v>
      </c>
      <c r="G40" s="2077">
        <f ca="1">SUMIF(INDIRECT("HNSW_Summary!A:A"),C40,INDEX(INDIRECT("HNSW_Summary!A:Z"),0,MATCH("CL",INDIRECT("HNSW_Summary!1:1"),0)))</f>
        <v>0</v>
      </c>
      <c r="H40" s="2077">
        <f ca="1">SUMIF(INDIRECT("HNSW_Summary!A:A"),C40,INDEX(INDIRECT("HNSW_Summary!A:Z"),0,MATCH("CurrentUnexpInt",INDIRECT("HNSW_Summary!1:1"),0)))</f>
        <v>0</v>
      </c>
      <c r="I40" s="2077">
        <f ca="1">SUMIF(INDIRECT("HNSW_Summary!A:A"),C40,INDEX(INDIRECT("HNSW_Summary!A:Z"),0,MATCH("NCL",INDIRECT("HNSW_Summary!1:1"),0)))</f>
        <v>0</v>
      </c>
      <c r="J40" s="2077">
        <f ca="1">SUMIF(INDIRECT("HNSW_Summary!A:A"),C40,INDEX(INDIRECT("HNSW_Summary!A:Z"),0,MATCH("NCUnexpInt",INDIRECT("HNSW_Summary!1:1"),0)))</f>
        <v>0</v>
      </c>
      <c r="K40" s="2077">
        <f ca="1">I40+G40</f>
        <v>0</v>
      </c>
      <c r="L40" s="2077">
        <f ca="1">J40+H40</f>
        <v>0</v>
      </c>
      <c r="M40" s="2076"/>
      <c r="O40" s="2047"/>
      <c r="P40" s="2046"/>
      <c r="W40" s="1815" t="b">
        <f>IF(H12_Number_of_Loans&gt;=24,FALSE,TRUE)</f>
        <v>1</v>
      </c>
    </row>
    <row r="41" spans="2:23" s="1837" customFormat="1" ht="17.25" hidden="1" customHeight="1">
      <c r="B41" s="2081"/>
      <c r="C41" s="2080"/>
      <c r="D41" s="2079" t="str">
        <f ca="1">IF(C41=E41, HYPERLINK("#'" &amp; VLOOKUP(C41,INDIRECT("HNSW_Summary!$A:$B"),2,0) &amp; "'!A1", "}"), "}")</f>
        <v>}</v>
      </c>
      <c r="E41" s="2078">
        <f ca="1">VLOOKUP(C41,INDIRECT("HNSW_Summary!$A:$B"),1,0)</f>
        <v>0</v>
      </c>
      <c r="F41" s="2077">
        <f ca="1">SUMIF(INDIRECT("HNSW_Summary!A:A"),C41,INDEX(INDIRECT("HNSW_Summary!A:Z"),0,MATCH("Interest",INDIRECT("HNSW_Summary!1:1"),0)))</f>
        <v>0</v>
      </c>
      <c r="G41" s="2077">
        <f ca="1">SUMIF(INDIRECT("HNSW_Summary!A:A"),C41,INDEX(INDIRECT("HNSW_Summary!A:Z"),0,MATCH("CL",INDIRECT("HNSW_Summary!1:1"),0)))</f>
        <v>0</v>
      </c>
      <c r="H41" s="2077">
        <f ca="1">SUMIF(INDIRECT("HNSW_Summary!A:A"),C41,INDEX(INDIRECT("HNSW_Summary!A:Z"),0,MATCH("CurrentUnexpInt",INDIRECT("HNSW_Summary!1:1"),0)))</f>
        <v>0</v>
      </c>
      <c r="I41" s="2077">
        <f ca="1">SUMIF(INDIRECT("HNSW_Summary!A:A"),C41,INDEX(INDIRECT("HNSW_Summary!A:Z"),0,MATCH("NCL",INDIRECT("HNSW_Summary!1:1"),0)))</f>
        <v>0</v>
      </c>
      <c r="J41" s="2077">
        <f ca="1">SUMIF(INDIRECT("HNSW_Summary!A:A"),C41,INDEX(INDIRECT("HNSW_Summary!A:Z"),0,MATCH("NCUnexpInt",INDIRECT("HNSW_Summary!1:1"),0)))</f>
        <v>0</v>
      </c>
      <c r="K41" s="2077">
        <f ca="1">I41+G41</f>
        <v>0</v>
      </c>
      <c r="L41" s="2077">
        <f ca="1">J41+H41</f>
        <v>0</v>
      </c>
      <c r="M41" s="2076"/>
      <c r="O41" s="2047"/>
      <c r="P41" s="2046"/>
      <c r="W41" s="1815" t="b">
        <f>IF(H12_Number_of_Loans&gt;=25,FALSE,TRUE)</f>
        <v>1</v>
      </c>
    </row>
    <row r="42" spans="2:23" s="1837" customFormat="1" ht="17.25" hidden="1" customHeight="1">
      <c r="B42" s="2081"/>
      <c r="C42" s="2080"/>
      <c r="D42" s="2079" t="str">
        <f ca="1">IF(C42=E42, HYPERLINK("#'" &amp; VLOOKUP(C42,INDIRECT("HNSW_Summary!$A:$B"),2,0) &amp; "'!A1", "}"), "}")</f>
        <v>}</v>
      </c>
      <c r="E42" s="2078">
        <f ca="1">VLOOKUP(C42,INDIRECT("HNSW_Summary!$A:$B"),1,0)</f>
        <v>0</v>
      </c>
      <c r="F42" s="2077">
        <f ca="1">SUMIF(INDIRECT("HNSW_Summary!A:A"),C42,INDEX(INDIRECT("HNSW_Summary!A:Z"),0,MATCH("Interest",INDIRECT("HNSW_Summary!1:1"),0)))</f>
        <v>0</v>
      </c>
      <c r="G42" s="2077">
        <f ca="1">SUMIF(INDIRECT("HNSW_Summary!A:A"),C42,INDEX(INDIRECT("HNSW_Summary!A:Z"),0,MATCH("CL",INDIRECT("HNSW_Summary!1:1"),0)))</f>
        <v>0</v>
      </c>
      <c r="H42" s="2077">
        <f ca="1">SUMIF(INDIRECT("HNSW_Summary!A:A"),C42,INDEX(INDIRECT("HNSW_Summary!A:Z"),0,MATCH("CurrentUnexpInt",INDIRECT("HNSW_Summary!1:1"),0)))</f>
        <v>0</v>
      </c>
      <c r="I42" s="2077">
        <f ca="1">SUMIF(INDIRECT("HNSW_Summary!A:A"),C42,INDEX(INDIRECT("HNSW_Summary!A:Z"),0,MATCH("NCL",INDIRECT("HNSW_Summary!1:1"),0)))</f>
        <v>0</v>
      </c>
      <c r="J42" s="2077">
        <f ca="1">SUMIF(INDIRECT("HNSW_Summary!A:A"),C42,INDEX(INDIRECT("HNSW_Summary!A:Z"),0,MATCH("NCUnexpInt",INDIRECT("HNSW_Summary!1:1"),0)))</f>
        <v>0</v>
      </c>
      <c r="K42" s="2077">
        <f ca="1">I42+G42</f>
        <v>0</v>
      </c>
      <c r="L42" s="2077">
        <f ca="1">J42+H42</f>
        <v>0</v>
      </c>
      <c r="M42" s="2076"/>
      <c r="O42" s="2047"/>
      <c r="P42" s="2046"/>
      <c r="W42" s="1815" t="b">
        <f>IF(H12_Number_of_Loans&gt;=26,FALSE,TRUE)</f>
        <v>1</v>
      </c>
    </row>
    <row r="43" spans="2:23" s="1837" customFormat="1" ht="17.25" hidden="1" customHeight="1">
      <c r="B43" s="2081"/>
      <c r="C43" s="2080"/>
      <c r="D43" s="2079" t="str">
        <f ca="1">IF(C43=E43, HYPERLINK("#'" &amp; VLOOKUP(C43,INDIRECT("HNSW_Summary!$A:$B"),2,0) &amp; "'!A1", "}"), "}")</f>
        <v>}</v>
      </c>
      <c r="E43" s="2078">
        <f ca="1">VLOOKUP(C43,INDIRECT("HNSW_Summary!$A:$B"),1,0)</f>
        <v>0</v>
      </c>
      <c r="F43" s="2077">
        <f ca="1">SUMIF(INDIRECT("HNSW_Summary!A:A"),C43,INDEX(INDIRECT("HNSW_Summary!A:Z"),0,MATCH("Interest",INDIRECT("HNSW_Summary!1:1"),0)))</f>
        <v>0</v>
      </c>
      <c r="G43" s="2077">
        <f ca="1">SUMIF(INDIRECT("HNSW_Summary!A:A"),C43,INDEX(INDIRECT("HNSW_Summary!A:Z"),0,MATCH("CL",INDIRECT("HNSW_Summary!1:1"),0)))</f>
        <v>0</v>
      </c>
      <c r="H43" s="2077">
        <f ca="1">SUMIF(INDIRECT("HNSW_Summary!A:A"),C43,INDEX(INDIRECT("HNSW_Summary!A:Z"),0,MATCH("CurrentUnexpInt",INDIRECT("HNSW_Summary!1:1"),0)))</f>
        <v>0</v>
      </c>
      <c r="I43" s="2077">
        <f ca="1">SUMIF(INDIRECT("HNSW_Summary!A:A"),C43,INDEX(INDIRECT("HNSW_Summary!A:Z"),0,MATCH("NCL",INDIRECT("HNSW_Summary!1:1"),0)))</f>
        <v>0</v>
      </c>
      <c r="J43" s="2077">
        <f ca="1">SUMIF(INDIRECT("HNSW_Summary!A:A"),C43,INDEX(INDIRECT("HNSW_Summary!A:Z"),0,MATCH("NCUnexpInt",INDIRECT("HNSW_Summary!1:1"),0)))</f>
        <v>0</v>
      </c>
      <c r="K43" s="2077">
        <f ca="1">I43+G43</f>
        <v>0</v>
      </c>
      <c r="L43" s="2077">
        <f ca="1">J43+H43</f>
        <v>0</v>
      </c>
      <c r="M43" s="2076"/>
      <c r="O43" s="2047"/>
      <c r="P43" s="2046"/>
      <c r="W43" s="1815" t="b">
        <f>IF(H12_Number_of_Loans&gt;=27,FALSE,TRUE)</f>
        <v>1</v>
      </c>
    </row>
    <row r="44" spans="2:23" s="1837" customFormat="1" ht="17.25" hidden="1" customHeight="1">
      <c r="B44" s="2081"/>
      <c r="C44" s="2080"/>
      <c r="D44" s="2079" t="str">
        <f ca="1">IF(C44=E44, HYPERLINK("#'" &amp; VLOOKUP(C44,INDIRECT("HNSW_Summary!$A:$B"),2,0) &amp; "'!A1", "}"), "}")</f>
        <v>}</v>
      </c>
      <c r="E44" s="2078">
        <f ca="1">VLOOKUP(C44,INDIRECT("HNSW_Summary!$A:$B"),1,0)</f>
        <v>0</v>
      </c>
      <c r="F44" s="2077">
        <f ca="1">SUMIF(INDIRECT("HNSW_Summary!A:A"),C44,INDEX(INDIRECT("HNSW_Summary!A:Z"),0,MATCH("Interest",INDIRECT("HNSW_Summary!1:1"),0)))</f>
        <v>0</v>
      </c>
      <c r="G44" s="2077">
        <f ca="1">SUMIF(INDIRECT("HNSW_Summary!A:A"),C44,INDEX(INDIRECT("HNSW_Summary!A:Z"),0,MATCH("CL",INDIRECT("HNSW_Summary!1:1"),0)))</f>
        <v>0</v>
      </c>
      <c r="H44" s="2077">
        <f ca="1">SUMIF(INDIRECT("HNSW_Summary!A:A"),C44,INDEX(INDIRECT("HNSW_Summary!A:Z"),0,MATCH("CurrentUnexpInt",INDIRECT("HNSW_Summary!1:1"),0)))</f>
        <v>0</v>
      </c>
      <c r="I44" s="2077">
        <f ca="1">SUMIF(INDIRECT("HNSW_Summary!A:A"),C44,INDEX(INDIRECT("HNSW_Summary!A:Z"),0,MATCH("NCL",INDIRECT("HNSW_Summary!1:1"),0)))</f>
        <v>0</v>
      </c>
      <c r="J44" s="2077">
        <f ca="1">SUMIF(INDIRECT("HNSW_Summary!A:A"),C44,INDEX(INDIRECT("HNSW_Summary!A:Z"),0,MATCH("NCUnexpInt",INDIRECT("HNSW_Summary!1:1"),0)))</f>
        <v>0</v>
      </c>
      <c r="K44" s="2077">
        <f ca="1">I44+G44</f>
        <v>0</v>
      </c>
      <c r="L44" s="2077">
        <f ca="1">J44+H44</f>
        <v>0</v>
      </c>
      <c r="M44" s="2076"/>
      <c r="O44" s="2047"/>
      <c r="P44" s="2046"/>
      <c r="W44" s="1815" t="b">
        <f>IF(H12_Number_of_Loans&gt;=28,FALSE,TRUE)</f>
        <v>1</v>
      </c>
    </row>
    <row r="45" spans="2:23" s="1837" customFormat="1" ht="17.25" hidden="1" customHeight="1">
      <c r="B45" s="2081"/>
      <c r="C45" s="2080"/>
      <c r="D45" s="2079" t="str">
        <f ca="1">IF(C45=E45, HYPERLINK("#'" &amp; VLOOKUP(C45,INDIRECT("HNSW_Summary!$A:$B"),2,0) &amp; "'!A1", "}"), "}")</f>
        <v>}</v>
      </c>
      <c r="E45" s="2078">
        <f ca="1">VLOOKUP(C45,INDIRECT("HNSW_Summary!$A:$B"),1,0)</f>
        <v>0</v>
      </c>
      <c r="F45" s="2077">
        <f ca="1">SUMIF(INDIRECT("HNSW_Summary!A:A"),C45,INDEX(INDIRECT("HNSW_Summary!A:Z"),0,MATCH("Interest",INDIRECT("HNSW_Summary!1:1"),0)))</f>
        <v>0</v>
      </c>
      <c r="G45" s="2077">
        <f ca="1">SUMIF(INDIRECT("HNSW_Summary!A:A"),C45,INDEX(INDIRECT("HNSW_Summary!A:Z"),0,MATCH("CL",INDIRECT("HNSW_Summary!1:1"),0)))</f>
        <v>0</v>
      </c>
      <c r="H45" s="2077">
        <f ca="1">SUMIF(INDIRECT("HNSW_Summary!A:A"),C45,INDEX(INDIRECT("HNSW_Summary!A:Z"),0,MATCH("CurrentUnexpInt",INDIRECT("HNSW_Summary!1:1"),0)))</f>
        <v>0</v>
      </c>
      <c r="I45" s="2077">
        <f ca="1">SUMIF(INDIRECT("HNSW_Summary!A:A"),C45,INDEX(INDIRECT("HNSW_Summary!A:Z"),0,MATCH("NCL",INDIRECT("HNSW_Summary!1:1"),0)))</f>
        <v>0</v>
      </c>
      <c r="J45" s="2077">
        <f ca="1">SUMIF(INDIRECT("HNSW_Summary!A:A"),C45,INDEX(INDIRECT("HNSW_Summary!A:Z"),0,MATCH("NCUnexpInt",INDIRECT("HNSW_Summary!1:1"),0)))</f>
        <v>0</v>
      </c>
      <c r="K45" s="2077">
        <f ca="1">I45+G45</f>
        <v>0</v>
      </c>
      <c r="L45" s="2077">
        <f ca="1">J45+H45</f>
        <v>0</v>
      </c>
      <c r="M45" s="2076"/>
      <c r="O45" s="2047"/>
      <c r="P45" s="2046"/>
      <c r="W45" s="1815" t="b">
        <f>IF(H12_Number_of_Loans&gt;=29,FALSE,TRUE)</f>
        <v>1</v>
      </c>
    </row>
    <row r="46" spans="2:23" s="1837" customFormat="1" ht="17.25" hidden="1" customHeight="1">
      <c r="B46" s="2081"/>
      <c r="C46" s="2080"/>
      <c r="D46" s="2079" t="str">
        <f ca="1">IF(C46=E46, HYPERLINK("#'" &amp; VLOOKUP(C46,INDIRECT("HNSW_Summary!$A:$B"),2,0) &amp; "'!A1", "}"), "}")</f>
        <v>}</v>
      </c>
      <c r="E46" s="2078">
        <f ca="1">VLOOKUP(C46,INDIRECT("HNSW_Summary!$A:$B"),1,0)</f>
        <v>0</v>
      </c>
      <c r="F46" s="2077">
        <f ca="1">SUMIF(INDIRECT("HNSW_Summary!A:A"),C46,INDEX(INDIRECT("HNSW_Summary!A:Z"),0,MATCH("Interest",INDIRECT("HNSW_Summary!1:1"),0)))</f>
        <v>0</v>
      </c>
      <c r="G46" s="2077">
        <f ca="1">SUMIF(INDIRECT("HNSW_Summary!A:A"),C46,INDEX(INDIRECT("HNSW_Summary!A:Z"),0,MATCH("CL",INDIRECT("HNSW_Summary!1:1"),0)))</f>
        <v>0</v>
      </c>
      <c r="H46" s="2077">
        <f ca="1">SUMIF(INDIRECT("HNSW_Summary!A:A"),C46,INDEX(INDIRECT("HNSW_Summary!A:Z"),0,MATCH("CurrentUnexpInt",INDIRECT("HNSW_Summary!1:1"),0)))</f>
        <v>0</v>
      </c>
      <c r="I46" s="2077">
        <f ca="1">SUMIF(INDIRECT("HNSW_Summary!A:A"),C46,INDEX(INDIRECT("HNSW_Summary!A:Z"),0,MATCH("NCL",INDIRECT("HNSW_Summary!1:1"),0)))</f>
        <v>0</v>
      </c>
      <c r="J46" s="2077">
        <f ca="1">SUMIF(INDIRECT("HNSW_Summary!A:A"),C46,INDEX(INDIRECT("HNSW_Summary!A:Z"),0,MATCH("NCUnexpInt",INDIRECT("HNSW_Summary!1:1"),0)))</f>
        <v>0</v>
      </c>
      <c r="K46" s="2077">
        <f ca="1">I46+G46</f>
        <v>0</v>
      </c>
      <c r="L46" s="2077">
        <f ca="1">J46+H46</f>
        <v>0</v>
      </c>
      <c r="M46" s="2076"/>
      <c r="O46" s="2047"/>
      <c r="P46" s="2046"/>
      <c r="W46" s="1815" t="b">
        <f>IF(H12_Number_of_Loans&gt;=30,FALSE,TRUE)</f>
        <v>1</v>
      </c>
    </row>
    <row r="47" spans="2:23" s="1837" customFormat="1" ht="17.25" hidden="1" customHeight="1">
      <c r="B47" s="2081"/>
      <c r="C47" s="2080"/>
      <c r="D47" s="2079" t="str">
        <f ca="1">IF(C47=E47, HYPERLINK("#'" &amp; VLOOKUP(C47,INDIRECT("HNSW_Summary!$A:$B"),2,0) &amp; "'!A1", "}"), "}")</f>
        <v>}</v>
      </c>
      <c r="E47" s="2078">
        <f ca="1">VLOOKUP(C47,INDIRECT("HNSW_Summary!$A:$B"),1,0)</f>
        <v>0</v>
      </c>
      <c r="F47" s="2077">
        <f ca="1">SUMIF(INDIRECT("HNSW_Summary!A:A"),C47,INDEX(INDIRECT("HNSW_Summary!A:Z"),0,MATCH("Interest",INDIRECT("HNSW_Summary!1:1"),0)))</f>
        <v>0</v>
      </c>
      <c r="G47" s="2077">
        <f ca="1">SUMIF(INDIRECT("HNSW_Summary!A:A"),C47,INDEX(INDIRECT("HNSW_Summary!A:Z"),0,MATCH("CL",INDIRECT("HNSW_Summary!1:1"),0)))</f>
        <v>0</v>
      </c>
      <c r="H47" s="2077">
        <f ca="1">SUMIF(INDIRECT("HNSW_Summary!A:A"),C47,INDEX(INDIRECT("HNSW_Summary!A:Z"),0,MATCH("CurrentUnexpInt",INDIRECT("HNSW_Summary!1:1"),0)))</f>
        <v>0</v>
      </c>
      <c r="I47" s="2077">
        <f ca="1">SUMIF(INDIRECT("HNSW_Summary!A:A"),C47,INDEX(INDIRECT("HNSW_Summary!A:Z"),0,MATCH("NCL",INDIRECT("HNSW_Summary!1:1"),0)))</f>
        <v>0</v>
      </c>
      <c r="J47" s="2077">
        <f ca="1">SUMIF(INDIRECT("HNSW_Summary!A:A"),C47,INDEX(INDIRECT("HNSW_Summary!A:Z"),0,MATCH("NCUnexpInt",INDIRECT("HNSW_Summary!1:1"),0)))</f>
        <v>0</v>
      </c>
      <c r="K47" s="2077">
        <f ca="1">I47+G47</f>
        <v>0</v>
      </c>
      <c r="L47" s="2077">
        <f ca="1">J47+H47</f>
        <v>0</v>
      </c>
      <c r="M47" s="2076"/>
      <c r="O47" s="2047"/>
      <c r="P47" s="2046"/>
      <c r="W47" s="1815" t="b">
        <f>IF(H12_Number_of_Loans&gt;=31,FALSE,TRUE)</f>
        <v>1</v>
      </c>
    </row>
    <row r="48" spans="2:23" s="1837" customFormat="1" ht="17.25" hidden="1" customHeight="1">
      <c r="B48" s="2081"/>
      <c r="C48" s="2080"/>
      <c r="D48" s="2079" t="str">
        <f ca="1">IF(C48=E48, HYPERLINK("#'" &amp; VLOOKUP(C48,INDIRECT("HNSW_Summary!$A:$B"),2,0) &amp; "'!A1", "}"), "}")</f>
        <v>}</v>
      </c>
      <c r="E48" s="2078">
        <f ca="1">VLOOKUP(C48,INDIRECT("HNSW_Summary!$A:$B"),1,0)</f>
        <v>0</v>
      </c>
      <c r="F48" s="2077">
        <f ca="1">SUMIF(INDIRECT("HNSW_Summary!A:A"),C48,INDEX(INDIRECT("HNSW_Summary!A:Z"),0,MATCH("Interest",INDIRECT("HNSW_Summary!1:1"),0)))</f>
        <v>0</v>
      </c>
      <c r="G48" s="2077">
        <f ca="1">SUMIF(INDIRECT("HNSW_Summary!A:A"),C48,INDEX(INDIRECT("HNSW_Summary!A:Z"),0,MATCH("CL",INDIRECT("HNSW_Summary!1:1"),0)))</f>
        <v>0</v>
      </c>
      <c r="H48" s="2077">
        <f ca="1">SUMIF(INDIRECT("HNSW_Summary!A:A"),C48,INDEX(INDIRECT("HNSW_Summary!A:Z"),0,MATCH("CurrentUnexpInt",INDIRECT("HNSW_Summary!1:1"),0)))</f>
        <v>0</v>
      </c>
      <c r="I48" s="2077">
        <f ca="1">SUMIF(INDIRECT("HNSW_Summary!A:A"),C48,INDEX(INDIRECT("HNSW_Summary!A:Z"),0,MATCH("NCL",INDIRECT("HNSW_Summary!1:1"),0)))</f>
        <v>0</v>
      </c>
      <c r="J48" s="2077">
        <f ca="1">SUMIF(INDIRECT("HNSW_Summary!A:A"),C48,INDEX(INDIRECT("HNSW_Summary!A:Z"),0,MATCH("NCUnexpInt",INDIRECT("HNSW_Summary!1:1"),0)))</f>
        <v>0</v>
      </c>
      <c r="K48" s="2077">
        <f ca="1">I48+G48</f>
        <v>0</v>
      </c>
      <c r="L48" s="2077">
        <f ca="1">J48+H48</f>
        <v>0</v>
      </c>
      <c r="M48" s="2076"/>
      <c r="O48" s="2047"/>
      <c r="P48" s="2046"/>
      <c r="W48" s="1815" t="b">
        <f>IF(H12_Number_of_Loans&gt;=32,FALSE,TRUE)</f>
        <v>1</v>
      </c>
    </row>
    <row r="49" spans="2:23" s="1837" customFormat="1" ht="17.25" hidden="1" customHeight="1">
      <c r="B49" s="2081"/>
      <c r="C49" s="2080"/>
      <c r="D49" s="2079" t="str">
        <f ca="1">IF(C49=E49, HYPERLINK("#'" &amp; VLOOKUP(C49,INDIRECT("HNSW_Summary!$A:$B"),2,0) &amp; "'!A1", "}"), "}")</f>
        <v>}</v>
      </c>
      <c r="E49" s="2078">
        <f ca="1">VLOOKUP(C49,INDIRECT("HNSW_Summary!$A:$B"),1,0)</f>
        <v>0</v>
      </c>
      <c r="F49" s="2077">
        <f ca="1">SUMIF(INDIRECT("HNSW_Summary!A:A"),C49,INDEX(INDIRECT("HNSW_Summary!A:Z"),0,MATCH("Interest",INDIRECT("HNSW_Summary!1:1"),0)))</f>
        <v>0</v>
      </c>
      <c r="G49" s="2077">
        <f ca="1">SUMIF(INDIRECT("HNSW_Summary!A:A"),C49,INDEX(INDIRECT("HNSW_Summary!A:Z"),0,MATCH("CL",INDIRECT("HNSW_Summary!1:1"),0)))</f>
        <v>0</v>
      </c>
      <c r="H49" s="2077">
        <f ca="1">SUMIF(INDIRECT("HNSW_Summary!A:A"),C49,INDEX(INDIRECT("HNSW_Summary!A:Z"),0,MATCH("CurrentUnexpInt",INDIRECT("HNSW_Summary!1:1"),0)))</f>
        <v>0</v>
      </c>
      <c r="I49" s="2077">
        <f ca="1">SUMIF(INDIRECT("HNSW_Summary!A:A"),C49,INDEX(INDIRECT("HNSW_Summary!A:Z"),0,MATCH("NCL",INDIRECT("HNSW_Summary!1:1"),0)))</f>
        <v>0</v>
      </c>
      <c r="J49" s="2077">
        <f ca="1">SUMIF(INDIRECT("HNSW_Summary!A:A"),C49,INDEX(INDIRECT("HNSW_Summary!A:Z"),0,MATCH("NCUnexpInt",INDIRECT("HNSW_Summary!1:1"),0)))</f>
        <v>0</v>
      </c>
      <c r="K49" s="2077">
        <f ca="1">I49+G49</f>
        <v>0</v>
      </c>
      <c r="L49" s="2077">
        <f ca="1">J49+H49</f>
        <v>0</v>
      </c>
      <c r="M49" s="2076"/>
      <c r="O49" s="2047"/>
      <c r="P49" s="2046"/>
      <c r="W49" s="1815" t="b">
        <f>IF(H12_Number_of_Loans&gt;=33,FALSE,TRUE)</f>
        <v>1</v>
      </c>
    </row>
    <row r="50" spans="2:23" s="1837" customFormat="1" ht="17.25" hidden="1" customHeight="1">
      <c r="B50" s="2081"/>
      <c r="C50" s="2080"/>
      <c r="D50" s="2079" t="str">
        <f ca="1">IF(C50=E50, HYPERLINK("#'" &amp; VLOOKUP(C50,INDIRECT("HNSW_Summary!$A:$B"),2,0) &amp; "'!A1", "}"), "}")</f>
        <v>}</v>
      </c>
      <c r="E50" s="2078">
        <f ca="1">VLOOKUP(C50,INDIRECT("HNSW_Summary!$A:$B"),1,0)</f>
        <v>0</v>
      </c>
      <c r="F50" s="2077">
        <f ca="1">SUMIF(INDIRECT("HNSW_Summary!A:A"),C50,INDEX(INDIRECT("HNSW_Summary!A:Z"),0,MATCH("Interest",INDIRECT("HNSW_Summary!1:1"),0)))</f>
        <v>0</v>
      </c>
      <c r="G50" s="2077">
        <f ca="1">SUMIF(INDIRECT("HNSW_Summary!A:A"),C50,INDEX(INDIRECT("HNSW_Summary!A:Z"),0,MATCH("CL",INDIRECT("HNSW_Summary!1:1"),0)))</f>
        <v>0</v>
      </c>
      <c r="H50" s="2077">
        <f ca="1">SUMIF(INDIRECT("HNSW_Summary!A:A"),C50,INDEX(INDIRECT("HNSW_Summary!A:Z"),0,MATCH("CurrentUnexpInt",INDIRECT("HNSW_Summary!1:1"),0)))</f>
        <v>0</v>
      </c>
      <c r="I50" s="2077">
        <f ca="1">SUMIF(INDIRECT("HNSW_Summary!A:A"),C50,INDEX(INDIRECT("HNSW_Summary!A:Z"),0,MATCH("NCL",INDIRECT("HNSW_Summary!1:1"),0)))</f>
        <v>0</v>
      </c>
      <c r="J50" s="2077">
        <f ca="1">SUMIF(INDIRECT("HNSW_Summary!A:A"),C50,INDEX(INDIRECT("HNSW_Summary!A:Z"),0,MATCH("NCUnexpInt",INDIRECT("HNSW_Summary!1:1"),0)))</f>
        <v>0</v>
      </c>
      <c r="K50" s="2077">
        <f ca="1">I50+G50</f>
        <v>0</v>
      </c>
      <c r="L50" s="2077">
        <f ca="1">J50+H50</f>
        <v>0</v>
      </c>
      <c r="M50" s="2076"/>
      <c r="O50" s="2047"/>
      <c r="P50" s="2046"/>
      <c r="W50" s="1815" t="b">
        <f>IF(H12_Number_of_Loans&gt;=34,FALSE,TRUE)</f>
        <v>1</v>
      </c>
    </row>
    <row r="51" spans="2:23" s="1837" customFormat="1" ht="17.25" hidden="1" customHeight="1">
      <c r="B51" s="2081"/>
      <c r="C51" s="2080"/>
      <c r="D51" s="2079" t="str">
        <f ca="1">IF(C51=E51, HYPERLINK("#'" &amp; VLOOKUP(C51,INDIRECT("HNSW_Summary!$A:$B"),2,0) &amp; "'!A1", "}"), "}")</f>
        <v>}</v>
      </c>
      <c r="E51" s="2078">
        <f ca="1">VLOOKUP(C51,INDIRECT("HNSW_Summary!$A:$B"),1,0)</f>
        <v>0</v>
      </c>
      <c r="F51" s="2077">
        <f ca="1">SUMIF(INDIRECT("HNSW_Summary!A:A"),C51,INDEX(INDIRECT("HNSW_Summary!A:Z"),0,MATCH("Interest",INDIRECT("HNSW_Summary!1:1"),0)))</f>
        <v>0</v>
      </c>
      <c r="G51" s="2077">
        <f ca="1">SUMIF(INDIRECT("HNSW_Summary!A:A"),C51,INDEX(INDIRECT("HNSW_Summary!A:Z"),0,MATCH("CL",INDIRECT("HNSW_Summary!1:1"),0)))</f>
        <v>0</v>
      </c>
      <c r="H51" s="2077">
        <f ca="1">SUMIF(INDIRECT("HNSW_Summary!A:A"),C51,INDEX(INDIRECT("HNSW_Summary!A:Z"),0,MATCH("CurrentUnexpInt",INDIRECT("HNSW_Summary!1:1"),0)))</f>
        <v>0</v>
      </c>
      <c r="I51" s="2077">
        <f ca="1">SUMIF(INDIRECT("HNSW_Summary!A:A"),C51,INDEX(INDIRECT("HNSW_Summary!A:Z"),0,MATCH("NCL",INDIRECT("HNSW_Summary!1:1"),0)))</f>
        <v>0</v>
      </c>
      <c r="J51" s="2077">
        <f ca="1">SUMIF(INDIRECT("HNSW_Summary!A:A"),C51,INDEX(INDIRECT("HNSW_Summary!A:Z"),0,MATCH("NCUnexpInt",INDIRECT("HNSW_Summary!1:1"),0)))</f>
        <v>0</v>
      </c>
      <c r="K51" s="2077">
        <f ca="1">I51+G51</f>
        <v>0</v>
      </c>
      <c r="L51" s="2077">
        <f ca="1">J51+H51</f>
        <v>0</v>
      </c>
      <c r="M51" s="2076"/>
      <c r="O51" s="2047"/>
      <c r="P51" s="2046"/>
      <c r="W51" s="1815" t="b">
        <f>IF(H12_Number_of_Loans&gt;=35,FALSE,TRUE)</f>
        <v>1</v>
      </c>
    </row>
    <row r="52" spans="2:23" s="1837" customFormat="1" ht="17.25" hidden="1" customHeight="1">
      <c r="B52" s="2081"/>
      <c r="C52" s="2080"/>
      <c r="D52" s="2079" t="str">
        <f ca="1">IF(C52=E52, HYPERLINK("#'" &amp; VLOOKUP(C52,INDIRECT("HNSW_Summary!$A:$B"),2,0) &amp; "'!A1", "}"), "}")</f>
        <v>}</v>
      </c>
      <c r="E52" s="2078">
        <f ca="1">VLOOKUP(C52,INDIRECT("HNSW_Summary!$A:$B"),1,0)</f>
        <v>0</v>
      </c>
      <c r="F52" s="2077">
        <f ca="1">SUMIF(INDIRECT("HNSW_Summary!A:A"),C52,INDEX(INDIRECT("HNSW_Summary!A:Z"),0,MATCH("Interest",INDIRECT("HNSW_Summary!1:1"),0)))</f>
        <v>0</v>
      </c>
      <c r="G52" s="2077">
        <f ca="1">SUMIF(INDIRECT("HNSW_Summary!A:A"),C52,INDEX(INDIRECT("HNSW_Summary!A:Z"),0,MATCH("CL",INDIRECT("HNSW_Summary!1:1"),0)))</f>
        <v>0</v>
      </c>
      <c r="H52" s="2077">
        <f ca="1">SUMIF(INDIRECT("HNSW_Summary!A:A"),C52,INDEX(INDIRECT("HNSW_Summary!A:Z"),0,MATCH("CurrentUnexpInt",INDIRECT("HNSW_Summary!1:1"),0)))</f>
        <v>0</v>
      </c>
      <c r="I52" s="2077">
        <f ca="1">SUMIF(INDIRECT("HNSW_Summary!A:A"),C52,INDEX(INDIRECT("HNSW_Summary!A:Z"),0,MATCH("NCL",INDIRECT("HNSW_Summary!1:1"),0)))</f>
        <v>0</v>
      </c>
      <c r="J52" s="2077">
        <f ca="1">SUMIF(INDIRECT("HNSW_Summary!A:A"),C52,INDEX(INDIRECT("HNSW_Summary!A:Z"),0,MATCH("NCUnexpInt",INDIRECT("HNSW_Summary!1:1"),0)))</f>
        <v>0</v>
      </c>
      <c r="K52" s="2077">
        <f ca="1">I52+G52</f>
        <v>0</v>
      </c>
      <c r="L52" s="2077">
        <f ca="1">J52+H52</f>
        <v>0</v>
      </c>
      <c r="M52" s="2076"/>
      <c r="O52" s="2047"/>
      <c r="P52" s="2046"/>
      <c r="W52" s="1815" t="b">
        <f>IF(H12_Number_of_Loans&gt;=36,FALSE,TRUE)</f>
        <v>1</v>
      </c>
    </row>
    <row r="53" spans="2:23" s="1837" customFormat="1" ht="17.25" hidden="1" customHeight="1">
      <c r="B53" s="2081"/>
      <c r="C53" s="2080"/>
      <c r="D53" s="2079" t="str">
        <f ca="1">IF(C53=E53, HYPERLINK("#'" &amp; VLOOKUP(C53,INDIRECT("HNSW_Summary!$A:$B"),2,0) &amp; "'!A1", "}"), "}")</f>
        <v>}</v>
      </c>
      <c r="E53" s="2078">
        <f ca="1">VLOOKUP(C53,INDIRECT("HNSW_Summary!$A:$B"),1,0)</f>
        <v>0</v>
      </c>
      <c r="F53" s="2077">
        <f ca="1">SUMIF(INDIRECT("HNSW_Summary!A:A"),C53,INDEX(INDIRECT("HNSW_Summary!A:Z"),0,MATCH("Interest",INDIRECT("HNSW_Summary!1:1"),0)))</f>
        <v>0</v>
      </c>
      <c r="G53" s="2077">
        <f ca="1">SUMIF(INDIRECT("HNSW_Summary!A:A"),C53,INDEX(INDIRECT("HNSW_Summary!A:Z"),0,MATCH("CL",INDIRECT("HNSW_Summary!1:1"),0)))</f>
        <v>0</v>
      </c>
      <c r="H53" s="2077">
        <f ca="1">SUMIF(INDIRECT("HNSW_Summary!A:A"),C53,INDEX(INDIRECT("HNSW_Summary!A:Z"),0,MATCH("CurrentUnexpInt",INDIRECT("HNSW_Summary!1:1"),0)))</f>
        <v>0</v>
      </c>
      <c r="I53" s="2077">
        <f ca="1">SUMIF(INDIRECT("HNSW_Summary!A:A"),C53,INDEX(INDIRECT("HNSW_Summary!A:Z"),0,MATCH("NCL",INDIRECT("HNSW_Summary!1:1"),0)))</f>
        <v>0</v>
      </c>
      <c r="J53" s="2077">
        <f ca="1">SUMIF(INDIRECT("HNSW_Summary!A:A"),C53,INDEX(INDIRECT("HNSW_Summary!A:Z"),0,MATCH("NCUnexpInt",INDIRECT("HNSW_Summary!1:1"),0)))</f>
        <v>0</v>
      </c>
      <c r="K53" s="2077">
        <f ca="1">I53+G53</f>
        <v>0</v>
      </c>
      <c r="L53" s="2077">
        <f ca="1">J53+H53</f>
        <v>0</v>
      </c>
      <c r="M53" s="2076"/>
      <c r="O53" s="2047"/>
      <c r="P53" s="2046"/>
      <c r="W53" s="1815" t="b">
        <f>IF(H12_Number_of_Loans&gt;=37,FALSE,TRUE)</f>
        <v>1</v>
      </c>
    </row>
    <row r="54" spans="2:23" s="1837" customFormat="1" ht="17.25" hidden="1" customHeight="1">
      <c r="B54" s="2081"/>
      <c r="C54" s="2080"/>
      <c r="D54" s="2079" t="str">
        <f ca="1">IF(C54=E54, HYPERLINK("#'" &amp; VLOOKUP(C54,INDIRECT("HNSW_Summary!$A:$B"),2,0) &amp; "'!A1", "}"), "}")</f>
        <v>}</v>
      </c>
      <c r="E54" s="2078">
        <f ca="1">VLOOKUP(C54,INDIRECT("HNSW_Summary!$A:$B"),1,0)</f>
        <v>0</v>
      </c>
      <c r="F54" s="2077">
        <f ca="1">SUMIF(INDIRECT("HNSW_Summary!A:A"),C54,INDEX(INDIRECT("HNSW_Summary!A:Z"),0,MATCH("Interest",INDIRECT("HNSW_Summary!1:1"),0)))</f>
        <v>0</v>
      </c>
      <c r="G54" s="2077">
        <f ca="1">SUMIF(INDIRECT("HNSW_Summary!A:A"),C54,INDEX(INDIRECT("HNSW_Summary!A:Z"),0,MATCH("CL",INDIRECT("HNSW_Summary!1:1"),0)))</f>
        <v>0</v>
      </c>
      <c r="H54" s="2077">
        <f ca="1">SUMIF(INDIRECT("HNSW_Summary!A:A"),C54,INDEX(INDIRECT("HNSW_Summary!A:Z"),0,MATCH("CurrentUnexpInt",INDIRECT("HNSW_Summary!1:1"),0)))</f>
        <v>0</v>
      </c>
      <c r="I54" s="2077">
        <f ca="1">SUMIF(INDIRECT("HNSW_Summary!A:A"),C54,INDEX(INDIRECT("HNSW_Summary!A:Z"),0,MATCH("NCL",INDIRECT("HNSW_Summary!1:1"),0)))</f>
        <v>0</v>
      </c>
      <c r="J54" s="2077">
        <f ca="1">SUMIF(INDIRECT("HNSW_Summary!A:A"),C54,INDEX(INDIRECT("HNSW_Summary!A:Z"),0,MATCH("NCUnexpInt",INDIRECT("HNSW_Summary!1:1"),0)))</f>
        <v>0</v>
      </c>
      <c r="K54" s="2077">
        <f ca="1">I54+G54</f>
        <v>0</v>
      </c>
      <c r="L54" s="2077">
        <f ca="1">J54+H54</f>
        <v>0</v>
      </c>
      <c r="M54" s="2076"/>
      <c r="O54" s="2047"/>
      <c r="P54" s="2046"/>
      <c r="W54" s="1815" t="b">
        <f>IF(H12_Number_of_Loans&gt;=38,FALSE,TRUE)</f>
        <v>1</v>
      </c>
    </row>
    <row r="55" spans="2:23" s="1837" customFormat="1" ht="17.25" hidden="1" customHeight="1">
      <c r="B55" s="2081"/>
      <c r="C55" s="2080"/>
      <c r="D55" s="2079" t="str">
        <f ca="1">IF(C55=E55, HYPERLINK("#'" &amp; VLOOKUP(C55,INDIRECT("HNSW_Summary!$A:$B"),2,0) &amp; "'!A1", "}"), "}")</f>
        <v>}</v>
      </c>
      <c r="E55" s="2078">
        <f ca="1">VLOOKUP(C55,INDIRECT("HNSW_Summary!$A:$B"),1,0)</f>
        <v>0</v>
      </c>
      <c r="F55" s="2077">
        <f ca="1">SUMIF(INDIRECT("HNSW_Summary!A:A"),C55,INDEX(INDIRECT("HNSW_Summary!A:Z"),0,MATCH("Interest",INDIRECT("HNSW_Summary!1:1"),0)))</f>
        <v>0</v>
      </c>
      <c r="G55" s="2077">
        <f ca="1">SUMIF(INDIRECT("HNSW_Summary!A:A"),C55,INDEX(INDIRECT("HNSW_Summary!A:Z"),0,MATCH("CL",INDIRECT("HNSW_Summary!1:1"),0)))</f>
        <v>0</v>
      </c>
      <c r="H55" s="2077">
        <f ca="1">SUMIF(INDIRECT("HNSW_Summary!A:A"),C55,INDEX(INDIRECT("HNSW_Summary!A:Z"),0,MATCH("CurrentUnexpInt",INDIRECT("HNSW_Summary!1:1"),0)))</f>
        <v>0</v>
      </c>
      <c r="I55" s="2077">
        <f ca="1">SUMIF(INDIRECT("HNSW_Summary!A:A"),C55,INDEX(INDIRECT("HNSW_Summary!A:Z"),0,MATCH("NCL",INDIRECT("HNSW_Summary!1:1"),0)))</f>
        <v>0</v>
      </c>
      <c r="J55" s="2077">
        <f ca="1">SUMIF(INDIRECT("HNSW_Summary!A:A"),C55,INDEX(INDIRECT("HNSW_Summary!A:Z"),0,MATCH("NCUnexpInt",INDIRECT("HNSW_Summary!1:1"),0)))</f>
        <v>0</v>
      </c>
      <c r="K55" s="2077">
        <f ca="1">I55+G55</f>
        <v>0</v>
      </c>
      <c r="L55" s="2077">
        <f ca="1">J55+H55</f>
        <v>0</v>
      </c>
      <c r="M55" s="2076"/>
      <c r="O55" s="2047"/>
      <c r="P55" s="2046"/>
      <c r="W55" s="1815" t="b">
        <f>IF(H12_Number_of_Loans&gt;=39,FALSE,TRUE)</f>
        <v>1</v>
      </c>
    </row>
    <row r="56" spans="2:23" s="1837" customFormat="1" ht="17.25" hidden="1" customHeight="1">
      <c r="B56" s="2081"/>
      <c r="C56" s="2080"/>
      <c r="D56" s="2079" t="str">
        <f ca="1">IF(C56=E56, HYPERLINK("#'" &amp; VLOOKUP(C56,INDIRECT("HNSW_Summary!$A:$B"),2,0) &amp; "'!A1", "}"), "}")</f>
        <v>}</v>
      </c>
      <c r="E56" s="2078">
        <f ca="1">VLOOKUP(C56,INDIRECT("HNSW_Summary!$A:$B"),1,0)</f>
        <v>0</v>
      </c>
      <c r="F56" s="2077">
        <f ca="1">SUMIF(INDIRECT("HNSW_Summary!A:A"),C56,INDEX(INDIRECT("HNSW_Summary!A:Z"),0,MATCH("Interest",INDIRECT("HNSW_Summary!1:1"),0)))</f>
        <v>0</v>
      </c>
      <c r="G56" s="2077">
        <f ca="1">SUMIF(INDIRECT("HNSW_Summary!A:A"),C56,INDEX(INDIRECT("HNSW_Summary!A:Z"),0,MATCH("CL",INDIRECT("HNSW_Summary!1:1"),0)))</f>
        <v>0</v>
      </c>
      <c r="H56" s="2077">
        <f ca="1">SUMIF(INDIRECT("HNSW_Summary!A:A"),C56,INDEX(INDIRECT("HNSW_Summary!A:Z"),0,MATCH("CurrentUnexpInt",INDIRECT("HNSW_Summary!1:1"),0)))</f>
        <v>0</v>
      </c>
      <c r="I56" s="2077">
        <f ca="1">SUMIF(INDIRECT("HNSW_Summary!A:A"),C56,INDEX(INDIRECT("HNSW_Summary!A:Z"),0,MATCH("NCL",INDIRECT("HNSW_Summary!1:1"),0)))</f>
        <v>0</v>
      </c>
      <c r="J56" s="2077">
        <f ca="1">SUMIF(INDIRECT("HNSW_Summary!A:A"),C56,INDEX(INDIRECT("HNSW_Summary!A:Z"),0,MATCH("NCUnexpInt",INDIRECT("HNSW_Summary!1:1"),0)))</f>
        <v>0</v>
      </c>
      <c r="K56" s="2077">
        <f ca="1">I56+G56</f>
        <v>0</v>
      </c>
      <c r="L56" s="2077">
        <f ca="1">J56+H56</f>
        <v>0</v>
      </c>
      <c r="M56" s="2076"/>
      <c r="O56" s="2047"/>
      <c r="P56" s="2046"/>
      <c r="W56" s="1815" t="b">
        <f>IF(H12_Number_of_Loans&gt;=40,FALSE,TRUE)</f>
        <v>1</v>
      </c>
    </row>
    <row r="57" spans="2:23" s="1837" customFormat="1" ht="17.25" hidden="1" customHeight="1">
      <c r="B57" s="2081"/>
      <c r="C57" s="2080"/>
      <c r="D57" s="2079" t="str">
        <f ca="1">IF(C57=E57, HYPERLINK("#'" &amp; VLOOKUP(C57,INDIRECT("HNSW_Summary!$A:$B"),2,0) &amp; "'!A1", "}"), "}")</f>
        <v>}</v>
      </c>
      <c r="E57" s="2078">
        <f ca="1">VLOOKUP(C57,INDIRECT("HNSW_Summary!$A:$B"),1,0)</f>
        <v>0</v>
      </c>
      <c r="F57" s="2077">
        <f ca="1">SUMIF(INDIRECT("HNSW_Summary!A:A"),C57,INDEX(INDIRECT("HNSW_Summary!A:Z"),0,MATCH("Interest",INDIRECT("HNSW_Summary!1:1"),0)))</f>
        <v>0</v>
      </c>
      <c r="G57" s="2077">
        <f ca="1">SUMIF(INDIRECT("HNSW_Summary!A:A"),C57,INDEX(INDIRECT("HNSW_Summary!A:Z"),0,MATCH("CL",INDIRECT("HNSW_Summary!1:1"),0)))</f>
        <v>0</v>
      </c>
      <c r="H57" s="2077">
        <f ca="1">SUMIF(INDIRECT("HNSW_Summary!A:A"),C57,INDEX(INDIRECT("HNSW_Summary!A:Z"),0,MATCH("CurrentUnexpInt",INDIRECT("HNSW_Summary!1:1"),0)))</f>
        <v>0</v>
      </c>
      <c r="I57" s="2077">
        <f ca="1">SUMIF(INDIRECT("HNSW_Summary!A:A"),C57,INDEX(INDIRECT("HNSW_Summary!A:Z"),0,MATCH("NCL",INDIRECT("HNSW_Summary!1:1"),0)))</f>
        <v>0</v>
      </c>
      <c r="J57" s="2077">
        <f ca="1">SUMIF(INDIRECT("HNSW_Summary!A:A"),C57,INDEX(INDIRECT("HNSW_Summary!A:Z"),0,MATCH("NCUnexpInt",INDIRECT("HNSW_Summary!1:1"),0)))</f>
        <v>0</v>
      </c>
      <c r="K57" s="2077">
        <f ca="1">I57+G57</f>
        <v>0</v>
      </c>
      <c r="L57" s="2077">
        <f ca="1">J57+H57</f>
        <v>0</v>
      </c>
      <c r="M57" s="2076"/>
      <c r="O57" s="2047"/>
      <c r="P57" s="2046"/>
      <c r="W57" s="1815" t="b">
        <f>IF(H12_Number_of_Loans&gt;=41,FALSE,TRUE)</f>
        <v>1</v>
      </c>
    </row>
    <row r="58" spans="2:23" s="1837" customFormat="1" ht="17.25" hidden="1" customHeight="1">
      <c r="B58" s="2081"/>
      <c r="C58" s="2080"/>
      <c r="D58" s="2079" t="str">
        <f ca="1">IF(C58=E58, HYPERLINK("#'" &amp; VLOOKUP(C58,INDIRECT("HNSW_Summary!$A:$B"),2,0) &amp; "'!A1", "}"), "}")</f>
        <v>}</v>
      </c>
      <c r="E58" s="2078">
        <f ca="1">VLOOKUP(C58,INDIRECT("HNSW_Summary!$A:$B"),1,0)</f>
        <v>0</v>
      </c>
      <c r="F58" s="2077">
        <f ca="1">SUMIF(INDIRECT("HNSW_Summary!A:A"),C58,INDEX(INDIRECT("HNSW_Summary!A:Z"),0,MATCH("Interest",INDIRECT("HNSW_Summary!1:1"),0)))</f>
        <v>0</v>
      </c>
      <c r="G58" s="2077">
        <f ca="1">SUMIF(INDIRECT("HNSW_Summary!A:A"),C58,INDEX(INDIRECT("HNSW_Summary!A:Z"),0,MATCH("CL",INDIRECT("HNSW_Summary!1:1"),0)))</f>
        <v>0</v>
      </c>
      <c r="H58" s="2077">
        <f ca="1">SUMIF(INDIRECT("HNSW_Summary!A:A"),C58,INDEX(INDIRECT("HNSW_Summary!A:Z"),0,MATCH("CurrentUnexpInt",INDIRECT("HNSW_Summary!1:1"),0)))</f>
        <v>0</v>
      </c>
      <c r="I58" s="2077">
        <f ca="1">SUMIF(INDIRECT("HNSW_Summary!A:A"),C58,INDEX(INDIRECT("HNSW_Summary!A:Z"),0,MATCH("NCL",INDIRECT("HNSW_Summary!1:1"),0)))</f>
        <v>0</v>
      </c>
      <c r="J58" s="2077">
        <f ca="1">SUMIF(INDIRECT("HNSW_Summary!A:A"),C58,INDEX(INDIRECT("HNSW_Summary!A:Z"),0,MATCH("NCUnexpInt",INDIRECT("HNSW_Summary!1:1"),0)))</f>
        <v>0</v>
      </c>
      <c r="K58" s="2077">
        <f ca="1">I58+G58</f>
        <v>0</v>
      </c>
      <c r="L58" s="2077">
        <f ca="1">J58+H58</f>
        <v>0</v>
      </c>
      <c r="M58" s="2076"/>
      <c r="O58" s="2047"/>
      <c r="P58" s="2046"/>
      <c r="W58" s="1815" t="b">
        <f>IF(H12_Number_of_Loans&gt;=42,FALSE,TRUE)</f>
        <v>1</v>
      </c>
    </row>
    <row r="59" spans="2:23" s="1837" customFormat="1" ht="17.25" hidden="1" customHeight="1">
      <c r="B59" s="2081"/>
      <c r="C59" s="2080"/>
      <c r="D59" s="2079" t="str">
        <f ca="1">IF(C59=E59, HYPERLINK("#'" &amp; VLOOKUP(C59,INDIRECT("HNSW_Summary!$A:$B"),2,0) &amp; "'!A1", "}"), "}")</f>
        <v>}</v>
      </c>
      <c r="E59" s="2078">
        <f ca="1">VLOOKUP(C59,INDIRECT("HNSW_Summary!$A:$B"),1,0)</f>
        <v>0</v>
      </c>
      <c r="F59" s="2077">
        <f ca="1">SUMIF(INDIRECT("HNSW_Summary!A:A"),C59,INDEX(INDIRECT("HNSW_Summary!A:Z"),0,MATCH("Interest",INDIRECT("HNSW_Summary!1:1"),0)))</f>
        <v>0</v>
      </c>
      <c r="G59" s="2077">
        <f ca="1">SUMIF(INDIRECT("HNSW_Summary!A:A"),C59,INDEX(INDIRECT("HNSW_Summary!A:Z"),0,MATCH("CL",INDIRECT("HNSW_Summary!1:1"),0)))</f>
        <v>0</v>
      </c>
      <c r="H59" s="2077">
        <f ca="1">SUMIF(INDIRECT("HNSW_Summary!A:A"),C59,INDEX(INDIRECT("HNSW_Summary!A:Z"),0,MATCH("CurrentUnexpInt",INDIRECT("HNSW_Summary!1:1"),0)))</f>
        <v>0</v>
      </c>
      <c r="I59" s="2077">
        <f ca="1">SUMIF(INDIRECT("HNSW_Summary!A:A"),C59,INDEX(INDIRECT("HNSW_Summary!A:Z"),0,MATCH("NCL",INDIRECT("HNSW_Summary!1:1"),0)))</f>
        <v>0</v>
      </c>
      <c r="J59" s="2077">
        <f ca="1">SUMIF(INDIRECT("HNSW_Summary!A:A"),C59,INDEX(INDIRECT("HNSW_Summary!A:Z"),0,MATCH("NCUnexpInt",INDIRECT("HNSW_Summary!1:1"),0)))</f>
        <v>0</v>
      </c>
      <c r="K59" s="2077">
        <f ca="1">I59+G59</f>
        <v>0</v>
      </c>
      <c r="L59" s="2077">
        <f ca="1">J59+H59</f>
        <v>0</v>
      </c>
      <c r="M59" s="2076"/>
      <c r="O59" s="2047"/>
      <c r="P59" s="2046"/>
      <c r="W59" s="1815" t="b">
        <f>IF(H12_Number_of_Loans&gt;=43,FALSE,TRUE)</f>
        <v>1</v>
      </c>
    </row>
    <row r="60" spans="2:23" s="1837" customFormat="1" ht="17.25" hidden="1" customHeight="1">
      <c r="B60" s="2081"/>
      <c r="C60" s="2080"/>
      <c r="D60" s="2079" t="str">
        <f ca="1">IF(C60=E60, HYPERLINK("#'" &amp; VLOOKUP(C60,INDIRECT("HNSW_Summary!$A:$B"),2,0) &amp; "'!A1", "}"), "}")</f>
        <v>}</v>
      </c>
      <c r="E60" s="2078">
        <f ca="1">VLOOKUP(C60,INDIRECT("HNSW_Summary!$A:$B"),1,0)</f>
        <v>0</v>
      </c>
      <c r="F60" s="2077">
        <f ca="1">SUMIF(INDIRECT("HNSW_Summary!A:A"),C60,INDEX(INDIRECT("HNSW_Summary!A:Z"),0,MATCH("Interest",INDIRECT("HNSW_Summary!1:1"),0)))</f>
        <v>0</v>
      </c>
      <c r="G60" s="2077">
        <f ca="1">SUMIF(INDIRECT("HNSW_Summary!A:A"),C60,INDEX(INDIRECT("HNSW_Summary!A:Z"),0,MATCH("CL",INDIRECT("HNSW_Summary!1:1"),0)))</f>
        <v>0</v>
      </c>
      <c r="H60" s="2077">
        <f ca="1">SUMIF(INDIRECT("HNSW_Summary!A:A"),C60,INDEX(INDIRECT("HNSW_Summary!A:Z"),0,MATCH("CurrentUnexpInt",INDIRECT("HNSW_Summary!1:1"),0)))</f>
        <v>0</v>
      </c>
      <c r="I60" s="2077">
        <f ca="1">SUMIF(INDIRECT("HNSW_Summary!A:A"),C60,INDEX(INDIRECT("HNSW_Summary!A:Z"),0,MATCH("NCL",INDIRECT("HNSW_Summary!1:1"),0)))</f>
        <v>0</v>
      </c>
      <c r="J60" s="2077">
        <f ca="1">SUMIF(INDIRECT("HNSW_Summary!A:A"),C60,INDEX(INDIRECT("HNSW_Summary!A:Z"),0,MATCH("NCUnexpInt",INDIRECT("HNSW_Summary!1:1"),0)))</f>
        <v>0</v>
      </c>
      <c r="K60" s="2077">
        <f ca="1">I60+G60</f>
        <v>0</v>
      </c>
      <c r="L60" s="2077">
        <f ca="1">J60+H60</f>
        <v>0</v>
      </c>
      <c r="M60" s="2076"/>
      <c r="O60" s="2047"/>
      <c r="P60" s="2046"/>
      <c r="W60" s="1815" t="b">
        <f>IF(H12_Number_of_Loans&gt;=44,FALSE,TRUE)</f>
        <v>1</v>
      </c>
    </row>
    <row r="61" spans="2:23" s="1837" customFormat="1" ht="17.25" hidden="1" customHeight="1">
      <c r="B61" s="2081"/>
      <c r="C61" s="2080"/>
      <c r="D61" s="2079" t="str">
        <f ca="1">IF(C61=E61, HYPERLINK("#'" &amp; VLOOKUP(C61,INDIRECT("HNSW_Summary!$A:$B"),2,0) &amp; "'!A1", "}"), "}")</f>
        <v>}</v>
      </c>
      <c r="E61" s="2078">
        <f ca="1">VLOOKUP(C61,INDIRECT("HNSW_Summary!$A:$B"),1,0)</f>
        <v>0</v>
      </c>
      <c r="F61" s="2077">
        <f ca="1">SUMIF(INDIRECT("HNSW_Summary!A:A"),C61,INDEX(INDIRECT("HNSW_Summary!A:Z"),0,MATCH("Interest",INDIRECT("HNSW_Summary!1:1"),0)))</f>
        <v>0</v>
      </c>
      <c r="G61" s="2077">
        <f ca="1">SUMIF(INDIRECT("HNSW_Summary!A:A"),C61,INDEX(INDIRECT("HNSW_Summary!A:Z"),0,MATCH("CL",INDIRECT("HNSW_Summary!1:1"),0)))</f>
        <v>0</v>
      </c>
      <c r="H61" s="2077">
        <f ca="1">SUMIF(INDIRECT("HNSW_Summary!A:A"),C61,INDEX(INDIRECT("HNSW_Summary!A:Z"),0,MATCH("CurrentUnexpInt",INDIRECT("HNSW_Summary!1:1"),0)))</f>
        <v>0</v>
      </c>
      <c r="I61" s="2077">
        <f ca="1">SUMIF(INDIRECT("HNSW_Summary!A:A"),C61,INDEX(INDIRECT("HNSW_Summary!A:Z"),0,MATCH("NCL",INDIRECT("HNSW_Summary!1:1"),0)))</f>
        <v>0</v>
      </c>
      <c r="J61" s="2077">
        <f ca="1">SUMIF(INDIRECT("HNSW_Summary!A:A"),C61,INDEX(INDIRECT("HNSW_Summary!A:Z"),0,MATCH("NCUnexpInt",INDIRECT("HNSW_Summary!1:1"),0)))</f>
        <v>0</v>
      </c>
      <c r="K61" s="2077">
        <f ca="1">I61+G61</f>
        <v>0</v>
      </c>
      <c r="L61" s="2077">
        <f ca="1">J61+H61</f>
        <v>0</v>
      </c>
      <c r="M61" s="2076"/>
      <c r="O61" s="2047"/>
      <c r="P61" s="2046"/>
      <c r="W61" s="1815" t="b">
        <f>IF(H12_Number_of_Loans&gt;=45,FALSE,TRUE)</f>
        <v>1</v>
      </c>
    </row>
    <row r="62" spans="2:23" s="1837" customFormat="1" ht="17.25" hidden="1" customHeight="1">
      <c r="B62" s="2081"/>
      <c r="C62" s="2080"/>
      <c r="D62" s="2079" t="str">
        <f ca="1">IF(C62=E62, HYPERLINK("#'" &amp; VLOOKUP(C62,INDIRECT("HNSW_Summary!$A:$B"),2,0) &amp; "'!A1", "}"), "}")</f>
        <v>}</v>
      </c>
      <c r="E62" s="2078">
        <f ca="1">VLOOKUP(C62,INDIRECT("HNSW_Summary!$A:$B"),1,0)</f>
        <v>0</v>
      </c>
      <c r="F62" s="2077">
        <f ca="1">SUMIF(INDIRECT("HNSW_Summary!A:A"),C62,INDEX(INDIRECT("HNSW_Summary!A:Z"),0,MATCH("Interest",INDIRECT("HNSW_Summary!1:1"),0)))</f>
        <v>0</v>
      </c>
      <c r="G62" s="2077">
        <f ca="1">SUMIF(INDIRECT("HNSW_Summary!A:A"),C62,INDEX(INDIRECT("HNSW_Summary!A:Z"),0,MATCH("CL",INDIRECT("HNSW_Summary!1:1"),0)))</f>
        <v>0</v>
      </c>
      <c r="H62" s="2077">
        <f ca="1">SUMIF(INDIRECT("HNSW_Summary!A:A"),C62,INDEX(INDIRECT("HNSW_Summary!A:Z"),0,MATCH("CurrentUnexpInt",INDIRECT("HNSW_Summary!1:1"),0)))</f>
        <v>0</v>
      </c>
      <c r="I62" s="2077">
        <f ca="1">SUMIF(INDIRECT("HNSW_Summary!A:A"),C62,INDEX(INDIRECT("HNSW_Summary!A:Z"),0,MATCH("NCL",INDIRECT("HNSW_Summary!1:1"),0)))</f>
        <v>0</v>
      </c>
      <c r="J62" s="2077">
        <f ca="1">SUMIF(INDIRECT("HNSW_Summary!A:A"),C62,INDEX(INDIRECT("HNSW_Summary!A:Z"),0,MATCH("NCUnexpInt",INDIRECT("HNSW_Summary!1:1"),0)))</f>
        <v>0</v>
      </c>
      <c r="K62" s="2077">
        <f ca="1">I62+G62</f>
        <v>0</v>
      </c>
      <c r="L62" s="2077">
        <f ca="1">J62+H62</f>
        <v>0</v>
      </c>
      <c r="M62" s="2076"/>
      <c r="O62" s="2047"/>
      <c r="P62" s="2046"/>
      <c r="W62" s="1815" t="b">
        <f>IF(H12_Number_of_Loans&gt;=46,FALSE,TRUE)</f>
        <v>1</v>
      </c>
    </row>
    <row r="63" spans="2:23" s="1837" customFormat="1" ht="17.25" hidden="1" customHeight="1">
      <c r="B63" s="2081"/>
      <c r="C63" s="2080"/>
      <c r="D63" s="2079" t="str">
        <f ca="1">IF(C63=E63, HYPERLINK("#'" &amp; VLOOKUP(C63,INDIRECT("HNSW_Summary!$A:$B"),2,0) &amp; "'!A1", "}"), "}")</f>
        <v>}</v>
      </c>
      <c r="E63" s="2078">
        <f ca="1">VLOOKUP(C63,INDIRECT("HNSW_Summary!$A:$B"),1,0)</f>
        <v>0</v>
      </c>
      <c r="F63" s="2077">
        <f ca="1">SUMIF(INDIRECT("HNSW_Summary!A:A"),C63,INDEX(INDIRECT("HNSW_Summary!A:Z"),0,MATCH("Interest",INDIRECT("HNSW_Summary!1:1"),0)))</f>
        <v>0</v>
      </c>
      <c r="G63" s="2077">
        <f ca="1">SUMIF(INDIRECT("HNSW_Summary!A:A"),C63,INDEX(INDIRECT("HNSW_Summary!A:Z"),0,MATCH("CL",INDIRECT("HNSW_Summary!1:1"),0)))</f>
        <v>0</v>
      </c>
      <c r="H63" s="2077">
        <f ca="1">SUMIF(INDIRECT("HNSW_Summary!A:A"),C63,INDEX(INDIRECT("HNSW_Summary!A:Z"),0,MATCH("CurrentUnexpInt",INDIRECT("HNSW_Summary!1:1"),0)))</f>
        <v>0</v>
      </c>
      <c r="I63" s="2077">
        <f ca="1">SUMIF(INDIRECT("HNSW_Summary!A:A"),C63,INDEX(INDIRECT("HNSW_Summary!A:Z"),0,MATCH("NCL",INDIRECT("HNSW_Summary!1:1"),0)))</f>
        <v>0</v>
      </c>
      <c r="J63" s="2077">
        <f ca="1">SUMIF(INDIRECT("HNSW_Summary!A:A"),C63,INDEX(INDIRECT("HNSW_Summary!A:Z"),0,MATCH("NCUnexpInt",INDIRECT("HNSW_Summary!1:1"),0)))</f>
        <v>0</v>
      </c>
      <c r="K63" s="2077">
        <f ca="1">I63+G63</f>
        <v>0</v>
      </c>
      <c r="L63" s="2077">
        <f ca="1">J63+H63</f>
        <v>0</v>
      </c>
      <c r="M63" s="2076"/>
      <c r="O63" s="2047"/>
      <c r="P63" s="2046"/>
      <c r="W63" s="1815" t="b">
        <f>IF(H12_Number_of_Loans&gt;=47,FALSE,TRUE)</f>
        <v>1</v>
      </c>
    </row>
    <row r="64" spans="2:23" s="1837" customFormat="1" ht="17.25" hidden="1" customHeight="1">
      <c r="B64" s="2081"/>
      <c r="C64" s="2080"/>
      <c r="D64" s="2079" t="str">
        <f ca="1">IF(C64=E64, HYPERLINK("#'" &amp; VLOOKUP(C64,INDIRECT("HNSW_Summary!$A:$B"),2,0) &amp; "'!A1", "}"), "}")</f>
        <v>}</v>
      </c>
      <c r="E64" s="2078">
        <f ca="1">VLOOKUP(C64,INDIRECT("HNSW_Summary!$A:$B"),1,0)</f>
        <v>0</v>
      </c>
      <c r="F64" s="2077">
        <f ca="1">SUMIF(INDIRECT("HNSW_Summary!A:A"),C64,INDEX(INDIRECT("HNSW_Summary!A:Z"),0,MATCH("Interest",INDIRECT("HNSW_Summary!1:1"),0)))</f>
        <v>0</v>
      </c>
      <c r="G64" s="2077">
        <f ca="1">SUMIF(INDIRECT("HNSW_Summary!A:A"),C64,INDEX(INDIRECT("HNSW_Summary!A:Z"),0,MATCH("CL",INDIRECT("HNSW_Summary!1:1"),0)))</f>
        <v>0</v>
      </c>
      <c r="H64" s="2077">
        <f ca="1">SUMIF(INDIRECT("HNSW_Summary!A:A"),C64,INDEX(INDIRECT("HNSW_Summary!A:Z"),0,MATCH("CurrentUnexpInt",INDIRECT("HNSW_Summary!1:1"),0)))</f>
        <v>0</v>
      </c>
      <c r="I64" s="2077">
        <f ca="1">SUMIF(INDIRECT("HNSW_Summary!A:A"),C64,INDEX(INDIRECT("HNSW_Summary!A:Z"),0,MATCH("NCL",INDIRECT("HNSW_Summary!1:1"),0)))</f>
        <v>0</v>
      </c>
      <c r="J64" s="2077">
        <f ca="1">SUMIF(INDIRECT("HNSW_Summary!A:A"),C64,INDEX(INDIRECT("HNSW_Summary!A:Z"),0,MATCH("NCUnexpInt",INDIRECT("HNSW_Summary!1:1"),0)))</f>
        <v>0</v>
      </c>
      <c r="K64" s="2077">
        <f ca="1">I64+G64</f>
        <v>0</v>
      </c>
      <c r="L64" s="2077">
        <f ca="1">J64+H64</f>
        <v>0</v>
      </c>
      <c r="M64" s="2076"/>
      <c r="O64" s="2047"/>
      <c r="P64" s="2046"/>
      <c r="W64" s="1815" t="b">
        <f>IF(H12_Number_of_Loans&gt;=48,FALSE,TRUE)</f>
        <v>1</v>
      </c>
    </row>
    <row r="65" spans="2:23" s="1837" customFormat="1" ht="17.25" hidden="1" customHeight="1">
      <c r="B65" s="2081"/>
      <c r="C65" s="2080"/>
      <c r="D65" s="2079" t="str">
        <f ca="1">IF(C65=E65, HYPERLINK("#'" &amp; VLOOKUP(C65,INDIRECT("HNSW_Summary!$A:$B"),2,0) &amp; "'!A1", "}"), "}")</f>
        <v>}</v>
      </c>
      <c r="E65" s="2078">
        <f ca="1">VLOOKUP(C65,INDIRECT("HNSW_Summary!$A:$B"),1,0)</f>
        <v>0</v>
      </c>
      <c r="F65" s="2077">
        <f ca="1">SUMIF(INDIRECT("HNSW_Summary!A:A"),C65,INDEX(INDIRECT("HNSW_Summary!A:Z"),0,MATCH("Interest",INDIRECT("HNSW_Summary!1:1"),0)))</f>
        <v>0</v>
      </c>
      <c r="G65" s="2077">
        <f ca="1">SUMIF(INDIRECT("HNSW_Summary!A:A"),C65,INDEX(INDIRECT("HNSW_Summary!A:Z"),0,MATCH("CL",INDIRECT("HNSW_Summary!1:1"),0)))</f>
        <v>0</v>
      </c>
      <c r="H65" s="2077">
        <f ca="1">SUMIF(INDIRECT("HNSW_Summary!A:A"),C65,INDEX(INDIRECT("HNSW_Summary!A:Z"),0,MATCH("CurrentUnexpInt",INDIRECT("HNSW_Summary!1:1"),0)))</f>
        <v>0</v>
      </c>
      <c r="I65" s="2077">
        <f ca="1">SUMIF(INDIRECT("HNSW_Summary!A:A"),C65,INDEX(INDIRECT("HNSW_Summary!A:Z"),0,MATCH("NCL",INDIRECT("HNSW_Summary!1:1"),0)))</f>
        <v>0</v>
      </c>
      <c r="J65" s="2077">
        <f ca="1">SUMIF(INDIRECT("HNSW_Summary!A:A"),C65,INDEX(INDIRECT("HNSW_Summary!A:Z"),0,MATCH("NCUnexpInt",INDIRECT("HNSW_Summary!1:1"),0)))</f>
        <v>0</v>
      </c>
      <c r="K65" s="2077">
        <f ca="1">I65+G65</f>
        <v>0</v>
      </c>
      <c r="L65" s="2077">
        <f ca="1">J65+H65</f>
        <v>0</v>
      </c>
      <c r="M65" s="2076"/>
      <c r="O65" s="2047"/>
      <c r="P65" s="2046"/>
      <c r="W65" s="1815" t="b">
        <f>IF(H12_Number_of_Loans&gt;=49,FALSE,TRUE)</f>
        <v>1</v>
      </c>
    </row>
    <row r="66" spans="2:23" s="1837" customFormat="1" ht="17.25" hidden="1" customHeight="1">
      <c r="B66" s="2081"/>
      <c r="C66" s="2080"/>
      <c r="D66" s="2079" t="str">
        <f ca="1">IF(C66=E66, HYPERLINK("#'" &amp; VLOOKUP(C66,INDIRECT("HNSW_Summary!$A:$B"),2,0) &amp; "'!A1", "}"), "}")</f>
        <v>}</v>
      </c>
      <c r="E66" s="2078">
        <f ca="1">VLOOKUP(C66,INDIRECT("HNSW_Summary!$A:$B"),1,0)</f>
        <v>0</v>
      </c>
      <c r="F66" s="2077">
        <f ca="1">SUMIF(INDIRECT("HNSW_Summary!A:A"),C66,INDEX(INDIRECT("HNSW_Summary!A:Z"),0,MATCH("Interest",INDIRECT("HNSW_Summary!1:1"),0)))</f>
        <v>0</v>
      </c>
      <c r="G66" s="2077">
        <f ca="1">SUMIF(INDIRECT("HNSW_Summary!A:A"),C66,INDEX(INDIRECT("HNSW_Summary!A:Z"),0,MATCH("CL",INDIRECT("HNSW_Summary!1:1"),0)))</f>
        <v>0</v>
      </c>
      <c r="H66" s="2077">
        <f ca="1">SUMIF(INDIRECT("HNSW_Summary!A:A"),C66,INDEX(INDIRECT("HNSW_Summary!A:Z"),0,MATCH("CurrentUnexpInt",INDIRECT("HNSW_Summary!1:1"),0)))</f>
        <v>0</v>
      </c>
      <c r="I66" s="2077">
        <f ca="1">SUMIF(INDIRECT("HNSW_Summary!A:A"),C66,INDEX(INDIRECT("HNSW_Summary!A:Z"),0,MATCH("NCL",INDIRECT("HNSW_Summary!1:1"),0)))</f>
        <v>0</v>
      </c>
      <c r="J66" s="2077">
        <f ca="1">SUMIF(INDIRECT("HNSW_Summary!A:A"),C66,INDEX(INDIRECT("HNSW_Summary!A:Z"),0,MATCH("NCUnexpInt",INDIRECT("HNSW_Summary!1:1"),0)))</f>
        <v>0</v>
      </c>
      <c r="K66" s="2077">
        <f ca="1">I66+G66</f>
        <v>0</v>
      </c>
      <c r="L66" s="2077">
        <f ca="1">J66+H66</f>
        <v>0</v>
      </c>
      <c r="M66" s="2076"/>
      <c r="O66" s="2047"/>
      <c r="P66" s="2046"/>
      <c r="W66" s="1815" t="b">
        <f>IF(H12_Number_of_Loans&gt;=50,FALSE,TRUE)</f>
        <v>1</v>
      </c>
    </row>
    <row r="67" spans="2:23" s="1837" customFormat="1" ht="7.5" customHeight="1">
      <c r="B67" s="2075"/>
      <c r="C67" s="2074"/>
      <c r="D67" s="2073"/>
      <c r="E67" s="2073"/>
      <c r="F67" s="2072"/>
      <c r="G67" s="2072"/>
      <c r="H67" s="2072"/>
      <c r="I67" s="2072"/>
      <c r="J67" s="2072"/>
      <c r="K67" s="2072"/>
      <c r="L67" s="2071"/>
      <c r="M67" s="2070"/>
      <c r="O67" s="2051"/>
      <c r="P67" s="2040"/>
    </row>
    <row r="68" spans="2:23" s="1837" customFormat="1" ht="7.5" customHeight="1">
      <c r="B68" s="2065"/>
      <c r="C68" s="2069"/>
      <c r="D68" s="2068"/>
      <c r="E68" s="2068"/>
      <c r="F68" s="2067"/>
      <c r="G68" s="2067"/>
      <c r="H68" s="2067"/>
      <c r="I68" s="2067"/>
      <c r="J68" s="2067"/>
      <c r="K68" s="2067"/>
      <c r="L68" s="2066"/>
      <c r="M68" s="2065"/>
      <c r="O68" s="2051"/>
      <c r="P68" s="2040"/>
    </row>
    <row r="69" spans="2:23" s="1837" customFormat="1" ht="22.5" customHeight="1">
      <c r="C69" s="2064"/>
      <c r="D69" s="2038"/>
      <c r="E69" s="2038"/>
      <c r="F69" s="2058"/>
      <c r="G69" s="2058"/>
      <c r="H69" s="2058"/>
      <c r="I69" s="2058"/>
      <c r="J69" s="2058"/>
      <c r="K69" s="2058"/>
      <c r="L69" s="2057"/>
      <c r="O69" s="2051"/>
      <c r="P69" s="2040"/>
    </row>
    <row r="70" spans="2:23" s="1837" customFormat="1" ht="22.5" customHeight="1">
      <c r="B70" s="2063" t="s">
        <v>2063</v>
      </c>
      <c r="C70" s="2062"/>
      <c r="D70" s="2061"/>
      <c r="E70" s="2060"/>
      <c r="F70" s="2059"/>
      <c r="G70" s="2058"/>
      <c r="H70" s="2058"/>
      <c r="I70" s="2058"/>
      <c r="J70" s="2058"/>
      <c r="K70" s="2058"/>
      <c r="L70" s="2057"/>
      <c r="O70" s="2051"/>
      <c r="P70" s="2040"/>
    </row>
    <row r="71" spans="2:23" s="1837" customFormat="1" ht="7.5" customHeight="1">
      <c r="B71" s="2056"/>
      <c r="C71" s="2055"/>
      <c r="D71" s="2055"/>
      <c r="E71" s="2055"/>
      <c r="F71" s="2054"/>
      <c r="G71" s="2054"/>
      <c r="H71" s="2054"/>
      <c r="I71" s="2054"/>
      <c r="J71" s="2054"/>
      <c r="K71" s="2054"/>
      <c r="L71" s="2053"/>
      <c r="M71" s="2052"/>
      <c r="O71" s="2051"/>
      <c r="P71" s="2040"/>
    </row>
    <row r="72" spans="2:23" s="1837" customFormat="1" ht="16.899999999999999" customHeight="1">
      <c r="B72" s="2049"/>
      <c r="C72" s="855" t="s">
        <v>2062</v>
      </c>
      <c r="D72" s="2038"/>
      <c r="E72" s="2038"/>
      <c r="F72" s="2050">
        <f ca="1">SUMIF(INDEX(INDIRECT("HNSW_Summary!A:Z"), 0, MATCH("TemplateId", INDIRECT("HNSW_Summary!1:1"), 0)), "dbafa37b-02a0-44c0-86fb-d48bc6c6f92e", INDEX(INDIRECT("HNSW_Summary!A:Z"), 0, MATCH("Interest", INDIRECT("HNSW_Summary!1:1"), 0)))</f>
        <v>0</v>
      </c>
      <c r="G72" s="2050">
        <f ca="1">SUMIF(INDEX(INDIRECT("HNSW_Summary!A:Z"), 0, MATCH("TemplateId", INDIRECT("HNSW_Summary!1:1"), 0)), "dbafa37b-02a0-44c0-86fb-d48bc6c6f92e", INDEX(INDIRECT("HNSW_Summary!A:Z"), 0, MATCH("CL", INDIRECT("HNSW_Summary!1:1"), 0)))</f>
        <v>0</v>
      </c>
      <c r="H72" s="2050">
        <f ca="1">SUMIF(INDEX(INDIRECT("HNSW_Summary!A:Z"), 0, MATCH("TemplateId", INDIRECT("HNSW_Summary!1:1"), 0)), "dbafa37b-02a0-44c0-86fb-d48bc6c6f92e", INDEX(INDIRECT("HNSW_Summary!A:Z"), 0, MATCH("CurrentUnexpInt", INDIRECT("HNSW_Summary!1:1"), 0)))</f>
        <v>0</v>
      </c>
      <c r="I72" s="2050">
        <f ca="1">SUMIF(INDEX(INDIRECT("HNSW_Summary!A:Z"), 0, MATCH("TemplateId", INDIRECT("HNSW_Summary!1:1"), 0)), "dbafa37b-02a0-44c0-86fb-d48bc6c6f92e", INDEX(INDIRECT("HNSW_Summary!A:Z"), 0, MATCH("NCL", INDIRECT("HNSW_Summary!1:1"), 0)))</f>
        <v>0</v>
      </c>
      <c r="J72" s="2050">
        <f ca="1">SUMIF(INDEX(INDIRECT("HNSW_Summary!A:Z"), 0, MATCH("TemplateId", INDIRECT("HNSW_Summary!1:1"), 0)), "dbafa37b-02a0-44c0-86fb-d48bc6c6f92e", INDEX(INDIRECT("HNSW_Summary!A:Z"), 0, MATCH("NCUnexpInt", INDIRECT("HNSW_Summary!1:1"), 0)))</f>
        <v>0</v>
      </c>
      <c r="K72" s="2050">
        <f ca="1">I72+G72</f>
        <v>0</v>
      </c>
      <c r="L72" s="2050">
        <f ca="1">J72+H72</f>
        <v>0</v>
      </c>
      <c r="M72" s="2048"/>
      <c r="O72" s="2047"/>
      <c r="P72" s="2046"/>
    </row>
    <row r="73" spans="2:23" s="1837" customFormat="1" ht="16.899999999999999" customHeight="1">
      <c r="B73" s="2049"/>
      <c r="C73" s="855" t="s">
        <v>2061</v>
      </c>
      <c r="D73" s="2038"/>
      <c r="E73" s="2038"/>
      <c r="F73" s="2050">
        <f ca="1">SUMIF(INDEX(INDIRECT("HNSW_Summary!A:Z"), 0, MATCH("TemplateId", INDIRECT("HNSW_Summary!1:1"), 0)), "92f63c33-d9c8-4a4f-b21d-1221a6cd1cfc", INDEX(INDIRECT("HNSW_Summary!A:Z"), 0, MATCH("Interest", INDIRECT("HNSW_Summary!1:1"), 0)))</f>
        <v>0</v>
      </c>
      <c r="G73" s="2050">
        <f ca="1">SUMIF(INDEX(INDIRECT("HNSW_Summary!A:Z"), 0, MATCH("TemplateId", INDIRECT("HNSW_Summary!1:1"), 0)), "92f63c33-d9c8-4a4f-b21d-1221a6cd1cfc", INDEX(INDIRECT("HNSW_Summary!A:Z"), 0, MATCH("CL", INDIRECT("HNSW_Summary!1:1"), 0)))</f>
        <v>0</v>
      </c>
      <c r="H73" s="2050">
        <f ca="1">SUMIF(INDEX(INDIRECT("HNSW_Summary!A:Z"), 0, MATCH("TemplateId", INDIRECT("HNSW_Summary!1:1"), 0)), "92f63c33-d9c8-4a4f-b21d-1221a6cd1cfc", INDEX(INDIRECT("HNSW_Summary!A:Z"), 0, MATCH("CurrentUnexpInt", INDIRECT("HNSW_Summary!1:1"), 0)))</f>
        <v>0</v>
      </c>
      <c r="I73" s="2050">
        <f ca="1">SUMIF(INDEX(INDIRECT("HNSW_Summary!A:Z"), 0, MATCH("TemplateId", INDIRECT("HNSW_Summary!1:1"), 0)), "92f63c33-d9c8-4a4f-b21d-1221a6cd1cfc", INDEX(INDIRECT("HNSW_Summary!A:Z"), 0, MATCH("NCL", INDIRECT("HNSW_Summary!1:1"), 0)))</f>
        <v>0</v>
      </c>
      <c r="J73" s="2050">
        <f ca="1">SUMIF(INDEX(INDIRECT("HNSW_Summary!A:Z"), 0, MATCH("TemplateId", INDIRECT("HNSW_Summary!1:1"), 0)), "92f63c33-d9c8-4a4f-b21d-1221a6cd1cfc", INDEX(INDIRECT("HNSW_Summary!A:Z"), 0, MATCH("NCUnexpInt", INDIRECT("HNSW_Summary!1:1"), 0)))</f>
        <v>0</v>
      </c>
      <c r="K73" s="2050">
        <f ca="1">I73+G73</f>
        <v>0</v>
      </c>
      <c r="L73" s="2050">
        <f ca="1">J73+H73</f>
        <v>0</v>
      </c>
      <c r="M73" s="2048"/>
      <c r="O73" s="2047"/>
      <c r="P73" s="2046"/>
    </row>
    <row r="74" spans="2:23" s="1837" customFormat="1" ht="16.899999999999999" customHeight="1">
      <c r="B74" s="2049"/>
      <c r="C74" s="1382" t="s">
        <v>2060</v>
      </c>
      <c r="D74" s="2038"/>
      <c r="E74" s="2038"/>
      <c r="F74" s="1886">
        <f ca="1">SUM(F72:F73)</f>
        <v>0</v>
      </c>
      <c r="G74" s="1886">
        <f ca="1">SUM(G72:G73)</f>
        <v>0</v>
      </c>
      <c r="H74" s="1886">
        <f ca="1">SUM(H72:H73)</f>
        <v>0</v>
      </c>
      <c r="I74" s="1886">
        <f ca="1">SUM(I72:I73)</f>
        <v>0</v>
      </c>
      <c r="J74" s="1886">
        <f ca="1">SUM(J72:J73)</f>
        <v>0</v>
      </c>
      <c r="K74" s="1886">
        <f ca="1">SUM(K72:K73)</f>
        <v>0</v>
      </c>
      <c r="L74" s="1886">
        <f ca="1">SUM(L72:L73)</f>
        <v>0</v>
      </c>
      <c r="M74" s="2048"/>
      <c r="O74" s="2047"/>
      <c r="P74" s="2046"/>
    </row>
    <row r="75" spans="2:23" s="1837" customFormat="1" ht="7.5" customHeight="1">
      <c r="B75" s="2045"/>
      <c r="C75" s="2044"/>
      <c r="D75" s="2043"/>
      <c r="E75" s="2043"/>
      <c r="F75" s="2043"/>
      <c r="G75" s="2043"/>
      <c r="H75" s="2043"/>
      <c r="I75" s="2043"/>
      <c r="J75" s="2043"/>
      <c r="K75" s="2043"/>
      <c r="L75" s="2042"/>
      <c r="M75" s="2041"/>
      <c r="O75" s="2036"/>
      <c r="P75" s="2040"/>
    </row>
    <row r="76" spans="2:23" ht="7.5" customHeight="1">
      <c r="C76" s="2039"/>
      <c r="D76" s="2038"/>
      <c r="E76" s="2038"/>
      <c r="F76" s="2038"/>
      <c r="G76" s="2038"/>
      <c r="H76" s="2038"/>
      <c r="I76" s="2038"/>
      <c r="J76" s="2038"/>
      <c r="K76" s="2038"/>
      <c r="L76" s="2037"/>
    </row>
    <row r="77" spans="2:23">
      <c r="F77" s="1837"/>
      <c r="G77" s="1837"/>
      <c r="H77" s="1837"/>
      <c r="I77" s="1837"/>
      <c r="J77" s="1837"/>
      <c r="K77" s="1837"/>
      <c r="L77" s="1837"/>
    </row>
    <row r="78" spans="2:23">
      <c r="F78" s="1837"/>
      <c r="G78" s="1837"/>
      <c r="H78" s="1837"/>
      <c r="I78" s="1837"/>
      <c r="J78" s="1837"/>
      <c r="K78" s="1837"/>
      <c r="L78" s="1837"/>
      <c r="O78" s="988"/>
    </row>
    <row r="79" spans="2:23">
      <c r="F79" s="1837"/>
      <c r="G79" s="1837"/>
      <c r="H79" s="1837"/>
      <c r="I79" s="1837"/>
      <c r="J79" s="1837"/>
      <c r="K79" s="1837"/>
      <c r="L79" s="1837"/>
      <c r="O79" s="988"/>
    </row>
    <row r="80" spans="2:23">
      <c r="F80" s="1837"/>
      <c r="G80" s="1837"/>
      <c r="H80" s="1837"/>
      <c r="I80" s="1837"/>
      <c r="J80" s="1837"/>
      <c r="K80" s="1837"/>
      <c r="L80" s="1837"/>
      <c r="O80" s="988"/>
    </row>
    <row r="81" spans="6:12">
      <c r="F81" s="1837"/>
      <c r="G81" s="1837"/>
      <c r="H81" s="1837"/>
      <c r="I81" s="1837"/>
      <c r="J81" s="1837"/>
      <c r="K81" s="1837"/>
      <c r="L81" s="1837"/>
    </row>
    <row r="82" spans="6:12">
      <c r="F82" s="1837"/>
      <c r="G82" s="1837"/>
      <c r="H82" s="1837"/>
      <c r="I82" s="1837"/>
      <c r="J82" s="1837"/>
      <c r="K82" s="1837"/>
      <c r="L82" s="1837"/>
    </row>
    <row r="83" spans="6:12">
      <c r="F83" s="1837"/>
      <c r="G83" s="1837"/>
      <c r="H83" s="1837"/>
      <c r="I83" s="1837"/>
      <c r="J83" s="1837"/>
      <c r="K83" s="1837"/>
      <c r="L83" s="1837"/>
    </row>
    <row r="84" spans="6:12">
      <c r="F84" s="1837"/>
      <c r="G84" s="1837"/>
      <c r="H84" s="1837"/>
      <c r="I84" s="1837"/>
      <c r="J84" s="1837"/>
      <c r="K84" s="1837"/>
      <c r="L84" s="1837"/>
    </row>
    <row r="85" spans="6:12">
      <c r="F85" s="1837"/>
      <c r="G85" s="1837"/>
      <c r="H85" s="1837"/>
      <c r="I85" s="1837"/>
      <c r="J85" s="1837"/>
      <c r="K85" s="1837"/>
      <c r="L85" s="1837"/>
    </row>
  </sheetData>
  <sheetProtection sheet="1" insertHyperlinks="0"/>
  <dataConsolidate/>
  <mergeCells count="6">
    <mergeCell ref="B70:D70"/>
    <mergeCell ref="B11:D11"/>
    <mergeCell ref="C8:L8"/>
    <mergeCell ref="O15:P15"/>
    <mergeCell ref="K13:L13"/>
    <mergeCell ref="C9:L9"/>
  </mergeCells>
  <conditionalFormatting sqref="D2:E2 D15:E69 D72:E1048576">
    <cfRule type="cellIs" dxfId="727" priority="10" operator="equal">
      <formula>"q"</formula>
    </cfRule>
  </conditionalFormatting>
  <conditionalFormatting sqref="D17:E66">
    <cfRule type="containsBlanks" dxfId="726" priority="1">
      <formula>LEN(TRIM(D17))=0</formula>
    </cfRule>
  </conditionalFormatting>
  <conditionalFormatting sqref="I3:K5">
    <cfRule type="cellIs" dxfId="725" priority="2" operator="equal">
      <formula>"Partner Approved"</formula>
    </cfRule>
    <cfRule type="cellIs" dxfId="724" priority="3" operator="equal">
      <formula>"Reviewed"</formula>
    </cfRule>
    <cfRule type="cellIs" dxfId="723" priority="4" operator="equal">
      <formula>"Rework Complete"</formula>
    </cfRule>
    <cfRule type="cellIs" dxfId="722" priority="5" operator="equal">
      <formula>"Client Query"</formula>
    </cfRule>
    <cfRule type="cellIs" dxfId="721" priority="6" operator="equal">
      <formula>"Started"</formula>
    </cfRule>
    <cfRule type="cellIs" dxfId="720" priority="7" operator="equal">
      <formula>"Ready for Review"</formula>
    </cfRule>
    <cfRule type="cellIs" dxfId="719" priority="8" operator="equal">
      <formula>"Rework Required"</formula>
    </cfRule>
    <cfRule type="cellIs" dxfId="718" priority="9" operator="equal">
      <formula>"Complete"</formula>
    </cfRule>
  </conditionalFormatting>
  <hyperlinks>
    <hyperlink ref="L3" location="'H12 Loan Summary'!Go_Index" tooltip="Go to Record" display="Show Record" xr:uid="{9D2E792F-D5AB-4793-BB63-D8A36845D1C5}"/>
    <hyperlink ref="K13:L13" location="'H12 Loan Summary'!Go_ShowHideRows" tooltip="Update Display" display="Update Display" xr:uid="{84DB73FC-A741-47D8-92D6-8DF25CB33CE4}"/>
  </hyperlinks>
  <printOptions horizontalCentered="1"/>
  <pageMargins left="0.59055118110236227" right="0.59055118110236227" top="0.59055118110236227" bottom="0.78740157480314965" header="0" footer="0"/>
  <pageSetup paperSize="9" scale="64" fitToHeight="2" orientation="portrait"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80147F15-3765-466E-957B-C240A9454321}">
          <xm:f>'H12 Loan Summary'!H12_Number_of_Loans</xm:f>
        </x15:webExtension>
        <x15:webExtension appRef="{21E9DFA7-9FF7-4294-A0C4-E4E63AD3F1D5}">
          <xm:f>'H12 Loan Summary'!Reconcile_Summary_CurrentLiability</xm:f>
        </x15:webExtension>
        <x15:webExtension appRef="{3576EC1A-BB75-4FD8-A26C-562FA66C4381}">
          <xm:f>'H12 Loan Summary'!Reconcile_Summary_CurrentUnexpiredInterest</xm:f>
        </x15:webExtension>
        <x15:webExtension appRef="{40EEEA09-B0D9-4852-8273-4C76D3287C21}">
          <xm:f>'H12 Loan Summary'!Reconcile_Summary_InterestExpense</xm:f>
        </x15:webExtension>
        <x15:webExtension appRef="{EFBA4C08-7EEF-4E62-B3EB-9B10F16BE130}">
          <xm:f>'H12 Loan Summary'!Reconcile_Summary_NonCurrentLiability</xm:f>
        </x15:webExtension>
        <x15:webExtension appRef="{83DFE168-8B62-4208-949A-A187688FBBBB}">
          <xm:f>'H12 Loan Summary'!Reconcile_Summary_NonCurrentUnexpiredInterest</xm:f>
        </x15:webExtension>
        <x15:webExtension appRef="{E6C504A8-1ED3-4B63-A7E2-A7194EA86F17}">
          <xm:f>'H12 Loan Summary'!Reconcile_Summary_TotalLiability</xm:f>
        </x15:webExtension>
        <x15:webExtension appRef="{180D0392-FDB6-4109-8748-01035927E709}">
          <xm:f>'H12 Loan Summary'!Reconcile_Summary_TotalUnexpiredInterest</xm:f>
        </x15:webExtension>
      </x15:webExtens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691A6-D462-4744-A312-0DCE42C1B909}">
  <sheetPr>
    <pageSetUpPr autoPageBreaks="0" fitToPage="1"/>
  </sheetPr>
  <dimension ref="A1:W473"/>
  <sheetViews>
    <sheetView showGridLines="0" topLeftCell="A2" zoomScaleNormal="100" workbookViewId="0">
      <selection activeCell="A2" sqref="A2"/>
    </sheetView>
  </sheetViews>
  <sheetFormatPr defaultRowHeight="15"/>
  <cols>
    <col min="1" max="1" width="4.28515625" style="1815" customWidth="1"/>
    <col min="2" max="2" width="1.42578125" style="1815" customWidth="1"/>
    <col min="3" max="3" width="30.7109375" style="1815" customWidth="1"/>
    <col min="4" max="4" width="4.42578125" style="1815" customWidth="1"/>
    <col min="5" max="20" width="15.7109375" style="1815" customWidth="1"/>
    <col min="21" max="21" width="1.42578125" style="1815" customWidth="1"/>
    <col min="22" max="22" width="9.140625" style="1815"/>
    <col min="23" max="23" width="31.42578125" style="1815" customWidth="1"/>
    <col min="24" max="16384" width="9.140625" style="1815"/>
  </cols>
  <sheetData>
    <row r="1" spans="2:21" ht="18.75" hidden="1">
      <c r="C1" s="1996" t="s">
        <v>181</v>
      </c>
      <c r="D1" s="417"/>
      <c r="E1" s="417"/>
      <c r="F1" s="417"/>
      <c r="H1" s="2034" t="s">
        <v>179</v>
      </c>
      <c r="I1" s="1815" t="s">
        <v>318</v>
      </c>
    </row>
    <row r="2" spans="2:21" ht="7.5" customHeight="1">
      <c r="C2" s="417"/>
      <c r="D2" s="417"/>
      <c r="E2" s="417"/>
      <c r="F2" s="417"/>
    </row>
    <row r="3" spans="2:21" ht="24.75" customHeight="1">
      <c r="C3" s="561" t="s">
        <v>2057</v>
      </c>
      <c r="D3" s="417"/>
      <c r="E3" s="417"/>
      <c r="F3" s="417"/>
      <c r="S3"/>
      <c r="T3" s="2035" t="s">
        <v>174</v>
      </c>
    </row>
    <row r="4" spans="2:21" ht="22.5" customHeight="1">
      <c r="B4" s="417"/>
      <c r="C4" s="2033" t="str">
        <f>_xlfn.TEXTJOIN(" ",1,IFERROR(_xlfn.SINGLE(Cl_Name),"Client Name"),IF(IFERROR(_xlfn.SINGLE(Cl_Code),"")="","","("&amp;_xlfn.SINGLE(Cl_Code)&amp;")"))</f>
        <v>Springrange Holdings Pty Ltd (MuM001)</v>
      </c>
      <c r="D4" s="417"/>
      <c r="E4" s="417"/>
      <c r="F4" s="417"/>
    </row>
    <row r="5" spans="2:21" ht="22.5" customHeight="1">
      <c r="B5" s="417"/>
      <c r="C5" s="2032">
        <f>IFERROR(_xlfn.SINGLE(PeriodEndDate),DATE(1901,1,1))</f>
        <v>45473</v>
      </c>
      <c r="D5" s="417"/>
      <c r="E5" s="417"/>
      <c r="F5" s="417"/>
    </row>
    <row r="6" spans="2:21" ht="17.25" hidden="1" customHeight="1">
      <c r="B6" s="417"/>
      <c r="C6" s="417"/>
      <c r="D6" s="417"/>
      <c r="E6" s="417"/>
      <c r="F6" s="417"/>
      <c r="R6" s="2031"/>
      <c r="S6" s="2030"/>
    </row>
    <row r="7" spans="2:21" ht="7.5" customHeight="1">
      <c r="B7" s="411"/>
      <c r="C7" s="411"/>
      <c r="D7" s="411"/>
      <c r="E7" s="411"/>
      <c r="F7" s="411"/>
      <c r="G7" s="1832"/>
      <c r="H7" s="1832"/>
      <c r="I7" s="1832"/>
      <c r="J7" s="1832"/>
      <c r="K7" s="1832"/>
      <c r="L7" s="1832"/>
      <c r="M7" s="1832"/>
      <c r="N7" s="1832"/>
      <c r="O7" s="1832"/>
      <c r="P7" s="1832"/>
      <c r="Q7" s="1832"/>
      <c r="R7" s="1832"/>
      <c r="S7" s="1832"/>
      <c r="T7" s="1832"/>
      <c r="U7" s="1832"/>
    </row>
    <row r="8" spans="2:21" ht="7.5" customHeight="1"/>
    <row r="9" spans="2:21" ht="17.25" customHeight="1">
      <c r="B9" s="2029"/>
      <c r="C9" s="2028" t="s">
        <v>2056</v>
      </c>
      <c r="U9" s="1831"/>
    </row>
    <row r="10" spans="2:21" ht="17.25" customHeight="1">
      <c r="B10" s="355"/>
      <c r="C10" s="2023" t="s">
        <v>2055</v>
      </c>
      <c r="D10" s="2023"/>
      <c r="E10" s="2023"/>
      <c r="F10" s="2023"/>
      <c r="G10" s="2023"/>
      <c r="H10" s="2023"/>
      <c r="I10" s="2023"/>
      <c r="J10" s="2023"/>
      <c r="K10" s="2023"/>
      <c r="L10" s="2023"/>
      <c r="M10" s="2023"/>
      <c r="N10" s="2023"/>
      <c r="O10" s="2023"/>
      <c r="P10" s="2023"/>
      <c r="Q10" s="2023"/>
      <c r="R10" s="2023"/>
      <c r="S10" s="2023"/>
      <c r="T10" s="2023"/>
      <c r="U10" s="1831"/>
    </row>
    <row r="11" spans="2:21" ht="17.25" customHeight="1">
      <c r="B11" s="355"/>
      <c r="C11" s="2023" t="s">
        <v>2054</v>
      </c>
      <c r="D11" s="2023"/>
      <c r="E11" s="2023"/>
      <c r="F11" s="2023"/>
      <c r="G11" s="2023"/>
      <c r="H11" s="2023"/>
      <c r="I11" s="2023"/>
      <c r="J11" s="2023"/>
      <c r="K11" s="2023"/>
      <c r="L11" s="2023"/>
      <c r="M11" s="2023"/>
      <c r="N11" s="2023"/>
      <c r="O11" s="2023"/>
      <c r="P11" s="2023"/>
      <c r="Q11" s="2023"/>
      <c r="R11" s="2023"/>
      <c r="S11" s="2023"/>
      <c r="T11" s="2023"/>
      <c r="U11" s="1831"/>
    </row>
    <row r="12" spans="2:21" ht="17.25" customHeight="1">
      <c r="B12" s="355"/>
      <c r="C12" s="2027" t="s">
        <v>2053</v>
      </c>
      <c r="D12" s="2026"/>
      <c r="E12" s="2026"/>
      <c r="F12" s="2026"/>
      <c r="G12" s="2026"/>
      <c r="H12" s="2026"/>
      <c r="I12" s="2026"/>
      <c r="J12" s="2026"/>
      <c r="K12" s="2026"/>
      <c r="L12" s="2026"/>
      <c r="M12" s="2026"/>
      <c r="N12" s="2026"/>
      <c r="O12" s="2026"/>
      <c r="P12" s="2026"/>
      <c r="Q12" s="2026"/>
      <c r="R12" s="2026"/>
      <c r="S12" s="2026"/>
      <c r="T12" s="2026"/>
      <c r="U12" s="1831"/>
    </row>
    <row r="13" spans="2:21" ht="17.25" customHeight="1">
      <c r="B13" s="355"/>
      <c r="C13" s="2024" t="s">
        <v>2052</v>
      </c>
      <c r="D13" s="1831"/>
      <c r="E13" s="1831"/>
      <c r="F13" s="1831"/>
      <c r="G13" s="1831"/>
      <c r="H13" s="1831"/>
      <c r="I13" s="1831"/>
      <c r="J13" s="1831"/>
      <c r="K13" s="1831"/>
      <c r="L13" s="1831"/>
      <c r="M13" s="1831"/>
      <c r="N13" s="1831"/>
      <c r="O13" s="1831"/>
      <c r="P13" s="1831"/>
      <c r="Q13" s="1831"/>
      <c r="R13" s="1831"/>
      <c r="S13" s="1831"/>
      <c r="T13" s="1831"/>
      <c r="U13" s="1831"/>
    </row>
    <row r="14" spans="2:21" ht="17.25" customHeight="1">
      <c r="B14" s="355"/>
      <c r="C14" s="2025" t="s">
        <v>2051</v>
      </c>
      <c r="D14" s="1831"/>
      <c r="E14" s="1831"/>
      <c r="F14" s="1831"/>
      <c r="G14" s="1831"/>
      <c r="H14" s="1831"/>
      <c r="I14" s="1831"/>
      <c r="J14" s="1831"/>
      <c r="K14" s="1831"/>
      <c r="L14" s="1831"/>
      <c r="M14" s="1831"/>
      <c r="N14" s="1831"/>
      <c r="O14" s="1831"/>
      <c r="P14" s="1831"/>
      <c r="Q14" s="1831"/>
      <c r="R14" s="1831"/>
      <c r="S14" s="1831"/>
      <c r="T14" s="1831"/>
      <c r="U14" s="1831"/>
    </row>
    <row r="15" spans="2:21" ht="17.25" customHeight="1">
      <c r="B15" s="355"/>
      <c r="C15" s="2025" t="s">
        <v>2050</v>
      </c>
      <c r="D15" s="1831"/>
      <c r="E15" s="1831"/>
      <c r="F15" s="1831"/>
      <c r="G15" s="1831"/>
      <c r="H15" s="1831"/>
      <c r="I15" s="1831"/>
      <c r="J15" s="1831"/>
      <c r="K15" s="1831"/>
      <c r="L15" s="1831"/>
      <c r="M15" s="1831"/>
      <c r="N15" s="1831"/>
      <c r="O15" s="1831"/>
      <c r="P15" s="1831"/>
      <c r="Q15" s="1831"/>
      <c r="R15" s="1831"/>
      <c r="S15" s="1831"/>
      <c r="T15" s="1831"/>
      <c r="U15" s="1831"/>
    </row>
    <row r="16" spans="2:21" ht="17.25" customHeight="1">
      <c r="B16" s="355"/>
      <c r="C16" s="2024" t="s">
        <v>2049</v>
      </c>
      <c r="D16" s="1831"/>
      <c r="E16" s="1831"/>
      <c r="F16" s="1831"/>
      <c r="G16" s="1831"/>
      <c r="H16" s="1831"/>
      <c r="I16" s="1831"/>
      <c r="J16" s="1831"/>
      <c r="K16" s="1831"/>
      <c r="L16" s="1831"/>
      <c r="M16" s="1831"/>
      <c r="N16" s="1831"/>
      <c r="O16" s="1831"/>
      <c r="P16" s="1831"/>
      <c r="Q16" s="1831"/>
      <c r="R16" s="1831"/>
      <c r="S16" s="1831"/>
      <c r="T16" s="1831"/>
      <c r="U16" s="1831"/>
    </row>
    <row r="17" spans="2:23" ht="17.25" customHeight="1">
      <c r="B17" s="355"/>
      <c r="C17" s="2023" t="s">
        <v>2048</v>
      </c>
      <c r="D17" s="2023"/>
      <c r="E17" s="2023"/>
      <c r="F17" s="2023"/>
      <c r="G17" s="2023"/>
      <c r="H17" s="553"/>
      <c r="I17" s="553"/>
      <c r="J17" s="553"/>
      <c r="K17" s="553"/>
      <c r="L17" s="553"/>
      <c r="M17" s="553"/>
      <c r="N17" s="553"/>
      <c r="O17" s="553"/>
      <c r="P17" s="553"/>
      <c r="Q17" s="553"/>
      <c r="R17" s="553"/>
      <c r="S17" s="553"/>
      <c r="T17" s="553"/>
      <c r="U17" s="1831"/>
    </row>
    <row r="18" spans="2:23" ht="22.5" customHeight="1">
      <c r="B18" s="355"/>
      <c r="C18" s="1831"/>
      <c r="D18" s="1831"/>
      <c r="E18" s="1831"/>
      <c r="F18" s="1831"/>
      <c r="G18" s="1831"/>
      <c r="H18" s="1831"/>
      <c r="O18" s="1831"/>
      <c r="P18" s="1831"/>
      <c r="Q18" s="1831"/>
      <c r="R18" s="1831"/>
      <c r="S18" s="1831"/>
      <c r="T18" s="1831"/>
      <c r="U18" s="1831"/>
    </row>
    <row r="19" spans="2:23" ht="22.5" customHeight="1">
      <c r="B19" s="2022" t="s">
        <v>2047</v>
      </c>
      <c r="C19" s="2021"/>
      <c r="D19" s="2020"/>
    </row>
    <row r="20" spans="2:23" ht="7.5" customHeight="1">
      <c r="B20" s="1905"/>
      <c r="C20" s="1827"/>
      <c r="D20" s="1827"/>
      <c r="E20" s="1827"/>
      <c r="F20" s="1827"/>
      <c r="G20" s="1827"/>
      <c r="H20" s="1827"/>
      <c r="I20" s="1827"/>
      <c r="J20" s="1827"/>
      <c r="K20" s="1827"/>
      <c r="L20" s="1827"/>
      <c r="M20" s="1827"/>
      <c r="N20" s="1827"/>
      <c r="O20" s="1827"/>
      <c r="P20" s="1827"/>
      <c r="Q20" s="1827"/>
      <c r="R20" s="1827"/>
      <c r="S20" s="1827"/>
      <c r="T20" s="2019"/>
      <c r="U20" s="2018"/>
    </row>
    <row r="21" spans="2:23" ht="30" customHeight="1">
      <c r="B21" s="1835"/>
      <c r="C21" s="1477" t="s">
        <v>404</v>
      </c>
      <c r="D21" s="1532"/>
      <c r="E21" s="405" t="str">
        <f>C23</f>
        <v>Name A</v>
      </c>
      <c r="F21" s="405" t="str">
        <f>C24</f>
        <v>Name B</v>
      </c>
      <c r="G21" s="405" t="str">
        <f>C25</f>
        <v>Name C</v>
      </c>
      <c r="H21" s="405" t="str">
        <f>C26</f>
        <v>Name D</v>
      </c>
      <c r="I21" s="405" t="str">
        <f>C27</f>
        <v xml:space="preserve">Name E </v>
      </c>
      <c r="J21" s="405" t="str">
        <f>C28</f>
        <v>Name F</v>
      </c>
      <c r="K21" s="405" t="str">
        <f>C29</f>
        <v>Name G</v>
      </c>
      <c r="L21" s="405" t="str">
        <f>C30</f>
        <v>Name H</v>
      </c>
      <c r="M21" s="405" t="str">
        <f>C31</f>
        <v>Name I</v>
      </c>
      <c r="N21" s="405" t="str">
        <f>C32</f>
        <v>Name J</v>
      </c>
      <c r="O21" s="405" t="str">
        <f>+C33</f>
        <v>Name K</v>
      </c>
      <c r="P21" s="405" t="str">
        <f>C34</f>
        <v>Name L</v>
      </c>
      <c r="Q21" s="405" t="str">
        <f>C35</f>
        <v>Name M</v>
      </c>
      <c r="R21" s="405" t="str">
        <f>C36</f>
        <v>Name N</v>
      </c>
      <c r="S21" s="405" t="str">
        <f>C37</f>
        <v>Name O</v>
      </c>
      <c r="T21" s="404" t="s">
        <v>151</v>
      </c>
      <c r="U21" s="1894"/>
      <c r="W21" s="2017" t="s">
        <v>155</v>
      </c>
    </row>
    <row r="22" spans="2:23" ht="24.95" customHeight="1">
      <c r="B22" s="1835"/>
      <c r="C22" s="1432" t="s">
        <v>2030</v>
      </c>
      <c r="D22" s="2016"/>
      <c r="E22" s="32">
        <v>1</v>
      </c>
      <c r="F22" s="32">
        <v>2</v>
      </c>
      <c r="G22" s="32">
        <v>3</v>
      </c>
      <c r="H22" s="32">
        <v>4</v>
      </c>
      <c r="I22" s="32">
        <v>5</v>
      </c>
      <c r="J22" s="32">
        <v>6</v>
      </c>
      <c r="K22" s="32">
        <v>7</v>
      </c>
      <c r="L22" s="32">
        <v>8</v>
      </c>
      <c r="M22" s="32">
        <v>9</v>
      </c>
      <c r="N22" s="32">
        <v>10</v>
      </c>
      <c r="O22" s="32">
        <v>11</v>
      </c>
      <c r="P22" s="32">
        <v>12</v>
      </c>
      <c r="Q22" s="32">
        <v>13</v>
      </c>
      <c r="R22" s="32">
        <v>14</v>
      </c>
      <c r="S22" s="32">
        <v>15</v>
      </c>
      <c r="T22" s="1827"/>
      <c r="U22" s="1894"/>
    </row>
    <row r="23" spans="2:23" ht="17.25" customHeight="1">
      <c r="B23" s="1835"/>
      <c r="C23" s="2004" t="s">
        <v>2046</v>
      </c>
      <c r="D23" s="32">
        <v>1</v>
      </c>
      <c r="E23" s="2002"/>
      <c r="F23" s="2003"/>
      <c r="G23" s="2003"/>
      <c r="H23" s="2003"/>
      <c r="I23" s="2003"/>
      <c r="J23" s="2003"/>
      <c r="K23" s="2003"/>
      <c r="L23" s="2003"/>
      <c r="M23" s="2003"/>
      <c r="N23" s="2003"/>
      <c r="O23" s="2003"/>
      <c r="P23" s="2003"/>
      <c r="Q23" s="2015"/>
      <c r="R23" s="2003"/>
      <c r="S23" s="2003"/>
      <c r="T23" s="2014">
        <f>SUM(E23:S23)</f>
        <v>0</v>
      </c>
      <c r="U23" s="1894"/>
      <c r="W23" s="2013"/>
    </row>
    <row r="24" spans="2:23" ht="17.25" customHeight="1">
      <c r="B24" s="1835"/>
      <c r="C24" s="2004" t="s">
        <v>2045</v>
      </c>
      <c r="D24" s="32">
        <v>2</v>
      </c>
      <c r="E24" s="2003"/>
      <c r="F24" s="2002"/>
      <c r="G24" s="2003"/>
      <c r="H24" s="2003"/>
      <c r="I24" s="2003"/>
      <c r="J24" s="2003"/>
      <c r="K24" s="2003"/>
      <c r="L24" s="2003"/>
      <c r="M24" s="2003"/>
      <c r="N24" s="2003"/>
      <c r="O24" s="2003"/>
      <c r="P24" s="2015"/>
      <c r="Q24" s="2003"/>
      <c r="R24" s="2003"/>
      <c r="S24" s="2003"/>
      <c r="T24" s="2014">
        <f>SUM(E24:S24)</f>
        <v>0</v>
      </c>
      <c r="U24" s="1894"/>
      <c r="W24" s="2013"/>
    </row>
    <row r="25" spans="2:23" ht="17.25" customHeight="1">
      <c r="B25" s="1835"/>
      <c r="C25" s="2004" t="s">
        <v>2044</v>
      </c>
      <c r="D25" s="32">
        <v>3</v>
      </c>
      <c r="E25" s="2003"/>
      <c r="F25" s="2003"/>
      <c r="G25" s="2002"/>
      <c r="H25" s="2003"/>
      <c r="I25" s="2003"/>
      <c r="J25" s="2003"/>
      <c r="K25" s="2003"/>
      <c r="L25" s="2003"/>
      <c r="M25" s="2003"/>
      <c r="N25" s="2003"/>
      <c r="O25" s="2015"/>
      <c r="P25" s="2003"/>
      <c r="Q25" s="2003"/>
      <c r="R25" s="2003"/>
      <c r="S25" s="2003"/>
      <c r="T25" s="2014">
        <f>SUM(E25:S25)</f>
        <v>0</v>
      </c>
      <c r="U25" s="1894"/>
      <c r="W25" s="2013"/>
    </row>
    <row r="26" spans="2:23" ht="17.25" customHeight="1">
      <c r="B26" s="1835"/>
      <c r="C26" s="2004" t="s">
        <v>2043</v>
      </c>
      <c r="D26" s="32">
        <v>4</v>
      </c>
      <c r="E26" s="2003"/>
      <c r="F26" s="2003"/>
      <c r="G26" s="2003"/>
      <c r="H26" s="2002"/>
      <c r="I26" s="2003"/>
      <c r="J26" s="2003"/>
      <c r="K26" s="2003"/>
      <c r="L26" s="2003"/>
      <c r="M26" s="2003"/>
      <c r="N26" s="2015"/>
      <c r="O26" s="2003"/>
      <c r="P26" s="2003"/>
      <c r="Q26" s="2003"/>
      <c r="R26" s="2003"/>
      <c r="S26" s="2003"/>
      <c r="T26" s="2014">
        <f>SUM(E26:S26)</f>
        <v>0</v>
      </c>
      <c r="U26" s="1894"/>
      <c r="W26" s="2013"/>
    </row>
    <row r="27" spans="2:23" ht="17.25" customHeight="1">
      <c r="B27" s="1835"/>
      <c r="C27" s="2004" t="s">
        <v>2042</v>
      </c>
      <c r="D27" s="32">
        <v>5</v>
      </c>
      <c r="E27" s="2003"/>
      <c r="F27" s="2003"/>
      <c r="G27" s="2003"/>
      <c r="H27" s="2003"/>
      <c r="I27" s="2002"/>
      <c r="J27" s="2003"/>
      <c r="K27" s="2003"/>
      <c r="L27" s="2003"/>
      <c r="M27" s="2015"/>
      <c r="N27" s="2003"/>
      <c r="O27" s="2003"/>
      <c r="P27" s="2003"/>
      <c r="Q27" s="2003"/>
      <c r="R27" s="2003"/>
      <c r="S27" s="2003"/>
      <c r="T27" s="2014">
        <f>SUM(E27:S27)</f>
        <v>0</v>
      </c>
      <c r="U27" s="1894"/>
      <c r="W27" s="2013"/>
    </row>
    <row r="28" spans="2:23" ht="17.25" customHeight="1">
      <c r="B28" s="1835"/>
      <c r="C28" s="2004" t="s">
        <v>2041</v>
      </c>
      <c r="D28" s="32">
        <v>6</v>
      </c>
      <c r="E28" s="2003"/>
      <c r="F28" s="2003"/>
      <c r="G28" s="2003"/>
      <c r="H28" s="2003"/>
      <c r="I28" s="2003"/>
      <c r="J28" s="2002"/>
      <c r="K28" s="2003"/>
      <c r="L28" s="2015"/>
      <c r="M28" s="2003"/>
      <c r="N28" s="2003"/>
      <c r="O28" s="2003"/>
      <c r="P28" s="2003"/>
      <c r="Q28" s="2003"/>
      <c r="R28" s="2003"/>
      <c r="S28" s="2003"/>
      <c r="T28" s="2014">
        <f>SUM(E28:S28)</f>
        <v>0</v>
      </c>
      <c r="U28" s="1894"/>
      <c r="W28" s="2013"/>
    </row>
    <row r="29" spans="2:23" ht="17.25" customHeight="1">
      <c r="B29" s="1835"/>
      <c r="C29" s="2004" t="s">
        <v>2040</v>
      </c>
      <c r="D29" s="32">
        <v>7</v>
      </c>
      <c r="E29" s="2003"/>
      <c r="F29" s="2003"/>
      <c r="G29" s="2003"/>
      <c r="H29" s="2003"/>
      <c r="I29" s="2003"/>
      <c r="J29" s="2003"/>
      <c r="K29" s="2002"/>
      <c r="L29" s="2003"/>
      <c r="M29" s="2003"/>
      <c r="N29" s="2003"/>
      <c r="O29" s="2003"/>
      <c r="P29" s="2003"/>
      <c r="Q29" s="2003"/>
      <c r="R29" s="2003"/>
      <c r="S29" s="2003"/>
      <c r="T29" s="2014">
        <f>SUM(E29:S29)</f>
        <v>0</v>
      </c>
      <c r="U29" s="1894"/>
      <c r="W29" s="2013"/>
    </row>
    <row r="30" spans="2:23" ht="17.25" customHeight="1">
      <c r="B30" s="1835"/>
      <c r="C30" s="2004" t="s">
        <v>2039</v>
      </c>
      <c r="D30" s="32">
        <v>8</v>
      </c>
      <c r="E30" s="2003"/>
      <c r="F30" s="2003"/>
      <c r="G30" s="2003"/>
      <c r="H30" s="2003"/>
      <c r="I30" s="2003"/>
      <c r="J30" s="2015"/>
      <c r="K30" s="2003"/>
      <c r="L30" s="2002"/>
      <c r="M30" s="2003"/>
      <c r="N30" s="2003"/>
      <c r="O30" s="2003"/>
      <c r="P30" s="2003"/>
      <c r="Q30" s="2003"/>
      <c r="R30" s="2003"/>
      <c r="S30" s="2003"/>
      <c r="T30" s="2014">
        <f>SUM(E30:S30)</f>
        <v>0</v>
      </c>
      <c r="U30" s="1894"/>
      <c r="W30" s="2013"/>
    </row>
    <row r="31" spans="2:23" ht="17.25" customHeight="1">
      <c r="B31" s="1835"/>
      <c r="C31" s="2004" t="s">
        <v>2038</v>
      </c>
      <c r="D31" s="32">
        <v>9</v>
      </c>
      <c r="E31" s="2003"/>
      <c r="F31" s="2003"/>
      <c r="G31" s="2003"/>
      <c r="H31" s="2003"/>
      <c r="I31" s="2015"/>
      <c r="J31" s="2003"/>
      <c r="K31" s="2003"/>
      <c r="L31" s="2003"/>
      <c r="M31" s="2002"/>
      <c r="N31" s="2003"/>
      <c r="O31" s="2003"/>
      <c r="P31" s="2003"/>
      <c r="Q31" s="2003"/>
      <c r="R31" s="2003"/>
      <c r="S31" s="2003"/>
      <c r="T31" s="2014">
        <f>SUM(E31:S31)</f>
        <v>0</v>
      </c>
      <c r="U31" s="1894"/>
      <c r="W31" s="2013"/>
    </row>
    <row r="32" spans="2:23" ht="17.25" customHeight="1">
      <c r="B32" s="1835"/>
      <c r="C32" s="2004" t="s">
        <v>2037</v>
      </c>
      <c r="D32" s="32">
        <v>10</v>
      </c>
      <c r="E32" s="2003"/>
      <c r="F32" s="2003"/>
      <c r="G32" s="2003"/>
      <c r="H32" s="2015"/>
      <c r="I32" s="2003"/>
      <c r="J32" s="2003"/>
      <c r="K32" s="2003"/>
      <c r="L32" s="2003"/>
      <c r="M32" s="2003"/>
      <c r="N32" s="2002"/>
      <c r="O32" s="2003"/>
      <c r="P32" s="2003"/>
      <c r="Q32" s="2003"/>
      <c r="R32" s="2003"/>
      <c r="S32" s="2003"/>
      <c r="T32" s="2014">
        <f>SUM(E32:S32)</f>
        <v>0</v>
      </c>
      <c r="U32" s="1894"/>
      <c r="W32" s="2013"/>
    </row>
    <row r="33" spans="1:23" ht="17.25" customHeight="1">
      <c r="B33" s="1835"/>
      <c r="C33" s="2004" t="s">
        <v>2036</v>
      </c>
      <c r="D33" s="32">
        <v>11</v>
      </c>
      <c r="E33" s="2003"/>
      <c r="F33" s="2003"/>
      <c r="G33" s="2015"/>
      <c r="H33" s="2003"/>
      <c r="I33" s="2003"/>
      <c r="J33" s="2003"/>
      <c r="K33" s="2003"/>
      <c r="L33" s="2003"/>
      <c r="M33" s="2003"/>
      <c r="N33" s="2003"/>
      <c r="O33" s="2002"/>
      <c r="P33" s="2003"/>
      <c r="Q33" s="2003"/>
      <c r="R33" s="2003"/>
      <c r="S33" s="2003"/>
      <c r="T33" s="2014">
        <f>SUM(E33:S33)</f>
        <v>0</v>
      </c>
      <c r="U33" s="1894"/>
      <c r="W33" s="2013"/>
    </row>
    <row r="34" spans="1:23" ht="17.25" customHeight="1">
      <c r="B34" s="1835"/>
      <c r="C34" s="2004" t="s">
        <v>2035</v>
      </c>
      <c r="D34" s="32">
        <v>12</v>
      </c>
      <c r="E34" s="2003"/>
      <c r="F34" s="2015"/>
      <c r="G34" s="2003"/>
      <c r="H34" s="2003"/>
      <c r="I34" s="2003"/>
      <c r="J34" s="2003"/>
      <c r="K34" s="2003"/>
      <c r="L34" s="2003"/>
      <c r="M34" s="2003"/>
      <c r="N34" s="2003"/>
      <c r="O34" s="2003"/>
      <c r="P34" s="2002"/>
      <c r="Q34" s="2003"/>
      <c r="R34" s="2003"/>
      <c r="S34" s="2003"/>
      <c r="T34" s="2014">
        <f>SUM(E34:S34)</f>
        <v>0</v>
      </c>
      <c r="U34" s="1894"/>
      <c r="W34" s="2013"/>
    </row>
    <row r="35" spans="1:23" ht="17.25" customHeight="1">
      <c r="B35" s="1835"/>
      <c r="C35" s="2004" t="s">
        <v>2034</v>
      </c>
      <c r="D35" s="32">
        <v>13</v>
      </c>
      <c r="E35" s="2015"/>
      <c r="F35" s="2003"/>
      <c r="G35" s="2003"/>
      <c r="H35" s="2003"/>
      <c r="I35" s="2003"/>
      <c r="J35" s="2003"/>
      <c r="K35" s="2003"/>
      <c r="L35" s="2003"/>
      <c r="M35" s="2003"/>
      <c r="N35" s="2003"/>
      <c r="O35" s="2003"/>
      <c r="P35" s="2003"/>
      <c r="Q35" s="2002"/>
      <c r="R35" s="2003"/>
      <c r="S35" s="2015"/>
      <c r="T35" s="2014">
        <f>SUM(E35:S35)</f>
        <v>0</v>
      </c>
      <c r="U35" s="1894"/>
      <c r="W35" s="2013"/>
    </row>
    <row r="36" spans="1:23" ht="17.25" customHeight="1">
      <c r="B36" s="1835"/>
      <c r="C36" s="2004" t="s">
        <v>2033</v>
      </c>
      <c r="D36" s="32">
        <v>14</v>
      </c>
      <c r="E36" s="2003"/>
      <c r="F36" s="2003"/>
      <c r="G36" s="2003"/>
      <c r="H36" s="2003"/>
      <c r="I36" s="2003"/>
      <c r="J36" s="2003"/>
      <c r="K36" s="2003"/>
      <c r="L36" s="2003"/>
      <c r="M36" s="2003"/>
      <c r="N36" s="2003"/>
      <c r="O36" s="2003"/>
      <c r="P36" s="2003"/>
      <c r="Q36" s="2003"/>
      <c r="R36" s="2002"/>
      <c r="S36" s="2003"/>
      <c r="T36" s="2014">
        <f>SUM(E36:S36)</f>
        <v>0</v>
      </c>
      <c r="U36" s="1894"/>
      <c r="W36" s="2013"/>
    </row>
    <row r="37" spans="1:23" ht="17.25" customHeight="1">
      <c r="B37" s="1835"/>
      <c r="C37" s="2004" t="s">
        <v>2032</v>
      </c>
      <c r="D37" s="32">
        <v>15</v>
      </c>
      <c r="E37" s="2003"/>
      <c r="F37" s="2003"/>
      <c r="G37" s="2003"/>
      <c r="H37" s="2003"/>
      <c r="I37" s="2003"/>
      <c r="J37" s="2003"/>
      <c r="K37" s="2003"/>
      <c r="L37" s="2003"/>
      <c r="M37" s="2003"/>
      <c r="N37" s="2003"/>
      <c r="O37" s="2003"/>
      <c r="P37" s="2003"/>
      <c r="Q37" s="2015"/>
      <c r="R37" s="2003"/>
      <c r="S37" s="2002"/>
      <c r="T37" s="2014">
        <f>SUM(E37:S37)</f>
        <v>0</v>
      </c>
      <c r="U37" s="1894"/>
      <c r="W37" s="2013"/>
    </row>
    <row r="38" spans="1:23" ht="17.25" customHeight="1">
      <c r="B38" s="1835"/>
      <c r="C38" s="313" t="s">
        <v>151</v>
      </c>
      <c r="D38" s="32"/>
      <c r="E38" s="2014">
        <f>SUM(E23:E37)</f>
        <v>0</v>
      </c>
      <c r="F38" s="2014">
        <f>SUM(F23:F37)</f>
        <v>0</v>
      </c>
      <c r="G38" s="2014">
        <f>SUM(G23:G37)</f>
        <v>0</v>
      </c>
      <c r="H38" s="2014">
        <f>SUM(H23:H37)</f>
        <v>0</v>
      </c>
      <c r="I38" s="2014">
        <f>SUM(I23:I37)</f>
        <v>0</v>
      </c>
      <c r="J38" s="2014">
        <f>SUM(J23:J37)</f>
        <v>0</v>
      </c>
      <c r="K38" s="2014">
        <f>SUM(K23:K37)</f>
        <v>0</v>
      </c>
      <c r="L38" s="2014">
        <f>SUM(L23:L37)</f>
        <v>0</v>
      </c>
      <c r="M38" s="2014">
        <f>SUM(M23:M37)</f>
        <v>0</v>
      </c>
      <c r="N38" s="2014">
        <f>SUM(N23:N37)</f>
        <v>0</v>
      </c>
      <c r="O38" s="2014">
        <f>SUM(O23:O37)</f>
        <v>0</v>
      </c>
      <c r="P38" s="2014">
        <f>SUM(P23:P37)</f>
        <v>0</v>
      </c>
      <c r="Q38" s="2014">
        <f>SUM(Q23:Q37)</f>
        <v>0</v>
      </c>
      <c r="R38" s="2014">
        <f>SUM(R23:R37)</f>
        <v>0</v>
      </c>
      <c r="S38" s="2014">
        <f>SUM(S23:S37)</f>
        <v>0</v>
      </c>
      <c r="T38" s="2014">
        <f>SUM(T23:T37)</f>
        <v>0</v>
      </c>
      <c r="U38" s="1894"/>
      <c r="W38" s="2013"/>
    </row>
    <row r="39" spans="1:23" ht="7.5" customHeight="1">
      <c r="B39" s="1833"/>
      <c r="C39" s="1832"/>
      <c r="D39" s="1832"/>
      <c r="E39" s="1832"/>
      <c r="F39" s="2012"/>
      <c r="G39" s="2012"/>
      <c r="H39" s="2012"/>
      <c r="I39" s="2012"/>
      <c r="J39" s="2012"/>
      <c r="K39" s="2012"/>
      <c r="L39" s="2012"/>
      <c r="M39" s="2012"/>
      <c r="N39" s="2012"/>
      <c r="O39" s="2012"/>
      <c r="P39" s="2012"/>
      <c r="Q39" s="2012"/>
      <c r="R39" s="2012"/>
      <c r="S39" s="2012"/>
      <c r="T39" s="1818"/>
      <c r="U39" s="2011"/>
    </row>
    <row r="40" spans="1:23" ht="22.5" customHeight="1">
      <c r="F40" s="2010"/>
      <c r="G40" s="2010"/>
      <c r="H40" s="2010"/>
      <c r="I40" s="2010"/>
      <c r="J40" s="2010"/>
      <c r="K40" s="2010"/>
      <c r="L40" s="2010"/>
      <c r="M40" s="2010"/>
      <c r="N40" s="2010"/>
      <c r="O40" s="2010"/>
      <c r="P40" s="2010"/>
      <c r="Q40" s="2010"/>
      <c r="R40" s="2010"/>
      <c r="S40" s="2010"/>
    </row>
    <row r="41" spans="1:23" ht="22.5" customHeight="1">
      <c r="A41" s="1366" t="str">
        <f>IF(SUBTOTAL(103,B42),"-","+")</f>
        <v>+</v>
      </c>
      <c r="B41" s="2009" t="s">
        <v>2031</v>
      </c>
      <c r="C41" s="2008"/>
      <c r="D41" s="2007"/>
    </row>
    <row r="42" spans="1:23" ht="7.5" hidden="1" customHeight="1">
      <c r="B42" s="2006" t="s">
        <v>58</v>
      </c>
      <c r="C42" s="2005"/>
      <c r="D42" s="1827"/>
      <c r="E42" s="1827"/>
      <c r="F42" s="1827"/>
      <c r="G42" s="1827"/>
      <c r="H42" s="1827"/>
      <c r="I42" s="1827"/>
      <c r="J42" s="1827"/>
      <c r="K42" s="1827"/>
      <c r="L42" s="1827"/>
      <c r="M42" s="1827"/>
      <c r="N42" s="1827"/>
      <c r="O42" s="1827"/>
      <c r="P42" s="1827"/>
      <c r="Q42" s="1827"/>
      <c r="R42" s="1827"/>
      <c r="S42" s="1827"/>
      <c r="T42" s="1827"/>
      <c r="U42" s="1903"/>
    </row>
    <row r="43" spans="1:23" ht="30" hidden="1" customHeight="1">
      <c r="B43" s="1835"/>
      <c r="C43" s="1477" t="s">
        <v>404</v>
      </c>
      <c r="D43" s="1532"/>
      <c r="E43" s="405" t="str">
        <f>C45</f>
        <v>Smith Pty Ltd</v>
      </c>
      <c r="F43" s="405" t="str">
        <f>C46</f>
        <v>K B Smith</v>
      </c>
      <c r="G43" s="404" t="str">
        <f>C47</f>
        <v>Smith Family Trust</v>
      </c>
      <c r="U43" s="1894"/>
    </row>
    <row r="44" spans="1:23" ht="24.95" hidden="1" customHeight="1">
      <c r="B44" s="1835"/>
      <c r="C44" s="32" t="s">
        <v>2030</v>
      </c>
      <c r="D44" s="32"/>
      <c r="E44" s="32">
        <v>1</v>
      </c>
      <c r="F44" s="32">
        <v>2</v>
      </c>
      <c r="G44" s="32">
        <v>3</v>
      </c>
      <c r="U44" s="1894"/>
    </row>
    <row r="45" spans="1:23" ht="17.25" hidden="1" customHeight="1">
      <c r="B45" s="1835"/>
      <c r="C45" s="2004" t="s">
        <v>2029</v>
      </c>
      <c r="D45" s="32">
        <v>1</v>
      </c>
      <c r="E45" s="2002"/>
      <c r="F45" s="2003">
        <v>-22000</v>
      </c>
      <c r="G45" s="2003">
        <v>5000</v>
      </c>
      <c r="H45" s="2001" t="s">
        <v>2028</v>
      </c>
      <c r="U45" s="1894"/>
    </row>
    <row r="46" spans="1:23" ht="17.25" hidden="1" customHeight="1">
      <c r="B46" s="1835"/>
      <c r="C46" s="2004" t="s">
        <v>2027</v>
      </c>
      <c r="D46" s="32">
        <v>2</v>
      </c>
      <c r="E46" s="2003">
        <v>22000</v>
      </c>
      <c r="F46" s="2002"/>
      <c r="G46" s="2003">
        <v>-7500</v>
      </c>
      <c r="H46" s="2001" t="s">
        <v>2026</v>
      </c>
      <c r="U46" s="1894"/>
    </row>
    <row r="47" spans="1:23" ht="17.25" hidden="1" customHeight="1">
      <c r="B47" s="1835"/>
      <c r="C47" s="2004" t="s">
        <v>2025</v>
      </c>
      <c r="D47" s="32">
        <v>3</v>
      </c>
      <c r="E47" s="2003">
        <v>-5000</v>
      </c>
      <c r="F47" s="2003">
        <v>8000</v>
      </c>
      <c r="G47" s="2002"/>
      <c r="H47" s="2001" t="s">
        <v>2024</v>
      </c>
      <c r="U47" s="1894"/>
    </row>
    <row r="48" spans="1:23" ht="7.5" hidden="1" customHeight="1">
      <c r="B48" s="1833"/>
      <c r="C48" s="1832"/>
      <c r="D48" s="1832"/>
      <c r="E48" s="1832"/>
      <c r="F48" s="1832"/>
      <c r="G48" s="1832"/>
      <c r="H48" s="1832"/>
      <c r="I48" s="1832"/>
      <c r="J48" s="1832"/>
      <c r="K48" s="1832"/>
      <c r="L48" s="1832"/>
      <c r="M48" s="1832"/>
      <c r="N48" s="1832"/>
      <c r="O48" s="1832"/>
      <c r="P48" s="1832"/>
      <c r="Q48" s="1832"/>
      <c r="R48" s="1832"/>
      <c r="S48" s="1832"/>
      <c r="T48" s="1832"/>
      <c r="U48" s="1890"/>
    </row>
    <row r="49" ht="15.95" customHeight="1"/>
    <row r="50" ht="15.95" customHeight="1"/>
    <row r="51" ht="15.95" customHeight="1"/>
    <row r="52" ht="15.95" customHeight="1"/>
    <row r="53" ht="15.95" customHeight="1"/>
    <row r="54" ht="15.95" customHeight="1"/>
    <row r="55" ht="15.95" customHeight="1"/>
    <row r="56" ht="15.95" customHeight="1"/>
    <row r="57" ht="15.95" customHeight="1"/>
    <row r="58" ht="15.95" customHeight="1"/>
    <row r="59" ht="15.95" customHeight="1"/>
    <row r="60" ht="15.95" customHeight="1"/>
    <row r="61" ht="15.95" customHeight="1"/>
    <row r="62" ht="15.95" customHeight="1"/>
    <row r="63" ht="15.95" customHeight="1"/>
    <row r="64" ht="15.95" customHeight="1"/>
    <row r="65" ht="15.95" customHeight="1"/>
    <row r="66" ht="15.95" customHeight="1"/>
    <row r="67" ht="15.95" customHeight="1"/>
    <row r="68" ht="15.95" customHeight="1"/>
    <row r="69" ht="15.95" customHeight="1"/>
    <row r="70" ht="15.95" customHeight="1"/>
    <row r="71" ht="15.95" customHeight="1"/>
    <row r="72" ht="15.95" customHeight="1"/>
    <row r="73" ht="15.95" customHeight="1"/>
    <row r="74" ht="15.95" customHeight="1"/>
    <row r="75" ht="15.95" customHeight="1"/>
    <row r="76" ht="15.95" customHeight="1"/>
    <row r="77" ht="15.95" customHeight="1"/>
    <row r="78" ht="15.95" customHeight="1"/>
    <row r="79" ht="15.95" customHeight="1"/>
    <row r="80" ht="15.95" customHeight="1"/>
    <row r="81" ht="15.95" customHeight="1"/>
    <row r="82" ht="15.95" customHeight="1"/>
    <row r="83" ht="15.95" customHeight="1"/>
    <row r="84" ht="15.95" customHeight="1"/>
    <row r="85" ht="15.95" customHeight="1"/>
    <row r="86" ht="15.95" customHeight="1"/>
    <row r="87" ht="15.95" customHeight="1"/>
    <row r="88" ht="15.95" customHeight="1"/>
    <row r="89" ht="15.95" customHeight="1"/>
    <row r="90" ht="15.95" customHeight="1"/>
    <row r="91" ht="15.95" customHeight="1"/>
    <row r="92" ht="15.95" customHeight="1"/>
    <row r="93" ht="15.95" customHeight="1"/>
    <row r="94" ht="15.95" customHeight="1"/>
    <row r="95" ht="15.95" customHeight="1"/>
    <row r="96" ht="15.95" customHeight="1"/>
    <row r="97" ht="15.95" customHeight="1"/>
    <row r="98" ht="15.95" customHeight="1"/>
    <row r="99" ht="15.95" customHeight="1"/>
    <row r="100" ht="15.95" customHeight="1"/>
    <row r="101" ht="15.95" customHeight="1"/>
    <row r="102" ht="15.95" customHeight="1"/>
    <row r="103" ht="15.95" customHeight="1"/>
    <row r="104" ht="15.95" customHeight="1"/>
    <row r="105" ht="15.95" customHeight="1"/>
    <row r="106" ht="15.95" customHeight="1"/>
    <row r="107" ht="15.95" customHeight="1"/>
    <row r="108" ht="15.95" customHeight="1"/>
    <row r="109" ht="15.95" customHeight="1"/>
    <row r="110" ht="15.95" customHeight="1"/>
    <row r="111" ht="15.95" customHeight="1"/>
    <row r="112" ht="15.95" customHeight="1"/>
    <row r="113" ht="15.95" customHeight="1"/>
    <row r="114" ht="15.95" customHeight="1"/>
    <row r="115" ht="15.95" customHeight="1"/>
    <row r="116" ht="15.95" customHeight="1"/>
    <row r="117" ht="15.95" customHeight="1"/>
    <row r="118" ht="15.95" customHeight="1"/>
    <row r="119" ht="15.95" customHeight="1"/>
    <row r="120" ht="15.95" customHeight="1"/>
    <row r="121" ht="15.95" customHeight="1"/>
    <row r="122" ht="15.95" customHeight="1"/>
    <row r="123" ht="15.95" customHeight="1"/>
    <row r="124" ht="15.95" customHeight="1"/>
    <row r="125" ht="15.95" customHeight="1"/>
    <row r="126" ht="15.95" customHeight="1"/>
    <row r="127" ht="15.95" customHeight="1"/>
    <row r="128" ht="15.95" customHeight="1"/>
    <row r="129" ht="15.95" customHeight="1"/>
    <row r="130" ht="15.95" customHeight="1"/>
    <row r="131" ht="15.95" customHeight="1"/>
    <row r="132" ht="15.95" customHeight="1"/>
    <row r="133" ht="15.95" customHeight="1"/>
    <row r="134" ht="15.95" customHeight="1"/>
    <row r="135" ht="15.95" customHeight="1"/>
    <row r="136" ht="15.95" customHeight="1"/>
    <row r="137" ht="15.95" customHeight="1"/>
    <row r="138" ht="15.95" customHeight="1"/>
    <row r="139" ht="15.95" customHeight="1"/>
    <row r="140" ht="15.95" customHeight="1"/>
    <row r="141" ht="15.95" customHeight="1"/>
    <row r="142" ht="15.95" customHeight="1"/>
    <row r="143" ht="15.95" customHeight="1"/>
    <row r="144" ht="15.95" customHeight="1"/>
    <row r="145" ht="15.95" customHeight="1"/>
    <row r="146" ht="15.95" customHeight="1"/>
    <row r="147" ht="15.95" customHeight="1"/>
    <row r="148" ht="15.95" customHeight="1"/>
    <row r="149" ht="15.95" customHeight="1"/>
    <row r="150" ht="15.95" customHeight="1"/>
    <row r="151" ht="15.95" customHeight="1"/>
    <row r="152" ht="15.95" customHeight="1"/>
    <row r="153" ht="15.95" customHeight="1"/>
    <row r="154" ht="15.95" customHeight="1"/>
    <row r="155" ht="15.95" customHeight="1"/>
    <row r="156" ht="15.95" customHeight="1"/>
    <row r="157" ht="15.95" customHeight="1"/>
    <row r="158" ht="15.95" customHeight="1"/>
    <row r="159" ht="15.95" customHeight="1"/>
    <row r="160" ht="15.95" customHeight="1"/>
    <row r="161" ht="15.95" customHeight="1"/>
    <row r="162" ht="15.95" customHeight="1"/>
    <row r="163" ht="15.95" customHeight="1"/>
    <row r="164" ht="15.95" customHeight="1"/>
    <row r="165" ht="15.95" customHeight="1"/>
    <row r="166" ht="15.95" customHeight="1"/>
    <row r="167" ht="15.95" customHeight="1"/>
    <row r="168" ht="15.95" customHeight="1"/>
    <row r="169" ht="15.95" customHeight="1"/>
    <row r="170" ht="15.95" customHeight="1"/>
    <row r="171" ht="15.95" customHeight="1"/>
    <row r="172" ht="15.95" customHeight="1"/>
    <row r="173" ht="15.95" customHeight="1"/>
    <row r="174" ht="15.95" customHeight="1"/>
    <row r="175" ht="15.95" customHeight="1"/>
    <row r="176" ht="15.95" customHeight="1"/>
    <row r="177" ht="15.95" customHeight="1"/>
    <row r="178" ht="15.95" customHeight="1"/>
    <row r="179" ht="15.95" customHeight="1"/>
    <row r="180" ht="15.95" customHeight="1"/>
    <row r="181" ht="15.95" customHeight="1"/>
    <row r="182" ht="15.95" customHeight="1"/>
    <row r="183" ht="15.95" customHeight="1"/>
    <row r="184" ht="15.95" customHeight="1"/>
    <row r="185" ht="15.95" customHeight="1"/>
    <row r="186" ht="15.95" customHeight="1"/>
    <row r="187" ht="15.95" customHeight="1"/>
    <row r="188" ht="15.95" customHeight="1"/>
    <row r="189" ht="15.95" customHeight="1"/>
    <row r="190" ht="15.95" customHeight="1"/>
    <row r="191" ht="15.95" customHeight="1"/>
    <row r="192" ht="15.95" customHeight="1"/>
    <row r="193" ht="15.95" customHeight="1"/>
    <row r="194" ht="15.95" customHeight="1"/>
    <row r="195" ht="15.95" customHeight="1"/>
    <row r="196" ht="15.95" customHeight="1"/>
    <row r="197" ht="15.95" customHeight="1"/>
    <row r="198" ht="15.95" customHeight="1"/>
    <row r="199" ht="15.95" customHeight="1"/>
    <row r="200" ht="15.95" customHeight="1"/>
    <row r="201" ht="15.95" customHeight="1"/>
    <row r="202" ht="15.95" customHeight="1"/>
    <row r="203" ht="15.95" customHeight="1"/>
    <row r="204" ht="15.95" customHeight="1"/>
    <row r="205" ht="15.95" customHeight="1"/>
    <row r="206" ht="15.95" customHeight="1"/>
    <row r="207" ht="15.95" customHeight="1"/>
    <row r="208" ht="15.95" customHeight="1"/>
    <row r="209" ht="15.95" customHeight="1"/>
    <row r="210" ht="15.95" customHeight="1"/>
    <row r="211" ht="15.95" customHeight="1"/>
    <row r="212" ht="15.95" customHeight="1"/>
    <row r="213" ht="15.95" customHeight="1"/>
    <row r="214" ht="15.95" customHeight="1"/>
    <row r="215" ht="15.95" customHeight="1"/>
    <row r="216" ht="15.95" customHeight="1"/>
    <row r="217" ht="15.95" customHeight="1"/>
    <row r="218" ht="15.95" customHeight="1"/>
    <row r="219" ht="15.95" customHeight="1"/>
    <row r="220" ht="15.95" customHeight="1"/>
    <row r="221" ht="15.95" customHeight="1"/>
    <row r="222" ht="15.95" customHeight="1"/>
    <row r="223" ht="15.95" customHeight="1"/>
    <row r="224" ht="15.95" customHeight="1"/>
    <row r="225" ht="15.95" customHeight="1"/>
    <row r="226" ht="15.95" customHeight="1"/>
    <row r="227" ht="15.95" customHeight="1"/>
    <row r="228" ht="15.95" customHeight="1"/>
    <row r="229" ht="15.95" customHeight="1"/>
    <row r="230" ht="15.95" customHeight="1"/>
    <row r="231" ht="15.95" customHeight="1"/>
    <row r="232" ht="15.95" customHeight="1"/>
    <row r="233" ht="15.95" customHeight="1"/>
    <row r="234" ht="15.95" customHeight="1"/>
    <row r="235" ht="15.95" customHeight="1"/>
    <row r="236" ht="15.95" customHeight="1"/>
    <row r="237" ht="15.95" customHeight="1"/>
    <row r="238" ht="15.95" customHeight="1"/>
    <row r="239" ht="15.95" customHeight="1"/>
    <row r="240" ht="15.95" customHeight="1"/>
    <row r="241" ht="15.95" customHeight="1"/>
    <row r="242" ht="15.95" customHeight="1"/>
    <row r="243" ht="15.95" customHeight="1"/>
    <row r="244" ht="15.95" customHeight="1"/>
    <row r="245" ht="15.95" customHeight="1"/>
    <row r="246" ht="15.95" customHeight="1"/>
    <row r="247" ht="15.95" customHeight="1"/>
    <row r="248" ht="15.95" customHeight="1"/>
    <row r="249" ht="15.95" customHeight="1"/>
    <row r="250" ht="15.95" customHeight="1"/>
    <row r="251" ht="15.95" customHeight="1"/>
    <row r="252" ht="15.95" customHeight="1"/>
    <row r="253" ht="15.95" customHeight="1"/>
    <row r="254" ht="15.95" customHeight="1"/>
    <row r="255" ht="15.95" customHeight="1"/>
    <row r="256" ht="15.95" customHeight="1"/>
    <row r="257" ht="15.95" customHeight="1"/>
    <row r="258" ht="15.95" customHeight="1"/>
    <row r="259" ht="15.95" customHeight="1"/>
    <row r="260" ht="15.95" customHeight="1"/>
    <row r="261" ht="15.95" customHeight="1"/>
    <row r="262" ht="15.95" customHeight="1"/>
    <row r="263" ht="15.95" customHeight="1"/>
    <row r="264" ht="15.95" customHeight="1"/>
    <row r="265" ht="15.95" customHeight="1"/>
    <row r="266" ht="15.95" customHeight="1"/>
    <row r="267" ht="15.95" customHeight="1"/>
    <row r="268" ht="15.95" customHeight="1"/>
    <row r="269" ht="15.95" customHeight="1"/>
    <row r="270" ht="15.95" customHeight="1"/>
    <row r="271" ht="15.95" customHeight="1"/>
    <row r="272" ht="15.95" customHeight="1"/>
    <row r="273" ht="15.95" customHeight="1"/>
    <row r="274" ht="15.95" customHeight="1"/>
    <row r="275" ht="15.95" customHeight="1"/>
    <row r="276" ht="15.95" customHeight="1"/>
    <row r="277" ht="15.95" customHeight="1"/>
    <row r="278" ht="15.95" customHeight="1"/>
    <row r="279" ht="15.95" customHeight="1"/>
    <row r="280" ht="15.95" customHeight="1"/>
    <row r="281" ht="15.95" customHeight="1"/>
    <row r="282" ht="15.95" customHeight="1"/>
    <row r="283" ht="15.95" customHeight="1"/>
    <row r="284" ht="15.95" customHeight="1"/>
    <row r="285" ht="15.95" customHeight="1"/>
    <row r="286" ht="15.95" customHeight="1"/>
    <row r="287" ht="15.95" customHeight="1"/>
    <row r="288" ht="15.95" customHeight="1"/>
    <row r="289" ht="15.95" customHeight="1"/>
    <row r="290" ht="15.95" customHeight="1"/>
    <row r="291" ht="15.95" customHeight="1"/>
    <row r="292" ht="15.95" customHeight="1"/>
    <row r="293" ht="15.95" customHeight="1"/>
    <row r="294" ht="15.95" customHeight="1"/>
    <row r="295" ht="15.95" customHeight="1"/>
    <row r="296" ht="15.95" customHeight="1"/>
    <row r="297" ht="15.95" customHeight="1"/>
    <row r="298" ht="15.95" customHeight="1"/>
    <row r="299" ht="15.95" customHeight="1"/>
    <row r="300" ht="15.95" customHeight="1"/>
    <row r="301" ht="15.95" customHeight="1"/>
    <row r="302" ht="15.95" customHeight="1"/>
    <row r="303" ht="15.95" customHeight="1"/>
    <row r="304" ht="15.95" customHeight="1"/>
    <row r="305" ht="15.95" customHeight="1"/>
    <row r="306" ht="15.95" customHeight="1"/>
    <row r="307" ht="15.95" customHeight="1"/>
    <row r="308" ht="15.95" customHeight="1"/>
    <row r="309" ht="15.95" customHeight="1"/>
    <row r="310" ht="15.95" customHeight="1"/>
    <row r="311" ht="15.95" customHeight="1"/>
    <row r="312" ht="15.95" customHeight="1"/>
    <row r="313" ht="15.95" customHeight="1"/>
    <row r="314" ht="15.95" customHeight="1"/>
    <row r="315" ht="15.95" customHeight="1"/>
    <row r="316" ht="15.95" customHeight="1"/>
    <row r="317" ht="15.95" customHeight="1"/>
    <row r="318" ht="15.95" customHeight="1"/>
    <row r="319" ht="15.95" customHeight="1"/>
    <row r="320" ht="15.95" customHeight="1"/>
    <row r="321" ht="15.95" customHeight="1"/>
    <row r="322" ht="15.95" customHeight="1"/>
    <row r="323" ht="15.95" customHeight="1"/>
    <row r="324" ht="15.95" customHeight="1"/>
    <row r="325" ht="15.95" customHeight="1"/>
    <row r="326" ht="15.95" customHeight="1"/>
    <row r="327" ht="15.95" customHeight="1"/>
    <row r="328" ht="15.95" customHeight="1"/>
    <row r="329" ht="15.95" customHeight="1"/>
    <row r="330" ht="15.95" customHeight="1"/>
    <row r="331" ht="15.95" customHeight="1"/>
    <row r="332" ht="15.95" customHeight="1"/>
    <row r="333" ht="15.95" customHeight="1"/>
    <row r="334" ht="15.95" customHeight="1"/>
    <row r="335" ht="15.95" customHeight="1"/>
    <row r="336" ht="15.95" customHeight="1"/>
    <row r="337" ht="15.95" customHeight="1"/>
    <row r="338" ht="15.95" customHeight="1"/>
    <row r="339" ht="15.95" customHeight="1"/>
    <row r="340" ht="15.95" customHeight="1"/>
    <row r="341" ht="15.95" customHeight="1"/>
    <row r="342" ht="15.95" customHeight="1"/>
    <row r="343" ht="15.95" customHeight="1"/>
    <row r="344" ht="15.95" customHeight="1"/>
    <row r="345" ht="15.95" customHeight="1"/>
    <row r="346" ht="15.95" customHeight="1"/>
    <row r="347" ht="15.95" customHeight="1"/>
    <row r="348" ht="15.95" customHeight="1"/>
    <row r="349" ht="15.95" customHeight="1"/>
    <row r="350" ht="15.95" customHeight="1"/>
    <row r="351" ht="15.95" customHeight="1"/>
    <row r="352" ht="15.95" customHeight="1"/>
    <row r="353" ht="15.95" customHeight="1"/>
    <row r="354" ht="15.95" customHeight="1"/>
    <row r="355" ht="15.95" customHeight="1"/>
    <row r="356" ht="15.95" customHeight="1"/>
    <row r="357" ht="15.95" customHeight="1"/>
    <row r="358" ht="15.95" customHeight="1"/>
    <row r="359" ht="15.95" customHeight="1"/>
    <row r="360" ht="15.95" customHeight="1"/>
    <row r="361" ht="15.95" customHeight="1"/>
    <row r="362" ht="15.95" customHeight="1"/>
    <row r="363" ht="15.95" customHeight="1"/>
    <row r="364" ht="15.95" customHeight="1"/>
    <row r="365" ht="15.95" customHeight="1"/>
    <row r="366" ht="15.95" customHeight="1"/>
    <row r="367" ht="15.95" customHeight="1"/>
    <row r="368" ht="15.95" customHeight="1"/>
    <row r="369" ht="15.95" customHeight="1"/>
    <row r="370" ht="15.95" customHeight="1"/>
    <row r="371" ht="15.95" customHeight="1"/>
    <row r="372" ht="15.95" customHeight="1"/>
    <row r="373" ht="15.95" customHeight="1"/>
    <row r="374" ht="15.95" customHeight="1"/>
    <row r="375" ht="15.95" customHeight="1"/>
    <row r="376" ht="15.95" customHeight="1"/>
    <row r="377" ht="15.95" customHeight="1"/>
    <row r="378" ht="15.95" customHeight="1"/>
    <row r="379" ht="15.95" customHeight="1"/>
    <row r="380" ht="15.95" customHeight="1"/>
    <row r="381" ht="15.95" customHeight="1"/>
    <row r="382" ht="15.95" customHeight="1"/>
    <row r="383" ht="15.95" customHeight="1"/>
    <row r="384" ht="15.95" customHeight="1"/>
    <row r="385" ht="15.95" customHeight="1"/>
    <row r="386" ht="15.95" customHeight="1"/>
    <row r="387" ht="15.95" customHeight="1"/>
    <row r="388" ht="15.95" customHeight="1"/>
    <row r="389" ht="15.95" customHeight="1"/>
    <row r="390" ht="15.95" customHeight="1"/>
    <row r="391" ht="15.95" customHeight="1"/>
    <row r="392" ht="15.95" customHeight="1"/>
    <row r="393" ht="15.95" customHeight="1"/>
    <row r="394" ht="15.95" customHeight="1"/>
    <row r="395" ht="15.95" customHeight="1"/>
    <row r="396" ht="15.95" customHeight="1"/>
    <row r="397" ht="15.95" customHeight="1"/>
    <row r="398" ht="15.95" customHeight="1"/>
    <row r="399" ht="15.95" customHeight="1"/>
    <row r="400" ht="15.95" customHeight="1"/>
    <row r="401" ht="15.95" customHeight="1"/>
    <row r="402" ht="15.95" customHeight="1"/>
    <row r="403" ht="15.95" customHeight="1"/>
    <row r="404" ht="15.95" customHeight="1"/>
    <row r="405" ht="15.95" customHeight="1"/>
    <row r="406" ht="15.95" customHeight="1"/>
    <row r="407" ht="15.95" customHeight="1"/>
    <row r="408" ht="15.95" customHeight="1"/>
    <row r="409" ht="15.95" customHeight="1"/>
    <row r="410" ht="15.95" customHeight="1"/>
    <row r="411" ht="15.95" customHeight="1"/>
    <row r="412" ht="15.95" customHeight="1"/>
    <row r="413" ht="15.95" customHeight="1"/>
    <row r="414" ht="15.95" customHeight="1"/>
    <row r="415" ht="15.95" customHeight="1"/>
    <row r="416" ht="15.95" customHeight="1"/>
    <row r="417" ht="15.95" customHeight="1"/>
    <row r="418" ht="15.95" customHeight="1"/>
    <row r="419" ht="15.95" customHeight="1"/>
    <row r="420" ht="15.95" customHeight="1"/>
    <row r="421" ht="15.95" customHeight="1"/>
    <row r="422" ht="15.95" customHeight="1"/>
    <row r="423" ht="15.95" customHeight="1"/>
    <row r="424" ht="15.95" customHeight="1"/>
    <row r="425" ht="15.95" customHeight="1"/>
    <row r="426" ht="15.95" customHeight="1"/>
    <row r="427" ht="15.95" customHeight="1"/>
    <row r="428" ht="15.95" customHeight="1"/>
    <row r="429" ht="15.95" customHeight="1"/>
    <row r="430" ht="15.95" customHeight="1"/>
    <row r="431" ht="15.95" customHeight="1"/>
    <row r="432" ht="15.95" customHeight="1"/>
    <row r="433" ht="15.95" customHeight="1"/>
    <row r="434" ht="15.95" customHeight="1"/>
    <row r="435" ht="15.95" customHeight="1"/>
    <row r="436" ht="15.95" customHeight="1"/>
    <row r="437" ht="15.95" customHeight="1"/>
    <row r="438" ht="15.95" customHeight="1"/>
    <row r="439" ht="15.95" customHeight="1"/>
    <row r="440" ht="15.95" customHeight="1"/>
    <row r="441" ht="15.95" customHeight="1"/>
    <row r="442" ht="15.95" customHeight="1"/>
    <row r="443" ht="15.95" customHeight="1"/>
    <row r="444" ht="15.95" customHeight="1"/>
    <row r="445" ht="15.95" customHeight="1"/>
    <row r="446" ht="15.95" customHeight="1"/>
    <row r="447" ht="15.95" customHeight="1"/>
    <row r="448" ht="15.95" customHeight="1"/>
    <row r="449" ht="15.95" customHeight="1"/>
    <row r="450" ht="15.95" customHeight="1"/>
    <row r="451" ht="15.95" customHeight="1"/>
    <row r="452" ht="15.95" customHeight="1"/>
    <row r="453" ht="15.95" customHeight="1"/>
    <row r="454" ht="15.95" customHeight="1"/>
    <row r="455" ht="15.95" customHeight="1"/>
    <row r="456" ht="15.95" customHeight="1"/>
    <row r="457" ht="15.95" customHeight="1"/>
    <row r="458" ht="15.95" customHeight="1"/>
    <row r="459" ht="15.95" customHeight="1"/>
    <row r="460" ht="15.95" customHeight="1"/>
    <row r="461" ht="15.95" customHeight="1"/>
    <row r="462" ht="15.95" customHeight="1"/>
    <row r="463" ht="15.95" customHeight="1"/>
    <row r="464" ht="15.95" customHeight="1"/>
    <row r="465" ht="15.95" customHeight="1"/>
    <row r="466" ht="15.95" customHeight="1"/>
    <row r="467" ht="15.95" customHeight="1"/>
    <row r="468" ht="15.95" customHeight="1"/>
    <row r="469" ht="15.95" customHeight="1"/>
    <row r="470" ht="15.95" customHeight="1"/>
    <row r="471" ht="15.95" customHeight="1"/>
    <row r="472" ht="15.95" customHeight="1"/>
    <row r="473" ht="15.95" customHeight="1"/>
  </sheetData>
  <sheetProtection sheet="1" formatCells="0" formatColumns="0" formatRows="0" insertColumns="0" insertRows="0" insertHyperlinks="0"/>
  <mergeCells count="8">
    <mergeCell ref="C10:T10"/>
    <mergeCell ref="C11:T11"/>
    <mergeCell ref="C17:G17"/>
    <mergeCell ref="B41:D41"/>
    <mergeCell ref="C43:D43"/>
    <mergeCell ref="B19:D19"/>
    <mergeCell ref="C21:D21"/>
    <mergeCell ref="C22:D22"/>
  </mergeCells>
  <conditionalFormatting sqref="E24">
    <cfRule type="cellIs" dxfId="717" priority="219" stopIfTrue="1" operator="notEqual">
      <formula>-$F$23</formula>
    </cfRule>
  </conditionalFormatting>
  <conditionalFormatting sqref="E25">
    <cfRule type="cellIs" dxfId="716" priority="197" stopIfTrue="1" operator="notEqual">
      <formula>-$G$23</formula>
    </cfRule>
  </conditionalFormatting>
  <conditionalFormatting sqref="E26">
    <cfRule type="cellIs" dxfId="715" priority="196" stopIfTrue="1" operator="notEqual">
      <formula>-$H$23</formula>
    </cfRule>
  </conditionalFormatting>
  <conditionalFormatting sqref="E27">
    <cfRule type="cellIs" dxfId="714" priority="195" stopIfTrue="1" operator="notEqual">
      <formula>-$I$23</formula>
    </cfRule>
  </conditionalFormatting>
  <conditionalFormatting sqref="E28">
    <cfRule type="cellIs" dxfId="713" priority="198" stopIfTrue="1" operator="notEqual">
      <formula>-$J$23</formula>
    </cfRule>
  </conditionalFormatting>
  <conditionalFormatting sqref="E29">
    <cfRule type="cellIs" dxfId="712" priority="194" stopIfTrue="1" operator="notEqual">
      <formula>-$K$23</formula>
    </cfRule>
  </conditionalFormatting>
  <conditionalFormatting sqref="E30">
    <cfRule type="cellIs" dxfId="711" priority="193" stopIfTrue="1" operator="notEqual">
      <formula>-$L$23</formula>
    </cfRule>
  </conditionalFormatting>
  <conditionalFormatting sqref="E31">
    <cfRule type="cellIs" dxfId="710" priority="192" stopIfTrue="1" operator="notEqual">
      <formula>-$M$23</formula>
    </cfRule>
  </conditionalFormatting>
  <conditionalFormatting sqref="E32">
    <cfRule type="cellIs" dxfId="709" priority="191" stopIfTrue="1" operator="notEqual">
      <formula>-$N$23</formula>
    </cfRule>
  </conditionalFormatting>
  <conditionalFormatting sqref="E33">
    <cfRule type="cellIs" dxfId="708" priority="190" stopIfTrue="1" operator="notEqual">
      <formula>-$O$23</formula>
    </cfRule>
  </conditionalFormatting>
  <conditionalFormatting sqref="E34">
    <cfRule type="cellIs" dxfId="707" priority="189" stopIfTrue="1" operator="notEqual">
      <formula>-$P$23</formula>
    </cfRule>
  </conditionalFormatting>
  <conditionalFormatting sqref="E35">
    <cfRule type="cellIs" dxfId="706" priority="188" stopIfTrue="1" operator="notEqual">
      <formula>-$Q$23</formula>
    </cfRule>
  </conditionalFormatting>
  <conditionalFormatting sqref="E36">
    <cfRule type="cellIs" dxfId="705" priority="187" stopIfTrue="1" operator="notEqual">
      <formula>-$R$23</formula>
    </cfRule>
  </conditionalFormatting>
  <conditionalFormatting sqref="E37">
    <cfRule type="cellIs" dxfId="704" priority="186" stopIfTrue="1" operator="notEqual">
      <formula>-$S$23</formula>
    </cfRule>
  </conditionalFormatting>
  <conditionalFormatting sqref="F23">
    <cfRule type="cellIs" dxfId="703" priority="218" stopIfTrue="1" operator="notEqual">
      <formula>-$E$24</formula>
    </cfRule>
  </conditionalFormatting>
  <conditionalFormatting sqref="F25">
    <cfRule type="cellIs" dxfId="702" priority="184" stopIfTrue="1" operator="notEqual">
      <formula>-$G$24</formula>
    </cfRule>
  </conditionalFormatting>
  <conditionalFormatting sqref="F26">
    <cfRule type="cellIs" dxfId="701" priority="182" stopIfTrue="1" operator="notEqual">
      <formula>-$H$24</formula>
    </cfRule>
  </conditionalFormatting>
  <conditionalFormatting sqref="F27">
    <cfRule type="cellIs" dxfId="700" priority="180" stopIfTrue="1" operator="notEqual">
      <formula>-$I$24</formula>
    </cfRule>
  </conditionalFormatting>
  <conditionalFormatting sqref="F28">
    <cfRule type="cellIs" dxfId="699" priority="176" stopIfTrue="1" operator="notEqual">
      <formula>-$J$24</formula>
    </cfRule>
  </conditionalFormatting>
  <conditionalFormatting sqref="F29">
    <cfRule type="cellIs" dxfId="698" priority="172" stopIfTrue="1" operator="notEqual">
      <formula>-$K$24</formula>
    </cfRule>
  </conditionalFormatting>
  <conditionalFormatting sqref="F30">
    <cfRule type="cellIs" dxfId="697" priority="166" stopIfTrue="1" operator="notEqual">
      <formula>-$L$24</formula>
    </cfRule>
  </conditionalFormatting>
  <conditionalFormatting sqref="F31">
    <cfRule type="cellIs" dxfId="696" priority="160" stopIfTrue="1" operator="notEqual">
      <formula>-$M$24</formula>
    </cfRule>
  </conditionalFormatting>
  <conditionalFormatting sqref="F32">
    <cfRule type="cellIs" dxfId="695" priority="152" stopIfTrue="1" operator="notEqual">
      <formula>-$N$24</formula>
    </cfRule>
  </conditionalFormatting>
  <conditionalFormatting sqref="F33">
    <cfRule type="cellIs" dxfId="694" priority="144" stopIfTrue="1" operator="notEqual">
      <formula>-$O$24</formula>
    </cfRule>
  </conditionalFormatting>
  <conditionalFormatting sqref="F34">
    <cfRule type="cellIs" dxfId="693" priority="134" stopIfTrue="1" operator="notEqual">
      <formula>-$P$24</formula>
    </cfRule>
  </conditionalFormatting>
  <conditionalFormatting sqref="F35">
    <cfRule type="cellIs" dxfId="692" priority="124" stopIfTrue="1" operator="notEqual">
      <formula>-$Q$24</formula>
    </cfRule>
  </conditionalFormatting>
  <conditionalFormatting sqref="F36">
    <cfRule type="cellIs" dxfId="691" priority="112" stopIfTrue="1" operator="notEqual">
      <formula>-$R$24</formula>
    </cfRule>
  </conditionalFormatting>
  <conditionalFormatting sqref="F37">
    <cfRule type="cellIs" dxfId="690" priority="100" stopIfTrue="1" operator="notEqual">
      <formula>-$S$24</formula>
    </cfRule>
  </conditionalFormatting>
  <conditionalFormatting sqref="F47">
    <cfRule type="cellIs" dxfId="689" priority="1" stopIfTrue="1" operator="notEqual">
      <formula>-$G$46</formula>
    </cfRule>
  </conditionalFormatting>
  <conditionalFormatting sqref="G23">
    <cfRule type="cellIs" dxfId="688" priority="221" stopIfTrue="1" operator="notEqual">
      <formula>-$E$25</formula>
    </cfRule>
  </conditionalFormatting>
  <conditionalFormatting sqref="G24">
    <cfRule type="cellIs" dxfId="687" priority="185" stopIfTrue="1" operator="notEqual">
      <formula>-$F$25</formula>
    </cfRule>
  </conditionalFormatting>
  <conditionalFormatting sqref="G26">
    <cfRule type="cellIs" dxfId="686" priority="178" stopIfTrue="1" operator="notEqual">
      <formula>-$H$25</formula>
    </cfRule>
  </conditionalFormatting>
  <conditionalFormatting sqref="G27">
    <cfRule type="cellIs" dxfId="685" priority="174" stopIfTrue="1" operator="notEqual">
      <formula>-$I$25</formula>
    </cfRule>
  </conditionalFormatting>
  <conditionalFormatting sqref="G28">
    <cfRule type="cellIs" dxfId="684" priority="170" stopIfTrue="1" operator="notEqual">
      <formula>-$J$25</formula>
    </cfRule>
  </conditionalFormatting>
  <conditionalFormatting sqref="G29">
    <cfRule type="cellIs" dxfId="683" priority="164" stopIfTrue="1" operator="notEqual">
      <formula>-$K$25</formula>
    </cfRule>
  </conditionalFormatting>
  <conditionalFormatting sqref="G30">
    <cfRule type="cellIs" dxfId="682" priority="158" stopIfTrue="1" operator="notEqual">
      <formula>-$L$25</formula>
    </cfRule>
  </conditionalFormatting>
  <conditionalFormatting sqref="G31">
    <cfRule type="cellIs" dxfId="681" priority="150" stopIfTrue="1" operator="notEqual">
      <formula>-$M$25</formula>
    </cfRule>
  </conditionalFormatting>
  <conditionalFormatting sqref="G32">
    <cfRule type="cellIs" dxfId="680" priority="142" stopIfTrue="1" operator="notEqual">
      <formula>-$N$25</formula>
    </cfRule>
  </conditionalFormatting>
  <conditionalFormatting sqref="G33">
    <cfRule type="cellIs" dxfId="679" priority="132" stopIfTrue="1" operator="notEqual">
      <formula>-$O$25</formula>
    </cfRule>
  </conditionalFormatting>
  <conditionalFormatting sqref="G34">
    <cfRule type="cellIs" dxfId="678" priority="122" stopIfTrue="1" operator="notEqual">
      <formula>-$P$25</formula>
    </cfRule>
  </conditionalFormatting>
  <conditionalFormatting sqref="G35">
    <cfRule type="cellIs" dxfId="677" priority="110" stopIfTrue="1" operator="notEqual">
      <formula>-$Q$25</formula>
    </cfRule>
  </conditionalFormatting>
  <conditionalFormatting sqref="G36">
    <cfRule type="cellIs" dxfId="676" priority="98" stopIfTrue="1" operator="notEqual">
      <formula>-$R$25</formula>
    </cfRule>
  </conditionalFormatting>
  <conditionalFormatting sqref="G37">
    <cfRule type="cellIs" dxfId="675" priority="86" stopIfTrue="1" operator="notEqual">
      <formula>-$S$25</formula>
    </cfRule>
  </conditionalFormatting>
  <conditionalFormatting sqref="G46">
    <cfRule type="cellIs" dxfId="674" priority="2" stopIfTrue="1" operator="notEqual">
      <formula>-$F$47</formula>
    </cfRule>
  </conditionalFormatting>
  <conditionalFormatting sqref="H23">
    <cfRule type="cellIs" dxfId="673" priority="220" stopIfTrue="1" operator="notEqual">
      <formula>-$E$26</formula>
    </cfRule>
  </conditionalFormatting>
  <conditionalFormatting sqref="H24">
    <cfRule type="cellIs" dxfId="672" priority="183" stopIfTrue="1" operator="notEqual">
      <formula>-$F$26</formula>
    </cfRule>
  </conditionalFormatting>
  <conditionalFormatting sqref="H25">
    <cfRule type="cellIs" dxfId="671" priority="179" stopIfTrue="1" operator="notEqual">
      <formula>-$G$26</formula>
    </cfRule>
  </conditionalFormatting>
  <conditionalFormatting sqref="H27">
    <cfRule type="cellIs" dxfId="670" priority="168" stopIfTrue="1" operator="notEqual">
      <formula>-$I$26</formula>
    </cfRule>
  </conditionalFormatting>
  <conditionalFormatting sqref="H28">
    <cfRule type="cellIs" dxfId="669" priority="162" stopIfTrue="1" operator="notEqual">
      <formula>-$J$26</formula>
    </cfRule>
  </conditionalFormatting>
  <conditionalFormatting sqref="H29">
    <cfRule type="cellIs" dxfId="668" priority="156" stopIfTrue="1" operator="notEqual">
      <formula>-$K$26</formula>
    </cfRule>
  </conditionalFormatting>
  <conditionalFormatting sqref="H30">
    <cfRule type="cellIs" dxfId="667" priority="148" stopIfTrue="1" operator="notEqual">
      <formula>-$L$26</formula>
    </cfRule>
  </conditionalFormatting>
  <conditionalFormatting sqref="H31">
    <cfRule type="cellIs" dxfId="666" priority="140" stopIfTrue="1" operator="notEqual">
      <formula>-$M$26</formula>
    </cfRule>
  </conditionalFormatting>
  <conditionalFormatting sqref="H32">
    <cfRule type="cellIs" dxfId="665" priority="130" stopIfTrue="1" operator="notEqual">
      <formula>-$N$26</formula>
    </cfRule>
  </conditionalFormatting>
  <conditionalFormatting sqref="H33">
    <cfRule type="cellIs" dxfId="664" priority="120" stopIfTrue="1" operator="notEqual">
      <formula>-$O$26</formula>
    </cfRule>
  </conditionalFormatting>
  <conditionalFormatting sqref="H34">
    <cfRule type="cellIs" dxfId="663" priority="108" stopIfTrue="1" operator="notEqual">
      <formula>-$P$26</formula>
    </cfRule>
  </conditionalFormatting>
  <conditionalFormatting sqref="H35">
    <cfRule type="cellIs" dxfId="662" priority="96" stopIfTrue="1" operator="notEqual">
      <formula>-$Q$26</formula>
    </cfRule>
  </conditionalFormatting>
  <conditionalFormatting sqref="H36">
    <cfRule type="cellIs" dxfId="661" priority="84" stopIfTrue="1" operator="notEqual">
      <formula>-$R$26</formula>
    </cfRule>
  </conditionalFormatting>
  <conditionalFormatting sqref="H37">
    <cfRule type="cellIs" dxfId="660" priority="74" stopIfTrue="1" operator="notEqual">
      <formula>-$S$26</formula>
    </cfRule>
  </conditionalFormatting>
  <conditionalFormatting sqref="I23">
    <cfRule type="cellIs" dxfId="659" priority="217" stopIfTrue="1" operator="notEqual">
      <formula>-$E$27</formula>
    </cfRule>
  </conditionalFormatting>
  <conditionalFormatting sqref="I24">
    <cfRule type="cellIs" dxfId="658" priority="181" stopIfTrue="1" operator="notEqual">
      <formula>-$F$27</formula>
    </cfRule>
  </conditionalFormatting>
  <conditionalFormatting sqref="I25">
    <cfRule type="cellIs" dxfId="657" priority="175" stopIfTrue="1" operator="notEqual">
      <formula>-$G$27</formula>
    </cfRule>
  </conditionalFormatting>
  <conditionalFormatting sqref="I26">
    <cfRule type="cellIs" dxfId="656" priority="169" stopIfTrue="1" operator="notEqual">
      <formula>-$H$27</formula>
    </cfRule>
  </conditionalFormatting>
  <conditionalFormatting sqref="I28">
    <cfRule type="cellIs" dxfId="655" priority="154" stopIfTrue="1" operator="notEqual">
      <formula>-$J$27</formula>
    </cfRule>
  </conditionalFormatting>
  <conditionalFormatting sqref="I29">
    <cfRule type="cellIs" dxfId="654" priority="146" stopIfTrue="1" operator="notEqual">
      <formula>-$K$27</formula>
    </cfRule>
  </conditionalFormatting>
  <conditionalFormatting sqref="I30">
    <cfRule type="cellIs" dxfId="653" priority="138" stopIfTrue="1" operator="notEqual">
      <formula>-$L$27</formula>
    </cfRule>
  </conditionalFormatting>
  <conditionalFormatting sqref="I31">
    <cfRule type="cellIs" dxfId="652" priority="128" stopIfTrue="1" operator="notEqual">
      <formula>-$M$27</formula>
    </cfRule>
  </conditionalFormatting>
  <conditionalFormatting sqref="I32">
    <cfRule type="cellIs" dxfId="651" priority="118" stopIfTrue="1" operator="notEqual">
      <formula>-$N$27</formula>
    </cfRule>
  </conditionalFormatting>
  <conditionalFormatting sqref="I33">
    <cfRule type="cellIs" dxfId="650" priority="106" stopIfTrue="1" operator="notEqual">
      <formula>-$O$27</formula>
    </cfRule>
  </conditionalFormatting>
  <conditionalFormatting sqref="I34">
    <cfRule type="cellIs" dxfId="649" priority="94" stopIfTrue="1" operator="notEqual">
      <formula>-$P$27</formula>
    </cfRule>
  </conditionalFormatting>
  <conditionalFormatting sqref="I35">
    <cfRule type="cellIs" dxfId="648" priority="82" stopIfTrue="1" operator="notEqual">
      <formula>-$Q$27</formula>
    </cfRule>
  </conditionalFormatting>
  <conditionalFormatting sqref="I36">
    <cfRule type="cellIs" dxfId="647" priority="72" stopIfTrue="1" operator="notEqual">
      <formula>-$R$27</formula>
    </cfRule>
  </conditionalFormatting>
  <conditionalFormatting sqref="I37">
    <cfRule type="cellIs" dxfId="646" priority="62" stopIfTrue="1" operator="notEqual">
      <formula>-$S$27</formula>
    </cfRule>
  </conditionalFormatting>
  <conditionalFormatting sqref="J23">
    <cfRule type="cellIs" dxfId="645" priority="199" stopIfTrue="1" operator="notEqual">
      <formula>-$E$28</formula>
    </cfRule>
  </conditionalFormatting>
  <conditionalFormatting sqref="J24">
    <cfRule type="cellIs" dxfId="644" priority="177" stopIfTrue="1" operator="notEqual">
      <formula>-$F$28</formula>
    </cfRule>
  </conditionalFormatting>
  <conditionalFormatting sqref="J25">
    <cfRule type="cellIs" dxfId="643" priority="171" stopIfTrue="1" operator="notEqual">
      <formula>-$G$28</formula>
    </cfRule>
  </conditionalFormatting>
  <conditionalFormatting sqref="J26">
    <cfRule type="cellIs" dxfId="642" priority="163" stopIfTrue="1" operator="notEqual">
      <formula>-$H$28</formula>
    </cfRule>
  </conditionalFormatting>
  <conditionalFormatting sqref="J27">
    <cfRule type="cellIs" dxfId="641" priority="155" stopIfTrue="1" operator="notEqual">
      <formula>-$I$28</formula>
    </cfRule>
  </conditionalFormatting>
  <conditionalFormatting sqref="J29">
    <cfRule type="cellIs" dxfId="640" priority="136" stopIfTrue="1" operator="notEqual">
      <formula>-$K$28</formula>
    </cfRule>
  </conditionalFormatting>
  <conditionalFormatting sqref="J30">
    <cfRule type="cellIs" dxfId="639" priority="126" stopIfTrue="1" operator="notEqual">
      <formula>-$L$28</formula>
    </cfRule>
  </conditionalFormatting>
  <conditionalFormatting sqref="J31">
    <cfRule type="cellIs" dxfId="638" priority="116" stopIfTrue="1" operator="notEqual">
      <formula>-$M$28</formula>
    </cfRule>
  </conditionalFormatting>
  <conditionalFormatting sqref="J32">
    <cfRule type="cellIs" dxfId="637" priority="104" stopIfTrue="1" operator="notEqual">
      <formula>-$N$28</formula>
    </cfRule>
  </conditionalFormatting>
  <conditionalFormatting sqref="J33">
    <cfRule type="cellIs" dxfId="636" priority="92" stopIfTrue="1" operator="notEqual">
      <formula>-$O$28</formula>
    </cfRule>
  </conditionalFormatting>
  <conditionalFormatting sqref="J34">
    <cfRule type="cellIs" dxfId="635" priority="80" stopIfTrue="1" operator="notEqual">
      <formula>-$P$28</formula>
    </cfRule>
  </conditionalFormatting>
  <conditionalFormatting sqref="J35">
    <cfRule type="cellIs" dxfId="634" priority="70" stopIfTrue="1" operator="notEqual">
      <formula>-$Q$28</formula>
    </cfRule>
  </conditionalFormatting>
  <conditionalFormatting sqref="J36">
    <cfRule type="cellIs" dxfId="633" priority="60" stopIfTrue="1" operator="notEqual">
      <formula>-$R$28</formula>
    </cfRule>
  </conditionalFormatting>
  <conditionalFormatting sqref="J37">
    <cfRule type="cellIs" dxfId="632" priority="52" stopIfTrue="1" operator="notEqual">
      <formula>-$S$28</formula>
    </cfRule>
  </conditionalFormatting>
  <conditionalFormatting sqref="K23">
    <cfRule type="cellIs" dxfId="631" priority="216" stopIfTrue="1" operator="notEqual">
      <formula>-$E$29</formula>
    </cfRule>
  </conditionalFormatting>
  <conditionalFormatting sqref="K24">
    <cfRule type="cellIs" dxfId="630" priority="173" stopIfTrue="1" operator="notEqual">
      <formula>-$F$29</formula>
    </cfRule>
  </conditionalFormatting>
  <conditionalFormatting sqref="K25">
    <cfRule type="cellIs" dxfId="629" priority="165" stopIfTrue="1" operator="notEqual">
      <formula>-$G$29</formula>
    </cfRule>
  </conditionalFormatting>
  <conditionalFormatting sqref="K26">
    <cfRule type="cellIs" dxfId="628" priority="157" stopIfTrue="1" operator="notEqual">
      <formula>-$H$29</formula>
    </cfRule>
  </conditionalFormatting>
  <conditionalFormatting sqref="K27">
    <cfRule type="cellIs" dxfId="627" priority="147" stopIfTrue="1" operator="notEqual">
      <formula>-$I$29</formula>
    </cfRule>
  </conditionalFormatting>
  <conditionalFormatting sqref="K28">
    <cfRule type="cellIs" dxfId="626" priority="137" stopIfTrue="1" operator="notEqual">
      <formula>-$J$29</formula>
    </cfRule>
  </conditionalFormatting>
  <conditionalFormatting sqref="K30">
    <cfRule type="cellIs" dxfId="625" priority="114" stopIfTrue="1" operator="notEqual">
      <formula>-$L$29</formula>
    </cfRule>
  </conditionalFormatting>
  <conditionalFormatting sqref="K31">
    <cfRule type="cellIs" dxfId="624" priority="102" stopIfTrue="1" operator="notEqual">
      <formula>-$M$29</formula>
    </cfRule>
  </conditionalFormatting>
  <conditionalFormatting sqref="K32">
    <cfRule type="cellIs" dxfId="623" priority="90" stopIfTrue="1" operator="notEqual">
      <formula>-$N$29</formula>
    </cfRule>
  </conditionalFormatting>
  <conditionalFormatting sqref="K33">
    <cfRule type="cellIs" dxfId="622" priority="78" stopIfTrue="1" operator="notEqual">
      <formula>-$O$29</formula>
    </cfRule>
  </conditionalFormatting>
  <conditionalFormatting sqref="K34">
    <cfRule type="cellIs" dxfId="621" priority="68" stopIfTrue="1" operator="notEqual">
      <formula>-$P$29</formula>
    </cfRule>
  </conditionalFormatting>
  <conditionalFormatting sqref="K35">
    <cfRule type="cellIs" dxfId="620" priority="58" stopIfTrue="1" operator="notEqual">
      <formula>-$Q$29</formula>
    </cfRule>
  </conditionalFormatting>
  <conditionalFormatting sqref="K36">
    <cfRule type="cellIs" dxfId="619" priority="50" stopIfTrue="1" operator="notEqual">
      <formula>-$R$29</formula>
    </cfRule>
  </conditionalFormatting>
  <conditionalFormatting sqref="K37">
    <cfRule type="cellIs" dxfId="618" priority="42" stopIfTrue="1" operator="notEqual">
      <formula>-$S$29</formula>
    </cfRule>
  </conditionalFormatting>
  <conditionalFormatting sqref="L23">
    <cfRule type="cellIs" dxfId="617" priority="215" stopIfTrue="1" operator="notEqual">
      <formula>-$E$30</formula>
    </cfRule>
  </conditionalFormatting>
  <conditionalFormatting sqref="L24">
    <cfRule type="cellIs" dxfId="616" priority="167" stopIfTrue="1" operator="notEqual">
      <formula>-$F$30</formula>
    </cfRule>
  </conditionalFormatting>
  <conditionalFormatting sqref="L25">
    <cfRule type="cellIs" dxfId="615" priority="159" stopIfTrue="1" operator="notEqual">
      <formula>-$G$30</formula>
    </cfRule>
  </conditionalFormatting>
  <conditionalFormatting sqref="L26">
    <cfRule type="cellIs" dxfId="614" priority="149" stopIfTrue="1" operator="notEqual">
      <formula>-$H$30</formula>
    </cfRule>
  </conditionalFormatting>
  <conditionalFormatting sqref="L27">
    <cfRule type="cellIs" dxfId="613" priority="139" stopIfTrue="1" operator="notEqual">
      <formula>-$I$30</formula>
    </cfRule>
  </conditionalFormatting>
  <conditionalFormatting sqref="L28">
    <cfRule type="cellIs" dxfId="612" priority="127" stopIfTrue="1" operator="notEqual">
      <formula>-$J$30</formula>
    </cfRule>
  </conditionalFormatting>
  <conditionalFormatting sqref="L29">
    <cfRule type="cellIs" dxfId="611" priority="115" stopIfTrue="1" operator="notEqual">
      <formula>-$K$30</formula>
    </cfRule>
  </conditionalFormatting>
  <conditionalFormatting sqref="L31">
    <cfRule type="cellIs" dxfId="610" priority="88" stopIfTrue="1" operator="notEqual">
      <formula>-$M$30</formula>
    </cfRule>
  </conditionalFormatting>
  <conditionalFormatting sqref="L32">
    <cfRule type="cellIs" dxfId="609" priority="76" stopIfTrue="1" operator="notEqual">
      <formula>-$N$30</formula>
    </cfRule>
  </conditionalFormatting>
  <conditionalFormatting sqref="L33">
    <cfRule type="cellIs" dxfId="608" priority="66" stopIfTrue="1" operator="notEqual">
      <formula>-$O$30</formula>
    </cfRule>
  </conditionalFormatting>
  <conditionalFormatting sqref="L34">
    <cfRule type="cellIs" dxfId="607" priority="56" stopIfTrue="1" operator="notEqual">
      <formula>-$P$30</formula>
    </cfRule>
  </conditionalFormatting>
  <conditionalFormatting sqref="L35">
    <cfRule type="cellIs" dxfId="606" priority="48" stopIfTrue="1" operator="notEqual">
      <formula>-$Q$30</formula>
    </cfRule>
  </conditionalFormatting>
  <conditionalFormatting sqref="L36">
    <cfRule type="cellIs" dxfId="605" priority="40" stopIfTrue="1" operator="notEqual">
      <formula>-$R$30</formula>
    </cfRule>
  </conditionalFormatting>
  <conditionalFormatting sqref="L37">
    <cfRule type="cellIs" dxfId="604" priority="34" stopIfTrue="1" operator="notEqual">
      <formula>-$S$30</formula>
    </cfRule>
  </conditionalFormatting>
  <conditionalFormatting sqref="M23">
    <cfRule type="cellIs" dxfId="603" priority="214" stopIfTrue="1" operator="notEqual">
      <formula>-$E$31</formula>
    </cfRule>
  </conditionalFormatting>
  <conditionalFormatting sqref="M24">
    <cfRule type="cellIs" dxfId="602" priority="161" stopIfTrue="1" operator="notEqual">
      <formula>-$F$31</formula>
    </cfRule>
  </conditionalFormatting>
  <conditionalFormatting sqref="M25">
    <cfRule type="cellIs" dxfId="601" priority="151" stopIfTrue="1" operator="notEqual">
      <formula>-$G$31</formula>
    </cfRule>
  </conditionalFormatting>
  <conditionalFormatting sqref="M26">
    <cfRule type="cellIs" dxfId="600" priority="141" stopIfTrue="1" operator="notEqual">
      <formula>-$H$31</formula>
    </cfRule>
  </conditionalFormatting>
  <conditionalFormatting sqref="M27">
    <cfRule type="cellIs" dxfId="599" priority="129" stopIfTrue="1" operator="notEqual">
      <formula>-$I$31</formula>
    </cfRule>
  </conditionalFormatting>
  <conditionalFormatting sqref="M28">
    <cfRule type="cellIs" dxfId="598" priority="117" stopIfTrue="1" operator="notEqual">
      <formula>-$J$31</formula>
    </cfRule>
  </conditionalFormatting>
  <conditionalFormatting sqref="M29">
    <cfRule type="cellIs" dxfId="597" priority="103" stopIfTrue="1" operator="notEqual">
      <formula>-$K$31</formula>
    </cfRule>
  </conditionalFormatting>
  <conditionalFormatting sqref="M30">
    <cfRule type="cellIs" dxfId="596" priority="89" stopIfTrue="1" operator="notEqual">
      <formula>-$L$31</formula>
    </cfRule>
  </conditionalFormatting>
  <conditionalFormatting sqref="M32">
    <cfRule type="cellIs" dxfId="595" priority="64" stopIfTrue="1" operator="notEqual">
      <formula>-$N$31</formula>
    </cfRule>
  </conditionalFormatting>
  <conditionalFormatting sqref="M33">
    <cfRule type="cellIs" dxfId="594" priority="54" stopIfTrue="1" operator="notEqual">
      <formula>-$O$31</formula>
    </cfRule>
  </conditionalFormatting>
  <conditionalFormatting sqref="M34">
    <cfRule type="cellIs" dxfId="593" priority="46" stopIfTrue="1" operator="notEqual">
      <formula>-$P$31</formula>
    </cfRule>
  </conditionalFormatting>
  <conditionalFormatting sqref="M35">
    <cfRule type="cellIs" dxfId="592" priority="38" stopIfTrue="1" operator="notEqual">
      <formula>-$Q$31</formula>
    </cfRule>
  </conditionalFormatting>
  <conditionalFormatting sqref="M36">
    <cfRule type="cellIs" dxfId="591" priority="32" stopIfTrue="1" operator="notEqual">
      <formula>-$R$31</formula>
    </cfRule>
  </conditionalFormatting>
  <conditionalFormatting sqref="M37">
    <cfRule type="cellIs" dxfId="590" priority="26" stopIfTrue="1" operator="notEqual">
      <formula>-$S$31</formula>
    </cfRule>
  </conditionalFormatting>
  <conditionalFormatting sqref="N23">
    <cfRule type="cellIs" dxfId="589" priority="213" stopIfTrue="1" operator="notEqual">
      <formula>-$E$32</formula>
    </cfRule>
  </conditionalFormatting>
  <conditionalFormatting sqref="N24">
    <cfRule type="cellIs" dxfId="588" priority="153" stopIfTrue="1" operator="notEqual">
      <formula>-$F$32</formula>
    </cfRule>
  </conditionalFormatting>
  <conditionalFormatting sqref="N25">
    <cfRule type="cellIs" dxfId="587" priority="143" stopIfTrue="1" operator="notEqual">
      <formula>-$G$32</formula>
    </cfRule>
  </conditionalFormatting>
  <conditionalFormatting sqref="N26">
    <cfRule type="cellIs" dxfId="586" priority="131" stopIfTrue="1" operator="notEqual">
      <formula>-$H$32</formula>
    </cfRule>
  </conditionalFormatting>
  <conditionalFormatting sqref="N27">
    <cfRule type="cellIs" dxfId="585" priority="119" stopIfTrue="1" operator="notEqual">
      <formula>-$I$32</formula>
    </cfRule>
  </conditionalFormatting>
  <conditionalFormatting sqref="N28">
    <cfRule type="cellIs" dxfId="584" priority="105" stopIfTrue="1" operator="notEqual">
      <formula>-$J$32</formula>
    </cfRule>
  </conditionalFormatting>
  <conditionalFormatting sqref="N29">
    <cfRule type="cellIs" dxfId="583" priority="91" stopIfTrue="1" operator="notEqual">
      <formula>-$K$32</formula>
    </cfRule>
  </conditionalFormatting>
  <conditionalFormatting sqref="N30">
    <cfRule type="cellIs" dxfId="582" priority="77" stopIfTrue="1" operator="notEqual">
      <formula>-$L$32</formula>
    </cfRule>
  </conditionalFormatting>
  <conditionalFormatting sqref="N31">
    <cfRule type="cellIs" dxfId="581" priority="65" stopIfTrue="1" operator="notEqual">
      <formula>-$M$32</formula>
    </cfRule>
  </conditionalFormatting>
  <conditionalFormatting sqref="N33">
    <cfRule type="cellIs" dxfId="580" priority="44" stopIfTrue="1" operator="notEqual">
      <formula>-$O$32</formula>
    </cfRule>
  </conditionalFormatting>
  <conditionalFormatting sqref="N34">
    <cfRule type="cellIs" dxfId="579" priority="36" stopIfTrue="1" operator="notEqual">
      <formula>-$P$32</formula>
    </cfRule>
  </conditionalFormatting>
  <conditionalFormatting sqref="N35">
    <cfRule type="cellIs" dxfId="578" priority="30" stopIfTrue="1" operator="notEqual">
      <formula>-$Q$32</formula>
    </cfRule>
  </conditionalFormatting>
  <conditionalFormatting sqref="N36">
    <cfRule type="cellIs" dxfId="577" priority="24" stopIfTrue="1" operator="notEqual">
      <formula>-$R$32</formula>
    </cfRule>
  </conditionalFormatting>
  <conditionalFormatting sqref="N37">
    <cfRule type="cellIs" dxfId="576" priority="20" stopIfTrue="1" operator="notEqual">
      <formula>-$S$32</formula>
    </cfRule>
  </conditionalFormatting>
  <conditionalFormatting sqref="O23">
    <cfRule type="cellIs" dxfId="575" priority="208" stopIfTrue="1" operator="notEqual">
      <formula>-$E$33</formula>
    </cfRule>
  </conditionalFormatting>
  <conditionalFormatting sqref="O24">
    <cfRule type="cellIs" dxfId="574" priority="145" stopIfTrue="1" operator="notEqual">
      <formula>-$F$33</formula>
    </cfRule>
  </conditionalFormatting>
  <conditionalFormatting sqref="O25">
    <cfRule type="cellIs" dxfId="573" priority="133" stopIfTrue="1" operator="notEqual">
      <formula>-$G$33</formula>
    </cfRule>
  </conditionalFormatting>
  <conditionalFormatting sqref="O26">
    <cfRule type="cellIs" dxfId="572" priority="121" stopIfTrue="1" operator="notEqual">
      <formula>-$H$33</formula>
    </cfRule>
  </conditionalFormatting>
  <conditionalFormatting sqref="O27">
    <cfRule type="cellIs" dxfId="571" priority="107" stopIfTrue="1" operator="notEqual">
      <formula>-$I$33</formula>
    </cfRule>
  </conditionalFormatting>
  <conditionalFormatting sqref="O28">
    <cfRule type="cellIs" dxfId="570" priority="93" stopIfTrue="1" operator="notEqual">
      <formula>-$J$33</formula>
    </cfRule>
  </conditionalFormatting>
  <conditionalFormatting sqref="O29">
    <cfRule type="cellIs" dxfId="569" priority="79" stopIfTrue="1" operator="notEqual">
      <formula>-$K$33</formula>
    </cfRule>
  </conditionalFormatting>
  <conditionalFormatting sqref="O30">
    <cfRule type="cellIs" dxfId="568" priority="67" stopIfTrue="1" operator="notEqual">
      <formula>-$L$33</formula>
    </cfRule>
  </conditionalFormatting>
  <conditionalFormatting sqref="O31">
    <cfRule type="cellIs" dxfId="567" priority="55" stopIfTrue="1" operator="notEqual">
      <formula>-$M$33</formula>
    </cfRule>
  </conditionalFormatting>
  <conditionalFormatting sqref="O32">
    <cfRule type="cellIs" dxfId="566" priority="45" stopIfTrue="1" operator="notEqual">
      <formula>-$N$33</formula>
    </cfRule>
  </conditionalFormatting>
  <conditionalFormatting sqref="O34">
    <cfRule type="cellIs" dxfId="565" priority="28" stopIfTrue="1" operator="notEqual">
      <formula>-$P$33</formula>
    </cfRule>
  </conditionalFormatting>
  <conditionalFormatting sqref="O35">
    <cfRule type="cellIs" dxfId="564" priority="22" stopIfTrue="1" operator="notEqual">
      <formula>-$Q$33</formula>
    </cfRule>
  </conditionalFormatting>
  <conditionalFormatting sqref="O36">
    <cfRule type="cellIs" dxfId="563" priority="18" stopIfTrue="1" operator="notEqual">
      <formula>-$R$33</formula>
    </cfRule>
  </conditionalFormatting>
  <conditionalFormatting sqref="O37">
    <cfRule type="cellIs" dxfId="562" priority="14" stopIfTrue="1" operator="notEqual">
      <formula>-$S$33</formula>
    </cfRule>
  </conditionalFormatting>
  <conditionalFormatting sqref="P23">
    <cfRule type="cellIs" dxfId="561" priority="212" stopIfTrue="1" operator="notEqual">
      <formula>-$E$34</formula>
    </cfRule>
  </conditionalFormatting>
  <conditionalFormatting sqref="P24">
    <cfRule type="cellIs" dxfId="560" priority="135" stopIfTrue="1" operator="notEqual">
      <formula>-$F$34</formula>
    </cfRule>
  </conditionalFormatting>
  <conditionalFormatting sqref="P25">
    <cfRule type="cellIs" dxfId="559" priority="123" stopIfTrue="1" operator="notEqual">
      <formula>-$G$34</formula>
    </cfRule>
  </conditionalFormatting>
  <conditionalFormatting sqref="P26">
    <cfRule type="cellIs" dxfId="558" priority="109" stopIfTrue="1" operator="notEqual">
      <formula>-$H$34</formula>
    </cfRule>
  </conditionalFormatting>
  <conditionalFormatting sqref="P27">
    <cfRule type="cellIs" dxfId="557" priority="95" stopIfTrue="1" operator="notEqual">
      <formula>-$I$34</formula>
    </cfRule>
  </conditionalFormatting>
  <conditionalFormatting sqref="P28">
    <cfRule type="cellIs" dxfId="556" priority="81" stopIfTrue="1" operator="notEqual">
      <formula>-$J$34</formula>
    </cfRule>
  </conditionalFormatting>
  <conditionalFormatting sqref="P29">
    <cfRule type="cellIs" dxfId="555" priority="69" stopIfTrue="1" operator="notEqual">
      <formula>-$K$34</formula>
    </cfRule>
  </conditionalFormatting>
  <conditionalFormatting sqref="P30">
    <cfRule type="cellIs" dxfId="554" priority="57" stopIfTrue="1" operator="notEqual">
      <formula>-$L$34</formula>
    </cfRule>
  </conditionalFormatting>
  <conditionalFormatting sqref="P31">
    <cfRule type="cellIs" dxfId="553" priority="47" stopIfTrue="1" operator="notEqual">
      <formula>-$M$34</formula>
    </cfRule>
  </conditionalFormatting>
  <conditionalFormatting sqref="P32">
    <cfRule type="cellIs" dxfId="552" priority="37" stopIfTrue="1" operator="notEqual">
      <formula>-$N$34</formula>
    </cfRule>
  </conditionalFormatting>
  <conditionalFormatting sqref="P33">
    <cfRule type="cellIs" dxfId="551" priority="29" stopIfTrue="1" operator="notEqual">
      <formula>-$O$34</formula>
    </cfRule>
  </conditionalFormatting>
  <conditionalFormatting sqref="P35">
    <cfRule type="cellIs" dxfId="550" priority="16" stopIfTrue="1" operator="notEqual">
      <formula>-$Q$34</formula>
    </cfRule>
  </conditionalFormatting>
  <conditionalFormatting sqref="P36">
    <cfRule type="cellIs" dxfId="549" priority="12" stopIfTrue="1" operator="notEqual">
      <formula>-$R$34</formula>
    </cfRule>
  </conditionalFormatting>
  <conditionalFormatting sqref="P37">
    <cfRule type="cellIs" dxfId="548" priority="10" stopIfTrue="1" operator="notEqual">
      <formula>-$S$34</formula>
    </cfRule>
  </conditionalFormatting>
  <conditionalFormatting sqref="Q23">
    <cfRule type="cellIs" dxfId="547" priority="211" stopIfTrue="1" operator="notEqual">
      <formula>-$E$35</formula>
    </cfRule>
  </conditionalFormatting>
  <conditionalFormatting sqref="Q24">
    <cfRule type="cellIs" dxfId="546" priority="125" stopIfTrue="1" operator="notEqual">
      <formula>-$F$35</formula>
    </cfRule>
  </conditionalFormatting>
  <conditionalFormatting sqref="Q25">
    <cfRule type="cellIs" dxfId="545" priority="111" stopIfTrue="1" operator="notEqual">
      <formula>-$G$35</formula>
    </cfRule>
  </conditionalFormatting>
  <conditionalFormatting sqref="Q26">
    <cfRule type="cellIs" dxfId="544" priority="97" stopIfTrue="1" operator="notEqual">
      <formula>-$H$35</formula>
    </cfRule>
  </conditionalFormatting>
  <conditionalFormatting sqref="Q27">
    <cfRule type="cellIs" dxfId="543" priority="83" stopIfTrue="1" operator="notEqual">
      <formula>-$I$35</formula>
    </cfRule>
  </conditionalFormatting>
  <conditionalFormatting sqref="Q28">
    <cfRule type="cellIs" dxfId="542" priority="71" stopIfTrue="1" operator="notEqual">
      <formula>-$J$35</formula>
    </cfRule>
  </conditionalFormatting>
  <conditionalFormatting sqref="Q29">
    <cfRule type="cellIs" dxfId="541" priority="59" stopIfTrue="1" operator="notEqual">
      <formula>-$K$35</formula>
    </cfRule>
  </conditionalFormatting>
  <conditionalFormatting sqref="Q30">
    <cfRule type="cellIs" dxfId="540" priority="49" stopIfTrue="1" operator="notEqual">
      <formula>-$L$35</formula>
    </cfRule>
  </conditionalFormatting>
  <conditionalFormatting sqref="Q31">
    <cfRule type="cellIs" dxfId="539" priority="39" stopIfTrue="1" operator="notEqual">
      <formula>-$M$35</formula>
    </cfRule>
  </conditionalFormatting>
  <conditionalFormatting sqref="Q32">
    <cfRule type="cellIs" dxfId="538" priority="31" stopIfTrue="1" operator="notEqual">
      <formula>-$N$35</formula>
    </cfRule>
  </conditionalFormatting>
  <conditionalFormatting sqref="Q33">
    <cfRule type="cellIs" dxfId="537" priority="23" stopIfTrue="1" operator="notEqual">
      <formula>-$O$35</formula>
    </cfRule>
  </conditionalFormatting>
  <conditionalFormatting sqref="Q34">
    <cfRule type="cellIs" dxfId="536" priority="17" stopIfTrue="1" operator="notEqual">
      <formula>-$P$35</formula>
    </cfRule>
  </conditionalFormatting>
  <conditionalFormatting sqref="Q36">
    <cfRule type="cellIs" dxfId="535" priority="8" stopIfTrue="1" operator="notEqual">
      <formula>-$R$35</formula>
    </cfRule>
  </conditionalFormatting>
  <conditionalFormatting sqref="Q37">
    <cfRule type="cellIs" dxfId="534" priority="6" stopIfTrue="1" operator="notEqual">
      <formula>-$S$35</formula>
    </cfRule>
  </conditionalFormatting>
  <conditionalFormatting sqref="R23">
    <cfRule type="cellIs" dxfId="533" priority="210" stopIfTrue="1" operator="notEqual">
      <formula>-$E$36</formula>
    </cfRule>
  </conditionalFormatting>
  <conditionalFormatting sqref="R24">
    <cfRule type="cellIs" dxfId="532" priority="113" stopIfTrue="1" operator="notEqual">
      <formula>-$F$36</formula>
    </cfRule>
  </conditionalFormatting>
  <conditionalFormatting sqref="R25">
    <cfRule type="cellIs" dxfId="531" priority="99" stopIfTrue="1" operator="notEqual">
      <formula>-$G$36</formula>
    </cfRule>
  </conditionalFormatting>
  <conditionalFormatting sqref="R26">
    <cfRule type="cellIs" dxfId="530" priority="85" stopIfTrue="1" operator="notEqual">
      <formula>-$H$36</formula>
    </cfRule>
  </conditionalFormatting>
  <conditionalFormatting sqref="R27">
    <cfRule type="cellIs" dxfId="529" priority="73" stopIfTrue="1" operator="notEqual">
      <formula>-$I$36</formula>
    </cfRule>
  </conditionalFormatting>
  <conditionalFormatting sqref="R28">
    <cfRule type="cellIs" dxfId="528" priority="61" stopIfTrue="1" operator="notEqual">
      <formula>-$J$36</formula>
    </cfRule>
  </conditionalFormatting>
  <conditionalFormatting sqref="R29">
    <cfRule type="cellIs" dxfId="527" priority="51" stopIfTrue="1" operator="notEqual">
      <formula>-$K$36</formula>
    </cfRule>
  </conditionalFormatting>
  <conditionalFormatting sqref="R30">
    <cfRule type="cellIs" dxfId="526" priority="41" stopIfTrue="1" operator="notEqual">
      <formula>-$L$36</formula>
    </cfRule>
  </conditionalFormatting>
  <conditionalFormatting sqref="R31">
    <cfRule type="cellIs" dxfId="525" priority="33" stopIfTrue="1" operator="notEqual">
      <formula>-$M$36</formula>
    </cfRule>
  </conditionalFormatting>
  <conditionalFormatting sqref="R32">
    <cfRule type="cellIs" dxfId="524" priority="25" stopIfTrue="1" operator="notEqual">
      <formula>-$N$36</formula>
    </cfRule>
  </conditionalFormatting>
  <conditionalFormatting sqref="R33">
    <cfRule type="cellIs" dxfId="523" priority="19" stopIfTrue="1" operator="notEqual">
      <formula>-$O$36</formula>
    </cfRule>
  </conditionalFormatting>
  <conditionalFormatting sqref="R34">
    <cfRule type="cellIs" dxfId="522" priority="13" stopIfTrue="1" operator="notEqual">
      <formula>-$P$36</formula>
    </cfRule>
  </conditionalFormatting>
  <conditionalFormatting sqref="R35">
    <cfRule type="cellIs" dxfId="521" priority="9" stopIfTrue="1" operator="notEqual">
      <formula>-$Q$36</formula>
    </cfRule>
  </conditionalFormatting>
  <conditionalFormatting sqref="R37">
    <cfRule type="cellIs" dxfId="520" priority="4" stopIfTrue="1" operator="notEqual">
      <formula>-$S$36</formula>
    </cfRule>
  </conditionalFormatting>
  <conditionalFormatting sqref="S4:S6">
    <cfRule type="cellIs" dxfId="519" priority="200" operator="equal">
      <formula>"Partner Approved"</formula>
    </cfRule>
    <cfRule type="cellIs" dxfId="518" priority="201" operator="equal">
      <formula>"Reviewed"</formula>
    </cfRule>
    <cfRule type="cellIs" dxfId="517" priority="202" operator="equal">
      <formula>"Rework Complete"</formula>
    </cfRule>
    <cfRule type="cellIs" dxfId="516" priority="203" operator="equal">
      <formula>"Client Query"</formula>
    </cfRule>
    <cfRule type="cellIs" dxfId="515" priority="204" operator="equal">
      <formula>"Started"</formula>
    </cfRule>
    <cfRule type="cellIs" dxfId="514" priority="205" operator="equal">
      <formula>"Ready for Review"</formula>
    </cfRule>
    <cfRule type="cellIs" dxfId="513" priority="206" operator="equal">
      <formula>"Rework Required"</formula>
    </cfRule>
    <cfRule type="cellIs" dxfId="512" priority="207" operator="equal">
      <formula>"Complete"</formula>
    </cfRule>
  </conditionalFormatting>
  <conditionalFormatting sqref="S23">
    <cfRule type="cellIs" dxfId="511" priority="209" stopIfTrue="1" operator="notEqual">
      <formula>-$E$37</formula>
    </cfRule>
  </conditionalFormatting>
  <conditionalFormatting sqref="S24">
    <cfRule type="cellIs" dxfId="510" priority="101" stopIfTrue="1" operator="notEqual">
      <formula>-$F$37</formula>
    </cfRule>
  </conditionalFormatting>
  <conditionalFormatting sqref="S25">
    <cfRule type="cellIs" dxfId="509" priority="87" stopIfTrue="1" operator="notEqual">
      <formula>-$G$37</formula>
    </cfRule>
  </conditionalFormatting>
  <conditionalFormatting sqref="S26">
    <cfRule type="cellIs" dxfId="508" priority="75" stopIfTrue="1" operator="notEqual">
      <formula>-$H$37</formula>
    </cfRule>
  </conditionalFormatting>
  <conditionalFormatting sqref="S27">
    <cfRule type="cellIs" dxfId="507" priority="63" stopIfTrue="1" operator="notEqual">
      <formula>-$I$37</formula>
    </cfRule>
  </conditionalFormatting>
  <conditionalFormatting sqref="S28">
    <cfRule type="cellIs" dxfId="506" priority="53" stopIfTrue="1" operator="notEqual">
      <formula>-$J$37</formula>
    </cfRule>
  </conditionalFormatting>
  <conditionalFormatting sqref="S29">
    <cfRule type="cellIs" dxfId="505" priority="43" stopIfTrue="1" operator="notEqual">
      <formula>-$K$37</formula>
    </cfRule>
  </conditionalFormatting>
  <conditionalFormatting sqref="S30">
    <cfRule type="cellIs" dxfId="504" priority="35" stopIfTrue="1" operator="notEqual">
      <formula>-$L$37</formula>
    </cfRule>
  </conditionalFormatting>
  <conditionalFormatting sqref="S31">
    <cfRule type="cellIs" dxfId="503" priority="27" stopIfTrue="1" operator="notEqual">
      <formula>-$M$37</formula>
    </cfRule>
  </conditionalFormatting>
  <conditionalFormatting sqref="S32">
    <cfRule type="cellIs" dxfId="502" priority="21" stopIfTrue="1" operator="notEqual">
      <formula>-$N$37</formula>
    </cfRule>
  </conditionalFormatting>
  <conditionalFormatting sqref="S33">
    <cfRule type="cellIs" dxfId="501" priority="15" stopIfTrue="1" operator="notEqual">
      <formula>-$O$37</formula>
    </cfRule>
  </conditionalFormatting>
  <conditionalFormatting sqref="S34">
    <cfRule type="cellIs" dxfId="500" priority="11" stopIfTrue="1" operator="notEqual">
      <formula>-$P$37</formula>
    </cfRule>
  </conditionalFormatting>
  <conditionalFormatting sqref="S35">
    <cfRule type="cellIs" dxfId="499" priority="7" stopIfTrue="1" operator="notEqual">
      <formula>-$Q$37</formula>
    </cfRule>
  </conditionalFormatting>
  <conditionalFormatting sqref="S36">
    <cfRule type="cellIs" dxfId="498" priority="5" stopIfTrue="1" operator="notEqual">
      <formula>-$R$37</formula>
    </cfRule>
  </conditionalFormatting>
  <hyperlinks>
    <hyperlink ref="T3" location="'H15 Inter Entity Loan'!Go_Index" tooltip="Go to Record" display="Show Record" xr:uid="{781F142F-C45D-40DD-8F2E-5884ACA14DF3}"/>
    <hyperlink ref="A41:D41" location="'H15 Inter Entity Loan'!Go_RollUp_03" tooltip="Show/Hide" display="'Inter Entity Loan'!Go_RollUp_03" xr:uid="{F9158F47-BF36-4DCA-B12A-6C7E32D7A2A7}"/>
    <hyperlink ref="C17:G17" location="'H15 Inter Entity Loan'!Example" tooltip="Go to Example" display="An example of how the inter entity loan matrix works can be found below (click here)" xr:uid="{8ADAC728-FD43-4408-89DD-CED1EF57236B}"/>
  </hyperlinks>
  <printOptions horizontalCentered="1"/>
  <pageMargins left="0.39370078740157483" right="0.39370078740157483" top="0.39370078740157483" bottom="0.39370078740157483" header="0" footer="0"/>
  <pageSetup paperSize="9" scale="50" orientation="landscape" r:id="rId1"/>
  <headerFooter alignWithMargins="0">
    <oddFooter>&amp;L&amp;F
Copyright © 2003-2009 Business Fitness Pty Ltd&amp;R&amp;A &amp;P</oddFooter>
  </headerFooter>
  <customProperties>
    <customPr name="SheetId" r:id="rId2"/>
    <customPr name="SheetName" r:id="rId3"/>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A0330-1677-48E7-A3C3-9A5DFCCB3B22}">
  <sheetPr>
    <pageSetUpPr autoPageBreaks="0" fitToPage="1"/>
  </sheetPr>
  <dimension ref="A1:Z1687"/>
  <sheetViews>
    <sheetView showGridLines="0" topLeftCell="A2" zoomScaleNormal="100" workbookViewId="0">
      <selection activeCell="A2" sqref="A2"/>
    </sheetView>
  </sheetViews>
  <sheetFormatPr defaultRowHeight="15"/>
  <cols>
    <col min="1" max="1" width="4.28515625" style="1815" customWidth="1"/>
    <col min="2" max="2" width="6" style="1815" hidden="1" customWidth="1"/>
    <col min="3" max="3" width="7.7109375" style="1844" hidden="1" customWidth="1"/>
    <col min="4" max="8" width="12.7109375" style="1844" hidden="1" customWidth="1"/>
    <col min="9" max="9" width="8.28515625" style="1815" hidden="1" customWidth="1"/>
    <col min="10" max="10" width="1.42578125" style="1815" customWidth="1"/>
    <col min="11" max="11" width="25.7109375" style="1815" customWidth="1"/>
    <col min="12" max="15" width="15.7109375" style="1815" customWidth="1"/>
    <col min="16" max="16" width="4.28515625" style="1815" customWidth="1"/>
    <col min="17" max="20" width="15.7109375" style="1815" customWidth="1"/>
    <col min="21" max="21" width="1.42578125" style="1815" customWidth="1"/>
    <col min="22" max="22" width="4.28515625" style="1815" customWidth="1"/>
    <col min="23" max="24" width="15.7109375" style="1815" customWidth="1"/>
    <col min="25" max="25" width="22.140625" style="1815" customWidth="1"/>
    <col min="26" max="26" width="10.28515625" style="1815" bestFit="1" customWidth="1"/>
    <col min="27" max="16384" width="9.140625" style="1815"/>
  </cols>
  <sheetData>
    <row r="1" spans="1:24" ht="17.25" hidden="1" customHeight="1">
      <c r="B1" s="1999" t="s">
        <v>176</v>
      </c>
      <c r="D1" s="1999" t="s">
        <v>399</v>
      </c>
      <c r="E1" s="1999" t="s">
        <v>1997</v>
      </c>
      <c r="F1" s="1998" t="s">
        <v>1996</v>
      </c>
      <c r="G1" s="1998" t="s">
        <v>1995</v>
      </c>
      <c r="H1" s="1998" t="s">
        <v>1994</v>
      </c>
      <c r="K1" s="1996" t="s">
        <v>181</v>
      </c>
      <c r="L1" s="1997" t="s">
        <v>1993</v>
      </c>
      <c r="O1" s="1996" t="s">
        <v>177</v>
      </c>
      <c r="P1" s="1815" t="str">
        <f>IFERROR(Jurisdiction, "AU")</f>
        <v>AU</v>
      </c>
      <c r="R1" s="1996" t="s">
        <v>179</v>
      </c>
      <c r="S1" s="1815" t="s">
        <v>1559</v>
      </c>
    </row>
    <row r="2" spans="1:24" ht="7.5" customHeight="1">
      <c r="C2" s="1815"/>
      <c r="D2" s="1815"/>
      <c r="E2" s="1815"/>
      <c r="F2" s="1815"/>
      <c r="G2" s="1815"/>
      <c r="H2" s="1815"/>
      <c r="K2" s="1996"/>
      <c r="L2" s="1997"/>
      <c r="R2" s="1996"/>
    </row>
    <row r="3" spans="1:24" ht="24.95" customHeight="1">
      <c r="K3" s="1995" t="str">
        <f>_xlfn.XLOOKUP("6677d73b-785f-4d0a-9a85-a3abcca796be",RecordInfo.SheetId,RecordInfo.RecordTitle)</f>
        <v>Chattel Mortgage Loan Schedule</v>
      </c>
      <c r="L3" s="561"/>
      <c r="M3" s="561"/>
      <c r="N3" s="417"/>
      <c r="R3"/>
      <c r="S3" s="2000" t="s">
        <v>174</v>
      </c>
      <c r="T3" s="1994" t="s">
        <v>1992</v>
      </c>
      <c r="W3" s="1993" t="s">
        <v>179</v>
      </c>
      <c r="X3" s="1992" t="s">
        <v>1991</v>
      </c>
    </row>
    <row r="4" spans="1:24" ht="22.5" customHeight="1">
      <c r="J4" s="417"/>
      <c r="K4" s="733" t="str">
        <f>_xlfn.TEXTJOIN(" ",1,IFERROR(_xlfn.SINGLE(Cl_Name),"Client Name"),IF(IFERROR(_xlfn.SINGLE(Cl_Code),"")="","","("&amp;_xlfn.SINGLE(Cl_Code)&amp;")"))</f>
        <v>Springrange Holdings Pty Ltd (MuM001)</v>
      </c>
      <c r="L4" s="1991"/>
      <c r="M4" s="1991"/>
      <c r="N4" s="417"/>
      <c r="S4" s="1371"/>
      <c r="T4" s="1990"/>
    </row>
    <row r="5" spans="1:24" ht="22.5" customHeight="1">
      <c r="J5" s="417"/>
      <c r="K5" s="1520">
        <f>IFERROR(_xlfn.SINGLE(PeriodEndDate),DATE(1901,1,1))</f>
        <v>45473</v>
      </c>
      <c r="L5" s="1521"/>
      <c r="M5" s="1521"/>
      <c r="N5" s="417"/>
      <c r="S5" s="1371"/>
      <c r="T5" s="1990"/>
    </row>
    <row r="6" spans="1:24" ht="7.5" customHeight="1">
      <c r="J6" s="1923"/>
      <c r="K6" s="1923"/>
      <c r="L6" s="1923"/>
      <c r="M6" s="1923"/>
      <c r="N6" s="1923"/>
      <c r="O6" s="1832"/>
      <c r="P6" s="1832"/>
      <c r="Q6" s="1832"/>
      <c r="R6" s="1832"/>
      <c r="S6" s="1832"/>
      <c r="T6" s="1832"/>
      <c r="U6" s="1832"/>
    </row>
    <row r="7" spans="1:24" ht="7.5" customHeight="1"/>
    <row r="8" spans="1:24" ht="17.25" customHeight="1">
      <c r="J8" s="1989"/>
      <c r="K8" s="1516" t="s">
        <v>1990</v>
      </c>
      <c r="L8" s="1516"/>
      <c r="M8" s="1516"/>
      <c r="N8" s="1516"/>
      <c r="O8" s="1516"/>
      <c r="P8" s="1516"/>
      <c r="Q8" s="1516"/>
      <c r="R8" s="1516"/>
      <c r="S8" s="1516"/>
      <c r="T8" s="1516"/>
      <c r="U8" s="1988"/>
    </row>
    <row r="9" spans="1:24" ht="17.25" customHeight="1">
      <c r="J9" s="1384"/>
      <c r="K9" s="1987" t="s">
        <v>1989</v>
      </c>
      <c r="L9" s="1987"/>
      <c r="M9" s="1987"/>
      <c r="N9" s="1987"/>
      <c r="O9" s="1987"/>
      <c r="P9" s="1987"/>
      <c r="Q9" s="1987"/>
      <c r="R9" s="1987"/>
      <c r="S9" s="1987"/>
      <c r="T9" s="1987"/>
    </row>
    <row r="10" spans="1:24" ht="17.25" customHeight="1">
      <c r="J10" s="1384"/>
      <c r="K10" s="1987" t="s">
        <v>1988</v>
      </c>
      <c r="L10" s="1987"/>
      <c r="M10" s="1987"/>
      <c r="N10" s="1987"/>
      <c r="O10" s="1987"/>
      <c r="P10" s="1987"/>
      <c r="Q10" s="1987"/>
      <c r="R10" s="1987"/>
      <c r="S10" s="1987"/>
      <c r="T10" s="1987"/>
    </row>
    <row r="11" spans="1:24" ht="17.25" customHeight="1">
      <c r="A11" s="1984" t="str">
        <f>IF(SUBTOTAL(103,A12),"-","+")</f>
        <v>+</v>
      </c>
      <c r="B11" s="1986"/>
      <c r="C11" s="1986"/>
      <c r="D11" s="1986"/>
      <c r="E11" s="1986"/>
      <c r="F11" s="1986"/>
      <c r="G11" s="1986"/>
      <c r="H11" s="1986"/>
      <c r="I11" s="1986"/>
      <c r="J11" s="1986"/>
      <c r="K11" s="1985" t="s">
        <v>1987</v>
      </c>
      <c r="L11" s="1985"/>
      <c r="M11" s="1985"/>
      <c r="N11" s="1985"/>
      <c r="O11" s="410"/>
      <c r="P11" s="410"/>
      <c r="Q11" s="410"/>
      <c r="R11" s="410"/>
      <c r="S11" s="410"/>
      <c r="T11" s="410"/>
    </row>
    <row r="12" spans="1:24" ht="22.5" hidden="1" customHeight="1">
      <c r="A12" s="1815" t="s">
        <v>58</v>
      </c>
      <c r="J12" s="1384"/>
      <c r="K12" s="1732" t="s">
        <v>1986</v>
      </c>
      <c r="L12" s="1732"/>
      <c r="M12" s="1732"/>
      <c r="N12" s="1732"/>
      <c r="O12" s="1732"/>
      <c r="P12" s="1732"/>
      <c r="Q12" s="1732"/>
      <c r="R12" s="1732"/>
      <c r="S12" s="1732"/>
      <c r="T12" s="1732"/>
    </row>
    <row r="13" spans="1:24" ht="33" hidden="1" customHeight="1">
      <c r="J13" s="1384"/>
      <c r="K13" s="1732" t="s">
        <v>1985</v>
      </c>
      <c r="L13" s="1732"/>
      <c r="M13" s="1732"/>
      <c r="N13" s="1732"/>
      <c r="O13" s="1732"/>
      <c r="P13" s="1732"/>
      <c r="Q13" s="1732"/>
      <c r="R13" s="1732"/>
      <c r="S13" s="1732"/>
      <c r="T13" s="1732"/>
    </row>
    <row r="14" spans="1:24" ht="33" hidden="1" customHeight="1">
      <c r="J14" s="1384"/>
      <c r="K14" s="1732" t="s">
        <v>1984</v>
      </c>
      <c r="L14" s="1732"/>
      <c r="M14" s="1732"/>
      <c r="N14" s="1732"/>
      <c r="O14" s="1732"/>
      <c r="P14" s="1732"/>
      <c r="Q14" s="1732"/>
      <c r="R14" s="1732"/>
      <c r="S14" s="1732"/>
      <c r="T14" s="1732"/>
    </row>
    <row r="15" spans="1:24" ht="22.5" hidden="1" customHeight="1">
      <c r="J15" s="1384"/>
      <c r="K15" s="1732" t="s">
        <v>1983</v>
      </c>
      <c r="L15" s="1732"/>
      <c r="M15" s="1732"/>
      <c r="N15" s="1732"/>
      <c r="O15" s="1732"/>
      <c r="P15" s="1732"/>
      <c r="Q15" s="1732"/>
      <c r="R15" s="1732"/>
      <c r="S15" s="1732"/>
      <c r="T15" s="1732"/>
    </row>
    <row r="16" spans="1:24" ht="22.5" hidden="1" customHeight="1">
      <c r="J16" s="1384"/>
      <c r="K16" s="1732" t="s">
        <v>1982</v>
      </c>
      <c r="L16" s="1732"/>
      <c r="M16" s="1732"/>
      <c r="N16" s="1732"/>
      <c r="O16" s="1732"/>
      <c r="P16" s="1732"/>
      <c r="Q16" s="1732"/>
      <c r="R16" s="1732"/>
      <c r="S16" s="1732"/>
      <c r="T16" s="1732"/>
    </row>
    <row r="17" spans="3:24" ht="22.5" customHeight="1">
      <c r="C17" s="1884"/>
      <c r="D17" s="1884"/>
      <c r="E17" s="1884"/>
      <c r="F17" s="1884"/>
      <c r="G17" s="1884"/>
      <c r="H17" s="1884"/>
      <c r="J17" s="355"/>
      <c r="K17" s="355"/>
      <c r="L17" s="355"/>
      <c r="M17" s="355"/>
      <c r="N17" s="355"/>
      <c r="O17" s="355"/>
      <c r="P17" s="355"/>
      <c r="Q17" s="355"/>
      <c r="R17" s="355"/>
      <c r="S17" s="355"/>
      <c r="T17" s="355"/>
    </row>
    <row r="18" spans="3:24" ht="22.5" customHeight="1">
      <c r="J18" s="1983" t="s">
        <v>1981</v>
      </c>
      <c r="K18" s="1983"/>
      <c r="L18" s="1982"/>
      <c r="W18" s="1412" t="s">
        <v>155</v>
      </c>
      <c r="X18" s="1413"/>
    </row>
    <row r="19" spans="3:24" ht="7.5" customHeight="1">
      <c r="J19" s="1905"/>
      <c r="K19" s="1827"/>
      <c r="L19" s="1827"/>
      <c r="M19" s="1827"/>
      <c r="N19" s="1827"/>
      <c r="O19" s="1827"/>
      <c r="P19" s="1827"/>
      <c r="Q19" s="1827"/>
      <c r="R19" s="1827"/>
      <c r="S19" s="1827"/>
      <c r="T19" s="1827"/>
      <c r="U19" s="1903"/>
    </row>
    <row r="20" spans="3:24" ht="17.25" customHeight="1">
      <c r="J20" s="1835"/>
      <c r="M20" s="1916" t="s">
        <v>408</v>
      </c>
      <c r="N20" s="1549"/>
      <c r="O20" s="1551"/>
      <c r="S20" s="1981" t="s">
        <v>1980</v>
      </c>
      <c r="T20" s="1475"/>
      <c r="U20" s="1894"/>
      <c r="W20" s="1893"/>
      <c r="X20" s="1892"/>
    </row>
    <row r="21" spans="3:24" ht="17.25" customHeight="1">
      <c r="J21" s="1835"/>
      <c r="M21" s="1916" t="s">
        <v>1979</v>
      </c>
      <c r="N21" s="1980"/>
      <c r="O21" s="1979"/>
      <c r="S21" s="1475"/>
      <c r="T21" s="1475"/>
      <c r="U21" s="1894"/>
      <c r="W21" s="1893"/>
      <c r="X21" s="1892"/>
    </row>
    <row r="22" spans="3:24" ht="7.5" customHeight="1">
      <c r="J22" s="1835"/>
      <c r="M22" s="1916"/>
      <c r="N22" s="1978"/>
      <c r="O22" s="1978"/>
      <c r="P22" s="1978"/>
      <c r="U22" s="1894"/>
    </row>
    <row r="23" spans="3:24" ht="17.25" customHeight="1">
      <c r="H23" s="1977" t="s">
        <v>1978</v>
      </c>
      <c r="I23" s="1976">
        <f>IFERROR(MONTH(1&amp;LEFT(N23,3)),6)</f>
        <v>1</v>
      </c>
      <c r="J23" s="1922"/>
      <c r="M23" s="1916" t="s">
        <v>1977</v>
      </c>
      <c r="N23" s="1975"/>
      <c r="O23" s="1973"/>
      <c r="P23" s="1972"/>
      <c r="U23" s="1894"/>
      <c r="W23" s="1893"/>
      <c r="X23" s="1892"/>
    </row>
    <row r="24" spans="3:24" ht="17.25" customHeight="1">
      <c r="J24" s="1835"/>
      <c r="M24" s="1916" t="s">
        <v>1976</v>
      </c>
      <c r="N24" s="1974"/>
      <c r="O24" s="1973"/>
      <c r="P24" s="1972"/>
      <c r="U24" s="1894"/>
      <c r="W24" s="1893"/>
      <c r="X24" s="1892"/>
    </row>
    <row r="25" spans="3:24" ht="17.25" customHeight="1">
      <c r="C25" s="1450" t="s">
        <v>1975</v>
      </c>
      <c r="D25" s="1451"/>
      <c r="E25" s="1451"/>
      <c r="F25" s="1451"/>
      <c r="G25" s="1451"/>
      <c r="H25" s="1452"/>
      <c r="J25" s="1835"/>
      <c r="U25" s="1894"/>
    </row>
    <row r="26" spans="3:24" ht="22.5" customHeight="1">
      <c r="C26" s="1971">
        <f>IFERROR(_xlfn.SINGLE(Tm_CategoryList),"")</f>
        <v>0</v>
      </c>
      <c r="D26" s="1970">
        <f>$L$65</f>
        <v>0</v>
      </c>
      <c r="E26" s="1970">
        <f>$L$53</f>
        <v>0</v>
      </c>
      <c r="F26" s="1970">
        <f>$L$54</f>
        <v>0</v>
      </c>
      <c r="G26" s="1970">
        <f>$L$57</f>
        <v>0</v>
      </c>
      <c r="H26" s="1969">
        <f>$L$58</f>
        <v>0</v>
      </c>
      <c r="J26" s="1835"/>
      <c r="K26" s="1477" t="s">
        <v>1974</v>
      </c>
      <c r="L26" s="1532"/>
      <c r="M26" s="1532"/>
      <c r="N26" s="1532"/>
      <c r="O26" s="1942"/>
      <c r="P26" s="32"/>
      <c r="Q26" s="1477" t="s">
        <v>1973</v>
      </c>
      <c r="R26" s="1532"/>
      <c r="S26" s="1532"/>
      <c r="T26" s="1942"/>
      <c r="U26" s="1894"/>
    </row>
    <row r="27" spans="3:24" ht="7.5" customHeight="1">
      <c r="C27" s="1815"/>
      <c r="D27" s="1815"/>
      <c r="E27" s="1873"/>
      <c r="F27" s="1873"/>
      <c r="G27" s="1873"/>
      <c r="H27" s="1873"/>
      <c r="J27" s="1835"/>
      <c r="K27" s="1968"/>
      <c r="L27" s="1967"/>
      <c r="M27" s="1967"/>
      <c r="U27" s="1894"/>
      <c r="W27" s="228"/>
    </row>
    <row r="28" spans="3:24" ht="17.25" customHeight="1">
      <c r="F28" s="1963"/>
      <c r="J28" s="1835"/>
      <c r="L28" s="1951"/>
      <c r="M28" s="1916" t="s">
        <v>1972</v>
      </c>
      <c r="N28" s="1067"/>
      <c r="R28" s="1954" t="s">
        <v>1971</v>
      </c>
      <c r="S28" s="347"/>
      <c r="U28" s="1894"/>
      <c r="W28" s="1893"/>
      <c r="X28" s="1892"/>
    </row>
    <row r="29" spans="3:24" ht="17.25" customHeight="1">
      <c r="F29" s="1963" t="s">
        <v>1970</v>
      </c>
      <c r="H29" s="1966" t="s">
        <v>1969</v>
      </c>
      <c r="I29" s="1965">
        <f>No_Regular_Payments+IF(Tm_Balloon_Amt&lt;&gt;0,1,0)</f>
        <v>0</v>
      </c>
      <c r="J29" s="1922"/>
      <c r="L29" s="1951"/>
      <c r="M29" s="1916" t="s">
        <v>1968</v>
      </c>
      <c r="N29" s="1964"/>
      <c r="R29" s="1954" t="s">
        <v>1903</v>
      </c>
      <c r="S29" s="1303">
        <f>SUM($O$127:$O$1686)</f>
        <v>0</v>
      </c>
      <c r="U29" s="1894"/>
      <c r="W29" s="1893"/>
      <c r="X29" s="1892"/>
    </row>
    <row r="30" spans="3:24" ht="17.25" customHeight="1">
      <c r="F30" s="1963" t="s">
        <v>1967</v>
      </c>
      <c r="G30" s="1957"/>
      <c r="H30" s="1962" cm="1">
        <f t="array" ref="H30">_xlfn.IFS(
    ISBLANK(Start_Date),0,
    N29="Advance", Start_Date,
    N28="Weekly", DATE(YEAR(Start_Date), MONTH(Start_Date), DAY(Start_Date) + 7),
    N28="Fortnightly", DATE(YEAR(Start_Date), MONTH(Start_Date), DAY(Start_Date) + 14),
    N28="Monthly", DATE(YEAR(Start_Date), MONTH(Start_Date) +1, DAY(Start_Date)),
    N28="Quarterly", DATE(YEAR(Start_Date), MONTH(Start_Date) + 3, DAY(Start_Date)),
    N28="Yearly", DATE(YEAR(Start_Date) + 1, MONTH(Start_Date), DAY(Start_Date)),
    TRUE, Start_Date
)</f>
        <v>0</v>
      </c>
      <c r="I30" s="1961"/>
      <c r="J30" s="1922"/>
      <c r="L30" s="1951"/>
      <c r="M30" s="1916" t="s">
        <v>1966</v>
      </c>
      <c r="N30" s="1960" t="str">
        <f>IF(H30=0,"",H30)</f>
        <v/>
      </c>
      <c r="P30" s="1959"/>
      <c r="R30" s="1954" t="s">
        <v>1952</v>
      </c>
      <c r="S30" s="1303">
        <f>SUM($Q$127:$Q$1686)</f>
        <v>0</v>
      </c>
      <c r="U30" s="1894"/>
      <c r="W30" s="1936"/>
      <c r="X30" s="1935"/>
    </row>
    <row r="31" spans="3:24" ht="17.25" customHeight="1">
      <c r="F31" s="1953"/>
      <c r="H31" s="1873"/>
      <c r="J31" s="1922"/>
      <c r="M31" s="1958"/>
      <c r="R31" s="1954" t="s">
        <v>1935</v>
      </c>
      <c r="S31" s="1886">
        <f>SUM(S28:S30)</f>
        <v>0</v>
      </c>
      <c r="U31" s="1894"/>
      <c r="W31" s="988"/>
    </row>
    <row r="32" spans="3:24" ht="17.25" customHeight="1">
      <c r="F32" s="1953"/>
      <c r="H32" s="1957" t="s">
        <v>1965</v>
      </c>
      <c r="I32" s="1956" cm="1">
        <f t="array" ref="I32">_xlfn.IFS(
    Manual_NominalRate="", IF(Auto_NominalRate="", 0, Auto_NominalRate),
    TRUE, Manual_NominalRate
)</f>
        <v>0</v>
      </c>
      <c r="J32" s="1922"/>
      <c r="L32" s="1951"/>
      <c r="M32" s="1916" t="s">
        <v>1964</v>
      </c>
      <c r="N32" s="1955"/>
      <c r="R32" s="1954"/>
      <c r="U32" s="1894"/>
      <c r="W32" s="1893"/>
      <c r="X32" s="1892"/>
    </row>
    <row r="33" spans="1:24" ht="17.25" customHeight="1">
      <c r="F33" s="1953"/>
      <c r="I33" s="1873"/>
      <c r="J33" s="1835"/>
      <c r="L33" s="1951"/>
      <c r="M33" s="1916" t="s">
        <v>1963</v>
      </c>
      <c r="N33" s="347"/>
      <c r="Q33" s="1477" t="s">
        <v>1962</v>
      </c>
      <c r="R33" s="1532"/>
      <c r="S33" s="1532"/>
      <c r="T33" s="1942"/>
      <c r="U33" s="1894"/>
      <c r="W33" s="1893"/>
      <c r="X33" s="1892"/>
    </row>
    <row r="34" spans="1:24" ht="17.25" customHeight="1">
      <c r="J34" s="1835"/>
      <c r="L34" s="1951"/>
      <c r="M34" s="1916" t="s">
        <v>1961</v>
      </c>
      <c r="N34" s="347"/>
      <c r="S34" s="1952" t="s">
        <v>1960</v>
      </c>
      <c r="T34" s="1952" t="s">
        <v>1959</v>
      </c>
      <c r="U34" s="1894"/>
      <c r="W34" s="1893"/>
      <c r="X34" s="1892"/>
    </row>
    <row r="35" spans="1:24" ht="17.25" customHeight="1">
      <c r="J35" s="1835"/>
      <c r="L35" s="1951"/>
      <c r="M35" s="1916" t="s">
        <v>1958</v>
      </c>
      <c r="N35" s="1303">
        <f>Repay_Amt*No_Regular_Payments</f>
        <v>0</v>
      </c>
      <c r="Q35" s="1946" t="s">
        <v>1957</v>
      </c>
      <c r="R35" s="1945"/>
      <c r="S35" s="1950" t="str">
        <f>IFERROR(LN(1+Auto_EffectiveRate)/(365/365.25),"")</f>
        <v/>
      </c>
      <c r="T35" s="1950" t="str">
        <f>IFERROR(XIRR(G126:G1697,F126:F1697,5%), "Enter Loan Details")</f>
        <v>Enter Loan Details</v>
      </c>
      <c r="U35" s="1894"/>
      <c r="W35" s="1893"/>
      <c r="X35" s="1892"/>
    </row>
    <row r="36" spans="1:24" ht="17.25" customHeight="1">
      <c r="J36" s="1835"/>
      <c r="K36" s="1949"/>
      <c r="L36" s="1949"/>
      <c r="M36" s="1916" t="s">
        <v>1956</v>
      </c>
      <c r="N36" s="347"/>
      <c r="O36" s="1948"/>
      <c r="Q36" s="1947" t="s">
        <v>1955</v>
      </c>
      <c r="R36" s="1947"/>
      <c r="U36" s="1894"/>
      <c r="W36" s="1893"/>
      <c r="X36" s="1892"/>
    </row>
    <row r="37" spans="1:24" ht="17.25" customHeight="1">
      <c r="J37" s="1835"/>
      <c r="K37" s="1940"/>
      <c r="L37" s="1940"/>
      <c r="N37" s="341"/>
      <c r="Q37" s="1946" t="s">
        <v>1954</v>
      </c>
      <c r="R37" s="1945"/>
      <c r="S37" s="1944"/>
      <c r="T37" s="1943" t="str">
        <f>IF(ISBLANK(Manual_NominalRate),"",EXP(Manual_NominalRate / (365.25 / 365)) - 1)</f>
        <v/>
      </c>
      <c r="U37" s="1894"/>
      <c r="W37" s="1936"/>
      <c r="X37" s="1935"/>
    </row>
    <row r="38" spans="1:24" ht="22.5" customHeight="1">
      <c r="J38" s="1835"/>
      <c r="K38" s="1477" t="s">
        <v>1351</v>
      </c>
      <c r="L38" s="1532"/>
      <c r="M38" s="1532"/>
      <c r="N38" s="1532"/>
      <c r="O38" s="1942"/>
      <c r="P38" s="32"/>
      <c r="U38" s="1894"/>
      <c r="W38" s="1936"/>
      <c r="X38" s="1935"/>
    </row>
    <row r="39" spans="1:24" ht="17.25" customHeight="1">
      <c r="J39" s="1835"/>
      <c r="K39" s="1940"/>
      <c r="L39" s="1940"/>
      <c r="M39" s="341"/>
      <c r="N39" s="341"/>
      <c r="Q39" s="1941" t="s">
        <v>1953</v>
      </c>
      <c r="R39" s="1941"/>
      <c r="S39" s="1941"/>
      <c r="T39" s="1941"/>
      <c r="U39" s="1894"/>
      <c r="W39" s="1936"/>
      <c r="X39" s="1935"/>
    </row>
    <row r="40" spans="1:24" ht="17.25" customHeight="1">
      <c r="J40" s="1835"/>
      <c r="K40" s="1940"/>
      <c r="L40" s="1940"/>
      <c r="M40" s="1939" t="s">
        <v>1939</v>
      </c>
      <c r="N40" s="1303">
        <f>S31</f>
        <v>0</v>
      </c>
      <c r="O40" s="1938"/>
      <c r="Q40" s="1941"/>
      <c r="R40" s="1941"/>
      <c r="S40" s="1941"/>
      <c r="T40" s="1941"/>
      <c r="U40" s="1894"/>
      <c r="W40" s="1893"/>
      <c r="X40" s="1892"/>
    </row>
    <row r="41" spans="1:24" ht="17.25" customHeight="1">
      <c r="J41" s="1835"/>
      <c r="K41" s="1940"/>
      <c r="L41" s="1940"/>
      <c r="M41" s="1916" t="s">
        <v>1952</v>
      </c>
      <c r="N41" s="1303">
        <f>S30</f>
        <v>0</v>
      </c>
      <c r="O41" s="1866"/>
      <c r="Q41" s="1941"/>
      <c r="R41" s="1941"/>
      <c r="S41" s="1941"/>
      <c r="T41" s="1941"/>
      <c r="U41" s="1894"/>
      <c r="W41" s="1893"/>
      <c r="X41" s="1892"/>
    </row>
    <row r="42" spans="1:24" ht="17.25" customHeight="1">
      <c r="J42" s="1835"/>
      <c r="K42" s="1940"/>
      <c r="L42" s="1940"/>
      <c r="M42" s="1939" t="s">
        <v>1903</v>
      </c>
      <c r="N42" s="1303">
        <f>Total_Int</f>
        <v>0</v>
      </c>
      <c r="O42" s="1938"/>
      <c r="Q42" s="1937" t="str">
        <f>IF(S1686&lt;&gt;0,"The principal is not clearing, update your payment schedule or the manual interest rate to zero out.","")</f>
        <v/>
      </c>
      <c r="R42" s="1937"/>
      <c r="S42" s="1937"/>
      <c r="T42" s="1937"/>
      <c r="U42" s="1894"/>
      <c r="W42" s="1893"/>
      <c r="X42" s="1892"/>
    </row>
    <row r="43" spans="1:24" ht="17.25" customHeight="1">
      <c r="J43" s="1835"/>
      <c r="K43" s="1940"/>
      <c r="L43" s="1940"/>
      <c r="M43" s="1939"/>
      <c r="O43" s="1938"/>
      <c r="Q43" s="1937"/>
      <c r="R43" s="1937"/>
      <c r="S43" s="1937"/>
      <c r="T43" s="1937"/>
      <c r="U43" s="1894"/>
      <c r="W43" s="1936"/>
      <c r="X43" s="1935"/>
    </row>
    <row r="44" spans="1:24" ht="7.5" customHeight="1">
      <c r="J44" s="1833"/>
      <c r="K44" s="1832"/>
      <c r="L44" s="1832"/>
      <c r="M44" s="1832"/>
      <c r="N44" s="1832"/>
      <c r="O44" s="1832"/>
      <c r="P44" s="1832"/>
      <c r="Q44" s="1934"/>
      <c r="R44" s="1934"/>
      <c r="S44" s="1934"/>
      <c r="T44" s="1934"/>
      <c r="U44" s="1890"/>
    </row>
    <row r="45" spans="1:24" ht="22.5" customHeight="1">
      <c r="K45" s="341"/>
      <c r="L45" s="341"/>
      <c r="M45" s="341"/>
    </row>
    <row r="46" spans="1:24" ht="22.5" customHeight="1">
      <c r="C46" s="1815"/>
      <c r="D46" s="1815"/>
      <c r="E46" s="1815"/>
      <c r="F46" s="1815"/>
      <c r="G46" s="1815"/>
      <c r="H46" s="1815"/>
      <c r="J46" s="1885" t="s">
        <v>1951</v>
      </c>
      <c r="K46" s="1885"/>
      <c r="L46" s="1885"/>
      <c r="M46" s="89"/>
      <c r="N46" s="1832"/>
      <c r="O46" s="1832"/>
      <c r="P46" s="1832"/>
      <c r="Q46" s="1832"/>
      <c r="R46" s="1832"/>
      <c r="S46" s="1832"/>
      <c r="T46" s="1832"/>
      <c r="U46" s="1832"/>
      <c r="W46" s="32"/>
    </row>
    <row r="47" spans="1:24" ht="7.5" customHeight="1">
      <c r="A47" s="1815" t="s">
        <v>58</v>
      </c>
      <c r="J47" s="1835"/>
      <c r="K47" s="341"/>
      <c r="L47" s="341"/>
      <c r="M47" s="341"/>
      <c r="U47" s="1933"/>
    </row>
    <row r="48" spans="1:24" ht="45" customHeight="1">
      <c r="J48" s="1835"/>
      <c r="K48" s="1932" t="s">
        <v>1950</v>
      </c>
      <c r="L48" s="1931"/>
      <c r="M48" s="1931"/>
      <c r="N48" s="1931"/>
      <c r="O48" s="1931"/>
      <c r="P48" s="1931"/>
      <c r="Q48" s="1931"/>
      <c r="R48" s="1931"/>
      <c r="S48" s="1931"/>
      <c r="T48" s="1931"/>
      <c r="U48" s="1821"/>
    </row>
    <row r="49" spans="10:24" ht="7.5" customHeight="1">
      <c r="J49" s="1835"/>
      <c r="K49" s="341"/>
      <c r="L49" s="341"/>
      <c r="M49" s="341"/>
      <c r="U49" s="1821"/>
    </row>
    <row r="50" spans="10:24" ht="19.5" customHeight="1">
      <c r="J50" s="1196"/>
      <c r="K50" s="1624" t="s">
        <v>68</v>
      </c>
      <c r="L50" s="1930"/>
      <c r="M50" s="1929"/>
      <c r="N50" s="1599" t="s">
        <v>1949</v>
      </c>
      <c r="O50" s="1599" t="s">
        <v>440</v>
      </c>
      <c r="P50" s="1385"/>
      <c r="Q50" s="1599" t="s">
        <v>280</v>
      </c>
      <c r="R50" s="1928"/>
      <c r="S50" s="1630" t="s">
        <v>1948</v>
      </c>
      <c r="T50" s="1627"/>
      <c r="U50" s="1821"/>
      <c r="W50" s="1432"/>
      <c r="X50" s="1432"/>
    </row>
    <row r="51" spans="10:24" ht="19.5" customHeight="1">
      <c r="J51" s="1927"/>
      <c r="K51" s="1926"/>
      <c r="L51" s="1923"/>
      <c r="M51" s="1925"/>
      <c r="N51" s="1924"/>
      <c r="O51" s="1924"/>
      <c r="P51" s="1923"/>
      <c r="Q51" s="1465"/>
      <c r="R51" s="1922"/>
      <c r="S51" s="1386" t="s">
        <v>1444</v>
      </c>
      <c r="T51" s="1387" t="s">
        <v>1443</v>
      </c>
      <c r="U51" s="1821"/>
      <c r="W51" s="1432"/>
      <c r="X51" s="1432"/>
    </row>
    <row r="52" spans="10:24" ht="7.5" customHeight="1">
      <c r="J52" s="1822"/>
      <c r="K52" s="341"/>
      <c r="L52" s="341"/>
      <c r="M52" s="1921"/>
      <c r="U52" s="1821"/>
      <c r="W52" s="1920"/>
      <c r="X52" s="1919"/>
    </row>
    <row r="53" spans="10:24" ht="17.25" customHeight="1">
      <c r="J53" s="1822"/>
      <c r="K53" s="1916" t="s">
        <v>391</v>
      </c>
      <c r="L53" s="1303">
        <f>IFERROR(VLOOKUP($R$68,Summary_table,3,FALSE),0)</f>
        <v>0</v>
      </c>
      <c r="N53" s="1915"/>
      <c r="O53" s="347"/>
      <c r="Q53" s="1914" t="str">
        <f>IF(O53="","", ROUND(CurrentLiability-O53,2))</f>
        <v/>
      </c>
      <c r="S53" s="1303">
        <f>IF($Q53&lt;0,-$Q53,0)</f>
        <v>0</v>
      </c>
      <c r="T53" s="1913" t="str">
        <f>IF($Q53&gt;0,$Q53,0)</f>
        <v/>
      </c>
      <c r="U53" s="1821"/>
      <c r="W53" s="1893"/>
      <c r="X53" s="1892"/>
    </row>
    <row r="54" spans="10:24" ht="17.25" customHeight="1">
      <c r="J54" s="1822"/>
      <c r="K54" s="1916" t="s">
        <v>1947</v>
      </c>
      <c r="L54" s="1303">
        <f>-IFERROR(VLOOKUP($R$68,Summary_table,4,FALSE),0)</f>
        <v>0</v>
      </c>
      <c r="N54" s="1915"/>
      <c r="O54" s="347"/>
      <c r="Q54" s="1914" t="str">
        <f>IF(O54="","", ROUND(CurrentUnexpiredInterest-O54,2))</f>
        <v/>
      </c>
      <c r="S54" s="1303">
        <f>IF($Q54&lt;0,-$Q54,0)</f>
        <v>0</v>
      </c>
      <c r="T54" s="1913" t="str">
        <f>IF($Q54&gt;0,$Q54,0)</f>
        <v/>
      </c>
      <c r="U54" s="1821"/>
      <c r="W54" s="1893"/>
      <c r="X54" s="1892"/>
    </row>
    <row r="55" spans="10:24" ht="17.25" customHeight="1">
      <c r="J55" s="1822"/>
      <c r="K55" s="1916" t="s">
        <v>1946</v>
      </c>
      <c r="L55" s="1303">
        <f>L53+L54</f>
        <v>0</v>
      </c>
      <c r="N55" s="1915"/>
      <c r="O55" s="347"/>
      <c r="Q55" s="1914" t="str">
        <f>IF(O55="","", ROUND(NetCurrentLiability-O55,2))</f>
        <v/>
      </c>
      <c r="S55" s="1303">
        <f>IF($Q55&lt;0,-$Q55,0)</f>
        <v>0</v>
      </c>
      <c r="T55" s="1913" t="str">
        <f>IF($Q55&gt;0,$Q55,0)</f>
        <v/>
      </c>
      <c r="U55" s="1821"/>
      <c r="W55" s="1893"/>
      <c r="X55" s="1892"/>
    </row>
    <row r="56" spans="10:24" ht="17.25" customHeight="1">
      <c r="J56" s="1822"/>
      <c r="K56" s="1918"/>
      <c r="L56" s="341"/>
      <c r="N56" s="1917"/>
      <c r="U56" s="1821"/>
    </row>
    <row r="57" spans="10:24" ht="17.25" customHeight="1">
      <c r="J57" s="1822"/>
      <c r="K57" s="1916" t="s">
        <v>390</v>
      </c>
      <c r="L57" s="1303">
        <f>IFERROR(VLOOKUP($R$68,Summary_table,9,FALSE),0)</f>
        <v>0</v>
      </c>
      <c r="N57" s="1915"/>
      <c r="O57" s="347"/>
      <c r="Q57" s="1914" t="str">
        <f>IF(O57="","", ROUND(NonCurrentLiability-O57,2))</f>
        <v/>
      </c>
      <c r="S57" s="1303">
        <f>IF($Q57&lt;0,-$Q57,0)</f>
        <v>0</v>
      </c>
      <c r="T57" s="1913" t="str">
        <f>IF($Q57&gt;0,$Q57,0)</f>
        <v/>
      </c>
      <c r="U57" s="1821"/>
      <c r="W57" s="1893"/>
      <c r="X57" s="1892"/>
    </row>
    <row r="58" spans="10:24" ht="17.25" customHeight="1">
      <c r="J58" s="1822"/>
      <c r="K58" s="1916" t="s">
        <v>1945</v>
      </c>
      <c r="L58" s="1303">
        <f>-IFERROR(VLOOKUP($R$68,Summary_table,6,FALSE),0)</f>
        <v>0</v>
      </c>
      <c r="N58" s="1915"/>
      <c r="O58" s="347"/>
      <c r="Q58" s="1914" t="str">
        <f>IF(O58="","", ROUND(NonCurrentUnexpiredInterest-O58,2))</f>
        <v/>
      </c>
      <c r="S58" s="1303">
        <f>IF($Q58&lt;0,-$Q58,0)</f>
        <v>0</v>
      </c>
      <c r="T58" s="1913" t="str">
        <f>IF($Q58&gt;0,$Q58,0)</f>
        <v/>
      </c>
      <c r="U58" s="1821"/>
      <c r="W58" s="1893"/>
      <c r="X58" s="1892"/>
    </row>
    <row r="59" spans="10:24" ht="17.25" customHeight="1">
      <c r="J59" s="1822"/>
      <c r="K59" s="1916" t="s">
        <v>1944</v>
      </c>
      <c r="L59" s="1303">
        <f>L57+L58</f>
        <v>0</v>
      </c>
      <c r="N59" s="1915"/>
      <c r="O59" s="347"/>
      <c r="Q59" s="1914" t="str">
        <f>IF(O59="","", ROUND(NetNonCurrentLiability-O59,2))</f>
        <v/>
      </c>
      <c r="S59" s="1303">
        <f>IF($Q59&lt;0,-$Q59,0)</f>
        <v>0</v>
      </c>
      <c r="T59" s="1913" t="str">
        <f>IF($Q59&gt;0,$Q59,0)</f>
        <v/>
      </c>
      <c r="U59" s="1821"/>
      <c r="W59" s="1893"/>
      <c r="X59" s="1892"/>
    </row>
    <row r="60" spans="10:24" ht="17.25" customHeight="1">
      <c r="J60" s="1822"/>
      <c r="K60" s="1918"/>
      <c r="L60" s="341"/>
      <c r="N60" s="1917"/>
      <c r="U60" s="1821"/>
    </row>
    <row r="61" spans="10:24" ht="17.25" customHeight="1">
      <c r="J61" s="1822"/>
      <c r="K61" s="1916" t="s">
        <v>1943</v>
      </c>
      <c r="L61" s="1303">
        <f>CurrentLiability+NonCurrentLiability</f>
        <v>0</v>
      </c>
      <c r="N61" s="1915"/>
      <c r="O61" s="347"/>
      <c r="Q61" s="1914" t="str">
        <f>IF(O61="","", ROUND(Reconcile_TotalLiability-O61,2))</f>
        <v/>
      </c>
      <c r="S61" s="1303">
        <f>IF($Q61&lt;0,-$Q61,0)</f>
        <v>0</v>
      </c>
      <c r="T61" s="1913" t="str">
        <f>IF($Q61&gt;0,$Q61,0)</f>
        <v/>
      </c>
      <c r="U61" s="1821"/>
      <c r="W61" s="1893"/>
      <c r="X61" s="1892"/>
    </row>
    <row r="62" spans="10:24" ht="17.25" customHeight="1">
      <c r="J62" s="1822"/>
      <c r="K62" s="1916" t="s">
        <v>1942</v>
      </c>
      <c r="L62" s="1303">
        <f>CurrentUnexpiredInterest+NonCurrentUnexpiredInterest</f>
        <v>0</v>
      </c>
      <c r="N62" s="1915"/>
      <c r="O62" s="347"/>
      <c r="Q62" s="1914" t="str">
        <f>IF(O62="","", ROUND(L62-O62,2))</f>
        <v/>
      </c>
      <c r="S62" s="1303">
        <f>IF($Q62&lt;0,-$Q62,0)</f>
        <v>0</v>
      </c>
      <c r="T62" s="1913" t="str">
        <f>IF($Q62&gt;0,$Q62,0)</f>
        <v/>
      </c>
      <c r="U62" s="1821"/>
      <c r="W62" s="1893"/>
      <c r="X62" s="1892"/>
    </row>
    <row r="63" spans="10:24" ht="17.25" customHeight="1">
      <c r="J63" s="1822"/>
      <c r="K63" s="1916" t="s">
        <v>1941</v>
      </c>
      <c r="L63" s="1303">
        <f>Reconcile_TotalLiability+L62</f>
        <v>0</v>
      </c>
      <c r="N63" s="1915"/>
      <c r="O63" s="347"/>
      <c r="Q63" s="1914" t="str">
        <f>IF(O63="","", ROUND(L63-O63,2))</f>
        <v/>
      </c>
      <c r="S63" s="1303">
        <f>IF($Q63&lt;0,-$Q63,0)</f>
        <v>0</v>
      </c>
      <c r="T63" s="1913" t="str">
        <f>IF($Q63&gt;0,$Q63,0)</f>
        <v/>
      </c>
      <c r="U63" s="1821"/>
      <c r="W63" s="1893"/>
      <c r="X63" s="1892"/>
    </row>
    <row r="64" spans="10:24" ht="17.25" customHeight="1">
      <c r="J64" s="1822"/>
      <c r="K64" s="1918"/>
      <c r="L64" s="341"/>
      <c r="N64" s="1917"/>
      <c r="U64" s="1821"/>
    </row>
    <row r="65" spans="1:24" ht="17.25" customHeight="1">
      <c r="J65" s="1822"/>
      <c r="K65" s="1916" t="s">
        <v>1468</v>
      </c>
      <c r="L65" s="1303">
        <f>IFERROR(_xlfn.XLOOKUP($Q$68,L76:L110,O76:O110,0,0),0)</f>
        <v>0</v>
      </c>
      <c r="N65" s="1915"/>
      <c r="O65" s="347"/>
      <c r="Q65" s="1914" t="str">
        <f>IF(O65="","", ROUND(L65-O65,2))</f>
        <v/>
      </c>
      <c r="S65" s="1303" t="str">
        <f>IF($Q65&gt;0,$Q65,0)</f>
        <v/>
      </c>
      <c r="T65" s="1913">
        <f>IF($Q65&lt;0,-$Q65,0)</f>
        <v>0</v>
      </c>
      <c r="U65" s="1821"/>
      <c r="W65" s="1893"/>
      <c r="X65" s="1892"/>
    </row>
    <row r="66" spans="1:24" ht="17.25" customHeight="1">
      <c r="J66" s="1822"/>
      <c r="K66" s="1916" t="s">
        <v>1923</v>
      </c>
      <c r="L66" s="1303">
        <f>IFERROR(_xlfn.XLOOKUP($Q$68,L76:L110,M76:M110,0,0),0)</f>
        <v>0</v>
      </c>
      <c r="N66" s="1915"/>
      <c r="O66" s="347"/>
      <c r="Q66" s="1914" t="str">
        <f>IF(O66="","", ROUND(L66-O66,2))</f>
        <v/>
      </c>
      <c r="S66" s="1303" t="str">
        <f>IF($Q66&gt;0,$Q66,0)</f>
        <v/>
      </c>
      <c r="T66" s="1913">
        <f>IF($Q66&lt;0,-$Q66,0)</f>
        <v>0</v>
      </c>
      <c r="U66" s="1821"/>
      <c r="W66" s="1893"/>
      <c r="X66" s="1892"/>
    </row>
    <row r="67" spans="1:24" ht="17.25" customHeight="1">
      <c r="J67" s="1822"/>
      <c r="K67" s="341"/>
      <c r="L67" s="341"/>
      <c r="M67" s="341"/>
      <c r="U67" s="1821"/>
    </row>
    <row r="68" spans="1:24" ht="17.25" hidden="1" customHeight="1">
      <c r="J68" s="1822"/>
      <c r="K68" s="1912" t="s">
        <v>1940</v>
      </c>
      <c r="L68" s="341"/>
      <c r="M68" s="1911">
        <f>CurrentUnexpiredInterest+NonCurrentUnexpiredInterest</f>
        <v>0</v>
      </c>
      <c r="Q68" s="1910">
        <f>VALUE(TEXT(K5,"YYYY"))</f>
        <v>2024</v>
      </c>
      <c r="R68" s="1910">
        <f>Q68+1</f>
        <v>2025</v>
      </c>
      <c r="S68" s="1910">
        <f>Q68+2</f>
        <v>2026</v>
      </c>
      <c r="U68" s="1821"/>
    </row>
    <row r="69" spans="1:24" ht="7.5" customHeight="1">
      <c r="J69" s="1909"/>
      <c r="K69" s="1908"/>
      <c r="L69" s="1908"/>
      <c r="M69" s="1908"/>
      <c r="N69" s="1907"/>
      <c r="O69" s="1907"/>
      <c r="P69" s="1907"/>
      <c r="Q69" s="1907"/>
      <c r="R69" s="1907"/>
      <c r="S69" s="1907"/>
      <c r="T69" s="1907"/>
      <c r="U69" s="1906"/>
    </row>
    <row r="70" spans="1:24" ht="22.5" customHeight="1">
      <c r="K70" s="341"/>
      <c r="L70" s="341"/>
      <c r="M70" s="341"/>
    </row>
    <row r="71" spans="1:24" ht="22.5" customHeight="1">
      <c r="C71" s="1815"/>
      <c r="D71" s="1815"/>
      <c r="E71" s="1815"/>
      <c r="F71" s="1815"/>
      <c r="G71" s="1815"/>
      <c r="H71" s="1815"/>
      <c r="J71" s="1885" t="s">
        <v>1351</v>
      </c>
      <c r="K71" s="1885"/>
      <c r="L71" s="1885"/>
      <c r="M71" s="1831"/>
      <c r="W71" s="32"/>
    </row>
    <row r="72" spans="1:24" ht="7.5" customHeight="1">
      <c r="A72" s="1815" t="s">
        <v>58</v>
      </c>
      <c r="J72" s="1905"/>
      <c r="K72" s="1904"/>
      <c r="L72" s="1904"/>
      <c r="M72" s="1904"/>
      <c r="N72" s="1827"/>
      <c r="O72" s="1827"/>
      <c r="P72" s="1827"/>
      <c r="Q72" s="1827"/>
      <c r="R72" s="1827"/>
      <c r="S72" s="1827"/>
      <c r="T72" s="1827"/>
      <c r="U72" s="1903"/>
    </row>
    <row r="73" spans="1:24" ht="39" customHeight="1">
      <c r="B73" s="1902" t="s">
        <v>1931</v>
      </c>
      <c r="C73" s="1901"/>
      <c r="D73" s="1872"/>
      <c r="E73" s="1872"/>
      <c r="F73" s="1872"/>
      <c r="G73" s="1872"/>
      <c r="H73" s="1872"/>
      <c r="J73" s="1835"/>
      <c r="K73" s="406" t="s">
        <v>1527</v>
      </c>
      <c r="L73" s="405" t="s">
        <v>361</v>
      </c>
      <c r="M73" s="405" t="s">
        <v>1923</v>
      </c>
      <c r="N73" s="405" t="s">
        <v>1939</v>
      </c>
      <c r="O73" s="405" t="s">
        <v>1903</v>
      </c>
      <c r="P73" s="405"/>
      <c r="Q73" s="405" t="s">
        <v>1938</v>
      </c>
      <c r="R73" s="405" t="s">
        <v>1937</v>
      </c>
      <c r="S73" s="405" t="s">
        <v>1921</v>
      </c>
      <c r="T73" s="404" t="s">
        <v>1920</v>
      </c>
      <c r="U73" s="1894"/>
      <c r="W73" s="1432"/>
      <c r="X73" s="1432"/>
    </row>
    <row r="74" spans="1:24" ht="9" customHeight="1">
      <c r="J74" s="1835"/>
      <c r="L74" s="341"/>
      <c r="M74" s="341"/>
      <c r="N74" s="341"/>
      <c r="O74" s="341"/>
      <c r="P74" s="341"/>
      <c r="Q74" s="341"/>
      <c r="U74" s="1894"/>
      <c r="W74" s="1432"/>
      <c r="X74" s="1432"/>
    </row>
    <row r="75" spans="1:24" ht="17.25" hidden="1" customHeight="1">
      <c r="B75" s="1815" t="b">
        <v>1</v>
      </c>
      <c r="J75" s="1835"/>
      <c r="L75" s="341"/>
      <c r="M75" s="341"/>
      <c r="N75" s="341"/>
      <c r="O75" s="1899">
        <f>Total_Int</f>
        <v>0</v>
      </c>
      <c r="P75" s="1899"/>
      <c r="Q75" s="1900"/>
      <c r="R75" s="1860"/>
      <c r="S75" s="1899">
        <f>Loan_Amt</f>
        <v>0</v>
      </c>
      <c r="T75" s="1899">
        <f>ROUND(T126,2)</f>
        <v>0</v>
      </c>
      <c r="U75" s="1894"/>
      <c r="W75" s="1893"/>
      <c r="X75" s="1892"/>
    </row>
    <row r="76" spans="1:24" ht="17.25" hidden="1" customHeight="1">
      <c r="B76" s="1815" t="b">
        <f>N76&lt;=0</f>
        <v>1</v>
      </c>
      <c r="J76" s="1835"/>
      <c r="K76" s="1897">
        <f>IF(B76=FALSE,1,0)</f>
        <v>0</v>
      </c>
      <c r="L76" s="1897" t="str" cm="1">
        <f t="array" ref="L76">_xlfn.IFS(
    OR(Start_Date &lt;= 0, Start_Date=""), "",
    MONTH(Start_Date) &lt;= 6, YEAR(Start_Date),
    TRUE, YEAR(Start_Date) + 1
)</f>
        <v/>
      </c>
      <c r="M76" s="1850">
        <f>SUMIF($C$127:$C$1686,$L76,$Q$127:$Q$1686)</f>
        <v>0</v>
      </c>
      <c r="N76" s="1850">
        <f>SUMIF($C$127:$C$1686,$L76,$N$127:$N$1686)-M76</f>
        <v>0</v>
      </c>
      <c r="O76" s="1895">
        <f>SUMIF($C$127:$C$1686,$L76,$O$127:$O$1686)</f>
        <v>0</v>
      </c>
      <c r="P76" s="1898"/>
      <c r="Q76" s="1895">
        <f>ROUND(O75-O76,2)</f>
        <v>0</v>
      </c>
      <c r="R76" s="1895">
        <f>ROUND(SUMIF($C$127:$C$1686,$L76,$R$127:$R$1686),2)</f>
        <v>0</v>
      </c>
      <c r="S76" s="1895">
        <f>ROUND(IF($S75-$R76&lt;=0,0,$S75-$R76),2)</f>
        <v>0</v>
      </c>
      <c r="T76" s="1895">
        <f>ROUND(IF(($T75-$N76)&gt;0,($T75-$N76),0),2)</f>
        <v>0</v>
      </c>
      <c r="U76" s="1894"/>
      <c r="W76" s="1893"/>
      <c r="X76" s="1892"/>
    </row>
    <row r="77" spans="1:24" ht="17.25" hidden="1" customHeight="1">
      <c r="B77" s="1815" t="b">
        <f>N77&lt;=0</f>
        <v>1</v>
      </c>
      <c r="J77" s="1835"/>
      <c r="K77" s="1897" t="str">
        <f>IF(B77=FALSE,K76+1,"")</f>
        <v/>
      </c>
      <c r="L77" s="1897" t="str">
        <f>IF(L76="","",L76+1)</f>
        <v/>
      </c>
      <c r="M77" s="1850">
        <f>IFERROR(SUMIF($C$127:$C$1686,$L77,$Q$127:$Q$1686),0)</f>
        <v>0</v>
      </c>
      <c r="N77" s="1850">
        <f>SUMIF($C$127:$C$1686,$L77,$N$127:$N$1686)-M77</f>
        <v>0</v>
      </c>
      <c r="O77" s="1895">
        <f>SUMIF($C$127:$C$1686,$L77,$O$127:$O$1686)</f>
        <v>0</v>
      </c>
      <c r="P77" s="1896"/>
      <c r="Q77" s="1895">
        <f>ROUND(Q76-O77,2)</f>
        <v>0</v>
      </c>
      <c r="R77" s="1895">
        <f>ROUND(SUMIF($C$127:$C$1686,$L77,$R$127:$R$1686),2)</f>
        <v>0</v>
      </c>
      <c r="S77" s="1850">
        <f>ROUND(IF($S76-$R77&lt;=0,0,$S76-$R77),2)</f>
        <v>0</v>
      </c>
      <c r="T77" s="1895">
        <f>ROUND(IF(($T76-$N77)&gt;0,($T76-$N77),0),2)</f>
        <v>0</v>
      </c>
      <c r="U77" s="1894"/>
      <c r="W77" s="1893"/>
      <c r="X77" s="1892"/>
    </row>
    <row r="78" spans="1:24" ht="17.25" hidden="1" customHeight="1">
      <c r="B78" s="1815" t="b">
        <f>N78&lt;=0</f>
        <v>1</v>
      </c>
      <c r="J78" s="1835"/>
      <c r="K78" s="1897" t="str">
        <f>IF(B78=FALSE,K77+1,"")</f>
        <v/>
      </c>
      <c r="L78" s="1897" t="str">
        <f>IF(L77="","",L77+1)</f>
        <v/>
      </c>
      <c r="M78" s="1850">
        <f>IFERROR(SUMIF($C$127:$C$1686,$L78,$Q$127:$Q$1686),0)</f>
        <v>0</v>
      </c>
      <c r="N78" s="1850">
        <f>SUMIF($C$127:$C$1686,$L78,$N$127:$N$1686)-M78</f>
        <v>0</v>
      </c>
      <c r="O78" s="1895">
        <f>SUMIF($C$127:$C$1686,$L78,$O$127:$O$1686)</f>
        <v>0</v>
      </c>
      <c r="P78" s="1896"/>
      <c r="Q78" s="1895">
        <f>ROUND(Q77-O78,2)</f>
        <v>0</v>
      </c>
      <c r="R78" s="1895">
        <f>ROUND(SUMIF($C$127:$C$1686,$L78,$R$127:$R$1686),2)</f>
        <v>0</v>
      </c>
      <c r="S78" s="1850">
        <f>ROUND(IF($S77-$R78&lt;=0,0,$S77-$R78),2)</f>
        <v>0</v>
      </c>
      <c r="T78" s="1895">
        <f>ROUND(IF(($T77-$N78)&gt;0,($T77-$N78),0),2)</f>
        <v>0</v>
      </c>
      <c r="U78" s="1894"/>
      <c r="W78" s="1893"/>
      <c r="X78" s="1892"/>
    </row>
    <row r="79" spans="1:24" ht="17.25" hidden="1" customHeight="1">
      <c r="B79" s="1815" t="b">
        <f>N79&lt;=0</f>
        <v>1</v>
      </c>
      <c r="J79" s="1835"/>
      <c r="K79" s="1897" t="str">
        <f>IF(B79=FALSE,K78+1,"")</f>
        <v/>
      </c>
      <c r="L79" s="1897" t="str">
        <f>IF(L78="","",L78+1)</f>
        <v/>
      </c>
      <c r="M79" s="1850">
        <f>IFERROR(SUMIF($C$127:$C$1686,$L79,$Q$127:$Q$1686),0)</f>
        <v>0</v>
      </c>
      <c r="N79" s="1850">
        <f>SUMIF($C$127:$C$1686,$L79,$N$127:$N$1686)-M79</f>
        <v>0</v>
      </c>
      <c r="O79" s="1895">
        <f>SUMIF($C$127:$C$1686,$L79,$O$127:$O$1686)</f>
        <v>0</v>
      </c>
      <c r="P79" s="1896"/>
      <c r="Q79" s="1895">
        <f>ROUND(Q78-O79,2)</f>
        <v>0</v>
      </c>
      <c r="R79" s="1895">
        <f>ROUND(SUMIF($C$127:$C$1686,$L79,$R$127:$R$1686),2)</f>
        <v>0</v>
      </c>
      <c r="S79" s="1850">
        <f>ROUND(IF($S78-$R79&lt;=0,0,$S78-$R79),2)</f>
        <v>0</v>
      </c>
      <c r="T79" s="1895">
        <f>ROUND(IF(($T78-$N79)&gt;0,($T78-$N79),0),2)</f>
        <v>0</v>
      </c>
      <c r="U79" s="1894"/>
      <c r="W79" s="1893"/>
      <c r="X79" s="1892"/>
    </row>
    <row r="80" spans="1:24" ht="17.25" hidden="1" customHeight="1">
      <c r="B80" s="1815" t="b">
        <f>N80&lt;=0</f>
        <v>1</v>
      </c>
      <c r="J80" s="1835"/>
      <c r="K80" s="1897" t="str">
        <f>IF(B80=FALSE,K79+1,"")</f>
        <v/>
      </c>
      <c r="L80" s="1897" t="str">
        <f>IF(L79="","",L79+1)</f>
        <v/>
      </c>
      <c r="M80" s="1850">
        <f>IFERROR(SUMIF($C$127:$C$1686,$L80,$Q$127:$Q$1686),0)</f>
        <v>0</v>
      </c>
      <c r="N80" s="1850">
        <f>SUMIF($C$127:$C$1686,$L80,$N$127:$N$1686)-M80</f>
        <v>0</v>
      </c>
      <c r="O80" s="1895">
        <f>SUMIF($C$127:$C$1686,$L80,$O$127:$O$1686)</f>
        <v>0</v>
      </c>
      <c r="P80" s="1896"/>
      <c r="Q80" s="1895">
        <f>ROUND(Q79-O80,2)</f>
        <v>0</v>
      </c>
      <c r="R80" s="1895">
        <f>ROUND(SUMIF($C$127:$C$1686,$L80,$R$127:$R$1686),2)</f>
        <v>0</v>
      </c>
      <c r="S80" s="1850">
        <f>ROUND(IF($S79-$R80&lt;=0,0,$S79-$R80),2)</f>
        <v>0</v>
      </c>
      <c r="T80" s="1895">
        <f>ROUND(IF(($T79-$N80)&gt;0,($T79-$N80),0),2)</f>
        <v>0</v>
      </c>
      <c r="U80" s="1894"/>
      <c r="W80" s="1893"/>
      <c r="X80" s="1892"/>
    </row>
    <row r="81" spans="2:24" ht="17.25" hidden="1" customHeight="1">
      <c r="B81" s="1815" t="b">
        <f>N81&lt;=0</f>
        <v>1</v>
      </c>
      <c r="J81" s="1835"/>
      <c r="K81" s="1897" t="str">
        <f>IF(B81=FALSE,K80+1,"")</f>
        <v/>
      </c>
      <c r="L81" s="1897" t="str">
        <f>IF(L80="","",L80+1)</f>
        <v/>
      </c>
      <c r="M81" s="1850">
        <f>IFERROR(SUMIF($C$127:$C$1686,$L81,$Q$127:$Q$1686),0)</f>
        <v>0</v>
      </c>
      <c r="N81" s="1850">
        <f>SUMIF($C$127:$C$1686,$L81,$N$127:$N$1686)-M81</f>
        <v>0</v>
      </c>
      <c r="O81" s="1895">
        <f>SUMIF($C$127:$C$1686,$L81,$O$127:$O$1686)</f>
        <v>0</v>
      </c>
      <c r="P81" s="1896"/>
      <c r="Q81" s="1895">
        <f>ROUND(Q80-O81,2)</f>
        <v>0</v>
      </c>
      <c r="R81" s="1895">
        <f>ROUND(SUMIF($C$127:$C$1686,$L81,$R$127:$R$1686),2)</f>
        <v>0</v>
      </c>
      <c r="S81" s="1850">
        <f>ROUND(IF($S80-$R81&lt;=0,0,$S80-$R81),2)</f>
        <v>0</v>
      </c>
      <c r="T81" s="1895">
        <f>ROUND(IF(($T80-$N81)&gt;0,($T80-$N81),0),2)</f>
        <v>0</v>
      </c>
      <c r="U81" s="1894"/>
      <c r="W81" s="1893"/>
      <c r="X81" s="1892"/>
    </row>
    <row r="82" spans="2:24" ht="17.25" hidden="1" customHeight="1">
      <c r="B82" s="1815" t="b">
        <f>N82&lt;=0</f>
        <v>1</v>
      </c>
      <c r="J82" s="1835"/>
      <c r="K82" s="1897" t="str">
        <f>IF(B82=FALSE,K81+1,"")</f>
        <v/>
      </c>
      <c r="L82" s="1897" t="str">
        <f>IF(L81="","",L81+1)</f>
        <v/>
      </c>
      <c r="M82" s="1850">
        <f>IFERROR(SUMIF($C$127:$C$1686,$L82,$Q$127:$Q$1686),0)</f>
        <v>0</v>
      </c>
      <c r="N82" s="1850">
        <f>SUMIF($C$127:$C$1686,$L82,$N$127:$N$1686)-M82</f>
        <v>0</v>
      </c>
      <c r="O82" s="1895">
        <f>SUMIF($C$127:$C$1686,$L82,$O$127:$O$1686)</f>
        <v>0</v>
      </c>
      <c r="P82" s="1896"/>
      <c r="Q82" s="1895">
        <f>ROUND(Q81-O82,2)</f>
        <v>0</v>
      </c>
      <c r="R82" s="1895">
        <f>ROUND(SUMIF($C$127:$C$1686,$L82,$R$127:$R$1686),2)</f>
        <v>0</v>
      </c>
      <c r="S82" s="1850">
        <f>ROUND(IF($S81-$R82&lt;=0,0,$S81-$R82),2)</f>
        <v>0</v>
      </c>
      <c r="T82" s="1895">
        <f>ROUND(IF(($T81-$N82)&gt;0,($T81-$N82),0),2)</f>
        <v>0</v>
      </c>
      <c r="U82" s="1894"/>
      <c r="W82" s="1893"/>
      <c r="X82" s="1892"/>
    </row>
    <row r="83" spans="2:24" ht="17.25" hidden="1" customHeight="1">
      <c r="B83" s="1815" t="b">
        <f>N83&lt;=0</f>
        <v>1</v>
      </c>
      <c r="J83" s="1835"/>
      <c r="K83" s="1897" t="str">
        <f>IF(B83=FALSE,K82+1,"")</f>
        <v/>
      </c>
      <c r="L83" s="1897" t="str">
        <f>IF(L82="","",L82+1)</f>
        <v/>
      </c>
      <c r="M83" s="1850">
        <f>IFERROR(SUMIF($C$127:$C$1686,$L83,$Q$127:$Q$1686),0)</f>
        <v>0</v>
      </c>
      <c r="N83" s="1850">
        <f>SUMIF($C$127:$C$1686,$L83,$N$127:$N$1686)-M83</f>
        <v>0</v>
      </c>
      <c r="O83" s="1895">
        <f>SUMIF($C$127:$C$1686,$L83,$O$127:$O$1686)</f>
        <v>0</v>
      </c>
      <c r="P83" s="1896"/>
      <c r="Q83" s="1895">
        <f>ROUND(Q82-O83,2)</f>
        <v>0</v>
      </c>
      <c r="R83" s="1895">
        <f>ROUND(SUMIF($C$127:$C$1686,$L83,$R$127:$R$1686),2)</f>
        <v>0</v>
      </c>
      <c r="S83" s="1850">
        <f>ROUND(IF($S82-$R83&lt;=0,0,$S82-$R83),2)</f>
        <v>0</v>
      </c>
      <c r="T83" s="1895">
        <f>ROUND(IF(($T82-$N83)&gt;0,($T82-$N83),0),2)</f>
        <v>0</v>
      </c>
      <c r="U83" s="1894"/>
      <c r="W83" s="1893"/>
      <c r="X83" s="1892"/>
    </row>
    <row r="84" spans="2:24" ht="17.25" hidden="1" customHeight="1">
      <c r="B84" s="1815" t="b">
        <f>N84&lt;=0</f>
        <v>1</v>
      </c>
      <c r="J84" s="1835"/>
      <c r="K84" s="1897" t="str">
        <f>IF(B84=FALSE,K83+1,"")</f>
        <v/>
      </c>
      <c r="L84" s="1897" t="str">
        <f>IF(L83="","",L83+1)</f>
        <v/>
      </c>
      <c r="M84" s="1850">
        <f>IFERROR(SUMIF($C$127:$C$1686,$L84,$Q$127:$Q$1686),0)</f>
        <v>0</v>
      </c>
      <c r="N84" s="1850">
        <f>SUMIF($C$127:$C$1686,$L84,$N$127:$N$1686)-M84</f>
        <v>0</v>
      </c>
      <c r="O84" s="1895">
        <f>SUMIF($C$127:$C$1686,$L84,$O$127:$O$1686)</f>
        <v>0</v>
      </c>
      <c r="P84" s="1896"/>
      <c r="Q84" s="1895">
        <f>ROUND(Q83-O84,2)</f>
        <v>0</v>
      </c>
      <c r="R84" s="1895">
        <f>ROUND(SUMIF($C$127:$C$1686,$L84,$R$127:$R$1686),2)</f>
        <v>0</v>
      </c>
      <c r="S84" s="1850">
        <f>ROUND(IF($S83-$R84&lt;=0,0,$S83-$R84),2)</f>
        <v>0</v>
      </c>
      <c r="T84" s="1895">
        <f>ROUND(IF(($T83-$N84)&gt;0,($T83-$N84),0),2)</f>
        <v>0</v>
      </c>
      <c r="U84" s="1894"/>
      <c r="W84" s="1893"/>
      <c r="X84" s="1892"/>
    </row>
    <row r="85" spans="2:24" ht="17.25" hidden="1" customHeight="1">
      <c r="B85" s="1815" t="b">
        <f>N85&lt;=0</f>
        <v>1</v>
      </c>
      <c r="J85" s="1835"/>
      <c r="K85" s="1897" t="str">
        <f>IF(B85=FALSE,K84+1,"")</f>
        <v/>
      </c>
      <c r="L85" s="1897" t="str">
        <f>IF(L84="","",L84+1)</f>
        <v/>
      </c>
      <c r="M85" s="1850">
        <f>IFERROR(SUMIF($C$127:$C$1686,$L85,$Q$127:$Q$1686),0)</f>
        <v>0</v>
      </c>
      <c r="N85" s="1850">
        <f>SUMIF($C$127:$C$1686,$L85,$N$127:$N$1686)-M85</f>
        <v>0</v>
      </c>
      <c r="O85" s="1895">
        <f>SUMIF($C$127:$C$1686,$L85,$O$127:$O$1686)</f>
        <v>0</v>
      </c>
      <c r="P85" s="1896"/>
      <c r="Q85" s="1895">
        <f>ROUND(Q84-O85,2)</f>
        <v>0</v>
      </c>
      <c r="R85" s="1895">
        <f>ROUND(SUMIF($C$127:$C$1686,$L85,$R$127:$R$1686),2)</f>
        <v>0</v>
      </c>
      <c r="S85" s="1850">
        <f>ROUND(IF($S84-$R85&lt;=0,0,$S84-$R85),2)</f>
        <v>0</v>
      </c>
      <c r="T85" s="1895">
        <f>ROUND(IF(($T84-$N85)&gt;0,($T84-$N85),0),2)</f>
        <v>0</v>
      </c>
      <c r="U85" s="1894"/>
      <c r="W85" s="1893"/>
      <c r="X85" s="1892"/>
    </row>
    <row r="86" spans="2:24" ht="17.25" hidden="1" customHeight="1">
      <c r="B86" s="1815" t="b">
        <f>N86&lt;=0</f>
        <v>1</v>
      </c>
      <c r="J86" s="1835"/>
      <c r="K86" s="1897" t="str">
        <f>IF(B86=FALSE,K85+1,"")</f>
        <v/>
      </c>
      <c r="L86" s="1897" t="str">
        <f>IF(L85="","",L85+1)</f>
        <v/>
      </c>
      <c r="M86" s="1850">
        <f>IFERROR(SUMIF($C$127:$C$1686,$L86,$Q$127:$Q$1686),0)</f>
        <v>0</v>
      </c>
      <c r="N86" s="1850">
        <f>SUMIF($C$127:$C$1686,$L86,$N$127:$N$1686)-M86</f>
        <v>0</v>
      </c>
      <c r="O86" s="1895">
        <f>SUMIF($C$127:$C$1686,$L86,$O$127:$O$1686)</f>
        <v>0</v>
      </c>
      <c r="P86" s="1896"/>
      <c r="Q86" s="1895">
        <f>ROUND(Q85-O86,2)</f>
        <v>0</v>
      </c>
      <c r="R86" s="1895">
        <f>ROUND(SUMIF($C$127:$C$1686,$L86,$R$127:$R$1686),2)</f>
        <v>0</v>
      </c>
      <c r="S86" s="1850">
        <f>ROUND(IF($S85-$R86&lt;=0,0,$S85-$R86),2)</f>
        <v>0</v>
      </c>
      <c r="T86" s="1895">
        <f>ROUND(IF(($T85-$N86)&gt;0,($T85-$N86),0),2)</f>
        <v>0</v>
      </c>
      <c r="U86" s="1894"/>
      <c r="W86" s="1893"/>
      <c r="X86" s="1892"/>
    </row>
    <row r="87" spans="2:24" ht="17.25" hidden="1" customHeight="1">
      <c r="B87" s="1815" t="b">
        <f>N87&lt;=0</f>
        <v>1</v>
      </c>
      <c r="J87" s="1835"/>
      <c r="K87" s="1897" t="str">
        <f>IF(B87=FALSE,K86+1,"")</f>
        <v/>
      </c>
      <c r="L87" s="1897" t="str">
        <f>IF(L86="","",L86+1)</f>
        <v/>
      </c>
      <c r="M87" s="1850">
        <f>IFERROR(SUMIF($C$127:$C$1686,$L87,$Q$127:$Q$1686),0)</f>
        <v>0</v>
      </c>
      <c r="N87" s="1850">
        <f>SUMIF($C$127:$C$1686,$L87,$N$127:$N$1686)-M87</f>
        <v>0</v>
      </c>
      <c r="O87" s="1895">
        <f>SUMIF($C$127:$C$1686,$L87,$O$127:$O$1686)</f>
        <v>0</v>
      </c>
      <c r="P87" s="1896"/>
      <c r="Q87" s="1895">
        <f>ROUND(Q86-O87,2)</f>
        <v>0</v>
      </c>
      <c r="R87" s="1895">
        <f>ROUND(SUMIF($C$127:$C$1686,$L87,$R$127:$R$1686),2)</f>
        <v>0</v>
      </c>
      <c r="S87" s="1850">
        <f>ROUND(IF($S86-$R87&lt;=0,0,$S86-$R87),2)</f>
        <v>0</v>
      </c>
      <c r="T87" s="1895">
        <f>ROUND(IF(($T86-$N87)&gt;0,($T86-$N87),0),2)</f>
        <v>0</v>
      </c>
      <c r="U87" s="1894"/>
      <c r="W87" s="1893"/>
      <c r="X87" s="1892"/>
    </row>
    <row r="88" spans="2:24" ht="17.25" hidden="1" customHeight="1">
      <c r="B88" s="1815" t="b">
        <f>N88&lt;=0</f>
        <v>1</v>
      </c>
      <c r="J88" s="1835"/>
      <c r="K88" s="1897" t="str">
        <f>IF(B88=FALSE,K87+1,"")</f>
        <v/>
      </c>
      <c r="L88" s="1897" t="str">
        <f>IF(L87="","",L87+1)</f>
        <v/>
      </c>
      <c r="M88" s="1850">
        <f>IFERROR(SUMIF($C$127:$C$1686,$L88,$Q$127:$Q$1686),0)</f>
        <v>0</v>
      </c>
      <c r="N88" s="1850">
        <f>SUMIF($C$127:$C$1686,$L88,$N$127:$N$1686)-M88</f>
        <v>0</v>
      </c>
      <c r="O88" s="1895">
        <f>SUMIF($C$127:$C$1686,$L88,$O$127:$O$1686)</f>
        <v>0</v>
      </c>
      <c r="P88" s="1896"/>
      <c r="Q88" s="1895">
        <f>ROUND(Q87-O88,2)</f>
        <v>0</v>
      </c>
      <c r="R88" s="1895">
        <f>ROUND(SUMIF($C$127:$C$1686,$L88,$R$127:$R$1686),2)</f>
        <v>0</v>
      </c>
      <c r="S88" s="1850">
        <f>ROUND(IF($S87-$R88&lt;=0,0,$S87-$R88),2)</f>
        <v>0</v>
      </c>
      <c r="T88" s="1895">
        <f>ROUND(IF(($T87-$N88)&gt;0,($T87-$N88),0),2)</f>
        <v>0</v>
      </c>
      <c r="U88" s="1894"/>
      <c r="W88" s="1893"/>
      <c r="X88" s="1892"/>
    </row>
    <row r="89" spans="2:24" ht="17.25" hidden="1" customHeight="1">
      <c r="B89" s="1815" t="b">
        <f>N89&lt;=0</f>
        <v>1</v>
      </c>
      <c r="J89" s="1835"/>
      <c r="K89" s="1897" t="str">
        <f>IF(B89=FALSE,K88+1,"")</f>
        <v/>
      </c>
      <c r="L89" s="1897" t="str">
        <f>IF(L88="","",L88+1)</f>
        <v/>
      </c>
      <c r="M89" s="1850">
        <f>IFERROR(SUMIF($C$127:$C$1686,$L89,$Q$127:$Q$1686),0)</f>
        <v>0</v>
      </c>
      <c r="N89" s="1850">
        <f>SUMIF($C$127:$C$1686,$L89,$N$127:$N$1686)-M89</f>
        <v>0</v>
      </c>
      <c r="O89" s="1895">
        <f>SUMIF($C$127:$C$1686,$L89,$O$127:$O$1686)</f>
        <v>0</v>
      </c>
      <c r="P89" s="1896"/>
      <c r="Q89" s="1895">
        <f>ROUND(Q88-O89,2)</f>
        <v>0</v>
      </c>
      <c r="R89" s="1895">
        <f>ROUND(SUMIF($C$127:$C$1686,$L89,$R$127:$R$1686),2)</f>
        <v>0</v>
      </c>
      <c r="S89" s="1850">
        <f>ROUND(IF($S88-$R89&lt;=0,0,$S88-$R89),2)</f>
        <v>0</v>
      </c>
      <c r="T89" s="1895">
        <f>ROUND(IF(($T88-$N89)&gt;0,($T88-$N89),0),2)</f>
        <v>0</v>
      </c>
      <c r="U89" s="1894"/>
      <c r="W89" s="1893"/>
      <c r="X89" s="1892"/>
    </row>
    <row r="90" spans="2:24" ht="17.25" hidden="1" customHeight="1">
      <c r="B90" s="1815" t="b">
        <f>N90&lt;=0</f>
        <v>1</v>
      </c>
      <c r="J90" s="1835"/>
      <c r="K90" s="1897" t="str">
        <f>IF(B90=FALSE,K89+1,"")</f>
        <v/>
      </c>
      <c r="L90" s="1897" t="str">
        <f>IF(L89="","",L89+1)</f>
        <v/>
      </c>
      <c r="M90" s="1850">
        <f>IFERROR(SUMIF($C$127:$C$1686,$L90,$Q$127:$Q$1686),0)</f>
        <v>0</v>
      </c>
      <c r="N90" s="1850">
        <f>SUMIF($C$127:$C$1686,$L90,$N$127:$N$1686)-M90</f>
        <v>0</v>
      </c>
      <c r="O90" s="1895">
        <f>SUMIF($C$127:$C$1686,$L90,$O$127:$O$1686)</f>
        <v>0</v>
      </c>
      <c r="P90" s="1896"/>
      <c r="Q90" s="1895">
        <f>ROUND(Q89-O90,2)</f>
        <v>0</v>
      </c>
      <c r="R90" s="1895">
        <f>ROUND(SUMIF($C$127:$C$1686,$L90,$R$127:$R$1686),2)</f>
        <v>0</v>
      </c>
      <c r="S90" s="1850">
        <f>ROUND(IF($S89-$R90&lt;=0,0,$S89-$R90),2)</f>
        <v>0</v>
      </c>
      <c r="T90" s="1895">
        <f>ROUND(IF(($T89-$N90)&gt;0,($T89-$N90),0),2)</f>
        <v>0</v>
      </c>
      <c r="U90" s="1894"/>
      <c r="W90" s="1893"/>
      <c r="X90" s="1892"/>
    </row>
    <row r="91" spans="2:24" ht="17.25" hidden="1" customHeight="1">
      <c r="B91" s="1815" t="b">
        <f>N91&lt;=0</f>
        <v>1</v>
      </c>
      <c r="J91" s="1835"/>
      <c r="K91" s="1897" t="str">
        <f>IF(B91=FALSE,K90+1,"")</f>
        <v/>
      </c>
      <c r="L91" s="1897" t="str">
        <f>IF(L90="","",L90+1)</f>
        <v/>
      </c>
      <c r="M91" s="1850">
        <f>IFERROR(SUMIF($C$127:$C$1686,$L91,$Q$127:$Q$1686),0)</f>
        <v>0</v>
      </c>
      <c r="N91" s="1850">
        <f>SUMIF($C$127:$C$1686,$L91,$N$127:$N$1686)-M91</f>
        <v>0</v>
      </c>
      <c r="O91" s="1895">
        <f>SUMIF($C$127:$C$1686,$L91,$O$127:$O$1686)</f>
        <v>0</v>
      </c>
      <c r="P91" s="1896"/>
      <c r="Q91" s="1895">
        <f>ROUND(Q90-O91,2)</f>
        <v>0</v>
      </c>
      <c r="R91" s="1895">
        <f>ROUND(SUMIF($C$127:$C$1686,$L91,$R$127:$R$1686),2)</f>
        <v>0</v>
      </c>
      <c r="S91" s="1850">
        <f>ROUND(IF($S90-$R91&lt;=0,0,$S90-$R91),2)</f>
        <v>0</v>
      </c>
      <c r="T91" s="1895">
        <f>ROUND(IF(($T90-$N91)&gt;0,($T90-$N91),0),2)</f>
        <v>0</v>
      </c>
      <c r="U91" s="1894"/>
      <c r="W91" s="1893"/>
      <c r="X91" s="1892"/>
    </row>
    <row r="92" spans="2:24" ht="17.25" hidden="1" customHeight="1">
      <c r="B92" s="1815" t="b">
        <f>N92&lt;=0</f>
        <v>1</v>
      </c>
      <c r="J92" s="1835"/>
      <c r="K92" s="1897" t="str">
        <f>IF(B92=FALSE,K91+1,"")</f>
        <v/>
      </c>
      <c r="L92" s="1897" t="str">
        <f>IF(L91="","",L91+1)</f>
        <v/>
      </c>
      <c r="M92" s="1850">
        <f>IFERROR(SUMIF($C$127:$C$1686,$L92,$Q$127:$Q$1686),0)</f>
        <v>0</v>
      </c>
      <c r="N92" s="1850">
        <f>SUMIF($C$127:$C$1686,$L92,$N$127:$N$1686)-M92</f>
        <v>0</v>
      </c>
      <c r="O92" s="1895">
        <f>SUMIF($C$127:$C$1686,$L92,$O$127:$O$1686)</f>
        <v>0</v>
      </c>
      <c r="P92" s="1896"/>
      <c r="Q92" s="1895">
        <f>ROUND(Q91-O92,2)</f>
        <v>0</v>
      </c>
      <c r="R92" s="1895">
        <f>ROUND(SUMIF($C$127:$C$1686,$L92,$R$127:$R$1686),2)</f>
        <v>0</v>
      </c>
      <c r="S92" s="1850">
        <f>ROUND(IF($S91-$R92&lt;=0,0,$S91-$R92),2)</f>
        <v>0</v>
      </c>
      <c r="T92" s="1895">
        <f>ROUND(IF(($T91-$N92)&gt;0,($T91-$N92),0),2)</f>
        <v>0</v>
      </c>
      <c r="U92" s="1894"/>
      <c r="W92" s="1893"/>
      <c r="X92" s="1892"/>
    </row>
    <row r="93" spans="2:24" ht="17.25" hidden="1" customHeight="1">
      <c r="B93" s="1815" t="b">
        <f>N93&lt;=0</f>
        <v>1</v>
      </c>
      <c r="J93" s="1835"/>
      <c r="K93" s="1897" t="str">
        <f>IF(B93=FALSE,K92+1,"")</f>
        <v/>
      </c>
      <c r="L93" s="1897" t="str">
        <f>IF(L92="","",L92+1)</f>
        <v/>
      </c>
      <c r="M93" s="1850">
        <f>IFERROR(SUMIF($C$127:$C$1686,$L93,$Q$127:$Q$1686),0)</f>
        <v>0</v>
      </c>
      <c r="N93" s="1850">
        <f>SUMIF($C$127:$C$1686,$L93,$N$127:$N$1686)-M93</f>
        <v>0</v>
      </c>
      <c r="O93" s="1895">
        <f>SUMIF($C$127:$C$1686,$L93,$O$127:$O$1686)</f>
        <v>0</v>
      </c>
      <c r="P93" s="1896"/>
      <c r="Q93" s="1895">
        <f>ROUND(Q92-O93,2)</f>
        <v>0</v>
      </c>
      <c r="R93" s="1895">
        <f>ROUND(SUMIF($C$127:$C$1686,$L93,$R$127:$R$1686),2)</f>
        <v>0</v>
      </c>
      <c r="S93" s="1850">
        <f>ROUND(IF($S92-$R93&lt;=0,0,$S92-$R93),2)</f>
        <v>0</v>
      </c>
      <c r="T93" s="1895">
        <f>ROUND(IF(($T92-$N93)&gt;0,($T92-$N93),0),2)</f>
        <v>0</v>
      </c>
      <c r="U93" s="1894"/>
      <c r="W93" s="1893"/>
      <c r="X93" s="1892"/>
    </row>
    <row r="94" spans="2:24" ht="17.25" hidden="1" customHeight="1">
      <c r="B94" s="1815" t="b">
        <f>N94&lt;=0</f>
        <v>1</v>
      </c>
      <c r="J94" s="1835"/>
      <c r="K94" s="1897" t="str">
        <f>IF(B94=FALSE,K93+1,"")</f>
        <v/>
      </c>
      <c r="L94" s="1897" t="str">
        <f>IF(L93="","",L93+1)</f>
        <v/>
      </c>
      <c r="M94" s="1850">
        <f>IFERROR(SUMIF($C$127:$C$1686,$L94,$Q$127:$Q$1686),0)</f>
        <v>0</v>
      </c>
      <c r="N94" s="1850">
        <f>SUMIF($C$127:$C$1686,$L94,$N$127:$N$1686)-M94</f>
        <v>0</v>
      </c>
      <c r="O94" s="1895">
        <f>SUMIF($C$127:$C$1686,$L94,$O$127:$O$1686)</f>
        <v>0</v>
      </c>
      <c r="P94" s="1896"/>
      <c r="Q94" s="1895">
        <f>ROUND(Q93-O94,2)</f>
        <v>0</v>
      </c>
      <c r="R94" s="1895">
        <f>ROUND(SUMIF($C$127:$C$1686,$L94,$R$127:$R$1686),2)</f>
        <v>0</v>
      </c>
      <c r="S94" s="1850">
        <f>ROUND(IF($S93-$R94&lt;=0,0,$S93-$R94),2)</f>
        <v>0</v>
      </c>
      <c r="T94" s="1895">
        <f>ROUND(IF(($T93-$N94)&gt;0,($T93-$N94),0),2)</f>
        <v>0</v>
      </c>
      <c r="U94" s="1894"/>
      <c r="W94" s="1893"/>
      <c r="X94" s="1892"/>
    </row>
    <row r="95" spans="2:24" ht="17.25" hidden="1" customHeight="1">
      <c r="B95" s="1815" t="b">
        <f>N95&lt;=0</f>
        <v>1</v>
      </c>
      <c r="J95" s="1835"/>
      <c r="K95" s="1897" t="str">
        <f>IF(B95=FALSE,K94+1,"")</f>
        <v/>
      </c>
      <c r="L95" s="1897" t="str">
        <f>IF(L94="","",L94+1)</f>
        <v/>
      </c>
      <c r="M95" s="1850">
        <f>IFERROR(SUMIF($C$127:$C$1686,$L95,$Q$127:$Q$1686),0)</f>
        <v>0</v>
      </c>
      <c r="N95" s="1850">
        <f>SUMIF($C$127:$C$1686,$L95,$N$127:$N$1686)-M95</f>
        <v>0</v>
      </c>
      <c r="O95" s="1895">
        <f>SUMIF($C$127:$C$1686,$L95,$O$127:$O$1686)</f>
        <v>0</v>
      </c>
      <c r="P95" s="1896"/>
      <c r="Q95" s="1895">
        <f>ROUND(Q94-O95,2)</f>
        <v>0</v>
      </c>
      <c r="R95" s="1895">
        <f>ROUND(SUMIF($C$127:$C$1686,$L95,$R$127:$R$1686),2)</f>
        <v>0</v>
      </c>
      <c r="S95" s="1850">
        <f>ROUND(IF($S94-$R95&lt;=0,0,$S94-$R95),2)</f>
        <v>0</v>
      </c>
      <c r="T95" s="1895">
        <f>ROUND(IF(($T94-$N95)&gt;0,($T94-$N95),0),2)</f>
        <v>0</v>
      </c>
      <c r="U95" s="1894"/>
      <c r="W95" s="1893"/>
      <c r="X95" s="1892"/>
    </row>
    <row r="96" spans="2:24" ht="17.25" hidden="1" customHeight="1">
      <c r="B96" s="1815" t="b">
        <f>N96&lt;=0</f>
        <v>1</v>
      </c>
      <c r="J96" s="1835"/>
      <c r="K96" s="1897" t="str">
        <f>IF(B96=FALSE,K95+1,"")</f>
        <v/>
      </c>
      <c r="L96" s="1897" t="str">
        <f>IF(L95="","",L95+1)</f>
        <v/>
      </c>
      <c r="M96" s="1850">
        <f>IFERROR(SUMIF($C$127:$C$1686,$L96,$Q$127:$Q$1686),0)</f>
        <v>0</v>
      </c>
      <c r="N96" s="1850">
        <f>SUMIF($C$127:$C$1686,$L96,$N$127:$N$1686)-M96</f>
        <v>0</v>
      </c>
      <c r="O96" s="1895">
        <f>SUMIF($C$127:$C$1686,$L96,$O$127:$O$1686)</f>
        <v>0</v>
      </c>
      <c r="P96" s="1896"/>
      <c r="Q96" s="1895">
        <f>ROUND(Q95-O96,2)</f>
        <v>0</v>
      </c>
      <c r="R96" s="1895">
        <f>ROUND(SUMIF($C$127:$C$1686,$L96,$R$127:$R$1686),2)</f>
        <v>0</v>
      </c>
      <c r="S96" s="1850">
        <f>ROUND(IF($S95-$R96&lt;=0,0,$S95-$R96),2)</f>
        <v>0</v>
      </c>
      <c r="T96" s="1895">
        <f>ROUND(IF(($T95-$N96)&gt;0,($T95-$N96),0),2)</f>
        <v>0</v>
      </c>
      <c r="U96" s="1894"/>
      <c r="W96" s="1893"/>
      <c r="X96" s="1892"/>
    </row>
    <row r="97" spans="2:24" ht="17.25" hidden="1" customHeight="1">
      <c r="B97" s="1815" t="b">
        <f>N97&lt;=0</f>
        <v>1</v>
      </c>
      <c r="J97" s="1835"/>
      <c r="K97" s="1897" t="str">
        <f>IF(B97=FALSE,K96+1,"")</f>
        <v/>
      </c>
      <c r="L97" s="1897" t="str">
        <f>IF(L96="","",L96+1)</f>
        <v/>
      </c>
      <c r="M97" s="1850">
        <f>IFERROR(SUMIF($C$127:$C$1686,$L97,$Q$127:$Q$1686),0)</f>
        <v>0</v>
      </c>
      <c r="N97" s="1850">
        <f>SUMIF($C$127:$C$1686,$L97,$N$127:$N$1686)-M97</f>
        <v>0</v>
      </c>
      <c r="O97" s="1895">
        <f>SUMIF($C$127:$C$1686,$L97,$O$127:$O$1686)</f>
        <v>0</v>
      </c>
      <c r="P97" s="1896"/>
      <c r="Q97" s="1895">
        <f>ROUND(Q96-O97,2)</f>
        <v>0</v>
      </c>
      <c r="R97" s="1895">
        <f>ROUND(SUMIF($C$127:$C$1686,$L97,$R$127:$R$1686),2)</f>
        <v>0</v>
      </c>
      <c r="S97" s="1850">
        <f>ROUND(IF($S96-$R97&lt;=0,0,$S96-$R97),2)</f>
        <v>0</v>
      </c>
      <c r="T97" s="1895">
        <f>ROUND(IF(($T96-$N97)&gt;0,($T96-$N97),0),2)</f>
        <v>0</v>
      </c>
      <c r="U97" s="1894"/>
      <c r="W97" s="1893"/>
      <c r="X97" s="1892"/>
    </row>
    <row r="98" spans="2:24" ht="17.25" hidden="1" customHeight="1">
      <c r="B98" s="1815" t="b">
        <f>N98&lt;=0</f>
        <v>1</v>
      </c>
      <c r="J98" s="1835"/>
      <c r="K98" s="1897" t="str">
        <f>IF(B98=FALSE,K97+1,"")</f>
        <v/>
      </c>
      <c r="L98" s="1897" t="str">
        <f>IF(L97="","",L97+1)</f>
        <v/>
      </c>
      <c r="M98" s="1850">
        <f>IFERROR(SUMIF($C$127:$C$1686,$L98,$Q$127:$Q$1686),0)</f>
        <v>0</v>
      </c>
      <c r="N98" s="1850">
        <f>SUMIF($C$127:$C$1686,$L98,$N$127:$N$1686)-M98</f>
        <v>0</v>
      </c>
      <c r="O98" s="1895">
        <f>SUMIF($C$127:$C$1686,$L98,$O$127:$O$1686)</f>
        <v>0</v>
      </c>
      <c r="P98" s="1896"/>
      <c r="Q98" s="1895">
        <f>ROUND(Q97-O98,2)</f>
        <v>0</v>
      </c>
      <c r="R98" s="1895">
        <f>ROUND(SUMIF($C$127:$C$1686,$L98,$R$127:$R$1686),2)</f>
        <v>0</v>
      </c>
      <c r="S98" s="1850">
        <f>ROUND(IF($S97-$R98&lt;=0,0,$S97-$R98),2)</f>
        <v>0</v>
      </c>
      <c r="T98" s="1895">
        <f>ROUND(IF(($T97-$N98)&gt;0,($T97-$N98),0),2)</f>
        <v>0</v>
      </c>
      <c r="U98" s="1894"/>
      <c r="W98" s="1893"/>
      <c r="X98" s="1892"/>
    </row>
    <row r="99" spans="2:24" ht="17.25" hidden="1" customHeight="1">
      <c r="B99" s="1815" t="b">
        <f>N99&lt;=0</f>
        <v>1</v>
      </c>
      <c r="J99" s="1835"/>
      <c r="K99" s="1897" t="str">
        <f>IF(B99=FALSE,K98+1,"")</f>
        <v/>
      </c>
      <c r="L99" s="1897" t="str">
        <f>IF(L98="","",L98+1)</f>
        <v/>
      </c>
      <c r="M99" s="1850">
        <f>IFERROR(SUMIF($C$127:$C$1686,$L99,$Q$127:$Q$1686),0)</f>
        <v>0</v>
      </c>
      <c r="N99" s="1850">
        <f>SUMIF($C$127:$C$1686,$L99,$N$127:$N$1686)-M99</f>
        <v>0</v>
      </c>
      <c r="O99" s="1895">
        <f>SUMIF($C$127:$C$1686,$L99,$O$127:$O$1686)</f>
        <v>0</v>
      </c>
      <c r="P99" s="1896"/>
      <c r="Q99" s="1895">
        <f>ROUND(Q98-O99,2)</f>
        <v>0</v>
      </c>
      <c r="R99" s="1895">
        <f>ROUND(SUMIF($C$127:$C$1686,$L99,$R$127:$R$1686),2)</f>
        <v>0</v>
      </c>
      <c r="S99" s="1850">
        <f>ROUND(IF($S98-$R99&lt;=0,0,$S98-$R99),2)</f>
        <v>0</v>
      </c>
      <c r="T99" s="1895">
        <f>ROUND(IF(($T98-$N99)&gt;0,($T98-$N99),0),2)</f>
        <v>0</v>
      </c>
      <c r="U99" s="1894"/>
      <c r="W99" s="1893"/>
      <c r="X99" s="1892"/>
    </row>
    <row r="100" spans="2:24" ht="17.25" hidden="1" customHeight="1">
      <c r="B100" s="1815" t="b">
        <f>N100&lt;=0</f>
        <v>1</v>
      </c>
      <c r="J100" s="1835"/>
      <c r="K100" s="1897" t="str">
        <f>IF(B100=FALSE,K99+1,"")</f>
        <v/>
      </c>
      <c r="L100" s="1897" t="str">
        <f>IF(L99="","",L99+1)</f>
        <v/>
      </c>
      <c r="M100" s="1850">
        <f>IFERROR(SUMIF($C$127:$C$1686,$L100,$Q$127:$Q$1686),0)</f>
        <v>0</v>
      </c>
      <c r="N100" s="1850">
        <f>SUMIF($C$127:$C$1686,$L100,$N$127:$N$1686)-M100</f>
        <v>0</v>
      </c>
      <c r="O100" s="1895">
        <f>SUMIF($C$127:$C$1686,$L100,$O$127:$O$1686)</f>
        <v>0</v>
      </c>
      <c r="P100" s="1896"/>
      <c r="Q100" s="1895">
        <f>ROUND(Q99-O100,2)</f>
        <v>0</v>
      </c>
      <c r="R100" s="1895">
        <f>ROUND(SUMIF($C$127:$C$1686,$L100,$R$127:$R$1686),2)</f>
        <v>0</v>
      </c>
      <c r="S100" s="1850">
        <f>ROUND(IF($S99-$R100&lt;=0,0,$S99-$R100),2)</f>
        <v>0</v>
      </c>
      <c r="T100" s="1895">
        <f>ROUND(IF(($T99-$N100)&gt;0,($T99-$N100),0),2)</f>
        <v>0</v>
      </c>
      <c r="U100" s="1894"/>
      <c r="W100" s="1893"/>
      <c r="X100" s="1892"/>
    </row>
    <row r="101" spans="2:24" ht="17.25" hidden="1" customHeight="1">
      <c r="B101" s="1815" t="b">
        <f>N101&lt;=0</f>
        <v>1</v>
      </c>
      <c r="J101" s="1835"/>
      <c r="K101" s="1897" t="str">
        <f>IF(B101=FALSE,K100+1,"")</f>
        <v/>
      </c>
      <c r="L101" s="1897" t="str">
        <f>IF(L100="","",L100+1)</f>
        <v/>
      </c>
      <c r="M101" s="1850">
        <f>IFERROR(SUMIF($C$127:$C$1686,$L101,$Q$127:$Q$1686),0)</f>
        <v>0</v>
      </c>
      <c r="N101" s="1850">
        <f>SUMIF($C$127:$C$1686,$L101,$N$127:$N$1686)-M101</f>
        <v>0</v>
      </c>
      <c r="O101" s="1895">
        <f>SUMIF($C$127:$C$1686,$L101,$O$127:$O$1686)</f>
        <v>0</v>
      </c>
      <c r="P101" s="1896"/>
      <c r="Q101" s="1895">
        <f>ROUND(Q100-O101,2)</f>
        <v>0</v>
      </c>
      <c r="R101" s="1895">
        <f>ROUND(SUMIF($C$127:$C$1686,$L101,$R$127:$R$1686),2)</f>
        <v>0</v>
      </c>
      <c r="S101" s="1850">
        <f>ROUND(IF($S100-$R101&lt;=0,0,$S100-$R101),2)</f>
        <v>0</v>
      </c>
      <c r="T101" s="1895">
        <f>ROUND(IF(($T100-$N101)&gt;0,($T100-$N101),0),2)</f>
        <v>0</v>
      </c>
      <c r="U101" s="1894"/>
      <c r="W101" s="1893"/>
      <c r="X101" s="1892"/>
    </row>
    <row r="102" spans="2:24" ht="17.25" hidden="1" customHeight="1">
      <c r="B102" s="1815" t="b">
        <f>N102&lt;=0</f>
        <v>1</v>
      </c>
      <c r="J102" s="1835"/>
      <c r="K102" s="1897" t="str">
        <f>IF(B102=FALSE,K101+1,"")</f>
        <v/>
      </c>
      <c r="L102" s="1897" t="str">
        <f>IF(L101="","",L101+1)</f>
        <v/>
      </c>
      <c r="M102" s="1850">
        <f>IFERROR(SUMIF($C$127:$C$1686,$L102,$Q$127:$Q$1686),0)</f>
        <v>0</v>
      </c>
      <c r="N102" s="1850">
        <f>SUMIF($C$127:$C$1686,$L102,$N$127:$N$1686)-M102</f>
        <v>0</v>
      </c>
      <c r="O102" s="1895">
        <f>SUMIF($C$127:$C$1686,$L102,$O$127:$O$1686)</f>
        <v>0</v>
      </c>
      <c r="P102" s="1896"/>
      <c r="Q102" s="1895">
        <f>ROUND(Q101-O102,2)</f>
        <v>0</v>
      </c>
      <c r="R102" s="1895">
        <f>ROUND(SUMIF($C$127:$C$1686,$L102,$R$127:$R$1686),2)</f>
        <v>0</v>
      </c>
      <c r="S102" s="1850">
        <f>ROUND(IF($S101-$R102&lt;=0,0,$S101-$R102),2)</f>
        <v>0</v>
      </c>
      <c r="T102" s="1895">
        <f>ROUND(IF(($T101-$N102)&gt;0,($T101-$N102),0),2)</f>
        <v>0</v>
      </c>
      <c r="U102" s="1894"/>
      <c r="W102" s="1893"/>
      <c r="X102" s="1892"/>
    </row>
    <row r="103" spans="2:24" ht="17.25" hidden="1" customHeight="1">
      <c r="B103" s="1815" t="b">
        <f>N103&lt;=0</f>
        <v>1</v>
      </c>
      <c r="J103" s="1835"/>
      <c r="K103" s="1897" t="str">
        <f>IF(B103=FALSE,K102+1,"")</f>
        <v/>
      </c>
      <c r="L103" s="1897" t="str">
        <f>IF(L102="","",L102+1)</f>
        <v/>
      </c>
      <c r="M103" s="1850">
        <f>IFERROR(SUMIF($C$127:$C$1686,$L103,$Q$127:$Q$1686),0)</f>
        <v>0</v>
      </c>
      <c r="N103" s="1850">
        <f>SUMIF($C$127:$C$1686,$L103,$N$127:$N$1686)-M103</f>
        <v>0</v>
      </c>
      <c r="O103" s="1895">
        <f>SUMIF($C$127:$C$1686,$L103,$O$127:$O$1686)</f>
        <v>0</v>
      </c>
      <c r="P103" s="1896"/>
      <c r="Q103" s="1895">
        <f>ROUND(Q102-O103,2)</f>
        <v>0</v>
      </c>
      <c r="R103" s="1895">
        <f>ROUND(SUMIF($C$127:$C$1686,$L103,$R$127:$R$1686),2)</f>
        <v>0</v>
      </c>
      <c r="S103" s="1850">
        <f>ROUND(IF($S102-$R103&lt;=0,0,$S102-$R103),2)</f>
        <v>0</v>
      </c>
      <c r="T103" s="1895">
        <f>ROUND(IF(($T102-$N103)&gt;0,($T102-$N103),0),2)</f>
        <v>0</v>
      </c>
      <c r="U103" s="1894"/>
      <c r="W103" s="1893"/>
      <c r="X103" s="1892"/>
    </row>
    <row r="104" spans="2:24" ht="17.25" hidden="1" customHeight="1">
      <c r="B104" s="1815" t="b">
        <f>N104&lt;=0</f>
        <v>1</v>
      </c>
      <c r="J104" s="1835"/>
      <c r="K104" s="1897" t="str">
        <f>IF(B104=FALSE,K103+1,"")</f>
        <v/>
      </c>
      <c r="L104" s="1897" t="str">
        <f>IF(L103="","",L103+1)</f>
        <v/>
      </c>
      <c r="M104" s="1850">
        <f>IFERROR(SUMIF($C$127:$C$1686,$L104,$Q$127:$Q$1686),0)</f>
        <v>0</v>
      </c>
      <c r="N104" s="1850">
        <f>SUMIF($C$127:$C$1686,$L104,$N$127:$N$1686)-M104</f>
        <v>0</v>
      </c>
      <c r="O104" s="1895">
        <f>SUMIF($C$127:$C$1686,$L104,$O$127:$O$1686)</f>
        <v>0</v>
      </c>
      <c r="P104" s="1896"/>
      <c r="Q104" s="1895">
        <f>ROUND(Q103-O104,2)</f>
        <v>0</v>
      </c>
      <c r="R104" s="1895">
        <f>ROUND(SUMIF($C$127:$C$1686,$L104,$R$127:$R$1686),2)</f>
        <v>0</v>
      </c>
      <c r="S104" s="1850">
        <f>ROUND(IF($S103-$R104&lt;=0,0,$S103-$R104),2)</f>
        <v>0</v>
      </c>
      <c r="T104" s="1895">
        <f>ROUND(IF(($T103-$N104)&gt;0,($T103-$N104),0),2)</f>
        <v>0</v>
      </c>
      <c r="U104" s="1894"/>
      <c r="W104" s="1893"/>
      <c r="X104" s="1892"/>
    </row>
    <row r="105" spans="2:24" ht="17.25" hidden="1" customHeight="1">
      <c r="B105" s="1815" t="b">
        <f>N105&lt;=0</f>
        <v>1</v>
      </c>
      <c r="J105" s="1835"/>
      <c r="K105" s="1897" t="str">
        <f>IF(B105=FALSE,K104+1,"")</f>
        <v/>
      </c>
      <c r="L105" s="1897" t="str">
        <f>IF(L104="","",L104+1)</f>
        <v/>
      </c>
      <c r="M105" s="1850">
        <f>IFERROR(SUMIF($C$127:$C$1686,$L105,$Q$127:$Q$1686),0)</f>
        <v>0</v>
      </c>
      <c r="N105" s="1850">
        <f>SUMIF($C$127:$C$1686,$L105,$N$127:$N$1686)-M105</f>
        <v>0</v>
      </c>
      <c r="O105" s="1895">
        <f>SUMIF($C$127:$C$1686,$L105,$O$127:$O$1686)</f>
        <v>0</v>
      </c>
      <c r="P105" s="1896"/>
      <c r="Q105" s="1895">
        <f>ROUND(Q104-O105,2)</f>
        <v>0</v>
      </c>
      <c r="R105" s="1895">
        <f>ROUND(SUMIF($C$127:$C$1686,$L105,$R$127:$R$1686),2)</f>
        <v>0</v>
      </c>
      <c r="S105" s="1850">
        <f>ROUND(IF($S104-$R105&lt;=0,0,$S104-$R105),2)</f>
        <v>0</v>
      </c>
      <c r="T105" s="1895">
        <f>ROUND(IF(($T104-$N105)&gt;0,($T104-$N105),0),2)</f>
        <v>0</v>
      </c>
      <c r="U105" s="1894"/>
      <c r="W105" s="1893"/>
      <c r="X105" s="1892"/>
    </row>
    <row r="106" spans="2:24" ht="17.25" hidden="1" customHeight="1">
      <c r="B106" s="1815" t="b">
        <f>N106&lt;=0</f>
        <v>1</v>
      </c>
      <c r="J106" s="1835"/>
      <c r="K106" s="1897" t="str">
        <f>IF(B106=FALSE,K105+1,"")</f>
        <v/>
      </c>
      <c r="L106" s="1897" t="str">
        <f>IF(L105="","",L105+1)</f>
        <v/>
      </c>
      <c r="M106" s="1850">
        <f>IFERROR(SUMIF($C$127:$C$1686,$L106,$Q$127:$Q$1686),0)</f>
        <v>0</v>
      </c>
      <c r="N106" s="1850">
        <f>SUMIF($C$127:$C$1686,$L106,$N$127:$N$1686)-M106</f>
        <v>0</v>
      </c>
      <c r="O106" s="1895">
        <f>SUMIF($C$127:$C$1686,$L106,$O$127:$O$1686)</f>
        <v>0</v>
      </c>
      <c r="P106" s="1896"/>
      <c r="Q106" s="1895">
        <f>ROUND(Q105-O106,2)</f>
        <v>0</v>
      </c>
      <c r="R106" s="1895">
        <f>ROUND(SUMIF($C$127:$C$1686,$L106,$R$127:$R$1686),2)</f>
        <v>0</v>
      </c>
      <c r="S106" s="1850">
        <f>ROUND(IF($S105-$R106&lt;=0,0,$S105-$R106),2)</f>
        <v>0</v>
      </c>
      <c r="T106" s="1895">
        <f>ROUND(IF(($T105-$N106)&gt;0,($T105-$N106),0),2)</f>
        <v>0</v>
      </c>
      <c r="U106" s="1894"/>
      <c r="W106" s="1893"/>
      <c r="X106" s="1892"/>
    </row>
    <row r="107" spans="2:24" ht="17.25" hidden="1" customHeight="1">
      <c r="B107" s="1815" t="b">
        <f>N107&lt;=0</f>
        <v>1</v>
      </c>
      <c r="J107" s="1835"/>
      <c r="K107" s="1897" t="str">
        <f>IF(B107=FALSE,K106+1,"")</f>
        <v/>
      </c>
      <c r="L107" s="1897" t="str">
        <f>IF(L106="","",L106+1)</f>
        <v/>
      </c>
      <c r="M107" s="1850">
        <f>IFERROR(SUMIF($C$127:$C$1686,$L107,$Q$127:$Q$1686),0)</f>
        <v>0</v>
      </c>
      <c r="N107" s="1850">
        <f>SUMIF($C$127:$C$1686,$L107,$N$127:$N$1686)-M107</f>
        <v>0</v>
      </c>
      <c r="O107" s="1895">
        <f>SUMIF($C$127:$C$1686,$L107,$O$127:$O$1686)</f>
        <v>0</v>
      </c>
      <c r="P107" s="1896"/>
      <c r="Q107" s="1895">
        <f>ROUND(Q106-O107,2)</f>
        <v>0</v>
      </c>
      <c r="R107" s="1895">
        <f>ROUND(SUMIF($C$127:$C$1686,$L107,$R$127:$R$1686),2)</f>
        <v>0</v>
      </c>
      <c r="S107" s="1850">
        <f>ROUND(IF($S106-$R107&lt;=0,0,$S106-$R107),2)</f>
        <v>0</v>
      </c>
      <c r="T107" s="1895">
        <f>ROUND(IF(($T106-$N107)&gt;0,($T106-$N107),0),2)</f>
        <v>0</v>
      </c>
      <c r="U107" s="1894"/>
      <c r="W107" s="1893"/>
      <c r="X107" s="1892"/>
    </row>
    <row r="108" spans="2:24" ht="17.25" hidden="1" customHeight="1">
      <c r="B108" s="1815" t="b">
        <f>N108&lt;=0</f>
        <v>1</v>
      </c>
      <c r="J108" s="1835"/>
      <c r="K108" s="1897" t="str">
        <f>IF(B108=FALSE,K107+1,"")</f>
        <v/>
      </c>
      <c r="L108" s="1897" t="str">
        <f>IF(L107="","",L107+1)</f>
        <v/>
      </c>
      <c r="M108" s="1850">
        <f>IFERROR(SUMIF($C$127:$C$1686,$L108,$Q$127:$Q$1686),0)</f>
        <v>0</v>
      </c>
      <c r="N108" s="1850">
        <f>SUMIF($C$127:$C$1686,$L108,$N$127:$N$1686)-M108</f>
        <v>0</v>
      </c>
      <c r="O108" s="1895">
        <f>SUMIF($C$127:$C$1686,$L108,$O$127:$O$1686)</f>
        <v>0</v>
      </c>
      <c r="P108" s="1896"/>
      <c r="Q108" s="1895">
        <f>ROUND(Q107-O108,2)</f>
        <v>0</v>
      </c>
      <c r="R108" s="1895">
        <f>ROUND(SUMIF($C$127:$C$1686,$L108,$R$127:$R$1686),2)</f>
        <v>0</v>
      </c>
      <c r="S108" s="1850">
        <f>ROUND(IF($S107-$R108&lt;=0,0,$S107-$R108),2)</f>
        <v>0</v>
      </c>
      <c r="T108" s="1895">
        <f>ROUND(IF(($T107-$N108)&gt;0,($T107-$N108),0),2)</f>
        <v>0</v>
      </c>
      <c r="U108" s="1894"/>
      <c r="W108" s="1893"/>
      <c r="X108" s="1892"/>
    </row>
    <row r="109" spans="2:24" ht="17.25" hidden="1" customHeight="1">
      <c r="B109" s="1815" t="b">
        <f>N109&lt;=0</f>
        <v>1</v>
      </c>
      <c r="J109" s="1835"/>
      <c r="K109" s="1897" t="str">
        <f>IF(B109=FALSE,K108+1,"")</f>
        <v/>
      </c>
      <c r="L109" s="1897" t="str">
        <f>IF(L108="","",L108+1)</f>
        <v/>
      </c>
      <c r="M109" s="1850">
        <f>IFERROR(SUMIF($C$127:$C$1686,$L109,$Q$127:$Q$1686),0)</f>
        <v>0</v>
      </c>
      <c r="N109" s="1850">
        <f>SUMIF($C$127:$C$1686,$L109,$N$127:$N$1686)-M109</f>
        <v>0</v>
      </c>
      <c r="O109" s="1895">
        <f>SUMIF($C$127:$C$1686,$L109,$O$127:$O$1686)</f>
        <v>0</v>
      </c>
      <c r="P109" s="1896"/>
      <c r="Q109" s="1895">
        <f>ROUND(Q108-O109,2)</f>
        <v>0</v>
      </c>
      <c r="R109" s="1895">
        <f>ROUND(SUMIF($C$127:$C$1686,$L109,$R$127:$R$1686),2)</f>
        <v>0</v>
      </c>
      <c r="S109" s="1850">
        <f>ROUND(IF($S108-$R109&lt;=0,0,$S108-$R109),2)</f>
        <v>0</v>
      </c>
      <c r="T109" s="1895">
        <f>ROUND(IF(($T108-$N109)&gt;0,($T108-$N109),0),2)</f>
        <v>0</v>
      </c>
      <c r="U109" s="1894"/>
      <c r="W109" s="1893"/>
      <c r="X109" s="1892"/>
    </row>
    <row r="110" spans="2:24" ht="17.25" hidden="1" customHeight="1">
      <c r="B110" s="1815" t="b">
        <f>N110&lt;=0</f>
        <v>1</v>
      </c>
      <c r="J110" s="1835"/>
      <c r="K110" s="1897" t="str">
        <f>IF(B110=FALSE,K109+1,"")</f>
        <v/>
      </c>
      <c r="L110" s="1897" t="str">
        <f>IF(L109="","",L109+1)</f>
        <v/>
      </c>
      <c r="M110" s="1850">
        <f>IFERROR(SUMIF($C$127:$C$1686,$L110,$Q$127:$Q$1686),0)</f>
        <v>0</v>
      </c>
      <c r="N110" s="1850">
        <f>SUMIF($C$127:$C$1686,$L110,$N$127:$N$1686)-M110</f>
        <v>0</v>
      </c>
      <c r="O110" s="1895">
        <f>SUMIF($C$127:$C$1686,$L110,$O$127:$O$1686)</f>
        <v>0</v>
      </c>
      <c r="P110" s="1896"/>
      <c r="Q110" s="1895">
        <f>ROUND(Q109-O110,2)</f>
        <v>0</v>
      </c>
      <c r="R110" s="1895">
        <f>ROUND(SUMIF($C$127:$C$1686,$L110,$R$127:$R$1686),2)</f>
        <v>0</v>
      </c>
      <c r="S110" s="1850">
        <f>ROUND(IF($S109-$R110&lt;=0,0,$S109-$R110),2)</f>
        <v>0</v>
      </c>
      <c r="T110" s="1895">
        <f>ROUND(IF(($T109-$N110)&gt;0,($T109-$N110),0),2)</f>
        <v>0</v>
      </c>
      <c r="U110" s="1894"/>
      <c r="W110" s="1893"/>
      <c r="X110" s="1892"/>
    </row>
    <row r="111" spans="2:24" ht="7.5" customHeight="1">
      <c r="J111" s="1833"/>
      <c r="K111" s="1891"/>
      <c r="L111" s="1891"/>
      <c r="M111" s="89"/>
      <c r="N111" s="1832"/>
      <c r="O111" s="1832"/>
      <c r="P111" s="1832"/>
      <c r="Q111" s="1832"/>
      <c r="R111" s="1832"/>
      <c r="S111" s="1832"/>
      <c r="T111" s="1832"/>
      <c r="U111" s="1890"/>
    </row>
    <row r="112" spans="2:24" ht="17.25" customHeight="1">
      <c r="K112" s="341"/>
      <c r="L112" s="341"/>
      <c r="M112" s="341"/>
    </row>
    <row r="113" spans="1:26" ht="17.25" hidden="1" customHeight="1">
      <c r="K113" s="341"/>
      <c r="L113" s="341"/>
      <c r="M113" s="1889" t="s">
        <v>1385</v>
      </c>
      <c r="N113" s="1888">
        <f>SUM(N76:N111)</f>
        <v>0</v>
      </c>
      <c r="O113" s="1888">
        <f>SUM(O76:O111)</f>
        <v>0</v>
      </c>
      <c r="R113" s="1888">
        <f>SUM(R76:R111)</f>
        <v>0</v>
      </c>
    </row>
    <row r="114" spans="1:26" ht="17.25" hidden="1" customHeight="1">
      <c r="K114" s="341"/>
      <c r="L114" s="341"/>
      <c r="M114" s="341"/>
      <c r="N114" s="1856"/>
      <c r="O114" s="1856"/>
      <c r="R114" s="1856"/>
    </row>
    <row r="115" spans="1:26" ht="17.25" customHeight="1">
      <c r="K115" s="341"/>
      <c r="L115" s="341"/>
      <c r="M115" s="341"/>
      <c r="N115" s="1887" t="s">
        <v>1936</v>
      </c>
      <c r="O115" s="1303">
        <f>R113</f>
        <v>0</v>
      </c>
    </row>
    <row r="116" spans="1:26" ht="17.25" customHeight="1">
      <c r="K116" s="341"/>
      <c r="L116" s="341"/>
      <c r="M116" s="341"/>
      <c r="N116" s="1887" t="s">
        <v>1903</v>
      </c>
      <c r="O116" s="1303">
        <f>O113</f>
        <v>0</v>
      </c>
    </row>
    <row r="117" spans="1:26" ht="17.25" customHeight="1">
      <c r="K117" s="341"/>
      <c r="L117" s="341"/>
      <c r="M117" s="341"/>
      <c r="N117" s="1887" t="s">
        <v>1935</v>
      </c>
      <c r="O117" s="1886">
        <f>N113</f>
        <v>0</v>
      </c>
    </row>
    <row r="118" spans="1:26" ht="22.5" customHeight="1">
      <c r="C118" s="1815"/>
      <c r="D118" s="1815"/>
      <c r="E118" s="1815"/>
      <c r="F118" s="1815"/>
      <c r="G118" s="1815"/>
      <c r="H118" s="1815"/>
    </row>
    <row r="119" spans="1:26" ht="22.5" customHeight="1">
      <c r="C119" s="1815"/>
      <c r="D119" s="1815"/>
      <c r="E119" s="1815"/>
      <c r="F119" s="1815"/>
      <c r="G119" s="1815"/>
      <c r="H119" s="1815"/>
      <c r="J119" s="1885" t="s">
        <v>1934</v>
      </c>
      <c r="K119" s="1885"/>
      <c r="L119" s="1885"/>
      <c r="M119" s="1831"/>
    </row>
    <row r="120" spans="1:26" ht="7.5" customHeight="1">
      <c r="A120" s="1815" t="s">
        <v>58</v>
      </c>
      <c r="C120" s="1884"/>
      <c r="D120" s="1872"/>
      <c r="E120" s="1872"/>
      <c r="F120" s="1872"/>
      <c r="G120" s="1872"/>
      <c r="H120" s="1872"/>
      <c r="J120" s="1883"/>
      <c r="K120" s="1882"/>
      <c r="L120" s="1882"/>
      <c r="M120" s="1882"/>
      <c r="N120" s="1881"/>
      <c r="O120" s="1881"/>
      <c r="P120" s="1881"/>
      <c r="Q120" s="1881"/>
      <c r="R120" s="1881"/>
      <c r="S120" s="1881"/>
      <c r="T120" s="1881"/>
      <c r="U120" s="1880"/>
    </row>
    <row r="121" spans="1:26">
      <c r="C121" s="1872"/>
      <c r="D121" s="1872"/>
      <c r="E121" s="1872"/>
      <c r="F121" s="1872"/>
      <c r="G121" s="1872"/>
      <c r="H121" s="1872"/>
      <c r="J121" s="1876"/>
      <c r="K121" s="1879" t="s">
        <v>1933</v>
      </c>
      <c r="L121" s="1878"/>
      <c r="M121" s="1878"/>
      <c r="N121" s="1878"/>
      <c r="O121" s="1878"/>
      <c r="P121" s="1878"/>
      <c r="Q121" s="1878"/>
      <c r="R121" s="1878"/>
      <c r="S121" s="1878"/>
      <c r="T121" s="1878"/>
      <c r="U121" s="1849"/>
    </row>
    <row r="122" spans="1:26">
      <c r="C122" s="1872"/>
      <c r="D122" s="1872"/>
      <c r="E122" s="1872"/>
      <c r="F122" s="1872"/>
      <c r="G122" s="1872"/>
      <c r="H122" s="1872"/>
      <c r="J122" s="1876"/>
      <c r="K122" s="1877" t="s">
        <v>1932</v>
      </c>
      <c r="L122" s="1877"/>
      <c r="M122" s="1877"/>
      <c r="N122" s="1877"/>
      <c r="O122" s="1877"/>
      <c r="P122" s="1877"/>
      <c r="Q122" s="1877"/>
      <c r="R122" s="1877"/>
      <c r="S122" s="1877"/>
      <c r="T122" s="1877"/>
      <c r="U122" s="1849"/>
    </row>
    <row r="123" spans="1:26" ht="7.5" customHeight="1">
      <c r="C123" s="1872"/>
      <c r="D123" s="1872"/>
      <c r="E123" s="1872"/>
      <c r="F123" s="1872"/>
      <c r="G123" s="1872"/>
      <c r="H123" s="1872"/>
      <c r="J123" s="1876"/>
      <c r="K123" s="1831"/>
      <c r="L123" s="1831"/>
      <c r="M123" s="1831"/>
      <c r="U123" s="1849"/>
    </row>
    <row r="124" spans="1:26" ht="39" customHeight="1">
      <c r="B124" s="1383" t="s">
        <v>1931</v>
      </c>
      <c r="C124" s="1875" t="s">
        <v>248</v>
      </c>
      <c r="D124" s="1875"/>
      <c r="E124" s="1875"/>
      <c r="F124" s="1875" t="s">
        <v>1930</v>
      </c>
      <c r="G124" s="1875" t="s">
        <v>1929</v>
      </c>
      <c r="H124" s="1875"/>
      <c r="I124" s="1875" t="s">
        <v>1928</v>
      </c>
      <c r="J124" s="1874"/>
      <c r="K124" s="406" t="s">
        <v>1927</v>
      </c>
      <c r="L124" s="405" t="s">
        <v>1926</v>
      </c>
      <c r="M124" s="405" t="s">
        <v>1925</v>
      </c>
      <c r="N124" s="405" t="s">
        <v>1924</v>
      </c>
      <c r="O124" s="405" t="s">
        <v>399</v>
      </c>
      <c r="P124" s="405"/>
      <c r="Q124" s="405" t="s">
        <v>1923</v>
      </c>
      <c r="R124" s="405" t="s">
        <v>1922</v>
      </c>
      <c r="S124" s="405" t="s">
        <v>1921</v>
      </c>
      <c r="T124" s="404" t="s">
        <v>1920</v>
      </c>
      <c r="U124" s="1849"/>
    </row>
    <row r="125" spans="1:26" ht="7.5" customHeight="1">
      <c r="C125" s="1873"/>
      <c r="D125" s="1872"/>
      <c r="E125" s="1872"/>
      <c r="F125" s="1872"/>
      <c r="G125" s="1872"/>
      <c r="H125" s="1872"/>
      <c r="J125" s="1855"/>
      <c r="K125" s="1871"/>
      <c r="L125" s="1870"/>
      <c r="M125" s="1869"/>
      <c r="N125" s="1868"/>
      <c r="O125" s="1868"/>
      <c r="P125" s="1868"/>
      <c r="Q125" s="1868"/>
      <c r="R125" s="1868"/>
      <c r="S125" s="1867"/>
      <c r="T125" s="1867"/>
      <c r="U125" s="1849"/>
    </row>
    <row r="126" spans="1:26" ht="18.75" hidden="1" customHeight="1">
      <c r="B126" s="1860" t="b">
        <v>1</v>
      </c>
      <c r="F126" s="1857">
        <f>IF(L126="",0,L126)</f>
        <v>0</v>
      </c>
      <c r="G126" s="1866">
        <f>S126</f>
        <v>0</v>
      </c>
      <c r="J126" s="1855"/>
      <c r="K126" s="1865"/>
      <c r="L126" s="1864">
        <f>Start_Date</f>
        <v>0</v>
      </c>
      <c r="M126" s="1863"/>
      <c r="N126" s="1862"/>
      <c r="O126" s="1862"/>
      <c r="P126" s="1862"/>
      <c r="Q126" s="1862"/>
      <c r="R126" s="1862"/>
      <c r="S126" s="1861">
        <f>ROUND(Loan_Amt,2)</f>
        <v>0</v>
      </c>
      <c r="T126" s="1861">
        <f>ROUND(SUM(N127:N1686)-SUM(Q127:Q1686),2)</f>
        <v>0</v>
      </c>
      <c r="U126" s="1849"/>
    </row>
    <row r="127" spans="1:26" ht="17.25" customHeight="1">
      <c r="B127" s="1860" t="b">
        <v>0</v>
      </c>
      <c r="C127" s="1844" t="str" cm="1">
        <f t="array" ref="C127">_xlfn.IFS(
    L127="", "",
    MONTH(L127) &lt;= End_of_Year_Month, YEAR(L127),
    TRUE, YEAR(L127) + 1
)</f>
        <v/>
      </c>
      <c r="F127" s="1857">
        <f>IF(L127="",0,L127)</f>
        <v>0</v>
      </c>
      <c r="G127" s="1856">
        <f>-(N127-Q127)</f>
        <v>0</v>
      </c>
      <c r="I127" s="1815" t="b">
        <f>K127&lt;=Number_Payments</f>
        <v>0</v>
      </c>
      <c r="J127" s="1855"/>
      <c r="K127" s="1351">
        <v>1</v>
      </c>
      <c r="L127" s="1859" t="str">
        <f>First_payment</f>
        <v/>
      </c>
      <c r="M127" s="1853">
        <f>IF(ISERROR(L127-L126),0,L127-L126)</f>
        <v>0</v>
      </c>
      <c r="N127" s="1851" cm="1">
        <f t="array" ref="N127">_xlfn.IFS(
    AND(I127=TRUE, K127&lt;=No_Regular_Payments), Repay_Amt,
    AND(I127=TRUE, K127=No_Regular_Payments+1), Tm_Balloon_Amt,
   TRUE, 0
)</f>
        <v>0</v>
      </c>
      <c r="O127" s="1850" cm="1">
        <f t="array" ref="O127">_xlfn.IFS(
    M127=0,0,
   ABS(N127 - S126 - P127-Q127) &lt; 1, N127 - S126-Q127,
    TRUE, P127
)</f>
        <v>0</v>
      </c>
      <c r="P127" s="1852">
        <f>IF(M127=0,0,ROUND(S126*EXP(Int_Rate/365.25 * M127)-S126,2))</f>
        <v>0</v>
      </c>
      <c r="Q127" s="1851" cm="1">
        <f t="array" ref="Q127">_xlfn.IFS(
    AND(I127=TRUE, K127&lt;=No_Regular_Payments), Periodic_Admin_Charge,
   TRUE, 0
)</f>
        <v>0</v>
      </c>
      <c r="R127" s="1850">
        <f>N127-O127-Q127</f>
        <v>0</v>
      </c>
      <c r="S127" s="1850">
        <f>ROUND(S126-R127,2)</f>
        <v>0</v>
      </c>
      <c r="T127" s="1850">
        <f>ROUND(T126-(N127-Q127),2)</f>
        <v>0</v>
      </c>
      <c r="U127" s="1849"/>
      <c r="W127" s="1848"/>
      <c r="X127" s="1848"/>
      <c r="Y127" s="1848"/>
      <c r="Z127" s="1858"/>
    </row>
    <row r="128" spans="1:26" ht="17.25" hidden="1" customHeight="1">
      <c r="B128" s="1815" t="b">
        <f>AND(I128=FALSE,N127=0,Q127=0,L127="")</f>
        <v>1</v>
      </c>
      <c r="C128" s="1844" t="str" cm="1">
        <f t="array" ref="C128">_xlfn.IFS(
    L128="", "",
    MONTH(L128) &lt;= End_of_Year_Month, YEAR(L128),
    TRUE, YEAR(L128) + 1
)</f>
        <v/>
      </c>
      <c r="F128" s="1857">
        <f>IF(L128="",0,L128)</f>
        <v>0</v>
      </c>
      <c r="G128" s="1856">
        <f>-(N128-Q128)</f>
        <v>0</v>
      </c>
      <c r="I128" s="1815" t="b">
        <f>K128&lt;=Number_Payments</f>
        <v>0</v>
      </c>
      <c r="J128" s="1855"/>
      <c r="K128" s="1351">
        <f>K127+1</f>
        <v>2</v>
      </c>
      <c r="L128" s="1854" t="str" cm="1">
        <f t="array" ref="L128">_xlfn.IFS(
    I127=FALSE, "",
    Payment_Frequency="Monthly", EDATE(L127, 1),
    Payment_Frequency="Weekly", DATE(YEAR(L127), MONTH(L127), DAY(L127) + 7),
    Payment_Frequency="Fortnightly", DATE(YEAR(L127), MONTH(L127), DAY(L127) + 14),
    Payment_Frequency="Quarterly", DATE(YEAR(L127), MONTH(L127) + 3, DAY(L127)),
    Payment_Frequency="Yearly", DATE(YEAR(L127) + 1, MONTH(L127), DAY(L127)),
    TRUE, ""
)</f>
        <v/>
      </c>
      <c r="M128" s="1853">
        <f>IF(ISERROR(L128-L127),0,L128-L127)</f>
        <v>0</v>
      </c>
      <c r="N128" s="1851" cm="1">
        <f t="array" ref="N128">_xlfn.IFS(
    AND(I128=TRUE, K128&lt;=No_Regular_Payments), Repay_Amt,
    AND(I128=TRUE, K128=No_Regular_Payments+1), Tm_Balloon_Amt,
   TRUE, 0
)</f>
        <v>0</v>
      </c>
      <c r="O128" s="1850" cm="1">
        <f t="array" ref="O128">_xlfn.IFS(
    M128=0,0,
   ABS(N128 - S127 - P128-Q128) &lt; 1, N128 - S127-Q128,
    TRUE, P128
)</f>
        <v>0</v>
      </c>
      <c r="P128" s="1852">
        <f>IF(M128=0,0,ROUND(S127*EXP(Int_Rate/365.25 * M128)-S127,2))</f>
        <v>0</v>
      </c>
      <c r="Q128" s="1851" cm="1">
        <f t="array" ref="Q128">_xlfn.IFS(
    AND(I128=TRUE, K128&lt;=No_Regular_Payments), Periodic_Admin_Charge,
   TRUE, 0
)</f>
        <v>0</v>
      </c>
      <c r="R128" s="1850">
        <f>N128-O128-Q128</f>
        <v>0</v>
      </c>
      <c r="S128" s="1850">
        <f>ROUND(S127-R128,2)</f>
        <v>0</v>
      </c>
      <c r="T128" s="1850">
        <f>ROUND(T127-(N128-Q128),2)</f>
        <v>0</v>
      </c>
      <c r="U128" s="1849"/>
      <c r="W128" s="1848"/>
      <c r="X128" s="1848"/>
      <c r="Y128" s="1848"/>
      <c r="Z128" s="1858"/>
    </row>
    <row r="129" spans="2:26" ht="17.25" hidden="1" customHeight="1">
      <c r="B129" s="1815" t="b">
        <f>AND(I129=FALSE,N128=0,Q128=0,L128="")</f>
        <v>1</v>
      </c>
      <c r="C129" s="1844" t="str" cm="1">
        <f t="array" ref="C129">_xlfn.IFS(
    L129="", "",
    MONTH(L129) &lt;= End_of_Year_Month, YEAR(L129),
    TRUE, YEAR(L129) + 1
)</f>
        <v/>
      </c>
      <c r="F129" s="1857">
        <f>IF(L129="",0,L129)</f>
        <v>0</v>
      </c>
      <c r="G129" s="1856">
        <f>-(N129-Q129)</f>
        <v>0</v>
      </c>
      <c r="I129" s="1815" t="b">
        <f>K129&lt;=Number_Payments</f>
        <v>0</v>
      </c>
      <c r="J129" s="1855"/>
      <c r="K129" s="1351">
        <f>K128+1</f>
        <v>3</v>
      </c>
      <c r="L129" s="1854" t="str" cm="1">
        <f t="array" ref="L129">_xlfn.IFS(
    I128=FALSE, "",
    Payment_Frequency="Monthly", EDATE(L128, 1),
    Payment_Frequency="Weekly", DATE(YEAR(L128), MONTH(L128), DAY(L128) + 7),
    Payment_Frequency="Fortnightly", DATE(YEAR(L128), MONTH(L128), DAY(L128) + 14),
    Payment_Frequency="Quarterly", DATE(YEAR(L128), MONTH(L128) + 3, DAY(L128)),
    Payment_Frequency="Yearly", DATE(YEAR(L128) + 1, MONTH(L128), DAY(L128)),
    TRUE, ""
)</f>
        <v/>
      </c>
      <c r="M129" s="1853">
        <f>IF(ISERROR(L129-L128),0,L129-L128)</f>
        <v>0</v>
      </c>
      <c r="N129" s="1851" cm="1">
        <f t="array" ref="N129">_xlfn.IFS(
    AND(I129=TRUE, K129&lt;=No_Regular_Payments), Repay_Amt,
    AND(I129=TRUE, K129=No_Regular_Payments+1), Tm_Balloon_Amt,
   TRUE, 0
)</f>
        <v>0</v>
      </c>
      <c r="O129" s="1850" cm="1">
        <f t="array" ref="O129">_xlfn.IFS(
    M129=0,0,
   ABS(N129 - S128 - P129-Q129) &lt; 1, N129 - S128-Q129,
    TRUE, P129
)</f>
        <v>0</v>
      </c>
      <c r="P129" s="1852">
        <f>IF(M129=0,0,ROUND(S128*EXP(Int_Rate/365.25 * M129)-S128,2))</f>
        <v>0</v>
      </c>
      <c r="Q129" s="1851" cm="1">
        <f t="array" ref="Q129">_xlfn.IFS(
    AND(I129=TRUE, K129&lt;=No_Regular_Payments), Periodic_Admin_Charge,
   TRUE, 0
)</f>
        <v>0</v>
      </c>
      <c r="R129" s="1850">
        <f>N129-O129-Q129</f>
        <v>0</v>
      </c>
      <c r="S129" s="1850">
        <f>ROUND(S128-R129,2)</f>
        <v>0</v>
      </c>
      <c r="T129" s="1850">
        <f>ROUND(T128-(N129-Q129),2)</f>
        <v>0</v>
      </c>
      <c r="U129" s="1849"/>
      <c r="W129" s="1848"/>
      <c r="X129" s="1848"/>
      <c r="Y129" s="1848"/>
      <c r="Z129" s="1858"/>
    </row>
    <row r="130" spans="2:26" ht="17.25" hidden="1" customHeight="1">
      <c r="B130" s="1815" t="b">
        <f>AND(I130=FALSE,N129=0,Q129=0,L129="")</f>
        <v>1</v>
      </c>
      <c r="C130" s="1844" t="str" cm="1">
        <f t="array" ref="C130">_xlfn.IFS(
    L130="", "",
    MONTH(L130) &lt;= End_of_Year_Month, YEAR(L130),
    TRUE, YEAR(L130) + 1
)</f>
        <v/>
      </c>
      <c r="F130" s="1857">
        <f>IF(L130="",0,L130)</f>
        <v>0</v>
      </c>
      <c r="G130" s="1856">
        <f>-(N130-Q130)</f>
        <v>0</v>
      </c>
      <c r="I130" s="1815" t="b">
        <f>K130&lt;=Number_Payments</f>
        <v>0</v>
      </c>
      <c r="J130" s="1855"/>
      <c r="K130" s="1351">
        <f>K129+1</f>
        <v>4</v>
      </c>
      <c r="L130" s="1854" t="str" cm="1">
        <f t="array" ref="L130">_xlfn.IFS(
    I129=FALSE, "",
    Payment_Frequency="Monthly", EDATE(L129, 1),
    Payment_Frequency="Weekly", DATE(YEAR(L129), MONTH(L129), DAY(L129) + 7),
    Payment_Frequency="Fortnightly", DATE(YEAR(L129), MONTH(L129), DAY(L129) + 14),
    Payment_Frequency="Quarterly", DATE(YEAR(L129), MONTH(L129) + 3, DAY(L129)),
    Payment_Frequency="Yearly", DATE(YEAR(L129) + 1, MONTH(L129), DAY(L129)),
    TRUE, ""
)</f>
        <v/>
      </c>
      <c r="M130" s="1853">
        <f>IF(ISERROR(L130-L129),0,L130-L129)</f>
        <v>0</v>
      </c>
      <c r="N130" s="1851" cm="1">
        <f t="array" ref="N130">_xlfn.IFS(
    AND(I130=TRUE, K130&lt;=No_Regular_Payments), Repay_Amt,
    AND(I130=TRUE, K130=No_Regular_Payments+1), Tm_Balloon_Amt,
   TRUE, 0
)</f>
        <v>0</v>
      </c>
      <c r="O130" s="1850" cm="1">
        <f t="array" ref="O130">_xlfn.IFS(
    M130=0,0,
   ABS(N130 - S129 - P130-Q130) &lt; 1, N130 - S129-Q130,
    TRUE, P130
)</f>
        <v>0</v>
      </c>
      <c r="P130" s="1852">
        <f>IF(M130=0,0,ROUND(S129*EXP(Int_Rate/365.25 * M130)-S129,2))</f>
        <v>0</v>
      </c>
      <c r="Q130" s="1851" cm="1">
        <f t="array" ref="Q130">_xlfn.IFS(
    AND(I130=TRUE, K130&lt;=No_Regular_Payments), Periodic_Admin_Charge,
   TRUE, 0
)</f>
        <v>0</v>
      </c>
      <c r="R130" s="1850">
        <f>N130-O130-Q130</f>
        <v>0</v>
      </c>
      <c r="S130" s="1850">
        <f>ROUND(S129-R130,2)</f>
        <v>0</v>
      </c>
      <c r="T130" s="1850">
        <f>ROUND(T129-(N130-Q130),2)</f>
        <v>0</v>
      </c>
      <c r="U130" s="1849"/>
      <c r="W130" s="1848"/>
      <c r="X130" s="1848"/>
      <c r="Y130" s="1848"/>
      <c r="Z130" s="1858"/>
    </row>
    <row r="131" spans="2:26" ht="17.25" hidden="1" customHeight="1">
      <c r="B131" s="1815" t="b">
        <f>AND(I131=FALSE,N130=0,Q130=0,L130="")</f>
        <v>1</v>
      </c>
      <c r="C131" s="1844" t="str" cm="1">
        <f t="array" ref="C131">_xlfn.IFS(
    L131="", "",
    MONTH(L131) &lt;= End_of_Year_Month, YEAR(L131),
    TRUE, YEAR(L131) + 1
)</f>
        <v/>
      </c>
      <c r="F131" s="1857">
        <f>IF(L131="",0,L131)</f>
        <v>0</v>
      </c>
      <c r="G131" s="1856">
        <f>-(N131-Q131)</f>
        <v>0</v>
      </c>
      <c r="I131" s="1815" t="b">
        <f>K131&lt;=Number_Payments</f>
        <v>0</v>
      </c>
      <c r="J131" s="1855"/>
      <c r="K131" s="1351">
        <f>K130+1</f>
        <v>5</v>
      </c>
      <c r="L131" s="1854" t="str" cm="1">
        <f t="array" ref="L131">_xlfn.IFS(
    I130=FALSE, "",
    Payment_Frequency="Monthly", EDATE(L130, 1),
    Payment_Frequency="Weekly", DATE(YEAR(L130), MONTH(L130), DAY(L130) + 7),
    Payment_Frequency="Fortnightly", DATE(YEAR(L130), MONTH(L130), DAY(L130) + 14),
    Payment_Frequency="Quarterly", DATE(YEAR(L130), MONTH(L130) + 3, DAY(L130)),
    Payment_Frequency="Yearly", DATE(YEAR(L130) + 1, MONTH(L130), DAY(L130)),
    TRUE, ""
)</f>
        <v/>
      </c>
      <c r="M131" s="1853">
        <f>IF(ISERROR(L131-L130),0,L131-L130)</f>
        <v>0</v>
      </c>
      <c r="N131" s="1851" cm="1">
        <f t="array" ref="N131">_xlfn.IFS(
    AND(I131=TRUE, K131&lt;=No_Regular_Payments), Repay_Amt,
    AND(I131=TRUE, K131=No_Regular_Payments+1), Tm_Balloon_Amt,
   TRUE, 0
)</f>
        <v>0</v>
      </c>
      <c r="O131" s="1850" cm="1">
        <f t="array" ref="O131">_xlfn.IFS(
    M131=0,0,
   ABS(N131 - S130 - P131-Q131) &lt; 1, N131 - S130-Q131,
    TRUE, P131
)</f>
        <v>0</v>
      </c>
      <c r="P131" s="1852">
        <f>IF(M131=0,0,ROUND(S130*EXP(Int_Rate/365.25 * M131)-S130,2))</f>
        <v>0</v>
      </c>
      <c r="Q131" s="1851" cm="1">
        <f t="array" ref="Q131">_xlfn.IFS(
    AND(I131=TRUE, K131&lt;=No_Regular_Payments), Periodic_Admin_Charge,
   TRUE, 0
)</f>
        <v>0</v>
      </c>
      <c r="R131" s="1850">
        <f>N131-O131-Q131</f>
        <v>0</v>
      </c>
      <c r="S131" s="1850">
        <f>ROUND(S130-R131,2)</f>
        <v>0</v>
      </c>
      <c r="T131" s="1850">
        <f>ROUND(T130-(N131-Q131),2)</f>
        <v>0</v>
      </c>
      <c r="U131" s="1849"/>
      <c r="W131" s="1848"/>
      <c r="X131" s="1848"/>
      <c r="Y131" s="1848"/>
      <c r="Z131" s="1858"/>
    </row>
    <row r="132" spans="2:26" ht="17.25" hidden="1" customHeight="1">
      <c r="B132" s="1815" t="b">
        <f>AND(I132=FALSE,N131=0,Q131=0,L131="")</f>
        <v>1</v>
      </c>
      <c r="C132" s="1844" t="str" cm="1">
        <f t="array" ref="C132">_xlfn.IFS(
    L132="", "",
    MONTH(L132) &lt;= End_of_Year_Month, YEAR(L132),
    TRUE, YEAR(L132) + 1
)</f>
        <v/>
      </c>
      <c r="F132" s="1857">
        <f>IF(L132="",0,L132)</f>
        <v>0</v>
      </c>
      <c r="G132" s="1856">
        <f>-(N132-Q132)</f>
        <v>0</v>
      </c>
      <c r="I132" s="1815" t="b">
        <f>K132&lt;=Number_Payments</f>
        <v>0</v>
      </c>
      <c r="J132" s="1855"/>
      <c r="K132" s="1351">
        <f>K131+1</f>
        <v>6</v>
      </c>
      <c r="L132" s="1854" t="str" cm="1">
        <f t="array" ref="L132">_xlfn.IFS(
    I131=FALSE, "",
    Payment_Frequency="Monthly", EDATE(L131, 1),
    Payment_Frequency="Weekly", DATE(YEAR(L131), MONTH(L131), DAY(L131) + 7),
    Payment_Frequency="Fortnightly", DATE(YEAR(L131), MONTH(L131), DAY(L131) + 14),
    Payment_Frequency="Quarterly", DATE(YEAR(L131), MONTH(L131) + 3, DAY(L131)),
    Payment_Frequency="Yearly", DATE(YEAR(L131) + 1, MONTH(L131), DAY(L131)),
    TRUE, ""
)</f>
        <v/>
      </c>
      <c r="M132" s="1853">
        <f>IF(ISERROR(L132-L131),0,L132-L131)</f>
        <v>0</v>
      </c>
      <c r="N132" s="1851" cm="1">
        <f t="array" ref="N132">_xlfn.IFS(
    AND(I132=TRUE, K132&lt;=No_Regular_Payments), Repay_Amt,
    AND(I132=TRUE, K132=No_Regular_Payments+1), Tm_Balloon_Amt,
   TRUE, 0
)</f>
        <v>0</v>
      </c>
      <c r="O132" s="1850" cm="1">
        <f t="array" ref="O132">_xlfn.IFS(
    M132=0,0,
   ABS(N132 - S131 - P132-Q132) &lt; 1, N132 - S131-Q132,
    TRUE, P132
)</f>
        <v>0</v>
      </c>
      <c r="P132" s="1852">
        <f>IF(M132=0,0,ROUND(S131*EXP(Int_Rate/365.25 * M132)-S131,2))</f>
        <v>0</v>
      </c>
      <c r="Q132" s="1851" cm="1">
        <f t="array" ref="Q132">_xlfn.IFS(
    AND(I132=TRUE, K132&lt;=No_Regular_Payments), Periodic_Admin_Charge,
   TRUE, 0
)</f>
        <v>0</v>
      </c>
      <c r="R132" s="1850">
        <f>N132-O132-Q132</f>
        <v>0</v>
      </c>
      <c r="S132" s="1850">
        <f>ROUND(S131-R132,2)</f>
        <v>0</v>
      </c>
      <c r="T132" s="1850">
        <f>ROUND(T131-(N132-Q132),2)</f>
        <v>0</v>
      </c>
      <c r="U132" s="1849"/>
      <c r="W132" s="1848"/>
      <c r="X132" s="1848"/>
      <c r="Y132" s="1848"/>
      <c r="Z132" s="1858"/>
    </row>
    <row r="133" spans="2:26" ht="17.25" hidden="1" customHeight="1">
      <c r="B133" s="1815" t="b">
        <f>AND(I133=FALSE,N132=0,Q132=0,L132="")</f>
        <v>1</v>
      </c>
      <c r="C133" s="1844" t="str" cm="1">
        <f t="array" ref="C133">_xlfn.IFS(
    L133="", "",
    MONTH(L133) &lt;= End_of_Year_Month, YEAR(L133),
    TRUE, YEAR(L133) + 1
)</f>
        <v/>
      </c>
      <c r="F133" s="1857">
        <f>IF(L133="",0,L133)</f>
        <v>0</v>
      </c>
      <c r="G133" s="1856">
        <f>-(N133-Q133)</f>
        <v>0</v>
      </c>
      <c r="I133" s="1815" t="b">
        <f>K133&lt;=Number_Payments</f>
        <v>0</v>
      </c>
      <c r="J133" s="1855"/>
      <c r="K133" s="1351">
        <f>K132+1</f>
        <v>7</v>
      </c>
      <c r="L133" s="1854" t="str" cm="1">
        <f t="array" ref="L133">_xlfn.IFS(
    I132=FALSE, "",
    Payment_Frequency="Monthly", EDATE(L132, 1),
    Payment_Frequency="Weekly", DATE(YEAR(L132), MONTH(L132), DAY(L132) + 7),
    Payment_Frequency="Fortnightly", DATE(YEAR(L132), MONTH(L132), DAY(L132) + 14),
    Payment_Frequency="Quarterly", DATE(YEAR(L132), MONTH(L132) + 3, DAY(L132)),
    Payment_Frequency="Yearly", DATE(YEAR(L132) + 1, MONTH(L132), DAY(L132)),
    TRUE, ""
)</f>
        <v/>
      </c>
      <c r="M133" s="1853">
        <f>IF(ISERROR(L133-L132),0,L133-L132)</f>
        <v>0</v>
      </c>
      <c r="N133" s="1851" cm="1">
        <f t="array" ref="N133">_xlfn.IFS(
    AND(I133=TRUE, K133&lt;=No_Regular_Payments), Repay_Amt,
    AND(I133=TRUE, K133=No_Regular_Payments+1), Tm_Balloon_Amt,
   TRUE, 0
)</f>
        <v>0</v>
      </c>
      <c r="O133" s="1850" cm="1">
        <f t="array" ref="O133">_xlfn.IFS(
    M133=0,0,
   ABS(N133 - S132 - P133-Q133) &lt; 1, N133 - S132-Q133,
    TRUE, P133
)</f>
        <v>0</v>
      </c>
      <c r="P133" s="1852">
        <f>IF(M133=0,0,ROUND(S132*EXP(Int_Rate/365.25 * M133)-S132,2))</f>
        <v>0</v>
      </c>
      <c r="Q133" s="1851" cm="1">
        <f t="array" ref="Q133">_xlfn.IFS(
    AND(I133=TRUE, K133&lt;=No_Regular_Payments), Periodic_Admin_Charge,
   TRUE, 0
)</f>
        <v>0</v>
      </c>
      <c r="R133" s="1850">
        <f>N133-O133-Q133</f>
        <v>0</v>
      </c>
      <c r="S133" s="1850">
        <f>ROUND(S132-R133,2)</f>
        <v>0</v>
      </c>
      <c r="T133" s="1850">
        <f>ROUND(T132-(N133-Q133),2)</f>
        <v>0</v>
      </c>
      <c r="U133" s="1849"/>
      <c r="W133" s="1848"/>
      <c r="X133" s="1848"/>
      <c r="Y133" s="1848"/>
      <c r="Z133" s="1858"/>
    </row>
    <row r="134" spans="2:26" ht="17.25" hidden="1" customHeight="1">
      <c r="B134" s="1815" t="b">
        <f>AND(I134=FALSE,N133=0,Q133=0,L133="")</f>
        <v>1</v>
      </c>
      <c r="C134" s="1844" t="str" cm="1">
        <f t="array" ref="C134">_xlfn.IFS(
    L134="", "",
    MONTH(L134) &lt;= End_of_Year_Month, YEAR(L134),
    TRUE, YEAR(L134) + 1
)</f>
        <v/>
      </c>
      <c r="F134" s="1857">
        <f>IF(L134="",0,L134)</f>
        <v>0</v>
      </c>
      <c r="G134" s="1856">
        <f>-(N134-Q134)</f>
        <v>0</v>
      </c>
      <c r="I134" s="1815" t="b">
        <f>K134&lt;=Number_Payments</f>
        <v>0</v>
      </c>
      <c r="J134" s="1855"/>
      <c r="K134" s="1351">
        <f>K133+1</f>
        <v>8</v>
      </c>
      <c r="L134" s="1854" t="str" cm="1">
        <f t="array" ref="L134">_xlfn.IFS(
    I133=FALSE, "",
    Payment_Frequency="Monthly", EDATE(L133, 1),
    Payment_Frequency="Weekly", DATE(YEAR(L133), MONTH(L133), DAY(L133) + 7),
    Payment_Frequency="Fortnightly", DATE(YEAR(L133), MONTH(L133), DAY(L133) + 14),
    Payment_Frequency="Quarterly", DATE(YEAR(L133), MONTH(L133) + 3, DAY(L133)),
    Payment_Frequency="Yearly", DATE(YEAR(L133) + 1, MONTH(L133), DAY(L133)),
    TRUE, ""
)</f>
        <v/>
      </c>
      <c r="M134" s="1853">
        <f>IF(ISERROR(L134-L133),0,L134-L133)</f>
        <v>0</v>
      </c>
      <c r="N134" s="1851" cm="1">
        <f t="array" ref="N134">_xlfn.IFS(
    AND(I134=TRUE, K134&lt;=No_Regular_Payments), Repay_Amt,
    AND(I134=TRUE, K134=No_Regular_Payments+1), Tm_Balloon_Amt,
   TRUE, 0
)</f>
        <v>0</v>
      </c>
      <c r="O134" s="1850" cm="1">
        <f t="array" ref="O134">_xlfn.IFS(
    M134=0,0,
   ABS(N134 - S133 - P134-Q134) &lt; 1, N134 - S133-Q134,
    TRUE, P134
)</f>
        <v>0</v>
      </c>
      <c r="P134" s="1852">
        <f>IF(M134=0,0,ROUND(S133*EXP(Int_Rate/365.25 * M134)-S133,2))</f>
        <v>0</v>
      </c>
      <c r="Q134" s="1851" cm="1">
        <f t="array" ref="Q134">_xlfn.IFS(
    AND(I134=TRUE, K134&lt;=No_Regular_Payments), Periodic_Admin_Charge,
   TRUE, 0
)</f>
        <v>0</v>
      </c>
      <c r="R134" s="1850">
        <f>N134-O134-Q134</f>
        <v>0</v>
      </c>
      <c r="S134" s="1850">
        <f>ROUND(S133-R134,2)</f>
        <v>0</v>
      </c>
      <c r="T134" s="1850">
        <f>ROUND(T133-(N134-Q134),2)</f>
        <v>0</v>
      </c>
      <c r="U134" s="1849"/>
      <c r="W134" s="1848"/>
      <c r="X134" s="1848"/>
      <c r="Y134" s="1848"/>
      <c r="Z134" s="1858"/>
    </row>
    <row r="135" spans="2:26" ht="17.25" hidden="1" customHeight="1">
      <c r="B135" s="1815" t="b">
        <f>AND(I135=FALSE,N134=0,Q134=0,L134="")</f>
        <v>1</v>
      </c>
      <c r="C135" s="1844" t="str" cm="1">
        <f t="array" ref="C135">_xlfn.IFS(
    L135="", "",
    MONTH(L135) &lt;= End_of_Year_Month, YEAR(L135),
    TRUE, YEAR(L135) + 1
)</f>
        <v/>
      </c>
      <c r="F135" s="1857">
        <f>IF(L135="",0,L135)</f>
        <v>0</v>
      </c>
      <c r="G135" s="1856">
        <f>-(N135-Q135)</f>
        <v>0</v>
      </c>
      <c r="I135" s="1815" t="b">
        <f>K135&lt;=Number_Payments</f>
        <v>0</v>
      </c>
      <c r="J135" s="1855"/>
      <c r="K135" s="1351">
        <f>K134+1</f>
        <v>9</v>
      </c>
      <c r="L135" s="1854" t="str" cm="1">
        <f t="array" ref="L135">_xlfn.IFS(
    I134=FALSE, "",
    Payment_Frequency="Monthly", EDATE(L134, 1),
    Payment_Frequency="Weekly", DATE(YEAR(L134), MONTH(L134), DAY(L134) + 7),
    Payment_Frequency="Fortnightly", DATE(YEAR(L134), MONTH(L134), DAY(L134) + 14),
    Payment_Frequency="Quarterly", DATE(YEAR(L134), MONTH(L134) + 3, DAY(L134)),
    Payment_Frequency="Yearly", DATE(YEAR(L134) + 1, MONTH(L134), DAY(L134)),
    TRUE, ""
)</f>
        <v/>
      </c>
      <c r="M135" s="1853">
        <f>IF(ISERROR(L135-L134),0,L135-L134)</f>
        <v>0</v>
      </c>
      <c r="N135" s="1851" cm="1">
        <f t="array" ref="N135">_xlfn.IFS(
    AND(I135=TRUE, K135&lt;=No_Regular_Payments), Repay_Amt,
    AND(I135=TRUE, K135=No_Regular_Payments+1), Tm_Balloon_Amt,
   TRUE, 0
)</f>
        <v>0</v>
      </c>
      <c r="O135" s="1850" cm="1">
        <f t="array" ref="O135">_xlfn.IFS(
    M135=0,0,
   ABS(N135 - S134 - P135-Q135) &lt; 1, N135 - S134-Q135,
    TRUE, P135
)</f>
        <v>0</v>
      </c>
      <c r="P135" s="1852">
        <f>IF(M135=0,0,ROUND(S134*EXP(Int_Rate/365.25 * M135)-S134,2))</f>
        <v>0</v>
      </c>
      <c r="Q135" s="1851" cm="1">
        <f t="array" ref="Q135">_xlfn.IFS(
    AND(I135=TRUE, K135&lt;=No_Regular_Payments), Periodic_Admin_Charge,
   TRUE, 0
)</f>
        <v>0</v>
      </c>
      <c r="R135" s="1850">
        <f>N135-O135-Q135</f>
        <v>0</v>
      </c>
      <c r="S135" s="1850">
        <f>ROUND(S134-R135,2)</f>
        <v>0</v>
      </c>
      <c r="T135" s="1850">
        <f>ROUND(T134-(N135-Q135),2)</f>
        <v>0</v>
      </c>
      <c r="U135" s="1849"/>
      <c r="W135" s="1848"/>
      <c r="X135" s="1848"/>
      <c r="Y135" s="1848"/>
      <c r="Z135" s="1858"/>
    </row>
    <row r="136" spans="2:26" ht="17.25" hidden="1" customHeight="1">
      <c r="B136" s="1815" t="b">
        <f>AND(I136=FALSE,N135=0,Q135=0,L135="")</f>
        <v>1</v>
      </c>
      <c r="C136" s="1844" t="str" cm="1">
        <f t="array" ref="C136">_xlfn.IFS(
    L136="", "",
    MONTH(L136) &lt;= End_of_Year_Month, YEAR(L136),
    TRUE, YEAR(L136) + 1
)</f>
        <v/>
      </c>
      <c r="F136" s="1857">
        <f>IF(L136="",0,L136)</f>
        <v>0</v>
      </c>
      <c r="G136" s="1856">
        <f>-(N136-Q136)</f>
        <v>0</v>
      </c>
      <c r="I136" s="1815" t="b">
        <f>K136&lt;=Number_Payments</f>
        <v>0</v>
      </c>
      <c r="J136" s="1855"/>
      <c r="K136" s="1351">
        <f>K135+1</f>
        <v>10</v>
      </c>
      <c r="L136" s="1854" t="str" cm="1">
        <f t="array" ref="L136">_xlfn.IFS(
    I135=FALSE, "",
    Payment_Frequency="Monthly", EDATE(L135, 1),
    Payment_Frequency="Weekly", DATE(YEAR(L135), MONTH(L135), DAY(L135) + 7),
    Payment_Frequency="Fortnightly", DATE(YEAR(L135), MONTH(L135), DAY(L135) + 14),
    Payment_Frequency="Quarterly", DATE(YEAR(L135), MONTH(L135) + 3, DAY(L135)),
    Payment_Frequency="Yearly", DATE(YEAR(L135) + 1, MONTH(L135), DAY(L135)),
    TRUE, ""
)</f>
        <v/>
      </c>
      <c r="M136" s="1853">
        <f>IF(ISERROR(L136-L135),0,L136-L135)</f>
        <v>0</v>
      </c>
      <c r="N136" s="1851" cm="1">
        <f t="array" ref="N136">_xlfn.IFS(
    AND(I136=TRUE, K136&lt;=No_Regular_Payments), Repay_Amt,
    AND(I136=TRUE, K136=No_Regular_Payments+1), Tm_Balloon_Amt,
   TRUE, 0
)</f>
        <v>0</v>
      </c>
      <c r="O136" s="1850" cm="1">
        <f t="array" ref="O136">_xlfn.IFS(
    M136=0,0,
   ABS(N136 - S135 - P136-Q136) &lt; 1, N136 - S135-Q136,
    TRUE, P136
)</f>
        <v>0</v>
      </c>
      <c r="P136" s="1852">
        <f>IF(M136=0,0,ROUND(S135*EXP(Int_Rate/365.25 * M136)-S135,2))</f>
        <v>0</v>
      </c>
      <c r="Q136" s="1851" cm="1">
        <f t="array" ref="Q136">_xlfn.IFS(
    AND(I136=TRUE, K136&lt;=No_Regular_Payments), Periodic_Admin_Charge,
   TRUE, 0
)</f>
        <v>0</v>
      </c>
      <c r="R136" s="1850">
        <f>N136-O136-Q136</f>
        <v>0</v>
      </c>
      <c r="S136" s="1850">
        <f>ROUND(S135-R136,2)</f>
        <v>0</v>
      </c>
      <c r="T136" s="1850">
        <f>ROUND(T135-(N136-Q136),2)</f>
        <v>0</v>
      </c>
      <c r="U136" s="1849"/>
      <c r="W136" s="1848"/>
      <c r="X136" s="1848"/>
      <c r="Y136" s="1848"/>
      <c r="Z136" s="1858"/>
    </row>
    <row r="137" spans="2:26" ht="17.25" hidden="1" customHeight="1">
      <c r="B137" s="1815" t="b">
        <f>AND(I137=FALSE,N136=0,Q136=0,L136="")</f>
        <v>1</v>
      </c>
      <c r="C137" s="1844" t="str" cm="1">
        <f t="array" ref="C137">_xlfn.IFS(
    L137="", "",
    MONTH(L137) &lt;= End_of_Year_Month, YEAR(L137),
    TRUE, YEAR(L137) + 1
)</f>
        <v/>
      </c>
      <c r="F137" s="1857">
        <f>IF(L137="",0,L137)</f>
        <v>0</v>
      </c>
      <c r="G137" s="1856">
        <f>-(N137-Q137)</f>
        <v>0</v>
      </c>
      <c r="I137" s="1815" t="b">
        <f>K137&lt;=Number_Payments</f>
        <v>0</v>
      </c>
      <c r="J137" s="1855"/>
      <c r="K137" s="1351">
        <f>K136+1</f>
        <v>11</v>
      </c>
      <c r="L137" s="1854" t="str" cm="1">
        <f t="array" ref="L137">_xlfn.IFS(
    I136=FALSE, "",
    Payment_Frequency="Monthly", EDATE(L136, 1),
    Payment_Frequency="Weekly", DATE(YEAR(L136), MONTH(L136), DAY(L136) + 7),
    Payment_Frequency="Fortnightly", DATE(YEAR(L136), MONTH(L136), DAY(L136) + 14),
    Payment_Frequency="Quarterly", DATE(YEAR(L136), MONTH(L136) + 3, DAY(L136)),
    Payment_Frequency="Yearly", DATE(YEAR(L136) + 1, MONTH(L136), DAY(L136)),
    TRUE, ""
)</f>
        <v/>
      </c>
      <c r="M137" s="1853">
        <f>IF(ISERROR(L137-L136),0,L137-L136)</f>
        <v>0</v>
      </c>
      <c r="N137" s="1851" cm="1">
        <f t="array" ref="N137">_xlfn.IFS(
    AND(I137=TRUE, K137&lt;=No_Regular_Payments), Repay_Amt,
    AND(I137=TRUE, K137=No_Regular_Payments+1), Tm_Balloon_Amt,
   TRUE, 0
)</f>
        <v>0</v>
      </c>
      <c r="O137" s="1850" cm="1">
        <f t="array" ref="O137">_xlfn.IFS(
    M137=0,0,
   ABS(N137 - S136 - P137-Q137) &lt; 1, N137 - S136-Q137,
    TRUE, P137
)</f>
        <v>0</v>
      </c>
      <c r="P137" s="1852">
        <f>IF(M137=0,0,ROUND(S136*EXP(Int_Rate/365.25 * M137)-S136,2))</f>
        <v>0</v>
      </c>
      <c r="Q137" s="1851" cm="1">
        <f t="array" ref="Q137">_xlfn.IFS(
    AND(I137=TRUE, K137&lt;=No_Regular_Payments), Periodic_Admin_Charge,
   TRUE, 0
)</f>
        <v>0</v>
      </c>
      <c r="R137" s="1850">
        <f>N137-O137-Q137</f>
        <v>0</v>
      </c>
      <c r="S137" s="1850">
        <f>ROUND(S136-R137,2)</f>
        <v>0</v>
      </c>
      <c r="T137" s="1850">
        <f>ROUND(T136-(N137-Q137),2)</f>
        <v>0</v>
      </c>
      <c r="U137" s="1849"/>
      <c r="W137" s="1848"/>
      <c r="X137" s="1848"/>
      <c r="Y137" s="1848"/>
      <c r="Z137" s="1858"/>
    </row>
    <row r="138" spans="2:26" ht="17.25" hidden="1" customHeight="1">
      <c r="B138" s="1815" t="b">
        <f>AND(I138=FALSE,N137=0,Q137=0,L137="")</f>
        <v>1</v>
      </c>
      <c r="C138" s="1844" t="str" cm="1">
        <f t="array" ref="C138">_xlfn.IFS(
    L138="", "",
    MONTH(L138) &lt;= End_of_Year_Month, YEAR(L138),
    TRUE, YEAR(L138) + 1
)</f>
        <v/>
      </c>
      <c r="F138" s="1857">
        <f>IF(L138="",0,L138)</f>
        <v>0</v>
      </c>
      <c r="G138" s="1856">
        <f>-(N138-Q138)</f>
        <v>0</v>
      </c>
      <c r="I138" s="1815" t="b">
        <f>K138&lt;=Number_Payments</f>
        <v>0</v>
      </c>
      <c r="J138" s="1855"/>
      <c r="K138" s="1351">
        <f>K137+1</f>
        <v>12</v>
      </c>
      <c r="L138" s="1854" t="str" cm="1">
        <f t="array" ref="L138">_xlfn.IFS(
    I137=FALSE, "",
    Payment_Frequency="Monthly", EDATE(L137, 1),
    Payment_Frequency="Weekly", DATE(YEAR(L137), MONTH(L137), DAY(L137) + 7),
    Payment_Frequency="Fortnightly", DATE(YEAR(L137), MONTH(L137), DAY(L137) + 14),
    Payment_Frequency="Quarterly", DATE(YEAR(L137), MONTH(L137) + 3, DAY(L137)),
    Payment_Frequency="Yearly", DATE(YEAR(L137) + 1, MONTH(L137), DAY(L137)),
    TRUE, ""
)</f>
        <v/>
      </c>
      <c r="M138" s="1853">
        <f>IF(ISERROR(L138-L137),0,L138-L137)</f>
        <v>0</v>
      </c>
      <c r="N138" s="1851" cm="1">
        <f t="array" ref="N138">_xlfn.IFS(
    AND(I138=TRUE, K138&lt;=No_Regular_Payments), Repay_Amt,
    AND(I138=TRUE, K138=No_Regular_Payments+1), Tm_Balloon_Amt,
   TRUE, 0
)</f>
        <v>0</v>
      </c>
      <c r="O138" s="1850" cm="1">
        <f t="array" ref="O138">_xlfn.IFS(
    M138=0,0,
   ABS(N138 - S137 - P138-Q138) &lt; 1, N138 - S137-Q138,
    TRUE, P138
)</f>
        <v>0</v>
      </c>
      <c r="P138" s="1852">
        <f>IF(M138=0,0,ROUND(S137*EXP(Int_Rate/365.25 * M138)-S137,2))</f>
        <v>0</v>
      </c>
      <c r="Q138" s="1851" cm="1">
        <f t="array" ref="Q138">_xlfn.IFS(
    AND(I138=TRUE, K138&lt;=No_Regular_Payments), Periodic_Admin_Charge,
   TRUE, 0
)</f>
        <v>0</v>
      </c>
      <c r="R138" s="1850">
        <f>N138-O138-Q138</f>
        <v>0</v>
      </c>
      <c r="S138" s="1850">
        <f>ROUND(S137-R138,2)</f>
        <v>0</v>
      </c>
      <c r="T138" s="1850">
        <f>ROUND(T137-(N138-Q138),2)</f>
        <v>0</v>
      </c>
      <c r="U138" s="1849"/>
      <c r="W138" s="1848"/>
      <c r="X138" s="1848"/>
      <c r="Y138" s="1848"/>
      <c r="Z138" s="1858"/>
    </row>
    <row r="139" spans="2:26" ht="17.25" hidden="1" customHeight="1">
      <c r="B139" s="1815" t="b">
        <f>AND(I139=FALSE,N138=0,Q138=0,L138="")</f>
        <v>1</v>
      </c>
      <c r="C139" s="1844" t="str" cm="1">
        <f t="array" ref="C139">_xlfn.IFS(
    L139="", "",
    MONTH(L139) &lt;= End_of_Year_Month, YEAR(L139),
    TRUE, YEAR(L139) + 1
)</f>
        <v/>
      </c>
      <c r="F139" s="1857">
        <f>IF(L139="",0,L139)</f>
        <v>0</v>
      </c>
      <c r="G139" s="1856">
        <f>-(N139-Q139)</f>
        <v>0</v>
      </c>
      <c r="I139" s="1815" t="b">
        <f>K139&lt;=Number_Payments</f>
        <v>0</v>
      </c>
      <c r="J139" s="1855"/>
      <c r="K139" s="1351">
        <f>K138+1</f>
        <v>13</v>
      </c>
      <c r="L139" s="1854" t="str" cm="1">
        <f t="array" ref="L139">_xlfn.IFS(
    I138=FALSE, "",
    Payment_Frequency="Monthly", EDATE(L138, 1),
    Payment_Frequency="Weekly", DATE(YEAR(L138), MONTH(L138), DAY(L138) + 7),
    Payment_Frequency="Fortnightly", DATE(YEAR(L138), MONTH(L138), DAY(L138) + 14),
    Payment_Frequency="Quarterly", DATE(YEAR(L138), MONTH(L138) + 3, DAY(L138)),
    Payment_Frequency="Yearly", DATE(YEAR(L138) + 1, MONTH(L138), DAY(L138)),
    TRUE, ""
)</f>
        <v/>
      </c>
      <c r="M139" s="1853">
        <f>IF(ISERROR(L139-L138),0,L139-L138)</f>
        <v>0</v>
      </c>
      <c r="N139" s="1851" cm="1">
        <f t="array" ref="N139">_xlfn.IFS(
    AND(I139=TRUE, K139&lt;=No_Regular_Payments), Repay_Amt,
    AND(I139=TRUE, K139=No_Regular_Payments+1), Tm_Balloon_Amt,
   TRUE, 0
)</f>
        <v>0</v>
      </c>
      <c r="O139" s="1850" cm="1">
        <f t="array" ref="O139">_xlfn.IFS(
    M139=0,0,
   ABS(N139 - S138 - P139-Q139) &lt; 1, N139 - S138-Q139,
    TRUE, P139
)</f>
        <v>0</v>
      </c>
      <c r="P139" s="1852">
        <f>IF(M139=0,0,ROUND(S138*EXP(Int_Rate/365.25 * M139)-S138,2))</f>
        <v>0</v>
      </c>
      <c r="Q139" s="1851" cm="1">
        <f t="array" ref="Q139">_xlfn.IFS(
    AND(I139=TRUE, K139&lt;=No_Regular_Payments), Periodic_Admin_Charge,
   TRUE, 0
)</f>
        <v>0</v>
      </c>
      <c r="R139" s="1850">
        <f>N139-O139-Q139</f>
        <v>0</v>
      </c>
      <c r="S139" s="1850">
        <f>ROUND(S138-R139,2)</f>
        <v>0</v>
      </c>
      <c r="T139" s="1850">
        <f>ROUND(T138-(N139-Q139),2)</f>
        <v>0</v>
      </c>
      <c r="U139" s="1849"/>
      <c r="W139" s="1848"/>
      <c r="X139" s="1848"/>
      <c r="Y139" s="1848"/>
      <c r="Z139" s="1858"/>
    </row>
    <row r="140" spans="2:26" ht="17.25" hidden="1" customHeight="1">
      <c r="B140" s="1815" t="b">
        <f>AND(I140=FALSE,N139=0,Q139=0,L139="")</f>
        <v>1</v>
      </c>
      <c r="C140" s="1844" t="str" cm="1">
        <f t="array" ref="C140">_xlfn.IFS(
    L140="", "",
    MONTH(L140) &lt;= End_of_Year_Month, YEAR(L140),
    TRUE, YEAR(L140) + 1
)</f>
        <v/>
      </c>
      <c r="F140" s="1857">
        <f>IF(L140="",0,L140)</f>
        <v>0</v>
      </c>
      <c r="G140" s="1856">
        <f>-(N140-Q140)</f>
        <v>0</v>
      </c>
      <c r="I140" s="1815" t="b">
        <f>K140&lt;=Number_Payments</f>
        <v>0</v>
      </c>
      <c r="J140" s="1855"/>
      <c r="K140" s="1351">
        <f>K139+1</f>
        <v>14</v>
      </c>
      <c r="L140" s="1854" t="str" cm="1">
        <f t="array" ref="L140">_xlfn.IFS(
    I139=FALSE, "",
    Payment_Frequency="Monthly", EDATE(L139, 1),
    Payment_Frequency="Weekly", DATE(YEAR(L139), MONTH(L139), DAY(L139) + 7),
    Payment_Frequency="Fortnightly", DATE(YEAR(L139), MONTH(L139), DAY(L139) + 14),
    Payment_Frequency="Quarterly", DATE(YEAR(L139), MONTH(L139) + 3, DAY(L139)),
    Payment_Frequency="Yearly", DATE(YEAR(L139) + 1, MONTH(L139), DAY(L139)),
    TRUE, ""
)</f>
        <v/>
      </c>
      <c r="M140" s="1853">
        <f>IF(ISERROR(L140-L139),0,L140-L139)</f>
        <v>0</v>
      </c>
      <c r="N140" s="1851" cm="1">
        <f t="array" ref="N140">_xlfn.IFS(
    AND(I140=TRUE, K140&lt;=No_Regular_Payments), Repay_Amt,
    AND(I140=TRUE, K140=No_Regular_Payments+1), Tm_Balloon_Amt,
   TRUE, 0
)</f>
        <v>0</v>
      </c>
      <c r="O140" s="1850" cm="1">
        <f t="array" ref="O140">_xlfn.IFS(
    M140=0,0,
   ABS(N140 - S139 - P140-Q140) &lt; 1, N140 - S139-Q140,
    TRUE, P140
)</f>
        <v>0</v>
      </c>
      <c r="P140" s="1852">
        <f>IF(M140=0,0,ROUND(S139*EXP(Int_Rate/365.25 * M140)-S139,2))</f>
        <v>0</v>
      </c>
      <c r="Q140" s="1851" cm="1">
        <f t="array" ref="Q140">_xlfn.IFS(
    AND(I140=TRUE, K140&lt;=No_Regular_Payments), Periodic_Admin_Charge,
   TRUE, 0
)</f>
        <v>0</v>
      </c>
      <c r="R140" s="1850">
        <f>N140-O140-Q140</f>
        <v>0</v>
      </c>
      <c r="S140" s="1850">
        <f>ROUND(S139-R140,2)</f>
        <v>0</v>
      </c>
      <c r="T140" s="1850">
        <f>ROUND(T139-(N140-Q140),2)</f>
        <v>0</v>
      </c>
      <c r="U140" s="1849"/>
      <c r="W140" s="1848"/>
      <c r="X140" s="1848"/>
      <c r="Y140" s="1848"/>
      <c r="Z140" s="1858"/>
    </row>
    <row r="141" spans="2:26" ht="17.25" hidden="1" customHeight="1">
      <c r="B141" s="1815" t="b">
        <f>AND(I141=FALSE,N140=0,Q140=0,L140="")</f>
        <v>1</v>
      </c>
      <c r="C141" s="1844" t="str" cm="1">
        <f t="array" ref="C141">_xlfn.IFS(
    L141="", "",
    MONTH(L141) &lt;= End_of_Year_Month, YEAR(L141),
    TRUE, YEAR(L141) + 1
)</f>
        <v/>
      </c>
      <c r="F141" s="1857">
        <f>IF(L141="",0,L141)</f>
        <v>0</v>
      </c>
      <c r="G141" s="1856">
        <f>-(N141-Q141)</f>
        <v>0</v>
      </c>
      <c r="I141" s="1815" t="b">
        <f>K141&lt;=Number_Payments</f>
        <v>0</v>
      </c>
      <c r="J141" s="1855"/>
      <c r="K141" s="1351">
        <f>K140+1</f>
        <v>15</v>
      </c>
      <c r="L141" s="1854" t="str" cm="1">
        <f t="array" ref="L141">_xlfn.IFS(
    I140=FALSE, "",
    Payment_Frequency="Monthly", EDATE(L140, 1),
    Payment_Frequency="Weekly", DATE(YEAR(L140), MONTH(L140), DAY(L140) + 7),
    Payment_Frequency="Fortnightly", DATE(YEAR(L140), MONTH(L140), DAY(L140) + 14),
    Payment_Frequency="Quarterly", DATE(YEAR(L140), MONTH(L140) + 3, DAY(L140)),
    Payment_Frequency="Yearly", DATE(YEAR(L140) + 1, MONTH(L140), DAY(L140)),
    TRUE, ""
)</f>
        <v/>
      </c>
      <c r="M141" s="1853">
        <f>IF(ISERROR(L141-L140),0,L141-L140)</f>
        <v>0</v>
      </c>
      <c r="N141" s="1851" cm="1">
        <f t="array" ref="N141">_xlfn.IFS(
    AND(I141=TRUE, K141&lt;=No_Regular_Payments), Repay_Amt,
    AND(I141=TRUE, K141=No_Regular_Payments+1), Tm_Balloon_Amt,
   TRUE, 0
)</f>
        <v>0</v>
      </c>
      <c r="O141" s="1850" cm="1">
        <f t="array" ref="O141">_xlfn.IFS(
    M141=0,0,
   ABS(N141 - S140 - P141-Q141) &lt; 1, N141 - S140-Q141,
    TRUE, P141
)</f>
        <v>0</v>
      </c>
      <c r="P141" s="1852">
        <f>IF(M141=0,0,ROUND(S140*EXP(Int_Rate/365.25 * M141)-S140,2))</f>
        <v>0</v>
      </c>
      <c r="Q141" s="1851" cm="1">
        <f t="array" ref="Q141">_xlfn.IFS(
    AND(I141=TRUE, K141&lt;=No_Regular_Payments), Periodic_Admin_Charge,
   TRUE, 0
)</f>
        <v>0</v>
      </c>
      <c r="R141" s="1850">
        <f>N141-O141-Q141</f>
        <v>0</v>
      </c>
      <c r="S141" s="1850">
        <f>ROUND(S140-R141,2)</f>
        <v>0</v>
      </c>
      <c r="T141" s="1850">
        <f>ROUND(T140-(N141-Q141),2)</f>
        <v>0</v>
      </c>
      <c r="U141" s="1849"/>
      <c r="W141" s="1848"/>
      <c r="X141" s="1848"/>
      <c r="Y141" s="1848"/>
      <c r="Z141" s="1858"/>
    </row>
    <row r="142" spans="2:26" ht="17.25" hidden="1" customHeight="1">
      <c r="B142" s="1815" t="b">
        <f>AND(I142=FALSE,N141=0,Q141=0,L141="")</f>
        <v>1</v>
      </c>
      <c r="C142" s="1844" t="str" cm="1">
        <f t="array" ref="C142">_xlfn.IFS(
    L142="", "",
    MONTH(L142) &lt;= End_of_Year_Month, YEAR(L142),
    TRUE, YEAR(L142) + 1
)</f>
        <v/>
      </c>
      <c r="F142" s="1857">
        <f>IF(L142="",0,L142)</f>
        <v>0</v>
      </c>
      <c r="G142" s="1856">
        <f>-(N142-Q142)</f>
        <v>0</v>
      </c>
      <c r="I142" s="1815" t="b">
        <f>K142&lt;=Number_Payments</f>
        <v>0</v>
      </c>
      <c r="J142" s="1855"/>
      <c r="K142" s="1351">
        <f>K141+1</f>
        <v>16</v>
      </c>
      <c r="L142" s="1854" t="str" cm="1">
        <f t="array" ref="L142">_xlfn.IFS(
    I141=FALSE, "",
    Payment_Frequency="Monthly", EDATE(L141, 1),
    Payment_Frequency="Weekly", DATE(YEAR(L141), MONTH(L141), DAY(L141) + 7),
    Payment_Frequency="Fortnightly", DATE(YEAR(L141), MONTH(L141), DAY(L141) + 14),
    Payment_Frequency="Quarterly", DATE(YEAR(L141), MONTH(L141) + 3, DAY(L141)),
    Payment_Frequency="Yearly", DATE(YEAR(L141) + 1, MONTH(L141), DAY(L141)),
    TRUE, ""
)</f>
        <v/>
      </c>
      <c r="M142" s="1853">
        <f>IF(ISERROR(L142-L141),0,L142-L141)</f>
        <v>0</v>
      </c>
      <c r="N142" s="1851" cm="1">
        <f t="array" ref="N142">_xlfn.IFS(
    AND(I142=TRUE, K142&lt;=No_Regular_Payments), Repay_Amt,
    AND(I142=TRUE, K142=No_Regular_Payments+1), Tm_Balloon_Amt,
   TRUE, 0
)</f>
        <v>0</v>
      </c>
      <c r="O142" s="1850" cm="1">
        <f t="array" ref="O142">_xlfn.IFS(
    M142=0,0,
   ABS(N142 - S141 - P142-Q142) &lt; 1, N142 - S141-Q142,
    TRUE, P142
)</f>
        <v>0</v>
      </c>
      <c r="P142" s="1852">
        <f>IF(M142=0,0,ROUND(S141*EXP(Int_Rate/365.25 * M142)-S141,2))</f>
        <v>0</v>
      </c>
      <c r="Q142" s="1851" cm="1">
        <f t="array" ref="Q142">_xlfn.IFS(
    AND(I142=TRUE, K142&lt;=No_Regular_Payments), Periodic_Admin_Charge,
   TRUE, 0
)</f>
        <v>0</v>
      </c>
      <c r="R142" s="1850">
        <f>N142-O142-Q142</f>
        <v>0</v>
      </c>
      <c r="S142" s="1850">
        <f>ROUND(S141-R142,2)</f>
        <v>0</v>
      </c>
      <c r="T142" s="1850">
        <f>ROUND(T141-(N142-Q142),2)</f>
        <v>0</v>
      </c>
      <c r="U142" s="1849"/>
      <c r="W142" s="1848"/>
      <c r="X142" s="1848"/>
      <c r="Y142" s="1848"/>
      <c r="Z142" s="1858"/>
    </row>
    <row r="143" spans="2:26" ht="17.25" hidden="1" customHeight="1">
      <c r="B143" s="1815" t="b">
        <f>AND(I143=FALSE,N142=0,Q142=0,L142="")</f>
        <v>1</v>
      </c>
      <c r="C143" s="1844" t="str" cm="1">
        <f t="array" ref="C143">_xlfn.IFS(
    L143="", "",
    MONTH(L143) &lt;= End_of_Year_Month, YEAR(L143),
    TRUE, YEAR(L143) + 1
)</f>
        <v/>
      </c>
      <c r="F143" s="1857">
        <f>IF(L143="",0,L143)</f>
        <v>0</v>
      </c>
      <c r="G143" s="1856">
        <f>-(N143-Q143)</f>
        <v>0</v>
      </c>
      <c r="I143" s="1815" t="b">
        <f>K143&lt;=Number_Payments</f>
        <v>0</v>
      </c>
      <c r="J143" s="1855"/>
      <c r="K143" s="1351">
        <f>K142+1</f>
        <v>17</v>
      </c>
      <c r="L143" s="1854" t="str" cm="1">
        <f t="array" ref="L143">_xlfn.IFS(
    I142=FALSE, "",
    Payment_Frequency="Monthly", EDATE(L142, 1),
    Payment_Frequency="Weekly", DATE(YEAR(L142), MONTH(L142), DAY(L142) + 7),
    Payment_Frequency="Fortnightly", DATE(YEAR(L142), MONTH(L142), DAY(L142) + 14),
    Payment_Frequency="Quarterly", DATE(YEAR(L142), MONTH(L142) + 3, DAY(L142)),
    Payment_Frequency="Yearly", DATE(YEAR(L142) + 1, MONTH(L142), DAY(L142)),
    TRUE, ""
)</f>
        <v/>
      </c>
      <c r="M143" s="1853">
        <f>IF(ISERROR(L143-L142),0,L143-L142)</f>
        <v>0</v>
      </c>
      <c r="N143" s="1851" cm="1">
        <f t="array" ref="N143">_xlfn.IFS(
    AND(I143=TRUE, K143&lt;=No_Regular_Payments), Repay_Amt,
    AND(I143=TRUE, K143=No_Regular_Payments+1), Tm_Balloon_Amt,
   TRUE, 0
)</f>
        <v>0</v>
      </c>
      <c r="O143" s="1850" cm="1">
        <f t="array" ref="O143">_xlfn.IFS(
    M143=0,0,
   ABS(N143 - S142 - P143-Q143) &lt; 1, N143 - S142-Q143,
    TRUE, P143
)</f>
        <v>0</v>
      </c>
      <c r="P143" s="1852">
        <f>IF(M143=0,0,ROUND(S142*EXP(Int_Rate/365.25 * M143)-S142,2))</f>
        <v>0</v>
      </c>
      <c r="Q143" s="1851" cm="1">
        <f t="array" ref="Q143">_xlfn.IFS(
    AND(I143=TRUE, K143&lt;=No_Regular_Payments), Periodic_Admin_Charge,
   TRUE, 0
)</f>
        <v>0</v>
      </c>
      <c r="R143" s="1850">
        <f>N143-O143-Q143</f>
        <v>0</v>
      </c>
      <c r="S143" s="1850">
        <f>ROUND(S142-R143,2)</f>
        <v>0</v>
      </c>
      <c r="T143" s="1850">
        <f>ROUND(T142-(N143-Q143),2)</f>
        <v>0</v>
      </c>
      <c r="U143" s="1849"/>
      <c r="W143" s="1848"/>
      <c r="X143" s="1848"/>
      <c r="Y143" s="1848"/>
      <c r="Z143" s="1858"/>
    </row>
    <row r="144" spans="2:26" ht="17.25" hidden="1" customHeight="1">
      <c r="B144" s="1815" t="b">
        <f>AND(I144=FALSE,N143=0,Q143=0,L143="")</f>
        <v>1</v>
      </c>
      <c r="C144" s="1844" t="str" cm="1">
        <f t="array" ref="C144">_xlfn.IFS(
    L144="", "",
    MONTH(L144) &lt;= End_of_Year_Month, YEAR(L144),
    TRUE, YEAR(L144) + 1
)</f>
        <v/>
      </c>
      <c r="F144" s="1857">
        <f>IF(L144="",0,L144)</f>
        <v>0</v>
      </c>
      <c r="G144" s="1856">
        <f>-(N144-Q144)</f>
        <v>0</v>
      </c>
      <c r="I144" s="1815" t="b">
        <f>K144&lt;=Number_Payments</f>
        <v>0</v>
      </c>
      <c r="J144" s="1855"/>
      <c r="K144" s="1351">
        <f>K143+1</f>
        <v>18</v>
      </c>
      <c r="L144" s="1854" t="str" cm="1">
        <f t="array" ref="L144">_xlfn.IFS(
    I143=FALSE, "",
    Payment_Frequency="Monthly", EDATE(L143, 1),
    Payment_Frequency="Weekly", DATE(YEAR(L143), MONTH(L143), DAY(L143) + 7),
    Payment_Frequency="Fortnightly", DATE(YEAR(L143), MONTH(L143), DAY(L143) + 14),
    Payment_Frequency="Quarterly", DATE(YEAR(L143), MONTH(L143) + 3, DAY(L143)),
    Payment_Frequency="Yearly", DATE(YEAR(L143) + 1, MONTH(L143), DAY(L143)),
    TRUE, ""
)</f>
        <v/>
      </c>
      <c r="M144" s="1853">
        <f>IF(ISERROR(L144-L143),0,L144-L143)</f>
        <v>0</v>
      </c>
      <c r="N144" s="1851" cm="1">
        <f t="array" ref="N144">_xlfn.IFS(
    AND(I144=TRUE, K144&lt;=No_Regular_Payments), Repay_Amt,
    AND(I144=TRUE, K144=No_Regular_Payments+1), Tm_Balloon_Amt,
   TRUE, 0
)</f>
        <v>0</v>
      </c>
      <c r="O144" s="1850" cm="1">
        <f t="array" ref="O144">_xlfn.IFS(
    M144=0,0,
   ABS(N144 - S143 - P144-Q144) &lt; 1, N144 - S143-Q144,
    TRUE, P144
)</f>
        <v>0</v>
      </c>
      <c r="P144" s="1852">
        <f>IF(M144=0,0,ROUND(S143*EXP(Int_Rate/365.25 * M144)-S143,2))</f>
        <v>0</v>
      </c>
      <c r="Q144" s="1851" cm="1">
        <f t="array" ref="Q144">_xlfn.IFS(
    AND(I144=TRUE, K144&lt;=No_Regular_Payments), Periodic_Admin_Charge,
   TRUE, 0
)</f>
        <v>0</v>
      </c>
      <c r="R144" s="1850">
        <f>N144-O144-Q144</f>
        <v>0</v>
      </c>
      <c r="S144" s="1850">
        <f>ROUND(S143-R144,2)</f>
        <v>0</v>
      </c>
      <c r="T144" s="1850">
        <f>ROUND(T143-(N144-Q144),2)</f>
        <v>0</v>
      </c>
      <c r="U144" s="1849"/>
      <c r="W144" s="1848"/>
      <c r="X144" s="1848"/>
      <c r="Y144" s="1848"/>
      <c r="Z144" s="1858"/>
    </row>
    <row r="145" spans="2:26" ht="17.25" hidden="1" customHeight="1">
      <c r="B145" s="1815" t="b">
        <f>AND(I145=FALSE,N144=0,Q144=0,L144="")</f>
        <v>1</v>
      </c>
      <c r="C145" s="1844" t="str" cm="1">
        <f t="array" ref="C145">_xlfn.IFS(
    L145="", "",
    MONTH(L145) &lt;= End_of_Year_Month, YEAR(L145),
    TRUE, YEAR(L145) + 1
)</f>
        <v/>
      </c>
      <c r="F145" s="1857">
        <f>IF(L145="",0,L145)</f>
        <v>0</v>
      </c>
      <c r="G145" s="1856">
        <f>-(N145-Q145)</f>
        <v>0</v>
      </c>
      <c r="I145" s="1815" t="b">
        <f>K145&lt;=Number_Payments</f>
        <v>0</v>
      </c>
      <c r="J145" s="1855"/>
      <c r="K145" s="1351">
        <f>K144+1</f>
        <v>19</v>
      </c>
      <c r="L145" s="1854" t="str" cm="1">
        <f t="array" ref="L145">_xlfn.IFS(
    I144=FALSE, "",
    Payment_Frequency="Monthly", EDATE(L144, 1),
    Payment_Frequency="Weekly", DATE(YEAR(L144), MONTH(L144), DAY(L144) + 7),
    Payment_Frequency="Fortnightly", DATE(YEAR(L144), MONTH(L144), DAY(L144) + 14),
    Payment_Frequency="Quarterly", DATE(YEAR(L144), MONTH(L144) + 3, DAY(L144)),
    Payment_Frequency="Yearly", DATE(YEAR(L144) + 1, MONTH(L144), DAY(L144)),
    TRUE, ""
)</f>
        <v/>
      </c>
      <c r="M145" s="1853">
        <f>IF(ISERROR(L145-L144),0,L145-L144)</f>
        <v>0</v>
      </c>
      <c r="N145" s="1851" cm="1">
        <f t="array" ref="N145">_xlfn.IFS(
    AND(I145=TRUE, K145&lt;=No_Regular_Payments), Repay_Amt,
    AND(I145=TRUE, K145=No_Regular_Payments+1), Tm_Balloon_Amt,
   TRUE, 0
)</f>
        <v>0</v>
      </c>
      <c r="O145" s="1850" cm="1">
        <f t="array" ref="O145">_xlfn.IFS(
    M145=0,0,
   ABS(N145 - S144 - P145-Q145) &lt; 1, N145 - S144-Q145,
    TRUE, P145
)</f>
        <v>0</v>
      </c>
      <c r="P145" s="1852">
        <f>IF(M145=0,0,ROUND(S144*EXP(Int_Rate/365.25 * M145)-S144,2))</f>
        <v>0</v>
      </c>
      <c r="Q145" s="1851" cm="1">
        <f t="array" ref="Q145">_xlfn.IFS(
    AND(I145=TRUE, K145&lt;=No_Regular_Payments), Periodic_Admin_Charge,
   TRUE, 0
)</f>
        <v>0</v>
      </c>
      <c r="R145" s="1850">
        <f>N145-O145-Q145</f>
        <v>0</v>
      </c>
      <c r="S145" s="1850">
        <f>ROUND(S144-R145,2)</f>
        <v>0</v>
      </c>
      <c r="T145" s="1850">
        <f>ROUND(T144-(N145-Q145),2)</f>
        <v>0</v>
      </c>
      <c r="U145" s="1849"/>
      <c r="W145" s="1848"/>
      <c r="X145" s="1848"/>
      <c r="Y145" s="1848"/>
      <c r="Z145" s="1858"/>
    </row>
    <row r="146" spans="2:26" ht="17.25" hidden="1" customHeight="1">
      <c r="B146" s="1815" t="b">
        <f>AND(I146=FALSE,N145=0,Q145=0,L145="")</f>
        <v>1</v>
      </c>
      <c r="C146" s="1844" t="str" cm="1">
        <f t="array" ref="C146">_xlfn.IFS(
    L146="", "",
    MONTH(L146) &lt;= End_of_Year_Month, YEAR(L146),
    TRUE, YEAR(L146) + 1
)</f>
        <v/>
      </c>
      <c r="F146" s="1857">
        <f>IF(L146="",0,L146)</f>
        <v>0</v>
      </c>
      <c r="G146" s="1856">
        <f>-(N146-Q146)</f>
        <v>0</v>
      </c>
      <c r="I146" s="1815" t="b">
        <f>K146&lt;=Number_Payments</f>
        <v>0</v>
      </c>
      <c r="J146" s="1855"/>
      <c r="K146" s="1351">
        <f>K145+1</f>
        <v>20</v>
      </c>
      <c r="L146" s="1854" t="str" cm="1">
        <f t="array" ref="L146">_xlfn.IFS(
    I145=FALSE, "",
    Payment_Frequency="Monthly", EDATE(L145, 1),
    Payment_Frequency="Weekly", DATE(YEAR(L145), MONTH(L145), DAY(L145) + 7),
    Payment_Frequency="Fortnightly", DATE(YEAR(L145), MONTH(L145), DAY(L145) + 14),
    Payment_Frequency="Quarterly", DATE(YEAR(L145), MONTH(L145) + 3, DAY(L145)),
    Payment_Frequency="Yearly", DATE(YEAR(L145) + 1, MONTH(L145), DAY(L145)),
    TRUE, ""
)</f>
        <v/>
      </c>
      <c r="M146" s="1853">
        <f>IF(ISERROR(L146-L145),0,L146-L145)</f>
        <v>0</v>
      </c>
      <c r="N146" s="1851" cm="1">
        <f t="array" ref="N146">_xlfn.IFS(
    AND(I146=TRUE, K146&lt;=No_Regular_Payments), Repay_Amt,
    AND(I146=TRUE, K146=No_Regular_Payments+1), Tm_Balloon_Amt,
   TRUE, 0
)</f>
        <v>0</v>
      </c>
      <c r="O146" s="1850" cm="1">
        <f t="array" ref="O146">_xlfn.IFS(
    M146=0,0,
   ABS(N146 - S145 - P146-Q146) &lt; 1, N146 - S145-Q146,
    TRUE, P146
)</f>
        <v>0</v>
      </c>
      <c r="P146" s="1852">
        <f>IF(M146=0,0,ROUND(S145*EXP(Int_Rate/365.25 * M146)-S145,2))</f>
        <v>0</v>
      </c>
      <c r="Q146" s="1851" cm="1">
        <f t="array" ref="Q146">_xlfn.IFS(
    AND(I146=TRUE, K146&lt;=No_Regular_Payments), Periodic_Admin_Charge,
   TRUE, 0
)</f>
        <v>0</v>
      </c>
      <c r="R146" s="1850">
        <f>N146-O146-Q146</f>
        <v>0</v>
      </c>
      <c r="S146" s="1850">
        <f>ROUND(S145-R146,2)</f>
        <v>0</v>
      </c>
      <c r="T146" s="1850">
        <f>ROUND(T145-(N146-Q146),2)</f>
        <v>0</v>
      </c>
      <c r="U146" s="1849"/>
      <c r="W146" s="1848"/>
      <c r="X146" s="1848"/>
      <c r="Y146" s="1848"/>
      <c r="Z146" s="1858"/>
    </row>
    <row r="147" spans="2:26" ht="17.25" hidden="1" customHeight="1">
      <c r="B147" s="1815" t="b">
        <f>AND(I147=FALSE,N146=0,Q146=0,L146="")</f>
        <v>1</v>
      </c>
      <c r="C147" s="1844" t="str" cm="1">
        <f t="array" ref="C147">_xlfn.IFS(
    L147="", "",
    MONTH(L147) &lt;= End_of_Year_Month, YEAR(L147),
    TRUE, YEAR(L147) + 1
)</f>
        <v/>
      </c>
      <c r="F147" s="1857">
        <f>IF(L147="",0,L147)</f>
        <v>0</v>
      </c>
      <c r="G147" s="1856">
        <f>-(N147-Q147)</f>
        <v>0</v>
      </c>
      <c r="I147" s="1815" t="b">
        <f>K147&lt;=Number_Payments</f>
        <v>0</v>
      </c>
      <c r="J147" s="1855"/>
      <c r="K147" s="1351">
        <f>K146+1</f>
        <v>21</v>
      </c>
      <c r="L147" s="1854" t="str" cm="1">
        <f t="array" ref="L147">_xlfn.IFS(
    I146=FALSE, "",
    Payment_Frequency="Monthly", EDATE(L146, 1),
    Payment_Frequency="Weekly", DATE(YEAR(L146), MONTH(L146), DAY(L146) + 7),
    Payment_Frequency="Fortnightly", DATE(YEAR(L146), MONTH(L146), DAY(L146) + 14),
    Payment_Frequency="Quarterly", DATE(YEAR(L146), MONTH(L146) + 3, DAY(L146)),
    Payment_Frequency="Yearly", DATE(YEAR(L146) + 1, MONTH(L146), DAY(L146)),
    TRUE, ""
)</f>
        <v/>
      </c>
      <c r="M147" s="1853">
        <f>IF(ISERROR(L147-L146),0,L147-L146)</f>
        <v>0</v>
      </c>
      <c r="N147" s="1851" cm="1">
        <f t="array" ref="N147">_xlfn.IFS(
    AND(I147=TRUE, K147&lt;=No_Regular_Payments), Repay_Amt,
    AND(I147=TRUE, K147=No_Regular_Payments+1), Tm_Balloon_Amt,
   TRUE, 0
)</f>
        <v>0</v>
      </c>
      <c r="O147" s="1850" cm="1">
        <f t="array" ref="O147">_xlfn.IFS(
    M147=0,0,
   ABS(N147 - S146 - P147-Q147) &lt; 1, N147 - S146-Q147,
    TRUE, P147
)</f>
        <v>0</v>
      </c>
      <c r="P147" s="1852">
        <f>IF(M147=0,0,ROUND(S146*EXP(Int_Rate/365.25 * M147)-S146,2))</f>
        <v>0</v>
      </c>
      <c r="Q147" s="1851" cm="1">
        <f t="array" ref="Q147">_xlfn.IFS(
    AND(I147=TRUE, K147&lt;=No_Regular_Payments), Periodic_Admin_Charge,
   TRUE, 0
)</f>
        <v>0</v>
      </c>
      <c r="R147" s="1850">
        <f>N147-O147-Q147</f>
        <v>0</v>
      </c>
      <c r="S147" s="1850">
        <f>ROUND(S146-R147,2)</f>
        <v>0</v>
      </c>
      <c r="T147" s="1850">
        <f>ROUND(T146-(N147-Q147),2)</f>
        <v>0</v>
      </c>
      <c r="U147" s="1849"/>
      <c r="W147" s="1848"/>
      <c r="X147" s="1848"/>
      <c r="Y147" s="1848"/>
      <c r="Z147" s="1858"/>
    </row>
    <row r="148" spans="2:26" ht="17.25" hidden="1" customHeight="1">
      <c r="B148" s="1815" t="b">
        <f>AND(I148=FALSE,N147=0,Q147=0,L147="")</f>
        <v>1</v>
      </c>
      <c r="C148" s="1844" t="str" cm="1">
        <f t="array" ref="C148">_xlfn.IFS(
    L148="", "",
    MONTH(L148) &lt;= End_of_Year_Month, YEAR(L148),
    TRUE, YEAR(L148) + 1
)</f>
        <v/>
      </c>
      <c r="F148" s="1857">
        <f>IF(L148="",0,L148)</f>
        <v>0</v>
      </c>
      <c r="G148" s="1856">
        <f>-(N148-Q148)</f>
        <v>0</v>
      </c>
      <c r="I148" s="1815" t="b">
        <f>K148&lt;=Number_Payments</f>
        <v>0</v>
      </c>
      <c r="J148" s="1855"/>
      <c r="K148" s="1351">
        <f>K147+1</f>
        <v>22</v>
      </c>
      <c r="L148" s="1854" t="str" cm="1">
        <f t="array" ref="L148">_xlfn.IFS(
    I147=FALSE, "",
    Payment_Frequency="Monthly", EDATE(L147, 1),
    Payment_Frequency="Weekly", DATE(YEAR(L147), MONTH(L147), DAY(L147) + 7),
    Payment_Frequency="Fortnightly", DATE(YEAR(L147), MONTH(L147), DAY(L147) + 14),
    Payment_Frequency="Quarterly", DATE(YEAR(L147), MONTH(L147) + 3, DAY(L147)),
    Payment_Frequency="Yearly", DATE(YEAR(L147) + 1, MONTH(L147), DAY(L147)),
    TRUE, ""
)</f>
        <v/>
      </c>
      <c r="M148" s="1853">
        <f>IF(ISERROR(L148-L147),0,L148-L147)</f>
        <v>0</v>
      </c>
      <c r="N148" s="1851" cm="1">
        <f t="array" ref="N148">_xlfn.IFS(
    AND(I148=TRUE, K148&lt;=No_Regular_Payments), Repay_Amt,
    AND(I148=TRUE, K148=No_Regular_Payments+1), Tm_Balloon_Amt,
   TRUE, 0
)</f>
        <v>0</v>
      </c>
      <c r="O148" s="1850" cm="1">
        <f t="array" ref="O148">_xlfn.IFS(
    M148=0,0,
   ABS(N148 - S147 - P148-Q148) &lt; 1, N148 - S147-Q148,
    TRUE, P148
)</f>
        <v>0</v>
      </c>
      <c r="P148" s="1852">
        <f>IF(M148=0,0,ROUND(S147*EXP(Int_Rate/365.25 * M148)-S147,2))</f>
        <v>0</v>
      </c>
      <c r="Q148" s="1851" cm="1">
        <f t="array" ref="Q148">_xlfn.IFS(
    AND(I148=TRUE, K148&lt;=No_Regular_Payments), Periodic_Admin_Charge,
   TRUE, 0
)</f>
        <v>0</v>
      </c>
      <c r="R148" s="1850">
        <f>N148-O148-Q148</f>
        <v>0</v>
      </c>
      <c r="S148" s="1850">
        <f>ROUND(S147-R148,2)</f>
        <v>0</v>
      </c>
      <c r="T148" s="1850">
        <f>ROUND(T147-(N148-Q148),2)</f>
        <v>0</v>
      </c>
      <c r="U148" s="1849"/>
      <c r="W148" s="1848"/>
      <c r="X148" s="1848"/>
      <c r="Y148" s="1848"/>
      <c r="Z148" s="1858"/>
    </row>
    <row r="149" spans="2:26" ht="17.25" hidden="1" customHeight="1">
      <c r="B149" s="1815" t="b">
        <f>AND(I149=FALSE,N148=0,Q148=0,L148="")</f>
        <v>1</v>
      </c>
      <c r="C149" s="1844" t="str" cm="1">
        <f t="array" ref="C149">_xlfn.IFS(
    L149="", "",
    MONTH(L149) &lt;= End_of_Year_Month, YEAR(L149),
    TRUE, YEAR(L149) + 1
)</f>
        <v/>
      </c>
      <c r="F149" s="1857">
        <f>IF(L149="",0,L149)</f>
        <v>0</v>
      </c>
      <c r="G149" s="1856">
        <f>-(N149-Q149)</f>
        <v>0</v>
      </c>
      <c r="I149" s="1815" t="b">
        <f>K149&lt;=Number_Payments</f>
        <v>0</v>
      </c>
      <c r="J149" s="1855"/>
      <c r="K149" s="1351">
        <f>K148+1</f>
        <v>23</v>
      </c>
      <c r="L149" s="1854" t="str" cm="1">
        <f t="array" ref="L149">_xlfn.IFS(
    I148=FALSE, "",
    Payment_Frequency="Monthly", EDATE(L148, 1),
    Payment_Frequency="Weekly", DATE(YEAR(L148), MONTH(L148), DAY(L148) + 7),
    Payment_Frequency="Fortnightly", DATE(YEAR(L148), MONTH(L148), DAY(L148) + 14),
    Payment_Frequency="Quarterly", DATE(YEAR(L148), MONTH(L148) + 3, DAY(L148)),
    Payment_Frequency="Yearly", DATE(YEAR(L148) + 1, MONTH(L148), DAY(L148)),
    TRUE, ""
)</f>
        <v/>
      </c>
      <c r="M149" s="1853">
        <f>IF(ISERROR(L149-L148),0,L149-L148)</f>
        <v>0</v>
      </c>
      <c r="N149" s="1851" cm="1">
        <f t="array" ref="N149">_xlfn.IFS(
    AND(I149=TRUE, K149&lt;=No_Regular_Payments), Repay_Amt,
    AND(I149=TRUE, K149=No_Regular_Payments+1), Tm_Balloon_Amt,
   TRUE, 0
)</f>
        <v>0</v>
      </c>
      <c r="O149" s="1850" cm="1">
        <f t="array" ref="O149">_xlfn.IFS(
    M149=0,0,
   ABS(N149 - S148 - P149-Q149) &lt; 1, N149 - S148-Q149,
    TRUE, P149
)</f>
        <v>0</v>
      </c>
      <c r="P149" s="1852">
        <f>IF(M149=0,0,ROUND(S148*EXP(Int_Rate/365.25 * M149)-S148,2))</f>
        <v>0</v>
      </c>
      <c r="Q149" s="1851" cm="1">
        <f t="array" ref="Q149">_xlfn.IFS(
    AND(I149=TRUE, K149&lt;=No_Regular_Payments), Periodic_Admin_Charge,
   TRUE, 0
)</f>
        <v>0</v>
      </c>
      <c r="R149" s="1850">
        <f>N149-O149-Q149</f>
        <v>0</v>
      </c>
      <c r="S149" s="1850">
        <f>ROUND(S148-R149,2)</f>
        <v>0</v>
      </c>
      <c r="T149" s="1850">
        <f>ROUND(T148-(N149-Q149),2)</f>
        <v>0</v>
      </c>
      <c r="U149" s="1849"/>
      <c r="W149" s="1848"/>
      <c r="X149" s="1848"/>
      <c r="Y149" s="1848"/>
    </row>
    <row r="150" spans="2:26" ht="17.25" hidden="1" customHeight="1">
      <c r="B150" s="1815" t="b">
        <f>AND(I150=FALSE,N149=0,Q149=0,L149="")</f>
        <v>1</v>
      </c>
      <c r="C150" s="1844" t="str" cm="1">
        <f t="array" ref="C150">_xlfn.IFS(
    L150="", "",
    MONTH(L150) &lt;= End_of_Year_Month, YEAR(L150),
    TRUE, YEAR(L150) + 1
)</f>
        <v/>
      </c>
      <c r="F150" s="1857">
        <f>IF(L150="",0,L150)</f>
        <v>0</v>
      </c>
      <c r="G150" s="1856">
        <f>-(N150-Q150)</f>
        <v>0</v>
      </c>
      <c r="I150" s="1815" t="b">
        <f>K150&lt;=Number_Payments</f>
        <v>0</v>
      </c>
      <c r="J150" s="1855"/>
      <c r="K150" s="1351">
        <f>K149+1</f>
        <v>24</v>
      </c>
      <c r="L150" s="1854" t="str" cm="1">
        <f t="array" ref="L150">_xlfn.IFS(
    I149=FALSE, "",
    Payment_Frequency="Monthly", EDATE(L149, 1),
    Payment_Frequency="Weekly", DATE(YEAR(L149), MONTH(L149), DAY(L149) + 7),
    Payment_Frequency="Fortnightly", DATE(YEAR(L149), MONTH(L149), DAY(L149) + 14),
    Payment_Frequency="Quarterly", DATE(YEAR(L149), MONTH(L149) + 3, DAY(L149)),
    Payment_Frequency="Yearly", DATE(YEAR(L149) + 1, MONTH(L149), DAY(L149)),
    TRUE, ""
)</f>
        <v/>
      </c>
      <c r="M150" s="1853">
        <f>IF(ISERROR(L150-L149),0,L150-L149)</f>
        <v>0</v>
      </c>
      <c r="N150" s="1851" cm="1">
        <f t="array" ref="N150">_xlfn.IFS(
    AND(I150=TRUE, K150&lt;=No_Regular_Payments), Repay_Amt,
    AND(I150=TRUE, K150=No_Regular_Payments+1), Tm_Balloon_Amt,
   TRUE, 0
)</f>
        <v>0</v>
      </c>
      <c r="O150" s="1850" cm="1">
        <f t="array" ref="O150">_xlfn.IFS(
    M150=0,0,
   ABS(N150 - S149 - P150-Q150) &lt; 1, N150 - S149-Q150,
    TRUE, P150
)</f>
        <v>0</v>
      </c>
      <c r="P150" s="1852">
        <f>IF(M150=0,0,ROUND(S149*EXP(Int_Rate/365.25 * M150)-S149,2))</f>
        <v>0</v>
      </c>
      <c r="Q150" s="1851" cm="1">
        <f t="array" ref="Q150">_xlfn.IFS(
    AND(I150=TRUE, K150&lt;=No_Regular_Payments), Periodic_Admin_Charge,
   TRUE, 0
)</f>
        <v>0</v>
      </c>
      <c r="R150" s="1850">
        <f>N150-O150-Q150</f>
        <v>0</v>
      </c>
      <c r="S150" s="1850">
        <f>ROUND(S149-R150,2)</f>
        <v>0</v>
      </c>
      <c r="T150" s="1850">
        <f>ROUND(T149-(N150-Q150),2)</f>
        <v>0</v>
      </c>
      <c r="U150" s="1849"/>
      <c r="W150" s="1848"/>
      <c r="X150" s="1848"/>
      <c r="Y150" s="1848"/>
    </row>
    <row r="151" spans="2:26" ht="17.25" hidden="1" customHeight="1">
      <c r="B151" s="1815" t="b">
        <f>AND(I151=FALSE,N150=0,Q150=0,L150="")</f>
        <v>1</v>
      </c>
      <c r="C151" s="1844" t="str" cm="1">
        <f t="array" ref="C151">_xlfn.IFS(
    L151="", "",
    MONTH(L151) &lt;= End_of_Year_Month, YEAR(L151),
    TRUE, YEAR(L151) + 1
)</f>
        <v/>
      </c>
      <c r="F151" s="1857">
        <f>IF(L151="",0,L151)</f>
        <v>0</v>
      </c>
      <c r="G151" s="1856">
        <f>-(N151-Q151)</f>
        <v>0</v>
      </c>
      <c r="I151" s="1815" t="b">
        <f>K151&lt;=Number_Payments</f>
        <v>0</v>
      </c>
      <c r="J151" s="1855"/>
      <c r="K151" s="1351">
        <f>K150+1</f>
        <v>25</v>
      </c>
      <c r="L151" s="1854" t="str" cm="1">
        <f t="array" ref="L151">_xlfn.IFS(
    I150=FALSE, "",
    Payment_Frequency="Monthly", EDATE(L150, 1),
    Payment_Frequency="Weekly", DATE(YEAR(L150), MONTH(L150), DAY(L150) + 7),
    Payment_Frequency="Fortnightly", DATE(YEAR(L150), MONTH(L150), DAY(L150) + 14),
    Payment_Frequency="Quarterly", DATE(YEAR(L150), MONTH(L150) + 3, DAY(L150)),
    Payment_Frequency="Yearly", DATE(YEAR(L150) + 1, MONTH(L150), DAY(L150)),
    TRUE, ""
)</f>
        <v/>
      </c>
      <c r="M151" s="1853">
        <f>IF(ISERROR(L151-L150),0,L151-L150)</f>
        <v>0</v>
      </c>
      <c r="N151" s="1851" cm="1">
        <f t="array" ref="N151">_xlfn.IFS(
    AND(I151=TRUE, K151&lt;=No_Regular_Payments), Repay_Amt,
    AND(I151=TRUE, K151=No_Regular_Payments+1), Tm_Balloon_Amt,
   TRUE, 0
)</f>
        <v>0</v>
      </c>
      <c r="O151" s="1850" cm="1">
        <f t="array" ref="O151">_xlfn.IFS(
    M151=0,0,
   ABS(N151 - S150 - P151-Q151) &lt; 1, N151 - S150-Q151,
    TRUE, P151
)</f>
        <v>0</v>
      </c>
      <c r="P151" s="1852">
        <f>IF(M151=0,0,ROUND(S150*EXP(Int_Rate/365.25 * M151)-S150,2))</f>
        <v>0</v>
      </c>
      <c r="Q151" s="1851" cm="1">
        <f t="array" ref="Q151">_xlfn.IFS(
    AND(I151=TRUE, K151&lt;=No_Regular_Payments), Periodic_Admin_Charge,
   TRUE, 0
)</f>
        <v>0</v>
      </c>
      <c r="R151" s="1850">
        <f>N151-O151-Q151</f>
        <v>0</v>
      </c>
      <c r="S151" s="1850">
        <f>ROUND(S150-R151,2)</f>
        <v>0</v>
      </c>
      <c r="T151" s="1850">
        <f>ROUND(T150-(N151-Q151),2)</f>
        <v>0</v>
      </c>
      <c r="U151" s="1849"/>
      <c r="W151" s="1848"/>
      <c r="X151" s="1848"/>
      <c r="Y151" s="1848"/>
    </row>
    <row r="152" spans="2:26" ht="17.25" hidden="1" customHeight="1">
      <c r="B152" s="1815" t="b">
        <f>AND(I152=FALSE,N151=0,Q151=0,L151="")</f>
        <v>1</v>
      </c>
      <c r="C152" s="1844" t="str" cm="1">
        <f t="array" ref="C152">_xlfn.IFS(
    L152="", "",
    MONTH(L152) &lt;= End_of_Year_Month, YEAR(L152),
    TRUE, YEAR(L152) + 1
)</f>
        <v/>
      </c>
      <c r="F152" s="1857">
        <f>IF(L152="",0,L152)</f>
        <v>0</v>
      </c>
      <c r="G152" s="1856">
        <f>-(N152-Q152)</f>
        <v>0</v>
      </c>
      <c r="I152" s="1815" t="b">
        <f>K152&lt;=Number_Payments</f>
        <v>0</v>
      </c>
      <c r="J152" s="1855"/>
      <c r="K152" s="1351">
        <f>K151+1</f>
        <v>26</v>
      </c>
      <c r="L152" s="1854" t="str" cm="1">
        <f t="array" ref="L152">_xlfn.IFS(
    I151=FALSE, "",
    Payment_Frequency="Monthly", EDATE(L151, 1),
    Payment_Frequency="Weekly", DATE(YEAR(L151), MONTH(L151), DAY(L151) + 7),
    Payment_Frequency="Fortnightly", DATE(YEAR(L151), MONTH(L151), DAY(L151) + 14),
    Payment_Frequency="Quarterly", DATE(YEAR(L151), MONTH(L151) + 3, DAY(L151)),
    Payment_Frequency="Yearly", DATE(YEAR(L151) + 1, MONTH(L151), DAY(L151)),
    TRUE, ""
)</f>
        <v/>
      </c>
      <c r="M152" s="1853">
        <f>IF(ISERROR(L152-L151),0,L152-L151)</f>
        <v>0</v>
      </c>
      <c r="N152" s="1851" cm="1">
        <f t="array" ref="N152">_xlfn.IFS(
    AND(I152=TRUE, K152&lt;=No_Regular_Payments), Repay_Amt,
    AND(I152=TRUE, K152=No_Regular_Payments+1), Tm_Balloon_Amt,
   TRUE, 0
)</f>
        <v>0</v>
      </c>
      <c r="O152" s="1850" cm="1">
        <f t="array" ref="O152">_xlfn.IFS(
    M152=0,0,
   ABS(N152 - S151 - P152-Q152) &lt; 1, N152 - S151-Q152,
    TRUE, P152
)</f>
        <v>0</v>
      </c>
      <c r="P152" s="1852">
        <f>IF(M152=0,0,ROUND(S151*EXP(Int_Rate/365.25 * M152)-S151,2))</f>
        <v>0</v>
      </c>
      <c r="Q152" s="1851" cm="1">
        <f t="array" ref="Q152">_xlfn.IFS(
    AND(I152=TRUE, K152&lt;=No_Regular_Payments), Periodic_Admin_Charge,
   TRUE, 0
)</f>
        <v>0</v>
      </c>
      <c r="R152" s="1850">
        <f>N152-O152-Q152</f>
        <v>0</v>
      </c>
      <c r="S152" s="1850">
        <f>ROUND(S151-R152,2)</f>
        <v>0</v>
      </c>
      <c r="T152" s="1850">
        <f>ROUND(T151-(N152-Q152),2)</f>
        <v>0</v>
      </c>
      <c r="U152" s="1849"/>
      <c r="W152" s="1848"/>
      <c r="X152" s="1848"/>
      <c r="Y152" s="1848"/>
    </row>
    <row r="153" spans="2:26" ht="17.25" hidden="1" customHeight="1">
      <c r="B153" s="1815" t="b">
        <f>AND(I153=FALSE,N152=0,Q152=0,L152="")</f>
        <v>1</v>
      </c>
      <c r="C153" s="1844" t="str" cm="1">
        <f t="array" ref="C153">_xlfn.IFS(
    L153="", "",
    MONTH(L153) &lt;= End_of_Year_Month, YEAR(L153),
    TRUE, YEAR(L153) + 1
)</f>
        <v/>
      </c>
      <c r="F153" s="1857">
        <f>IF(L153="",0,L153)</f>
        <v>0</v>
      </c>
      <c r="G153" s="1856">
        <f>-(N153-Q153)</f>
        <v>0</v>
      </c>
      <c r="I153" s="1815" t="b">
        <f>K153&lt;=Number_Payments</f>
        <v>0</v>
      </c>
      <c r="J153" s="1855"/>
      <c r="K153" s="1351">
        <f>K152+1</f>
        <v>27</v>
      </c>
      <c r="L153" s="1854" t="str" cm="1">
        <f t="array" ref="L153">_xlfn.IFS(
    I152=FALSE, "",
    Payment_Frequency="Monthly", EDATE(L152, 1),
    Payment_Frequency="Weekly", DATE(YEAR(L152), MONTH(L152), DAY(L152) + 7),
    Payment_Frequency="Fortnightly", DATE(YEAR(L152), MONTH(L152), DAY(L152) + 14),
    Payment_Frequency="Quarterly", DATE(YEAR(L152), MONTH(L152) + 3, DAY(L152)),
    Payment_Frequency="Yearly", DATE(YEAR(L152) + 1, MONTH(L152), DAY(L152)),
    TRUE, ""
)</f>
        <v/>
      </c>
      <c r="M153" s="1853">
        <f>IF(ISERROR(L153-L152),0,L153-L152)</f>
        <v>0</v>
      </c>
      <c r="N153" s="1851" cm="1">
        <f t="array" ref="N153">_xlfn.IFS(
    AND(I153=TRUE, K153&lt;=No_Regular_Payments), Repay_Amt,
    AND(I153=TRUE, K153=No_Regular_Payments+1), Tm_Balloon_Amt,
   TRUE, 0
)</f>
        <v>0</v>
      </c>
      <c r="O153" s="1850" cm="1">
        <f t="array" ref="O153">_xlfn.IFS(
    M153=0,0,
   ABS(N153 - S152 - P153-Q153) &lt; 1, N153 - S152-Q153,
    TRUE, P153
)</f>
        <v>0</v>
      </c>
      <c r="P153" s="1852">
        <f>IF(M153=0,0,ROUND(S152*EXP(Int_Rate/365.25 * M153)-S152,2))</f>
        <v>0</v>
      </c>
      <c r="Q153" s="1851" cm="1">
        <f t="array" ref="Q153">_xlfn.IFS(
    AND(I153=TRUE, K153&lt;=No_Regular_Payments), Periodic_Admin_Charge,
   TRUE, 0
)</f>
        <v>0</v>
      </c>
      <c r="R153" s="1850">
        <f>N153-O153-Q153</f>
        <v>0</v>
      </c>
      <c r="S153" s="1850">
        <f>ROUND(S152-R153,2)</f>
        <v>0</v>
      </c>
      <c r="T153" s="1850">
        <f>ROUND(T152-(N153-Q153),2)</f>
        <v>0</v>
      </c>
      <c r="U153" s="1849"/>
      <c r="W153" s="1848"/>
      <c r="X153" s="1848"/>
      <c r="Y153" s="1848"/>
    </row>
    <row r="154" spans="2:26" ht="17.25" hidden="1" customHeight="1">
      <c r="B154" s="1815" t="b">
        <f>AND(I154=FALSE,N153=0,Q153=0,L153="")</f>
        <v>1</v>
      </c>
      <c r="C154" s="1844" t="str" cm="1">
        <f t="array" ref="C154">_xlfn.IFS(
    L154="", "",
    MONTH(L154) &lt;= End_of_Year_Month, YEAR(L154),
    TRUE, YEAR(L154) + 1
)</f>
        <v/>
      </c>
      <c r="F154" s="1857">
        <f>IF(L154="",0,L154)</f>
        <v>0</v>
      </c>
      <c r="G154" s="1856">
        <f>-(N154-Q154)</f>
        <v>0</v>
      </c>
      <c r="I154" s="1815" t="b">
        <f>K154&lt;=Number_Payments</f>
        <v>0</v>
      </c>
      <c r="J154" s="1855"/>
      <c r="K154" s="1351">
        <f>K153+1</f>
        <v>28</v>
      </c>
      <c r="L154" s="1854" t="str" cm="1">
        <f t="array" ref="L154">_xlfn.IFS(
    I153=FALSE, "",
    Payment_Frequency="Monthly", EDATE(L153, 1),
    Payment_Frequency="Weekly", DATE(YEAR(L153), MONTH(L153), DAY(L153) + 7),
    Payment_Frequency="Fortnightly", DATE(YEAR(L153), MONTH(L153), DAY(L153) + 14),
    Payment_Frequency="Quarterly", DATE(YEAR(L153), MONTH(L153) + 3, DAY(L153)),
    Payment_Frequency="Yearly", DATE(YEAR(L153) + 1, MONTH(L153), DAY(L153)),
    TRUE, ""
)</f>
        <v/>
      </c>
      <c r="M154" s="1853">
        <f>IF(ISERROR(L154-L153),0,L154-L153)</f>
        <v>0</v>
      </c>
      <c r="N154" s="1851" cm="1">
        <f t="array" ref="N154">_xlfn.IFS(
    AND(I154=TRUE, K154&lt;=No_Regular_Payments), Repay_Amt,
    AND(I154=TRUE, K154=No_Regular_Payments+1), Tm_Balloon_Amt,
   TRUE, 0
)</f>
        <v>0</v>
      </c>
      <c r="O154" s="1850" cm="1">
        <f t="array" ref="O154">_xlfn.IFS(
    M154=0,0,
   ABS(N154 - S153 - P154-Q154) &lt; 1, N154 - S153-Q154,
    TRUE, P154
)</f>
        <v>0</v>
      </c>
      <c r="P154" s="1852">
        <f>IF(M154=0,0,ROUND(S153*EXP(Int_Rate/365.25 * M154)-S153,2))</f>
        <v>0</v>
      </c>
      <c r="Q154" s="1851" cm="1">
        <f t="array" ref="Q154">_xlfn.IFS(
    AND(I154=TRUE, K154&lt;=No_Regular_Payments), Periodic_Admin_Charge,
   TRUE, 0
)</f>
        <v>0</v>
      </c>
      <c r="R154" s="1850">
        <f>N154-O154-Q154</f>
        <v>0</v>
      </c>
      <c r="S154" s="1850">
        <f>ROUND(S153-R154,2)</f>
        <v>0</v>
      </c>
      <c r="T154" s="1850">
        <f>ROUND(T153-(N154-Q154),2)</f>
        <v>0</v>
      </c>
      <c r="U154" s="1849"/>
      <c r="W154" s="1848"/>
      <c r="X154" s="1848"/>
      <c r="Y154" s="1848"/>
    </row>
    <row r="155" spans="2:26" ht="17.25" hidden="1" customHeight="1">
      <c r="B155" s="1815" t="b">
        <f>AND(I155=FALSE,N154=0,Q154=0,L154="")</f>
        <v>1</v>
      </c>
      <c r="C155" s="1844" t="str" cm="1">
        <f t="array" ref="C155">_xlfn.IFS(
    L155="", "",
    MONTH(L155) &lt;= End_of_Year_Month, YEAR(L155),
    TRUE, YEAR(L155) + 1
)</f>
        <v/>
      </c>
      <c r="F155" s="1857">
        <f>IF(L155="",0,L155)</f>
        <v>0</v>
      </c>
      <c r="G155" s="1856">
        <f>-(N155-Q155)</f>
        <v>0</v>
      </c>
      <c r="I155" s="1815" t="b">
        <f>K155&lt;=Number_Payments</f>
        <v>0</v>
      </c>
      <c r="J155" s="1855"/>
      <c r="K155" s="1351">
        <f>K154+1</f>
        <v>29</v>
      </c>
      <c r="L155" s="1854" t="str" cm="1">
        <f t="array" ref="L155">_xlfn.IFS(
    I154=FALSE, "",
    Payment_Frequency="Monthly", EDATE(L154, 1),
    Payment_Frequency="Weekly", DATE(YEAR(L154), MONTH(L154), DAY(L154) + 7),
    Payment_Frequency="Fortnightly", DATE(YEAR(L154), MONTH(L154), DAY(L154) + 14),
    Payment_Frequency="Quarterly", DATE(YEAR(L154), MONTH(L154) + 3, DAY(L154)),
    Payment_Frequency="Yearly", DATE(YEAR(L154) + 1, MONTH(L154), DAY(L154)),
    TRUE, ""
)</f>
        <v/>
      </c>
      <c r="M155" s="1853">
        <f>IF(ISERROR(L155-L154),0,L155-L154)</f>
        <v>0</v>
      </c>
      <c r="N155" s="1851" cm="1">
        <f t="array" ref="N155">_xlfn.IFS(
    AND(I155=TRUE, K155&lt;=No_Regular_Payments), Repay_Amt,
    AND(I155=TRUE, K155=No_Regular_Payments+1), Tm_Balloon_Amt,
   TRUE, 0
)</f>
        <v>0</v>
      </c>
      <c r="O155" s="1850" cm="1">
        <f t="array" ref="O155">_xlfn.IFS(
    M155=0,0,
   ABS(N155 - S154 - P155-Q155) &lt; 1, N155 - S154-Q155,
    TRUE, P155
)</f>
        <v>0</v>
      </c>
      <c r="P155" s="1852">
        <f>IF(M155=0,0,ROUND(S154*EXP(Int_Rate/365.25 * M155)-S154,2))</f>
        <v>0</v>
      </c>
      <c r="Q155" s="1851" cm="1">
        <f t="array" ref="Q155">_xlfn.IFS(
    AND(I155=TRUE, K155&lt;=No_Regular_Payments), Periodic_Admin_Charge,
   TRUE, 0
)</f>
        <v>0</v>
      </c>
      <c r="R155" s="1850">
        <f>N155-O155-Q155</f>
        <v>0</v>
      </c>
      <c r="S155" s="1850">
        <f>ROUND(S154-R155,2)</f>
        <v>0</v>
      </c>
      <c r="T155" s="1850">
        <f>ROUND(T154-(N155-Q155),2)</f>
        <v>0</v>
      </c>
      <c r="U155" s="1849"/>
      <c r="W155" s="1848"/>
      <c r="X155" s="1848"/>
      <c r="Y155" s="1848"/>
    </row>
    <row r="156" spans="2:26" ht="17.25" hidden="1" customHeight="1">
      <c r="B156" s="1815" t="b">
        <f>AND(I156=FALSE,N155=0,Q155=0,L155="")</f>
        <v>1</v>
      </c>
      <c r="C156" s="1844" t="str" cm="1">
        <f t="array" ref="C156">_xlfn.IFS(
    L156="", "",
    MONTH(L156) &lt;= End_of_Year_Month, YEAR(L156),
    TRUE, YEAR(L156) + 1
)</f>
        <v/>
      </c>
      <c r="F156" s="1857">
        <f>IF(L156="",0,L156)</f>
        <v>0</v>
      </c>
      <c r="G156" s="1856">
        <f>-(N156-Q156)</f>
        <v>0</v>
      </c>
      <c r="I156" s="1815" t="b">
        <f>K156&lt;=Number_Payments</f>
        <v>0</v>
      </c>
      <c r="J156" s="1855"/>
      <c r="K156" s="1351">
        <f>K155+1</f>
        <v>30</v>
      </c>
      <c r="L156" s="1854" t="str" cm="1">
        <f t="array" ref="L156">_xlfn.IFS(
    I155=FALSE, "",
    Payment_Frequency="Monthly", EDATE(L155, 1),
    Payment_Frequency="Weekly", DATE(YEAR(L155), MONTH(L155), DAY(L155) + 7),
    Payment_Frequency="Fortnightly", DATE(YEAR(L155), MONTH(L155), DAY(L155) + 14),
    Payment_Frequency="Quarterly", DATE(YEAR(L155), MONTH(L155) + 3, DAY(L155)),
    Payment_Frequency="Yearly", DATE(YEAR(L155) + 1, MONTH(L155), DAY(L155)),
    TRUE, ""
)</f>
        <v/>
      </c>
      <c r="M156" s="1853">
        <f>IF(ISERROR(L156-L155),0,L156-L155)</f>
        <v>0</v>
      </c>
      <c r="N156" s="1851" cm="1">
        <f t="array" ref="N156">_xlfn.IFS(
    AND(I156=TRUE, K156&lt;=No_Regular_Payments), Repay_Amt,
    AND(I156=TRUE, K156=No_Regular_Payments+1), Tm_Balloon_Amt,
   TRUE, 0
)</f>
        <v>0</v>
      </c>
      <c r="O156" s="1850" cm="1">
        <f t="array" ref="O156">_xlfn.IFS(
    M156=0,0,
   ABS(N156 - S155 - P156-Q156) &lt; 1, N156 - S155-Q156,
    TRUE, P156
)</f>
        <v>0</v>
      </c>
      <c r="P156" s="1852">
        <f>IF(M156=0,0,ROUND(S155*EXP(Int_Rate/365.25 * M156)-S155,2))</f>
        <v>0</v>
      </c>
      <c r="Q156" s="1851" cm="1">
        <f t="array" ref="Q156">_xlfn.IFS(
    AND(I156=TRUE, K156&lt;=No_Regular_Payments), Periodic_Admin_Charge,
   TRUE, 0
)</f>
        <v>0</v>
      </c>
      <c r="R156" s="1850">
        <f>N156-O156-Q156</f>
        <v>0</v>
      </c>
      <c r="S156" s="1850">
        <f>ROUND(S155-R156,2)</f>
        <v>0</v>
      </c>
      <c r="T156" s="1850">
        <f>ROUND(T155-(N156-Q156),2)</f>
        <v>0</v>
      </c>
      <c r="U156" s="1849"/>
      <c r="W156" s="1848"/>
      <c r="X156" s="1848"/>
      <c r="Y156" s="1848"/>
    </row>
    <row r="157" spans="2:26" ht="15.95" hidden="1" customHeight="1">
      <c r="B157" s="1815" t="b">
        <f>AND(I157=FALSE,N156=0,Q156=0,L156="")</f>
        <v>1</v>
      </c>
      <c r="C157" s="1844" t="str" cm="1">
        <f t="array" ref="C157">_xlfn.IFS(
    L157="", "",
    MONTH(L157) &lt;= End_of_Year_Month, YEAR(L157),
    TRUE, YEAR(L157) + 1
)</f>
        <v/>
      </c>
      <c r="F157" s="1857">
        <f>IF(L157="",0,L157)</f>
        <v>0</v>
      </c>
      <c r="G157" s="1856">
        <f>-(N157-Q157)</f>
        <v>0</v>
      </c>
      <c r="I157" s="1815" t="b">
        <f>K157&lt;=Number_Payments</f>
        <v>0</v>
      </c>
      <c r="J157" s="1855"/>
      <c r="K157" s="1351">
        <f>K156+1</f>
        <v>31</v>
      </c>
      <c r="L157" s="1854" t="str" cm="1">
        <f t="array" ref="L157">_xlfn.IFS(
    I156=FALSE, "",
    Payment_Frequency="Monthly", EDATE(L156, 1),
    Payment_Frequency="Weekly", DATE(YEAR(L156), MONTH(L156), DAY(L156) + 7),
    Payment_Frequency="Fortnightly", DATE(YEAR(L156), MONTH(L156), DAY(L156) + 14),
    Payment_Frequency="Quarterly", DATE(YEAR(L156), MONTH(L156) + 3, DAY(L156)),
    Payment_Frequency="Yearly", DATE(YEAR(L156) + 1, MONTH(L156), DAY(L156)),
    TRUE, ""
)</f>
        <v/>
      </c>
      <c r="M157" s="1853">
        <f>IF(ISERROR(L157-L156),0,L157-L156)</f>
        <v>0</v>
      </c>
      <c r="N157" s="1851" cm="1">
        <f t="array" ref="N157">_xlfn.IFS(
    AND(I157=TRUE, K157&lt;=No_Regular_Payments), Repay_Amt,
    AND(I157=TRUE, K157=No_Regular_Payments+1), Tm_Balloon_Amt,
   TRUE, 0
)</f>
        <v>0</v>
      </c>
      <c r="O157" s="1850" cm="1">
        <f t="array" ref="O157">_xlfn.IFS(
    M157=0,0,
   ABS(N157 - S156 - P157-Q157) &lt; 1, N157 - S156-Q157,
    TRUE, P157
)</f>
        <v>0</v>
      </c>
      <c r="P157" s="1852">
        <f>IF(M157=0,0,ROUND(S156*EXP(Int_Rate/365.25 * M157)-S156,2))</f>
        <v>0</v>
      </c>
      <c r="Q157" s="1851" cm="1">
        <f t="array" ref="Q157">_xlfn.IFS(
    AND(I157=TRUE, K157&lt;=No_Regular_Payments), Periodic_Admin_Charge,
   TRUE, 0
)</f>
        <v>0</v>
      </c>
      <c r="R157" s="1850">
        <f>N157-O157-Q157</f>
        <v>0</v>
      </c>
      <c r="S157" s="1850">
        <f>ROUND(S156-R157,2)</f>
        <v>0</v>
      </c>
      <c r="T157" s="1850">
        <f>ROUND(T156-(N157-Q157),2)</f>
        <v>0</v>
      </c>
      <c r="U157" s="1849"/>
      <c r="W157" s="1848"/>
      <c r="X157" s="1848"/>
      <c r="Y157" s="1848"/>
    </row>
    <row r="158" spans="2:26" ht="15.95" hidden="1" customHeight="1">
      <c r="B158" s="1815" t="b">
        <f>AND(I158=FALSE,N157=0,Q157=0,L157="")</f>
        <v>1</v>
      </c>
      <c r="C158" s="1844" t="str" cm="1">
        <f t="array" ref="C158">_xlfn.IFS(
    L158="", "",
    MONTH(L158) &lt;= End_of_Year_Month, YEAR(L158),
    TRUE, YEAR(L158) + 1
)</f>
        <v/>
      </c>
      <c r="F158" s="1857">
        <f>IF(L158="",0,L158)</f>
        <v>0</v>
      </c>
      <c r="G158" s="1856">
        <f>-(N158-Q158)</f>
        <v>0</v>
      </c>
      <c r="I158" s="1815" t="b">
        <f>K158&lt;=Number_Payments</f>
        <v>0</v>
      </c>
      <c r="J158" s="1855"/>
      <c r="K158" s="1351">
        <f>K157+1</f>
        <v>32</v>
      </c>
      <c r="L158" s="1854" t="str" cm="1">
        <f t="array" ref="L158">_xlfn.IFS(
    I157=FALSE, "",
    Payment_Frequency="Monthly", EDATE(L157, 1),
    Payment_Frequency="Weekly", DATE(YEAR(L157), MONTH(L157), DAY(L157) + 7),
    Payment_Frequency="Fortnightly", DATE(YEAR(L157), MONTH(L157), DAY(L157) + 14),
    Payment_Frequency="Quarterly", DATE(YEAR(L157), MONTH(L157) + 3, DAY(L157)),
    Payment_Frequency="Yearly", DATE(YEAR(L157) + 1, MONTH(L157), DAY(L157)),
    TRUE, ""
)</f>
        <v/>
      </c>
      <c r="M158" s="1853">
        <f>IF(ISERROR(L158-L157),0,L158-L157)</f>
        <v>0</v>
      </c>
      <c r="N158" s="1851" cm="1">
        <f t="array" ref="N158">_xlfn.IFS(
    AND(I158=TRUE, K158&lt;=No_Regular_Payments), Repay_Amt,
    AND(I158=TRUE, K158=No_Regular_Payments+1), Tm_Balloon_Amt,
   TRUE, 0
)</f>
        <v>0</v>
      </c>
      <c r="O158" s="1850" cm="1">
        <f t="array" ref="O158">_xlfn.IFS(
    M158=0,0,
   ABS(N158 - S157 - P158-Q158) &lt; 1, N158 - S157-Q158,
    TRUE, P158
)</f>
        <v>0</v>
      </c>
      <c r="P158" s="1852">
        <f>IF(M158=0,0,ROUND(S157*EXP(Int_Rate/365.25 * M158)-S157,2))</f>
        <v>0</v>
      </c>
      <c r="Q158" s="1851" cm="1">
        <f t="array" ref="Q158">_xlfn.IFS(
    AND(I158=TRUE, K158&lt;=No_Regular_Payments), Periodic_Admin_Charge,
   TRUE, 0
)</f>
        <v>0</v>
      </c>
      <c r="R158" s="1850">
        <f>N158-O158-Q158</f>
        <v>0</v>
      </c>
      <c r="S158" s="1850">
        <f>ROUND(S157-R158,2)</f>
        <v>0</v>
      </c>
      <c r="T158" s="1850">
        <f>ROUND(T157-(N158-Q158),2)</f>
        <v>0</v>
      </c>
      <c r="U158" s="1849"/>
      <c r="W158" s="1848"/>
      <c r="X158" s="1848"/>
      <c r="Y158" s="1848"/>
    </row>
    <row r="159" spans="2:26" ht="15.95" hidden="1" customHeight="1">
      <c r="B159" s="1815" t="b">
        <f>AND(I159=FALSE,N158=0,Q158=0,L158="")</f>
        <v>1</v>
      </c>
      <c r="C159" s="1844" t="str" cm="1">
        <f t="array" ref="C159">_xlfn.IFS(
    L159="", "",
    MONTH(L159) &lt;= End_of_Year_Month, YEAR(L159),
    TRUE, YEAR(L159) + 1
)</f>
        <v/>
      </c>
      <c r="F159" s="1857">
        <f>IF(L159="",0,L159)</f>
        <v>0</v>
      </c>
      <c r="G159" s="1856">
        <f>-(N159-Q159)</f>
        <v>0</v>
      </c>
      <c r="I159" s="1815" t="b">
        <f>K159&lt;=Number_Payments</f>
        <v>0</v>
      </c>
      <c r="J159" s="1855"/>
      <c r="K159" s="1351">
        <f>K158+1</f>
        <v>33</v>
      </c>
      <c r="L159" s="1854" t="str" cm="1">
        <f t="array" ref="L159">_xlfn.IFS(
    I158=FALSE, "",
    Payment_Frequency="Monthly", EDATE(L158, 1),
    Payment_Frequency="Weekly", DATE(YEAR(L158), MONTH(L158), DAY(L158) + 7),
    Payment_Frequency="Fortnightly", DATE(YEAR(L158), MONTH(L158), DAY(L158) + 14),
    Payment_Frequency="Quarterly", DATE(YEAR(L158), MONTH(L158) + 3, DAY(L158)),
    Payment_Frequency="Yearly", DATE(YEAR(L158) + 1, MONTH(L158), DAY(L158)),
    TRUE, ""
)</f>
        <v/>
      </c>
      <c r="M159" s="1853">
        <f>IF(ISERROR(L159-L158),0,L159-L158)</f>
        <v>0</v>
      </c>
      <c r="N159" s="1851" cm="1">
        <f t="array" ref="N159">_xlfn.IFS(
    AND(I159=TRUE, K159&lt;=No_Regular_Payments), Repay_Amt,
    AND(I159=TRUE, K159=No_Regular_Payments+1), Tm_Balloon_Amt,
   TRUE, 0
)</f>
        <v>0</v>
      </c>
      <c r="O159" s="1850" cm="1">
        <f t="array" ref="O159">_xlfn.IFS(
    M159=0,0,
   ABS(N159 - S158 - P159-Q159) &lt; 1, N159 - S158-Q159,
    TRUE, P159
)</f>
        <v>0</v>
      </c>
      <c r="P159" s="1852">
        <f>IF(M159=0,0,ROUND(S158*EXP(Int_Rate/365.25 * M159)-S158,2))</f>
        <v>0</v>
      </c>
      <c r="Q159" s="1851" cm="1">
        <f t="array" ref="Q159">_xlfn.IFS(
    AND(I159=TRUE, K159&lt;=No_Regular_Payments), Periodic_Admin_Charge,
   TRUE, 0
)</f>
        <v>0</v>
      </c>
      <c r="R159" s="1850">
        <f>N159-O159-Q159</f>
        <v>0</v>
      </c>
      <c r="S159" s="1850">
        <f>ROUND(S158-R159,2)</f>
        <v>0</v>
      </c>
      <c r="T159" s="1850">
        <f>ROUND(T158-(N159-Q159),2)</f>
        <v>0</v>
      </c>
      <c r="U159" s="1849"/>
      <c r="W159" s="1848"/>
      <c r="X159" s="1848"/>
      <c r="Y159" s="1848"/>
    </row>
    <row r="160" spans="2:26" ht="15.95" hidden="1" customHeight="1">
      <c r="B160" s="1815" t="b">
        <f>AND(I160=FALSE,N159=0,Q159=0,L159="")</f>
        <v>1</v>
      </c>
      <c r="C160" s="1844" t="str" cm="1">
        <f t="array" ref="C160">_xlfn.IFS(
    L160="", "",
    MONTH(L160) &lt;= End_of_Year_Month, YEAR(L160),
    TRUE, YEAR(L160) + 1
)</f>
        <v/>
      </c>
      <c r="F160" s="1857">
        <f>IF(L160="",0,L160)</f>
        <v>0</v>
      </c>
      <c r="G160" s="1856">
        <f>-(N160-Q160)</f>
        <v>0</v>
      </c>
      <c r="I160" s="1815" t="b">
        <f>K160&lt;=Number_Payments</f>
        <v>0</v>
      </c>
      <c r="J160" s="1855"/>
      <c r="K160" s="1351">
        <f>K159+1</f>
        <v>34</v>
      </c>
      <c r="L160" s="1854" t="str" cm="1">
        <f t="array" ref="L160">_xlfn.IFS(
    I159=FALSE, "",
    Payment_Frequency="Monthly", EDATE(L159, 1),
    Payment_Frequency="Weekly", DATE(YEAR(L159), MONTH(L159), DAY(L159) + 7),
    Payment_Frequency="Fortnightly", DATE(YEAR(L159), MONTH(L159), DAY(L159) + 14),
    Payment_Frequency="Quarterly", DATE(YEAR(L159), MONTH(L159) + 3, DAY(L159)),
    Payment_Frequency="Yearly", DATE(YEAR(L159) + 1, MONTH(L159), DAY(L159)),
    TRUE, ""
)</f>
        <v/>
      </c>
      <c r="M160" s="1853">
        <f>IF(ISERROR(L160-L159),0,L160-L159)</f>
        <v>0</v>
      </c>
      <c r="N160" s="1851" cm="1">
        <f t="array" ref="N160">_xlfn.IFS(
    AND(I160=TRUE, K160&lt;=No_Regular_Payments), Repay_Amt,
    AND(I160=TRUE, K160=No_Regular_Payments+1), Tm_Balloon_Amt,
   TRUE, 0
)</f>
        <v>0</v>
      </c>
      <c r="O160" s="1850" cm="1">
        <f t="array" ref="O160">_xlfn.IFS(
    M160=0,0,
   ABS(N160 - S159 - P160-Q160) &lt; 1, N160 - S159-Q160,
    TRUE, P160
)</f>
        <v>0</v>
      </c>
      <c r="P160" s="1852">
        <f>IF(M160=0,0,ROUND(S159*EXP(Int_Rate/365.25 * M160)-S159,2))</f>
        <v>0</v>
      </c>
      <c r="Q160" s="1851" cm="1">
        <f t="array" ref="Q160">_xlfn.IFS(
    AND(I160=TRUE, K160&lt;=No_Regular_Payments), Periodic_Admin_Charge,
   TRUE, 0
)</f>
        <v>0</v>
      </c>
      <c r="R160" s="1850">
        <f>N160-O160-Q160</f>
        <v>0</v>
      </c>
      <c r="S160" s="1850">
        <f>ROUND(S159-R160,2)</f>
        <v>0</v>
      </c>
      <c r="T160" s="1850">
        <f>ROUND(T159-(N160-Q160),2)</f>
        <v>0</v>
      </c>
      <c r="U160" s="1849"/>
      <c r="W160" s="1848"/>
      <c r="X160" s="1848"/>
      <c r="Y160" s="1848"/>
    </row>
    <row r="161" spans="2:26" ht="15.95" hidden="1" customHeight="1">
      <c r="B161" s="1815" t="b">
        <f>AND(I161=FALSE,N160=0,Q160=0,L160="")</f>
        <v>1</v>
      </c>
      <c r="C161" s="1844" t="str" cm="1">
        <f t="array" ref="C161">_xlfn.IFS(
    L161="", "",
    MONTH(L161) &lt;= End_of_Year_Month, YEAR(L161),
    TRUE, YEAR(L161) + 1
)</f>
        <v/>
      </c>
      <c r="F161" s="1857">
        <f>IF(L161="",0,L161)</f>
        <v>0</v>
      </c>
      <c r="G161" s="1856">
        <f>-(N161-Q161)</f>
        <v>0</v>
      </c>
      <c r="I161" s="1815" t="b">
        <f>K161&lt;=Number_Payments</f>
        <v>0</v>
      </c>
      <c r="J161" s="1855"/>
      <c r="K161" s="1351">
        <f>K160+1</f>
        <v>35</v>
      </c>
      <c r="L161" s="1854" t="str" cm="1">
        <f t="array" ref="L161">_xlfn.IFS(
    I160=FALSE, "",
    Payment_Frequency="Monthly", EDATE(L160, 1),
    Payment_Frequency="Weekly", DATE(YEAR(L160), MONTH(L160), DAY(L160) + 7),
    Payment_Frequency="Fortnightly", DATE(YEAR(L160), MONTH(L160), DAY(L160) + 14),
    Payment_Frequency="Quarterly", DATE(YEAR(L160), MONTH(L160) + 3, DAY(L160)),
    Payment_Frequency="Yearly", DATE(YEAR(L160) + 1, MONTH(L160), DAY(L160)),
    TRUE, ""
)</f>
        <v/>
      </c>
      <c r="M161" s="1853">
        <f>IF(ISERROR(L161-L160),0,L161-L160)</f>
        <v>0</v>
      </c>
      <c r="N161" s="1851" cm="1">
        <f t="array" ref="N161">_xlfn.IFS(
    AND(I161=TRUE, K161&lt;=No_Regular_Payments), Repay_Amt,
    AND(I161=TRUE, K161=No_Regular_Payments+1), Tm_Balloon_Amt,
   TRUE, 0
)</f>
        <v>0</v>
      </c>
      <c r="O161" s="1850" cm="1">
        <f t="array" ref="O161">_xlfn.IFS(
    M161=0,0,
   ABS(N161 - S160 - P161-Q161) &lt; 1, N161 - S160-Q161,
    TRUE, P161
)</f>
        <v>0</v>
      </c>
      <c r="P161" s="1852">
        <f>IF(M161=0,0,ROUND(S160*EXP(Int_Rate/365.25 * M161)-S160,2))</f>
        <v>0</v>
      </c>
      <c r="Q161" s="1851" cm="1">
        <f t="array" ref="Q161">_xlfn.IFS(
    AND(I161=TRUE, K161&lt;=No_Regular_Payments), Periodic_Admin_Charge,
   TRUE, 0
)</f>
        <v>0</v>
      </c>
      <c r="R161" s="1850">
        <f>N161-O161-Q161</f>
        <v>0</v>
      </c>
      <c r="S161" s="1850">
        <f>ROUND(S160-R161,2)</f>
        <v>0</v>
      </c>
      <c r="T161" s="1850">
        <f>ROUND(T160-(N161-Q161),2)</f>
        <v>0</v>
      </c>
      <c r="U161" s="1849"/>
      <c r="W161" s="1848"/>
      <c r="X161" s="1848"/>
      <c r="Y161" s="1848"/>
    </row>
    <row r="162" spans="2:26" ht="15.95" hidden="1" customHeight="1">
      <c r="B162" s="1815" t="b">
        <f>AND(I162=FALSE,N161=0,Q161=0,L161="")</f>
        <v>1</v>
      </c>
      <c r="C162" s="1844" t="str" cm="1">
        <f t="array" ref="C162">_xlfn.IFS(
    L162="", "",
    MONTH(L162) &lt;= End_of_Year_Month, YEAR(L162),
    TRUE, YEAR(L162) + 1
)</f>
        <v/>
      </c>
      <c r="F162" s="1857">
        <f>IF(L162="",0,L162)</f>
        <v>0</v>
      </c>
      <c r="G162" s="1856">
        <f>-(N162-Q162)</f>
        <v>0</v>
      </c>
      <c r="I162" s="1815" t="b">
        <f>K162&lt;=Number_Payments</f>
        <v>0</v>
      </c>
      <c r="J162" s="1855"/>
      <c r="K162" s="1351">
        <f>K161+1</f>
        <v>36</v>
      </c>
      <c r="L162" s="1854" t="str" cm="1">
        <f t="array" ref="L162">_xlfn.IFS(
    I161=FALSE, "",
    Payment_Frequency="Monthly", EDATE(L161, 1),
    Payment_Frequency="Weekly", DATE(YEAR(L161), MONTH(L161), DAY(L161) + 7),
    Payment_Frequency="Fortnightly", DATE(YEAR(L161), MONTH(L161), DAY(L161) + 14),
    Payment_Frequency="Quarterly", DATE(YEAR(L161), MONTH(L161) + 3, DAY(L161)),
    Payment_Frequency="Yearly", DATE(YEAR(L161) + 1, MONTH(L161), DAY(L161)),
    TRUE, ""
)</f>
        <v/>
      </c>
      <c r="M162" s="1853">
        <f>IF(ISERROR(L162-L161),0,L162-L161)</f>
        <v>0</v>
      </c>
      <c r="N162" s="1851" cm="1">
        <f t="array" ref="N162">_xlfn.IFS(
    AND(I162=TRUE, K162&lt;=No_Regular_Payments), Repay_Amt,
    AND(I162=TRUE, K162=No_Regular_Payments+1), Tm_Balloon_Amt,
   TRUE, 0
)</f>
        <v>0</v>
      </c>
      <c r="O162" s="1850" cm="1">
        <f t="array" ref="O162">_xlfn.IFS(
    M162=0,0,
   ABS(N162 - S161 - P162-Q162) &lt; 1, N162 - S161-Q162,
    TRUE, P162
)</f>
        <v>0</v>
      </c>
      <c r="P162" s="1852">
        <f>IF(M162=0,0,ROUND(S161*EXP(Int_Rate/365.25 * M162)-S161,2))</f>
        <v>0</v>
      </c>
      <c r="Q162" s="1851" cm="1">
        <f t="array" ref="Q162">_xlfn.IFS(
    AND(I162=TRUE, K162&lt;=No_Regular_Payments), Periodic_Admin_Charge,
   TRUE, 0
)</f>
        <v>0</v>
      </c>
      <c r="R162" s="1850">
        <f>N162-O162-Q162</f>
        <v>0</v>
      </c>
      <c r="S162" s="1850">
        <f>ROUND(S161-R162,2)</f>
        <v>0</v>
      </c>
      <c r="T162" s="1850">
        <f>ROUND(T161-(N162-Q162),2)</f>
        <v>0</v>
      </c>
      <c r="U162" s="1849"/>
      <c r="W162" s="1848"/>
      <c r="X162" s="1848"/>
      <c r="Y162" s="1848"/>
    </row>
    <row r="163" spans="2:26" ht="15.95" hidden="1" customHeight="1">
      <c r="B163" s="1815" t="b">
        <f>AND(I163=FALSE,N162=0,Q162=0,L162="")</f>
        <v>1</v>
      </c>
      <c r="C163" s="1844" t="str" cm="1">
        <f t="array" ref="C163">_xlfn.IFS(
    L163="", "",
    MONTH(L163) &lt;= End_of_Year_Month, YEAR(L163),
    TRUE, YEAR(L163) + 1
)</f>
        <v/>
      </c>
      <c r="F163" s="1857">
        <f>IF(L163="",0,L163)</f>
        <v>0</v>
      </c>
      <c r="G163" s="1856">
        <f>-(N163-Q163)</f>
        <v>0</v>
      </c>
      <c r="I163" s="1815" t="b">
        <f>K163&lt;=Number_Payments</f>
        <v>0</v>
      </c>
      <c r="J163" s="1855"/>
      <c r="K163" s="1351">
        <f>K162+1</f>
        <v>37</v>
      </c>
      <c r="L163" s="1854" t="str" cm="1">
        <f t="array" ref="L163">_xlfn.IFS(
    I162=FALSE, "",
    Payment_Frequency="Monthly", EDATE(L162, 1),
    Payment_Frequency="Weekly", DATE(YEAR(L162), MONTH(L162), DAY(L162) + 7),
    Payment_Frequency="Fortnightly", DATE(YEAR(L162), MONTH(L162), DAY(L162) + 14),
    Payment_Frequency="Quarterly", DATE(YEAR(L162), MONTH(L162) + 3, DAY(L162)),
    Payment_Frequency="Yearly", DATE(YEAR(L162) + 1, MONTH(L162), DAY(L162)),
    TRUE, ""
)</f>
        <v/>
      </c>
      <c r="M163" s="1853">
        <f>IF(ISERROR(L163-L162),0,L163-L162)</f>
        <v>0</v>
      </c>
      <c r="N163" s="1851" cm="1">
        <f t="array" ref="N163">_xlfn.IFS(
    AND(I163=TRUE, K163&lt;=No_Regular_Payments), Repay_Amt,
    AND(I163=TRUE, K163=No_Regular_Payments+1), Tm_Balloon_Amt,
   TRUE, 0
)</f>
        <v>0</v>
      </c>
      <c r="O163" s="1850" cm="1">
        <f t="array" ref="O163">_xlfn.IFS(
    M163=0,0,
   ABS(N163 - S162 - P163-Q163) &lt; 1, N163 - S162-Q163,
    TRUE, P163
)</f>
        <v>0</v>
      </c>
      <c r="P163" s="1852">
        <f>IF(M163=0,0,ROUND(S162*EXP(Int_Rate/365.25 * M163)-S162,2))</f>
        <v>0</v>
      </c>
      <c r="Q163" s="1851" cm="1">
        <f t="array" ref="Q163">_xlfn.IFS(
    AND(I163=TRUE, K163&lt;=No_Regular_Payments), Periodic_Admin_Charge,
   TRUE, 0
)</f>
        <v>0</v>
      </c>
      <c r="R163" s="1850">
        <f>N163-O163-Q163</f>
        <v>0</v>
      </c>
      <c r="S163" s="1850">
        <f>ROUND(S162-R163,2)</f>
        <v>0</v>
      </c>
      <c r="T163" s="1850">
        <f>ROUND(T162-(N163-Q163),2)</f>
        <v>0</v>
      </c>
      <c r="U163" s="1849"/>
      <c r="W163" s="1848"/>
      <c r="X163" s="1848"/>
      <c r="Y163" s="1848"/>
    </row>
    <row r="164" spans="2:26" ht="15.95" hidden="1" customHeight="1">
      <c r="B164" s="1815" t="b">
        <f>AND(I164=FALSE,N163=0,Q163=0,L163="")</f>
        <v>1</v>
      </c>
      <c r="C164" s="1844" t="str" cm="1">
        <f t="array" ref="C164">_xlfn.IFS(
    L164="", "",
    MONTH(L164) &lt;= End_of_Year_Month, YEAR(L164),
    TRUE, YEAR(L164) + 1
)</f>
        <v/>
      </c>
      <c r="F164" s="1857">
        <f>IF(L164="",0,L164)</f>
        <v>0</v>
      </c>
      <c r="G164" s="1856">
        <f>-(N164-Q164)</f>
        <v>0</v>
      </c>
      <c r="I164" s="1815" t="b">
        <f>K164&lt;=Number_Payments</f>
        <v>0</v>
      </c>
      <c r="J164" s="1855"/>
      <c r="K164" s="1351">
        <f>K163+1</f>
        <v>38</v>
      </c>
      <c r="L164" s="1854" t="str" cm="1">
        <f t="array" ref="L164">_xlfn.IFS(
    I163=FALSE, "",
    Payment_Frequency="Monthly", EDATE(L163, 1),
    Payment_Frequency="Weekly", DATE(YEAR(L163), MONTH(L163), DAY(L163) + 7),
    Payment_Frequency="Fortnightly", DATE(YEAR(L163), MONTH(L163), DAY(L163) + 14),
    Payment_Frequency="Quarterly", DATE(YEAR(L163), MONTH(L163) + 3, DAY(L163)),
    Payment_Frequency="Yearly", DATE(YEAR(L163) + 1, MONTH(L163), DAY(L163)),
    TRUE, ""
)</f>
        <v/>
      </c>
      <c r="M164" s="1853">
        <f>IF(ISERROR(L164-L163),0,L164-L163)</f>
        <v>0</v>
      </c>
      <c r="N164" s="1851" cm="1">
        <f t="array" ref="N164">_xlfn.IFS(
    AND(I164=TRUE, K164&lt;=No_Regular_Payments), Repay_Amt,
    AND(I164=TRUE, K164=No_Regular_Payments+1), Tm_Balloon_Amt,
   TRUE, 0
)</f>
        <v>0</v>
      </c>
      <c r="O164" s="1850" cm="1">
        <f t="array" ref="O164">_xlfn.IFS(
    M164=0,0,
   ABS(N164 - S163 - P164-Q164) &lt; 1, N164 - S163-Q164,
    TRUE, P164
)</f>
        <v>0</v>
      </c>
      <c r="P164" s="1852">
        <f>IF(M164=0,0,ROUND(S163*EXP(Int_Rate/365.25 * M164)-S163,2))</f>
        <v>0</v>
      </c>
      <c r="Q164" s="1851" cm="1">
        <f t="array" ref="Q164">_xlfn.IFS(
    AND(I164=TRUE, K164&lt;=No_Regular_Payments), Periodic_Admin_Charge,
   TRUE, 0
)</f>
        <v>0</v>
      </c>
      <c r="R164" s="1850">
        <f>N164-O164-Q164</f>
        <v>0</v>
      </c>
      <c r="S164" s="1850">
        <f>ROUND(S163-R164,2)</f>
        <v>0</v>
      </c>
      <c r="T164" s="1850">
        <f>ROUND(T163-(N164-Q164),2)</f>
        <v>0</v>
      </c>
      <c r="U164" s="1849"/>
      <c r="W164" s="1848"/>
      <c r="X164" s="1848"/>
      <c r="Y164" s="1848"/>
    </row>
    <row r="165" spans="2:26" ht="15.95" hidden="1" customHeight="1">
      <c r="B165" s="1815" t="b">
        <f>AND(I165=FALSE,N164=0,Q164=0,L164="")</f>
        <v>1</v>
      </c>
      <c r="C165" s="1844" t="str" cm="1">
        <f t="array" ref="C165">_xlfn.IFS(
    L165="", "",
    MONTH(L165) &lt;= End_of_Year_Month, YEAR(L165),
    TRUE, YEAR(L165) + 1
)</f>
        <v/>
      </c>
      <c r="F165" s="1857">
        <f>IF(L165="",0,L165)</f>
        <v>0</v>
      </c>
      <c r="G165" s="1856">
        <f>-(N165-Q165)</f>
        <v>0</v>
      </c>
      <c r="I165" s="1815" t="b">
        <f>K165&lt;=Number_Payments</f>
        <v>0</v>
      </c>
      <c r="J165" s="1855"/>
      <c r="K165" s="1351">
        <f>K164+1</f>
        <v>39</v>
      </c>
      <c r="L165" s="1854" t="str" cm="1">
        <f t="array" ref="L165">_xlfn.IFS(
    I164=FALSE, "",
    Payment_Frequency="Monthly", EDATE(L164, 1),
    Payment_Frequency="Weekly", DATE(YEAR(L164), MONTH(L164), DAY(L164) + 7),
    Payment_Frequency="Fortnightly", DATE(YEAR(L164), MONTH(L164), DAY(L164) + 14),
    Payment_Frequency="Quarterly", DATE(YEAR(L164), MONTH(L164) + 3, DAY(L164)),
    Payment_Frequency="Yearly", DATE(YEAR(L164) + 1, MONTH(L164), DAY(L164)),
    TRUE, ""
)</f>
        <v/>
      </c>
      <c r="M165" s="1853">
        <f>IF(ISERROR(L165-L164),0,L165-L164)</f>
        <v>0</v>
      </c>
      <c r="N165" s="1851" cm="1">
        <f t="array" ref="N165">_xlfn.IFS(
    AND(I165=TRUE, K165&lt;=No_Regular_Payments), Repay_Amt,
    AND(I165=TRUE, K165=No_Regular_Payments+1), Tm_Balloon_Amt,
   TRUE, 0
)</f>
        <v>0</v>
      </c>
      <c r="O165" s="1850" cm="1">
        <f t="array" ref="O165">_xlfn.IFS(
    M165=0,0,
   ABS(N165 - S164 - P165-Q165) &lt; 1, N165 - S164-Q165,
    TRUE, P165
)</f>
        <v>0</v>
      </c>
      <c r="P165" s="1852">
        <f>IF(M165=0,0,ROUND(S164*EXP(Int_Rate/365.25 * M165)-S164,2))</f>
        <v>0</v>
      </c>
      <c r="Q165" s="1851" cm="1">
        <f t="array" ref="Q165">_xlfn.IFS(
    AND(I165=TRUE, K165&lt;=No_Regular_Payments), Periodic_Admin_Charge,
   TRUE, 0
)</f>
        <v>0</v>
      </c>
      <c r="R165" s="1850">
        <f>N165-O165-Q165</f>
        <v>0</v>
      </c>
      <c r="S165" s="1850">
        <f>ROUND(S164-R165,2)</f>
        <v>0</v>
      </c>
      <c r="T165" s="1850">
        <f>ROUND(T164-(N165-Q165),2)</f>
        <v>0</v>
      </c>
      <c r="U165" s="1849"/>
      <c r="W165" s="1848"/>
      <c r="X165" s="1848"/>
      <c r="Y165" s="1848"/>
    </row>
    <row r="166" spans="2:26" ht="15.95" hidden="1" customHeight="1">
      <c r="B166" s="1815" t="b">
        <f>AND(I166=FALSE,N165=0,Q165=0,L165="")</f>
        <v>1</v>
      </c>
      <c r="C166" s="1844" t="str" cm="1">
        <f t="array" ref="C166">_xlfn.IFS(
    L166="", "",
    MONTH(L166) &lt;= End_of_Year_Month, YEAR(L166),
    TRUE, YEAR(L166) + 1
)</f>
        <v/>
      </c>
      <c r="F166" s="1857">
        <f>IF(L166="",0,L166)</f>
        <v>0</v>
      </c>
      <c r="G166" s="1856">
        <f>-(N166-Q166)</f>
        <v>0</v>
      </c>
      <c r="I166" s="1815" t="b">
        <f>K166&lt;=Number_Payments</f>
        <v>0</v>
      </c>
      <c r="J166" s="1855"/>
      <c r="K166" s="1351">
        <f>K165+1</f>
        <v>40</v>
      </c>
      <c r="L166" s="1854" t="str" cm="1">
        <f t="array" ref="L166">_xlfn.IFS(
    I165=FALSE, "",
    Payment_Frequency="Monthly", EDATE(L165, 1),
    Payment_Frequency="Weekly", DATE(YEAR(L165), MONTH(L165), DAY(L165) + 7),
    Payment_Frequency="Fortnightly", DATE(YEAR(L165), MONTH(L165), DAY(L165) + 14),
    Payment_Frequency="Quarterly", DATE(YEAR(L165), MONTH(L165) + 3, DAY(L165)),
    Payment_Frequency="Yearly", DATE(YEAR(L165) + 1, MONTH(L165), DAY(L165)),
    TRUE, ""
)</f>
        <v/>
      </c>
      <c r="M166" s="1853">
        <f>IF(ISERROR(L166-L165),0,L166-L165)</f>
        <v>0</v>
      </c>
      <c r="N166" s="1851" cm="1">
        <f t="array" ref="N166">_xlfn.IFS(
    AND(I166=TRUE, K166&lt;=No_Regular_Payments), Repay_Amt,
    AND(I166=TRUE, K166=No_Regular_Payments+1), Tm_Balloon_Amt,
   TRUE, 0
)</f>
        <v>0</v>
      </c>
      <c r="O166" s="1850" cm="1">
        <f t="array" ref="O166">_xlfn.IFS(
    M166=0,0,
   ABS(N166 - S165 - P166-Q166) &lt; 1, N166 - S165-Q166,
    TRUE, P166
)</f>
        <v>0</v>
      </c>
      <c r="P166" s="1852">
        <f>IF(M166=0,0,ROUND(S165*EXP(Int_Rate/365.25 * M166)-S165,2))</f>
        <v>0</v>
      </c>
      <c r="Q166" s="1851" cm="1">
        <f t="array" ref="Q166">_xlfn.IFS(
    AND(I166=TRUE, K166&lt;=No_Regular_Payments), Periodic_Admin_Charge,
   TRUE, 0
)</f>
        <v>0</v>
      </c>
      <c r="R166" s="1850">
        <f>N166-O166-Q166</f>
        <v>0</v>
      </c>
      <c r="S166" s="1850">
        <f>ROUND(S165-R166,2)</f>
        <v>0</v>
      </c>
      <c r="T166" s="1850">
        <f>ROUND(T165-(N166-Q166),2)</f>
        <v>0</v>
      </c>
      <c r="U166" s="1849"/>
      <c r="W166" s="1848"/>
      <c r="X166" s="1848"/>
      <c r="Y166" s="1848"/>
    </row>
    <row r="167" spans="2:26" ht="15.95" hidden="1" customHeight="1">
      <c r="B167" s="1815" t="b">
        <f>AND(I167=FALSE,N166=0,Q166=0,L166="")</f>
        <v>1</v>
      </c>
      <c r="C167" s="1844" t="str" cm="1">
        <f t="array" ref="C167">_xlfn.IFS(
    L167="", "",
    MONTH(L167) &lt;= End_of_Year_Month, YEAR(L167),
    TRUE, YEAR(L167) + 1
)</f>
        <v/>
      </c>
      <c r="F167" s="1857">
        <f>IF(L167="",0,L167)</f>
        <v>0</v>
      </c>
      <c r="G167" s="1856">
        <f>-(N167-Q167)</f>
        <v>0</v>
      </c>
      <c r="I167" s="1815" t="b">
        <f>K167&lt;=Number_Payments</f>
        <v>0</v>
      </c>
      <c r="J167" s="1855"/>
      <c r="K167" s="1351">
        <f>K166+1</f>
        <v>41</v>
      </c>
      <c r="L167" s="1854" t="str" cm="1">
        <f t="array" ref="L167">_xlfn.IFS(
    I166=FALSE, "",
    Payment_Frequency="Monthly", EDATE(L166, 1),
    Payment_Frequency="Weekly", DATE(YEAR(L166), MONTH(L166), DAY(L166) + 7),
    Payment_Frequency="Fortnightly", DATE(YEAR(L166), MONTH(L166), DAY(L166) + 14),
    Payment_Frequency="Quarterly", DATE(YEAR(L166), MONTH(L166) + 3, DAY(L166)),
    Payment_Frequency="Yearly", DATE(YEAR(L166) + 1, MONTH(L166), DAY(L166)),
    TRUE, ""
)</f>
        <v/>
      </c>
      <c r="M167" s="1853">
        <f>IF(ISERROR(L167-L166),0,L167-L166)</f>
        <v>0</v>
      </c>
      <c r="N167" s="1851" cm="1">
        <f t="array" ref="N167">_xlfn.IFS(
    AND(I167=TRUE, K167&lt;=No_Regular_Payments), Repay_Amt,
    AND(I167=TRUE, K167=No_Regular_Payments+1), Tm_Balloon_Amt,
   TRUE, 0
)</f>
        <v>0</v>
      </c>
      <c r="O167" s="1850" cm="1">
        <f t="array" ref="O167">_xlfn.IFS(
    M167=0,0,
   ABS(N167 - S166 - P167-Q167) &lt; 1, N167 - S166-Q167,
    TRUE, P167
)</f>
        <v>0</v>
      </c>
      <c r="P167" s="1852">
        <f>IF(M167=0,0,ROUND(S166*EXP(Int_Rate/365.25 * M167)-S166,2))</f>
        <v>0</v>
      </c>
      <c r="Q167" s="1851" cm="1">
        <f t="array" ref="Q167">_xlfn.IFS(
    AND(I167=TRUE, K167&lt;=No_Regular_Payments), Periodic_Admin_Charge,
   TRUE, 0
)</f>
        <v>0</v>
      </c>
      <c r="R167" s="1850">
        <f>N167-O167-Q167</f>
        <v>0</v>
      </c>
      <c r="S167" s="1850">
        <f>ROUND(S166-R167,2)</f>
        <v>0</v>
      </c>
      <c r="T167" s="1850">
        <f>ROUND(T166-(N167-Q167),2)</f>
        <v>0</v>
      </c>
      <c r="U167" s="1849"/>
      <c r="W167" s="1848"/>
      <c r="X167" s="1848"/>
      <c r="Y167" s="1848"/>
    </row>
    <row r="168" spans="2:26" ht="15.95" hidden="1" customHeight="1">
      <c r="B168" s="1815" t="b">
        <f>AND(I168=FALSE,N167=0,Q167=0,L167="")</f>
        <v>1</v>
      </c>
      <c r="C168" s="1844" t="str" cm="1">
        <f t="array" ref="C168">_xlfn.IFS(
    L168="", "",
    MONTH(L168) &lt;= End_of_Year_Month, YEAR(L168),
    TRUE, YEAR(L168) + 1
)</f>
        <v/>
      </c>
      <c r="F168" s="1857">
        <f>IF(L168="",0,L168)</f>
        <v>0</v>
      </c>
      <c r="G168" s="1856">
        <f>-(N168-Q168)</f>
        <v>0</v>
      </c>
      <c r="I168" s="1815" t="b">
        <f>K168&lt;=Number_Payments</f>
        <v>0</v>
      </c>
      <c r="J168" s="1855"/>
      <c r="K168" s="1351">
        <f>K167+1</f>
        <v>42</v>
      </c>
      <c r="L168" s="1854" t="str" cm="1">
        <f t="array" ref="L168">_xlfn.IFS(
    I167=FALSE, "",
    Payment_Frequency="Monthly", EDATE(L167, 1),
    Payment_Frequency="Weekly", DATE(YEAR(L167), MONTH(L167), DAY(L167) + 7),
    Payment_Frequency="Fortnightly", DATE(YEAR(L167), MONTH(L167), DAY(L167) + 14),
    Payment_Frequency="Quarterly", DATE(YEAR(L167), MONTH(L167) + 3, DAY(L167)),
    Payment_Frequency="Yearly", DATE(YEAR(L167) + 1, MONTH(L167), DAY(L167)),
    TRUE, ""
)</f>
        <v/>
      </c>
      <c r="M168" s="1853">
        <f>IF(ISERROR(L168-L167),0,L168-L167)</f>
        <v>0</v>
      </c>
      <c r="N168" s="1851" cm="1">
        <f t="array" ref="N168">_xlfn.IFS(
    AND(I168=TRUE, K168&lt;=No_Regular_Payments), Repay_Amt,
    AND(I168=TRUE, K168=No_Regular_Payments+1), Tm_Balloon_Amt,
   TRUE, 0
)</f>
        <v>0</v>
      </c>
      <c r="O168" s="1850" cm="1">
        <f t="array" ref="O168">_xlfn.IFS(
    M168=0,0,
   ABS(N168 - S167 - P168-Q168) &lt; 1, N168 - S167-Q168,
    TRUE, P168
)</f>
        <v>0</v>
      </c>
      <c r="P168" s="1852">
        <f>IF(M168=0,0,ROUND(S167*EXP(Int_Rate/365.25 * M168)-S167,2))</f>
        <v>0</v>
      </c>
      <c r="Q168" s="1851" cm="1">
        <f t="array" ref="Q168">_xlfn.IFS(
    AND(I168=TRUE, K168&lt;=No_Regular_Payments), Periodic_Admin_Charge,
   TRUE, 0
)</f>
        <v>0</v>
      </c>
      <c r="R168" s="1850">
        <f>N168-O168-Q168</f>
        <v>0</v>
      </c>
      <c r="S168" s="1850">
        <f>ROUND(S167-R168,2)</f>
        <v>0</v>
      </c>
      <c r="T168" s="1850">
        <f>ROUND(T167-(N168-Q168),2)</f>
        <v>0</v>
      </c>
      <c r="U168" s="1849"/>
      <c r="W168" s="1848"/>
      <c r="X168" s="1848"/>
      <c r="Y168" s="1848"/>
    </row>
    <row r="169" spans="2:26" ht="15.95" hidden="1" customHeight="1">
      <c r="B169" s="1815" t="b">
        <f>AND(I169=FALSE,N168=0,Q168=0,L168="")</f>
        <v>1</v>
      </c>
      <c r="C169" s="1844" t="str" cm="1">
        <f t="array" ref="C169">_xlfn.IFS(
    L169="", "",
    MONTH(L169) &lt;= End_of_Year_Month, YEAR(L169),
    TRUE, YEAR(L169) + 1
)</f>
        <v/>
      </c>
      <c r="F169" s="1857">
        <f>IF(L169="",0,L169)</f>
        <v>0</v>
      </c>
      <c r="G169" s="1856">
        <f>-(N169-Q169)</f>
        <v>0</v>
      </c>
      <c r="I169" s="1815" t="b">
        <f>K169&lt;=Number_Payments</f>
        <v>0</v>
      </c>
      <c r="J169" s="1855"/>
      <c r="K169" s="1351">
        <f>K168+1</f>
        <v>43</v>
      </c>
      <c r="L169" s="1854" t="str" cm="1">
        <f t="array" ref="L169">_xlfn.IFS(
    I168=FALSE, "",
    Payment_Frequency="Monthly", EDATE(L168, 1),
    Payment_Frequency="Weekly", DATE(YEAR(L168), MONTH(L168), DAY(L168) + 7),
    Payment_Frequency="Fortnightly", DATE(YEAR(L168), MONTH(L168), DAY(L168) + 14),
    Payment_Frequency="Quarterly", DATE(YEAR(L168), MONTH(L168) + 3, DAY(L168)),
    Payment_Frequency="Yearly", DATE(YEAR(L168) + 1, MONTH(L168), DAY(L168)),
    TRUE, ""
)</f>
        <v/>
      </c>
      <c r="M169" s="1853">
        <f>IF(ISERROR(L169-L168),0,L169-L168)</f>
        <v>0</v>
      </c>
      <c r="N169" s="1851" cm="1">
        <f t="array" ref="N169">_xlfn.IFS(
    AND(I169=TRUE, K169&lt;=No_Regular_Payments), Repay_Amt,
    AND(I169=TRUE, K169=No_Regular_Payments+1), Tm_Balloon_Amt,
   TRUE, 0
)</f>
        <v>0</v>
      </c>
      <c r="O169" s="1850" cm="1">
        <f t="array" ref="O169">_xlfn.IFS(
    M169=0,0,
   ABS(N169 - S168 - P169-Q169) &lt; 1, N169 - S168-Q169,
    TRUE, P169
)</f>
        <v>0</v>
      </c>
      <c r="P169" s="1852">
        <f>IF(M169=0,0,ROUND(S168*EXP(Int_Rate/365.25 * M169)-S168,2))</f>
        <v>0</v>
      </c>
      <c r="Q169" s="1851" cm="1">
        <f t="array" ref="Q169">_xlfn.IFS(
    AND(I169=TRUE, K169&lt;=No_Regular_Payments), Periodic_Admin_Charge,
   TRUE, 0
)</f>
        <v>0</v>
      </c>
      <c r="R169" s="1850">
        <f>N169-O169-Q169</f>
        <v>0</v>
      </c>
      <c r="S169" s="1850">
        <f>ROUND(S168-R169,2)</f>
        <v>0</v>
      </c>
      <c r="T169" s="1850">
        <f>ROUND(T168-(N169-Q169),2)</f>
        <v>0</v>
      </c>
      <c r="U169" s="1849"/>
      <c r="W169" s="1848"/>
      <c r="X169" s="1848"/>
      <c r="Y169" s="1848"/>
    </row>
    <row r="170" spans="2:26" ht="15.95" hidden="1" customHeight="1">
      <c r="B170" s="1815" t="b">
        <f>AND(I170=FALSE,N169=0,Q169=0,L169="")</f>
        <v>1</v>
      </c>
      <c r="C170" s="1844" t="str" cm="1">
        <f t="array" ref="C170">_xlfn.IFS(
    L170="", "",
    MONTH(L170) &lt;= End_of_Year_Month, YEAR(L170),
    TRUE, YEAR(L170) + 1
)</f>
        <v/>
      </c>
      <c r="F170" s="1857">
        <f>IF(L170="",0,L170)</f>
        <v>0</v>
      </c>
      <c r="G170" s="1856">
        <f>-(N170-Q170)</f>
        <v>0</v>
      </c>
      <c r="I170" s="1815" t="b">
        <f>K170&lt;=Number_Payments</f>
        <v>0</v>
      </c>
      <c r="J170" s="1855"/>
      <c r="K170" s="1351">
        <f>K169+1</f>
        <v>44</v>
      </c>
      <c r="L170" s="1854" t="str" cm="1">
        <f t="array" ref="L170">_xlfn.IFS(
    I169=FALSE, "",
    Payment_Frequency="Monthly", EDATE(L169, 1),
    Payment_Frequency="Weekly", DATE(YEAR(L169), MONTH(L169), DAY(L169) + 7),
    Payment_Frequency="Fortnightly", DATE(YEAR(L169), MONTH(L169), DAY(L169) + 14),
    Payment_Frequency="Quarterly", DATE(YEAR(L169), MONTH(L169) + 3, DAY(L169)),
    Payment_Frequency="Yearly", DATE(YEAR(L169) + 1, MONTH(L169), DAY(L169)),
    TRUE, ""
)</f>
        <v/>
      </c>
      <c r="M170" s="1853">
        <f>IF(ISERROR(L170-L169),0,L170-L169)</f>
        <v>0</v>
      </c>
      <c r="N170" s="1851" cm="1">
        <f t="array" ref="N170">_xlfn.IFS(
    AND(I170=TRUE, K170&lt;=No_Regular_Payments), Repay_Amt,
    AND(I170=TRUE, K170=No_Regular_Payments+1), Tm_Balloon_Amt,
   TRUE, 0
)</f>
        <v>0</v>
      </c>
      <c r="O170" s="1850" cm="1">
        <f t="array" ref="O170">_xlfn.IFS(
    M170=0,0,
   ABS(N170 - S169 - P170-Q170) &lt; 1, N170 - S169-Q170,
    TRUE, P170
)</f>
        <v>0</v>
      </c>
      <c r="P170" s="1852">
        <f>IF(M170=0,0,ROUND(S169*EXP(Int_Rate/365.25 * M170)-S169,2))</f>
        <v>0</v>
      </c>
      <c r="Q170" s="1851" cm="1">
        <f t="array" ref="Q170">_xlfn.IFS(
    AND(I170=TRUE, K170&lt;=No_Regular_Payments), Periodic_Admin_Charge,
   TRUE, 0
)</f>
        <v>0</v>
      </c>
      <c r="R170" s="1850">
        <f>N170-O170-Q170</f>
        <v>0</v>
      </c>
      <c r="S170" s="1850">
        <f>ROUND(S169-R170,2)</f>
        <v>0</v>
      </c>
      <c r="T170" s="1850">
        <f>ROUND(T169-(N170-Q170),2)</f>
        <v>0</v>
      </c>
      <c r="U170" s="1849"/>
      <c r="W170" s="1848"/>
      <c r="X170" s="1848"/>
      <c r="Y170" s="1848"/>
      <c r="Z170" s="1848"/>
    </row>
    <row r="171" spans="2:26" ht="15.95" hidden="1" customHeight="1">
      <c r="B171" s="1815" t="b">
        <f>AND(I171=FALSE,N170=0,Q170=0,L170="")</f>
        <v>1</v>
      </c>
      <c r="C171" s="1844" t="str" cm="1">
        <f t="array" ref="C171">_xlfn.IFS(
    L171="", "",
    MONTH(L171) &lt;= End_of_Year_Month, YEAR(L171),
    TRUE, YEAR(L171) + 1
)</f>
        <v/>
      </c>
      <c r="F171" s="1857">
        <f>IF(L171="",0,L171)</f>
        <v>0</v>
      </c>
      <c r="G171" s="1856">
        <f>-(N171-Q171)</f>
        <v>0</v>
      </c>
      <c r="I171" s="1815" t="b">
        <f>K171&lt;=Number_Payments</f>
        <v>0</v>
      </c>
      <c r="J171" s="1855"/>
      <c r="K171" s="1351">
        <f>K170+1</f>
        <v>45</v>
      </c>
      <c r="L171" s="1854" t="str" cm="1">
        <f t="array" ref="L171">_xlfn.IFS(
    I170=FALSE, "",
    Payment_Frequency="Monthly", EDATE(L170, 1),
    Payment_Frequency="Weekly", DATE(YEAR(L170), MONTH(L170), DAY(L170) + 7),
    Payment_Frequency="Fortnightly", DATE(YEAR(L170), MONTH(L170), DAY(L170) + 14),
    Payment_Frequency="Quarterly", DATE(YEAR(L170), MONTH(L170) + 3, DAY(L170)),
    Payment_Frequency="Yearly", DATE(YEAR(L170) + 1, MONTH(L170), DAY(L170)),
    TRUE, ""
)</f>
        <v/>
      </c>
      <c r="M171" s="1853">
        <f>IF(ISERROR(L171-L170),0,L171-L170)</f>
        <v>0</v>
      </c>
      <c r="N171" s="1851" cm="1">
        <f t="array" ref="N171">_xlfn.IFS(
    AND(I171=TRUE, K171&lt;=No_Regular_Payments), Repay_Amt,
    AND(I171=TRUE, K171=No_Regular_Payments+1), Tm_Balloon_Amt,
   TRUE, 0
)</f>
        <v>0</v>
      </c>
      <c r="O171" s="1850" cm="1">
        <f t="array" ref="O171">_xlfn.IFS(
    M171=0,0,
   ABS(N171 - S170 - P171-Q171) &lt; 1, N171 - S170-Q171,
    TRUE, P171
)</f>
        <v>0</v>
      </c>
      <c r="P171" s="1852">
        <f>IF(M171=0,0,ROUND(S170*EXP(Int_Rate/365.25 * M171)-S170,2))</f>
        <v>0</v>
      </c>
      <c r="Q171" s="1851" cm="1">
        <f t="array" ref="Q171">_xlfn.IFS(
    AND(I171=TRUE, K171&lt;=No_Regular_Payments), Periodic_Admin_Charge,
   TRUE, 0
)</f>
        <v>0</v>
      </c>
      <c r="R171" s="1850">
        <f>N171-O171-Q171</f>
        <v>0</v>
      </c>
      <c r="S171" s="1850">
        <f>ROUND(S170-R171,2)</f>
        <v>0</v>
      </c>
      <c r="T171" s="1850">
        <f>ROUND(T170-(N171-Q171),2)</f>
        <v>0</v>
      </c>
      <c r="U171" s="1849"/>
      <c r="W171" s="1848"/>
      <c r="X171" s="1848"/>
      <c r="Y171" s="1848"/>
    </row>
    <row r="172" spans="2:26" ht="15.95" hidden="1" customHeight="1">
      <c r="B172" s="1815" t="b">
        <f>AND(I172=FALSE,N171=0,Q171=0,L171="")</f>
        <v>1</v>
      </c>
      <c r="C172" s="1844" t="str" cm="1">
        <f t="array" ref="C172">_xlfn.IFS(
    L172="", "",
    MONTH(L172) &lt;= End_of_Year_Month, YEAR(L172),
    TRUE, YEAR(L172) + 1
)</f>
        <v/>
      </c>
      <c r="F172" s="1857">
        <f>IF(L172="",0,L172)</f>
        <v>0</v>
      </c>
      <c r="G172" s="1856">
        <f>-(N172-Q172)</f>
        <v>0</v>
      </c>
      <c r="I172" s="1815" t="b">
        <f>K172&lt;=Number_Payments</f>
        <v>0</v>
      </c>
      <c r="J172" s="1855"/>
      <c r="K172" s="1351">
        <f>K171+1</f>
        <v>46</v>
      </c>
      <c r="L172" s="1854" t="str" cm="1">
        <f t="array" ref="L172">_xlfn.IFS(
    I171=FALSE, "",
    Payment_Frequency="Monthly", EDATE(L171, 1),
    Payment_Frequency="Weekly", DATE(YEAR(L171), MONTH(L171), DAY(L171) + 7),
    Payment_Frequency="Fortnightly", DATE(YEAR(L171), MONTH(L171), DAY(L171) + 14),
    Payment_Frequency="Quarterly", DATE(YEAR(L171), MONTH(L171) + 3, DAY(L171)),
    Payment_Frequency="Yearly", DATE(YEAR(L171) + 1, MONTH(L171), DAY(L171)),
    TRUE, ""
)</f>
        <v/>
      </c>
      <c r="M172" s="1853">
        <f>IF(ISERROR(L172-L171),0,L172-L171)</f>
        <v>0</v>
      </c>
      <c r="N172" s="1851" cm="1">
        <f t="array" ref="N172">_xlfn.IFS(
    AND(I172=TRUE, K172&lt;=No_Regular_Payments), Repay_Amt,
    AND(I172=TRUE, K172=No_Regular_Payments+1), Tm_Balloon_Amt,
   TRUE, 0
)</f>
        <v>0</v>
      </c>
      <c r="O172" s="1850" cm="1">
        <f t="array" ref="O172">_xlfn.IFS(
    M172=0,0,
   ABS(N172 - S171 - P172-Q172) &lt; 1, N172 - S171-Q172,
    TRUE, P172
)</f>
        <v>0</v>
      </c>
      <c r="P172" s="1852">
        <f>IF(M172=0,0,ROUND(S171*EXP(Int_Rate/365.25 * M172)-S171,2))</f>
        <v>0</v>
      </c>
      <c r="Q172" s="1851" cm="1">
        <f t="array" ref="Q172">_xlfn.IFS(
    AND(I172=TRUE, K172&lt;=No_Regular_Payments), Periodic_Admin_Charge,
   TRUE, 0
)</f>
        <v>0</v>
      </c>
      <c r="R172" s="1850">
        <f>N172-O172-Q172</f>
        <v>0</v>
      </c>
      <c r="S172" s="1850">
        <f>ROUND(S171-R172,2)</f>
        <v>0</v>
      </c>
      <c r="T172" s="1850">
        <f>ROUND(T171-(N172-Q172),2)</f>
        <v>0</v>
      </c>
      <c r="U172" s="1849"/>
      <c r="W172" s="1848"/>
      <c r="X172" s="1848"/>
      <c r="Y172" s="1848"/>
    </row>
    <row r="173" spans="2:26" ht="15.95" hidden="1" customHeight="1">
      <c r="B173" s="1815" t="b">
        <f>AND(I173=FALSE,N172=0,Q172=0,L172="")</f>
        <v>1</v>
      </c>
      <c r="C173" s="1844" t="str" cm="1">
        <f t="array" ref="C173">_xlfn.IFS(
    L173="", "",
    MONTH(L173) &lt;= End_of_Year_Month, YEAR(L173),
    TRUE, YEAR(L173) + 1
)</f>
        <v/>
      </c>
      <c r="F173" s="1857">
        <f>IF(L173="",0,L173)</f>
        <v>0</v>
      </c>
      <c r="G173" s="1856">
        <f>-(N173-Q173)</f>
        <v>0</v>
      </c>
      <c r="I173" s="1815" t="b">
        <f>K173&lt;=Number_Payments</f>
        <v>0</v>
      </c>
      <c r="J173" s="1855"/>
      <c r="K173" s="1351">
        <f>K172+1</f>
        <v>47</v>
      </c>
      <c r="L173" s="1854" t="str" cm="1">
        <f t="array" ref="L173">_xlfn.IFS(
    I172=FALSE, "",
    Payment_Frequency="Monthly", EDATE(L172, 1),
    Payment_Frequency="Weekly", DATE(YEAR(L172), MONTH(L172), DAY(L172) + 7),
    Payment_Frequency="Fortnightly", DATE(YEAR(L172), MONTH(L172), DAY(L172) + 14),
    Payment_Frequency="Quarterly", DATE(YEAR(L172), MONTH(L172) + 3, DAY(L172)),
    Payment_Frequency="Yearly", DATE(YEAR(L172) + 1, MONTH(L172), DAY(L172)),
    TRUE, ""
)</f>
        <v/>
      </c>
      <c r="M173" s="1853">
        <f>IF(ISERROR(L173-L172),0,L173-L172)</f>
        <v>0</v>
      </c>
      <c r="N173" s="1851" cm="1">
        <f t="array" ref="N173">_xlfn.IFS(
    AND(I173=TRUE, K173&lt;=No_Regular_Payments), Repay_Amt,
    AND(I173=TRUE, K173=No_Regular_Payments+1), Tm_Balloon_Amt,
   TRUE, 0
)</f>
        <v>0</v>
      </c>
      <c r="O173" s="1850" cm="1">
        <f t="array" ref="O173">_xlfn.IFS(
    M173=0,0,
   ABS(N173 - S172 - P173-Q173) &lt; 1, N173 - S172-Q173,
    TRUE, P173
)</f>
        <v>0</v>
      </c>
      <c r="P173" s="1852">
        <f>IF(M173=0,0,ROUND(S172*EXP(Int_Rate/365.25 * M173)-S172,2))</f>
        <v>0</v>
      </c>
      <c r="Q173" s="1851" cm="1">
        <f t="array" ref="Q173">_xlfn.IFS(
    AND(I173=TRUE, K173&lt;=No_Regular_Payments), Periodic_Admin_Charge,
   TRUE, 0
)</f>
        <v>0</v>
      </c>
      <c r="R173" s="1850">
        <f>N173-O173-Q173</f>
        <v>0</v>
      </c>
      <c r="S173" s="1850">
        <f>ROUND(S172-R173,2)</f>
        <v>0</v>
      </c>
      <c r="T173" s="1850">
        <f>ROUND(T172-(N173-Q173),2)</f>
        <v>0</v>
      </c>
      <c r="U173" s="1849"/>
      <c r="W173" s="1848"/>
      <c r="X173" s="1848"/>
      <c r="Y173" s="1848"/>
    </row>
    <row r="174" spans="2:26" ht="15.95" hidden="1" customHeight="1">
      <c r="B174" s="1815" t="b">
        <f>AND(I174=FALSE,N173=0,Q173=0,L173="")</f>
        <v>1</v>
      </c>
      <c r="C174" s="1844" t="str" cm="1">
        <f t="array" ref="C174">_xlfn.IFS(
    L174="", "",
    MONTH(L174) &lt;= End_of_Year_Month, YEAR(L174),
    TRUE, YEAR(L174) + 1
)</f>
        <v/>
      </c>
      <c r="F174" s="1857">
        <f>IF(L174="",0,L174)</f>
        <v>0</v>
      </c>
      <c r="G174" s="1856">
        <f>-(N174-Q174)</f>
        <v>0</v>
      </c>
      <c r="I174" s="1815" t="b">
        <f>K174&lt;=Number_Payments</f>
        <v>0</v>
      </c>
      <c r="J174" s="1855"/>
      <c r="K174" s="1351">
        <f>K173+1</f>
        <v>48</v>
      </c>
      <c r="L174" s="1854" t="str" cm="1">
        <f t="array" ref="L174">_xlfn.IFS(
    I173=FALSE, "",
    Payment_Frequency="Monthly", EDATE(L173, 1),
    Payment_Frequency="Weekly", DATE(YEAR(L173), MONTH(L173), DAY(L173) + 7),
    Payment_Frequency="Fortnightly", DATE(YEAR(L173), MONTH(L173), DAY(L173) + 14),
    Payment_Frequency="Quarterly", DATE(YEAR(L173), MONTH(L173) + 3, DAY(L173)),
    Payment_Frequency="Yearly", DATE(YEAR(L173) + 1, MONTH(L173), DAY(L173)),
    TRUE, ""
)</f>
        <v/>
      </c>
      <c r="M174" s="1853">
        <f>IF(ISERROR(L174-L173),0,L174-L173)</f>
        <v>0</v>
      </c>
      <c r="N174" s="1851" cm="1">
        <f t="array" ref="N174">_xlfn.IFS(
    AND(I174=TRUE, K174&lt;=No_Regular_Payments), Repay_Amt,
    AND(I174=TRUE, K174=No_Regular_Payments+1), Tm_Balloon_Amt,
   TRUE, 0
)</f>
        <v>0</v>
      </c>
      <c r="O174" s="1850" cm="1">
        <f t="array" ref="O174">_xlfn.IFS(
    M174=0,0,
   ABS(N174 - S173 - P174-Q174) &lt; 1, N174 - S173-Q174,
    TRUE, P174
)</f>
        <v>0</v>
      </c>
      <c r="P174" s="1852">
        <f>IF(M174=0,0,ROUND(S173*EXP(Int_Rate/365.25 * M174)-S173,2))</f>
        <v>0</v>
      </c>
      <c r="Q174" s="1851" cm="1">
        <f t="array" ref="Q174">_xlfn.IFS(
    AND(I174=TRUE, K174&lt;=No_Regular_Payments), Periodic_Admin_Charge,
   TRUE, 0
)</f>
        <v>0</v>
      </c>
      <c r="R174" s="1850">
        <f>N174-O174-Q174</f>
        <v>0</v>
      </c>
      <c r="S174" s="1850">
        <f>ROUND(S173-R174,2)</f>
        <v>0</v>
      </c>
      <c r="T174" s="1850">
        <f>ROUND(T173-(N174-Q174),2)</f>
        <v>0</v>
      </c>
      <c r="U174" s="1849"/>
      <c r="W174" s="1848"/>
      <c r="X174" s="1848"/>
      <c r="Y174" s="1848"/>
    </row>
    <row r="175" spans="2:26" ht="15.95" hidden="1" customHeight="1">
      <c r="B175" s="1815" t="b">
        <f>AND(I175=FALSE,N174=0,Q174=0,L174="")</f>
        <v>1</v>
      </c>
      <c r="C175" s="1844" t="str" cm="1">
        <f t="array" ref="C175">_xlfn.IFS(
    L175="", "",
    MONTH(L175) &lt;= End_of_Year_Month, YEAR(L175),
    TRUE, YEAR(L175) + 1
)</f>
        <v/>
      </c>
      <c r="F175" s="1857">
        <f>IF(L175="",0,L175)</f>
        <v>0</v>
      </c>
      <c r="G175" s="1856">
        <f>-(N175-Q175)</f>
        <v>0</v>
      </c>
      <c r="I175" s="1815" t="b">
        <f>K175&lt;=Number_Payments</f>
        <v>0</v>
      </c>
      <c r="J175" s="1855"/>
      <c r="K175" s="1351">
        <f>K174+1</f>
        <v>49</v>
      </c>
      <c r="L175" s="1854" t="str" cm="1">
        <f t="array" ref="L175">_xlfn.IFS(
    I174=FALSE, "",
    Payment_Frequency="Monthly", EDATE(L174, 1),
    Payment_Frequency="Weekly", DATE(YEAR(L174), MONTH(L174), DAY(L174) + 7),
    Payment_Frequency="Fortnightly", DATE(YEAR(L174), MONTH(L174), DAY(L174) + 14),
    Payment_Frequency="Quarterly", DATE(YEAR(L174), MONTH(L174) + 3, DAY(L174)),
    Payment_Frequency="Yearly", DATE(YEAR(L174) + 1, MONTH(L174), DAY(L174)),
    TRUE, ""
)</f>
        <v/>
      </c>
      <c r="M175" s="1853">
        <f>IF(ISERROR(L175-L174),0,L175-L174)</f>
        <v>0</v>
      </c>
      <c r="N175" s="1851" cm="1">
        <f t="array" ref="N175">_xlfn.IFS(
    AND(I175=TRUE, K175&lt;=No_Regular_Payments), Repay_Amt,
    AND(I175=TRUE, K175=No_Regular_Payments+1), Tm_Balloon_Amt,
   TRUE, 0
)</f>
        <v>0</v>
      </c>
      <c r="O175" s="1850" cm="1">
        <f t="array" ref="O175">_xlfn.IFS(
    M175=0,0,
   ABS(N175 - S174 - P175-Q175) &lt; 1, N175 - S174-Q175,
    TRUE, P175
)</f>
        <v>0</v>
      </c>
      <c r="P175" s="1852">
        <f>IF(M175=0,0,ROUND(S174*EXP(Int_Rate/365.25 * M175)-S174,2))</f>
        <v>0</v>
      </c>
      <c r="Q175" s="1851" cm="1">
        <f t="array" ref="Q175">_xlfn.IFS(
    AND(I175=TRUE, K175&lt;=No_Regular_Payments), Periodic_Admin_Charge,
   TRUE, 0
)</f>
        <v>0</v>
      </c>
      <c r="R175" s="1850">
        <f>N175-O175-Q175</f>
        <v>0</v>
      </c>
      <c r="S175" s="1850">
        <f>ROUND(S174-R175,2)</f>
        <v>0</v>
      </c>
      <c r="T175" s="1850">
        <f>ROUND(T174-(N175-Q175),2)</f>
        <v>0</v>
      </c>
      <c r="U175" s="1849"/>
      <c r="W175" s="1848"/>
      <c r="X175" s="1848"/>
      <c r="Y175" s="1848"/>
    </row>
    <row r="176" spans="2:26" ht="15.95" hidden="1" customHeight="1">
      <c r="B176" s="1815" t="b">
        <f>AND(I176=FALSE,N175=0,Q175=0,L175="")</f>
        <v>1</v>
      </c>
      <c r="C176" s="1844" t="str" cm="1">
        <f t="array" ref="C176">_xlfn.IFS(
    L176="", "",
    MONTH(L176) &lt;= End_of_Year_Month, YEAR(L176),
    TRUE, YEAR(L176) + 1
)</f>
        <v/>
      </c>
      <c r="F176" s="1857">
        <f>IF(L176="",0,L176)</f>
        <v>0</v>
      </c>
      <c r="G176" s="1856">
        <f>-(N176-Q176)</f>
        <v>0</v>
      </c>
      <c r="I176" s="1815" t="b">
        <f>K176&lt;=Number_Payments</f>
        <v>0</v>
      </c>
      <c r="J176" s="1855"/>
      <c r="K176" s="1351">
        <f>K175+1</f>
        <v>50</v>
      </c>
      <c r="L176" s="1854" t="str" cm="1">
        <f t="array" ref="L176">_xlfn.IFS(
    I175=FALSE, "",
    Payment_Frequency="Monthly", EDATE(L175, 1),
    Payment_Frequency="Weekly", DATE(YEAR(L175), MONTH(L175), DAY(L175) + 7),
    Payment_Frequency="Fortnightly", DATE(YEAR(L175), MONTH(L175), DAY(L175) + 14),
    Payment_Frequency="Quarterly", DATE(YEAR(L175), MONTH(L175) + 3, DAY(L175)),
    Payment_Frequency="Yearly", DATE(YEAR(L175) + 1, MONTH(L175), DAY(L175)),
    TRUE, ""
)</f>
        <v/>
      </c>
      <c r="M176" s="1853">
        <f>IF(ISERROR(L176-L175),0,L176-L175)</f>
        <v>0</v>
      </c>
      <c r="N176" s="1851" cm="1">
        <f t="array" ref="N176">_xlfn.IFS(
    AND(I176=TRUE, K176&lt;=No_Regular_Payments), Repay_Amt,
    AND(I176=TRUE, K176=No_Regular_Payments+1), Tm_Balloon_Amt,
   TRUE, 0
)</f>
        <v>0</v>
      </c>
      <c r="O176" s="1850" cm="1">
        <f t="array" ref="O176">_xlfn.IFS(
    M176=0,0,
   ABS(N176 - S175 - P176-Q176) &lt; 1, N176 - S175-Q176,
    TRUE, P176
)</f>
        <v>0</v>
      </c>
      <c r="P176" s="1852">
        <f>IF(M176=0,0,ROUND(S175*EXP(Int_Rate/365.25 * M176)-S175,2))</f>
        <v>0</v>
      </c>
      <c r="Q176" s="1851" cm="1">
        <f t="array" ref="Q176">_xlfn.IFS(
    AND(I176=TRUE, K176&lt;=No_Regular_Payments), Periodic_Admin_Charge,
   TRUE, 0
)</f>
        <v>0</v>
      </c>
      <c r="R176" s="1850">
        <f>N176-O176-Q176</f>
        <v>0</v>
      </c>
      <c r="S176" s="1850">
        <f>ROUND(S175-R176,2)</f>
        <v>0</v>
      </c>
      <c r="T176" s="1850">
        <f>ROUND(T175-(N176-Q176),2)</f>
        <v>0</v>
      </c>
      <c r="U176" s="1849"/>
      <c r="W176" s="1848"/>
      <c r="X176" s="1848"/>
      <c r="Y176" s="1848"/>
    </row>
    <row r="177" spans="2:25" ht="15.95" hidden="1" customHeight="1">
      <c r="B177" s="1815" t="b">
        <f>AND(I177=FALSE,N176=0,Q176=0,L176="")</f>
        <v>1</v>
      </c>
      <c r="C177" s="1844" t="str" cm="1">
        <f t="array" ref="C177">_xlfn.IFS(
    L177="", "",
    MONTH(L177) &lt;= End_of_Year_Month, YEAR(L177),
    TRUE, YEAR(L177) + 1
)</f>
        <v/>
      </c>
      <c r="F177" s="1857">
        <f>IF(L177="",0,L177)</f>
        <v>0</v>
      </c>
      <c r="G177" s="1856">
        <f>-(N177-Q177)</f>
        <v>0</v>
      </c>
      <c r="I177" s="1815" t="b">
        <f>K177&lt;=Number_Payments</f>
        <v>0</v>
      </c>
      <c r="J177" s="1855"/>
      <c r="K177" s="1351">
        <f>K176+1</f>
        <v>51</v>
      </c>
      <c r="L177" s="1854" t="str" cm="1">
        <f t="array" ref="L177">_xlfn.IFS(
    I176=FALSE, "",
    Payment_Frequency="Monthly", EDATE(L176, 1),
    Payment_Frequency="Weekly", DATE(YEAR(L176), MONTH(L176), DAY(L176) + 7),
    Payment_Frequency="Fortnightly", DATE(YEAR(L176), MONTH(L176), DAY(L176) + 14),
    Payment_Frequency="Quarterly", DATE(YEAR(L176), MONTH(L176) + 3, DAY(L176)),
    Payment_Frequency="Yearly", DATE(YEAR(L176) + 1, MONTH(L176), DAY(L176)),
    TRUE, ""
)</f>
        <v/>
      </c>
      <c r="M177" s="1853">
        <f>IF(ISERROR(L177-L176),0,L177-L176)</f>
        <v>0</v>
      </c>
      <c r="N177" s="1851" cm="1">
        <f t="array" ref="N177">_xlfn.IFS(
    AND(I177=TRUE, K177&lt;=No_Regular_Payments), Repay_Amt,
    AND(I177=TRUE, K177=No_Regular_Payments+1), Tm_Balloon_Amt,
   TRUE, 0
)</f>
        <v>0</v>
      </c>
      <c r="O177" s="1850" cm="1">
        <f t="array" ref="O177">_xlfn.IFS(
    M177=0,0,
   ABS(N177 - S176 - P177-Q177) &lt; 1, N177 - S176-Q177,
    TRUE, P177
)</f>
        <v>0</v>
      </c>
      <c r="P177" s="1852">
        <f>IF(M177=0,0,ROUND(S176*EXP(Int_Rate/365.25 * M177)-S176,2))</f>
        <v>0</v>
      </c>
      <c r="Q177" s="1851" cm="1">
        <f t="array" ref="Q177">_xlfn.IFS(
    AND(I177=TRUE, K177&lt;=No_Regular_Payments), Periodic_Admin_Charge,
   TRUE, 0
)</f>
        <v>0</v>
      </c>
      <c r="R177" s="1850">
        <f>N177-O177-Q177</f>
        <v>0</v>
      </c>
      <c r="S177" s="1850">
        <f>ROUND(S176-R177,2)</f>
        <v>0</v>
      </c>
      <c r="T177" s="1850">
        <f>ROUND(T176-(N177-Q177),2)</f>
        <v>0</v>
      </c>
      <c r="U177" s="1849"/>
      <c r="W177" s="1848"/>
      <c r="X177" s="1848"/>
      <c r="Y177" s="1848"/>
    </row>
    <row r="178" spans="2:25" ht="15.95" hidden="1" customHeight="1">
      <c r="B178" s="1815" t="b">
        <f>AND(I178=FALSE,N177=0,Q177=0,L177="")</f>
        <v>1</v>
      </c>
      <c r="C178" s="1844" t="str" cm="1">
        <f t="array" ref="C178">_xlfn.IFS(
    L178="", "",
    MONTH(L178) &lt;= End_of_Year_Month, YEAR(L178),
    TRUE, YEAR(L178) + 1
)</f>
        <v/>
      </c>
      <c r="F178" s="1857">
        <f>IF(L178="",0,L178)</f>
        <v>0</v>
      </c>
      <c r="G178" s="1856">
        <f>-(N178-Q178)</f>
        <v>0</v>
      </c>
      <c r="I178" s="1815" t="b">
        <f>K178&lt;=Number_Payments</f>
        <v>0</v>
      </c>
      <c r="J178" s="1855"/>
      <c r="K178" s="1351">
        <f>K177+1</f>
        <v>52</v>
      </c>
      <c r="L178" s="1854" t="str" cm="1">
        <f t="array" ref="L178">_xlfn.IFS(
    I177=FALSE, "",
    Payment_Frequency="Monthly", EDATE(L177, 1),
    Payment_Frequency="Weekly", DATE(YEAR(L177), MONTH(L177), DAY(L177) + 7),
    Payment_Frequency="Fortnightly", DATE(YEAR(L177), MONTH(L177), DAY(L177) + 14),
    Payment_Frequency="Quarterly", DATE(YEAR(L177), MONTH(L177) + 3, DAY(L177)),
    Payment_Frequency="Yearly", DATE(YEAR(L177) + 1, MONTH(L177), DAY(L177)),
    TRUE, ""
)</f>
        <v/>
      </c>
      <c r="M178" s="1853">
        <f>IF(ISERROR(L178-L177),0,L178-L177)</f>
        <v>0</v>
      </c>
      <c r="N178" s="1851" cm="1">
        <f t="array" ref="N178">_xlfn.IFS(
    AND(I178=TRUE, K178&lt;=No_Regular_Payments), Repay_Amt,
    AND(I178=TRUE, K178=No_Regular_Payments+1), Tm_Balloon_Amt,
   TRUE, 0
)</f>
        <v>0</v>
      </c>
      <c r="O178" s="1850" cm="1">
        <f t="array" ref="O178">_xlfn.IFS(
    M178=0,0,
   ABS(N178 - S177 - P178-Q178) &lt; 1, N178 - S177-Q178,
    TRUE, P178
)</f>
        <v>0</v>
      </c>
      <c r="P178" s="1852">
        <f>IF(M178=0,0,ROUND(S177*EXP(Int_Rate/365.25 * M178)-S177,2))</f>
        <v>0</v>
      </c>
      <c r="Q178" s="1851" cm="1">
        <f t="array" ref="Q178">_xlfn.IFS(
    AND(I178=TRUE, K178&lt;=No_Regular_Payments), Periodic_Admin_Charge,
   TRUE, 0
)</f>
        <v>0</v>
      </c>
      <c r="R178" s="1850">
        <f>N178-O178-Q178</f>
        <v>0</v>
      </c>
      <c r="S178" s="1850">
        <f>ROUND(S177-R178,2)</f>
        <v>0</v>
      </c>
      <c r="T178" s="1850">
        <f>ROUND(T177-(N178-Q178),2)</f>
        <v>0</v>
      </c>
      <c r="U178" s="1849"/>
      <c r="W178" s="1848"/>
      <c r="X178" s="1848"/>
      <c r="Y178" s="1848"/>
    </row>
    <row r="179" spans="2:25" ht="15.95" hidden="1" customHeight="1">
      <c r="B179" s="1815" t="b">
        <f>AND(I179=FALSE,N178=0,Q178=0,L178="")</f>
        <v>1</v>
      </c>
      <c r="C179" s="1844" t="str" cm="1">
        <f t="array" ref="C179">_xlfn.IFS(
    L179="", "",
    MONTH(L179) &lt;= End_of_Year_Month, YEAR(L179),
    TRUE, YEAR(L179) + 1
)</f>
        <v/>
      </c>
      <c r="F179" s="1857">
        <f>IF(L179="",0,L179)</f>
        <v>0</v>
      </c>
      <c r="G179" s="1856">
        <f>-(N179-Q179)</f>
        <v>0</v>
      </c>
      <c r="I179" s="1815" t="b">
        <f>K179&lt;=Number_Payments</f>
        <v>0</v>
      </c>
      <c r="J179" s="1855"/>
      <c r="K179" s="1351">
        <f>K178+1</f>
        <v>53</v>
      </c>
      <c r="L179" s="1854" t="str" cm="1">
        <f t="array" ref="L179">_xlfn.IFS(
    I178=FALSE, "",
    Payment_Frequency="Monthly", EDATE(L178, 1),
    Payment_Frequency="Weekly", DATE(YEAR(L178), MONTH(L178), DAY(L178) + 7),
    Payment_Frequency="Fortnightly", DATE(YEAR(L178), MONTH(L178), DAY(L178) + 14),
    Payment_Frequency="Quarterly", DATE(YEAR(L178), MONTH(L178) + 3, DAY(L178)),
    Payment_Frequency="Yearly", DATE(YEAR(L178) + 1, MONTH(L178), DAY(L178)),
    TRUE, ""
)</f>
        <v/>
      </c>
      <c r="M179" s="1853">
        <f>IF(ISERROR(L179-L178),0,L179-L178)</f>
        <v>0</v>
      </c>
      <c r="N179" s="1851" cm="1">
        <f t="array" ref="N179">_xlfn.IFS(
    AND(I179=TRUE, K179&lt;=No_Regular_Payments), Repay_Amt,
    AND(I179=TRUE, K179=No_Regular_Payments+1), Tm_Balloon_Amt,
   TRUE, 0
)</f>
        <v>0</v>
      </c>
      <c r="O179" s="1850" cm="1">
        <f t="array" ref="O179">_xlfn.IFS(
    M179=0,0,
   ABS(N179 - S178 - P179-Q179) &lt; 1, N179 - S178-Q179,
    TRUE, P179
)</f>
        <v>0</v>
      </c>
      <c r="P179" s="1852">
        <f>IF(M179=0,0,ROUND(S178*EXP(Int_Rate/365.25 * M179)-S178,2))</f>
        <v>0</v>
      </c>
      <c r="Q179" s="1851" cm="1">
        <f t="array" ref="Q179">_xlfn.IFS(
    AND(I179=TRUE, K179&lt;=No_Regular_Payments), Periodic_Admin_Charge,
   TRUE, 0
)</f>
        <v>0</v>
      </c>
      <c r="R179" s="1850">
        <f>N179-O179-Q179</f>
        <v>0</v>
      </c>
      <c r="S179" s="1850">
        <f>ROUND(S178-R179,2)</f>
        <v>0</v>
      </c>
      <c r="T179" s="1850">
        <f>ROUND(T178-(N179-Q179),2)</f>
        <v>0</v>
      </c>
      <c r="U179" s="1849"/>
      <c r="W179" s="1848"/>
      <c r="X179" s="1848"/>
      <c r="Y179" s="1848"/>
    </row>
    <row r="180" spans="2:25" ht="15.95" hidden="1" customHeight="1">
      <c r="B180" s="1815" t="b">
        <f>AND(I180=FALSE,N179=0,Q179=0,L179="")</f>
        <v>1</v>
      </c>
      <c r="C180" s="1844" t="str" cm="1">
        <f t="array" ref="C180">_xlfn.IFS(
    L180="", "",
    MONTH(L180) &lt;= End_of_Year_Month, YEAR(L180),
    TRUE, YEAR(L180) + 1
)</f>
        <v/>
      </c>
      <c r="F180" s="1857">
        <f>IF(L180="",0,L180)</f>
        <v>0</v>
      </c>
      <c r="G180" s="1856">
        <f>-(N180-Q180)</f>
        <v>0</v>
      </c>
      <c r="I180" s="1815" t="b">
        <f>K180&lt;=Number_Payments</f>
        <v>0</v>
      </c>
      <c r="J180" s="1855"/>
      <c r="K180" s="1351">
        <f>K179+1</f>
        <v>54</v>
      </c>
      <c r="L180" s="1854" t="str" cm="1">
        <f t="array" ref="L180">_xlfn.IFS(
    I179=FALSE, "",
    Payment_Frequency="Monthly", EDATE(L179, 1),
    Payment_Frequency="Weekly", DATE(YEAR(L179), MONTH(L179), DAY(L179) + 7),
    Payment_Frequency="Fortnightly", DATE(YEAR(L179), MONTH(L179), DAY(L179) + 14),
    Payment_Frequency="Quarterly", DATE(YEAR(L179), MONTH(L179) + 3, DAY(L179)),
    Payment_Frequency="Yearly", DATE(YEAR(L179) + 1, MONTH(L179), DAY(L179)),
    TRUE, ""
)</f>
        <v/>
      </c>
      <c r="M180" s="1853">
        <f>IF(ISERROR(L180-L179),0,L180-L179)</f>
        <v>0</v>
      </c>
      <c r="N180" s="1851" cm="1">
        <f t="array" ref="N180">_xlfn.IFS(
    AND(I180=TRUE, K180&lt;=No_Regular_Payments), Repay_Amt,
    AND(I180=TRUE, K180=No_Regular_Payments+1), Tm_Balloon_Amt,
   TRUE, 0
)</f>
        <v>0</v>
      </c>
      <c r="O180" s="1850" cm="1">
        <f t="array" ref="O180">_xlfn.IFS(
    M180=0,0,
   ABS(N180 - S179 - P180-Q180) &lt; 1, N180 - S179-Q180,
    TRUE, P180
)</f>
        <v>0</v>
      </c>
      <c r="P180" s="1852">
        <f>IF(M180=0,0,ROUND(S179*EXP(Int_Rate/365.25 * M180)-S179,2))</f>
        <v>0</v>
      </c>
      <c r="Q180" s="1851" cm="1">
        <f t="array" ref="Q180">_xlfn.IFS(
    AND(I180=TRUE, K180&lt;=No_Regular_Payments), Periodic_Admin_Charge,
   TRUE, 0
)</f>
        <v>0</v>
      </c>
      <c r="R180" s="1850">
        <f>N180-O180-Q180</f>
        <v>0</v>
      </c>
      <c r="S180" s="1850">
        <f>ROUND(S179-R180,2)</f>
        <v>0</v>
      </c>
      <c r="T180" s="1850">
        <f>ROUND(T179-(N180-Q180),2)</f>
        <v>0</v>
      </c>
      <c r="U180" s="1849"/>
      <c r="W180" s="1848"/>
      <c r="X180" s="1848"/>
      <c r="Y180" s="1848"/>
    </row>
    <row r="181" spans="2:25" ht="15.95" hidden="1" customHeight="1">
      <c r="B181" s="1815" t="b">
        <f>AND(I181=FALSE,N180=0,Q180=0,L180="")</f>
        <v>1</v>
      </c>
      <c r="C181" s="1844" t="str" cm="1">
        <f t="array" ref="C181">_xlfn.IFS(
    L181="", "",
    MONTH(L181) &lt;= End_of_Year_Month, YEAR(L181),
    TRUE, YEAR(L181) + 1
)</f>
        <v/>
      </c>
      <c r="F181" s="1857">
        <f>IF(L181="",0,L181)</f>
        <v>0</v>
      </c>
      <c r="G181" s="1856">
        <f>-(N181-Q181)</f>
        <v>0</v>
      </c>
      <c r="I181" s="1815" t="b">
        <f>K181&lt;=Number_Payments</f>
        <v>0</v>
      </c>
      <c r="J181" s="1855"/>
      <c r="K181" s="1351">
        <f>K180+1</f>
        <v>55</v>
      </c>
      <c r="L181" s="1854" t="str" cm="1">
        <f t="array" ref="L181">_xlfn.IFS(
    I180=FALSE, "",
    Payment_Frequency="Monthly", EDATE(L180, 1),
    Payment_Frequency="Weekly", DATE(YEAR(L180), MONTH(L180), DAY(L180) + 7),
    Payment_Frequency="Fortnightly", DATE(YEAR(L180), MONTH(L180), DAY(L180) + 14),
    Payment_Frequency="Quarterly", DATE(YEAR(L180), MONTH(L180) + 3, DAY(L180)),
    Payment_Frequency="Yearly", DATE(YEAR(L180) + 1, MONTH(L180), DAY(L180)),
    TRUE, ""
)</f>
        <v/>
      </c>
      <c r="M181" s="1853">
        <f>IF(ISERROR(L181-L180),0,L181-L180)</f>
        <v>0</v>
      </c>
      <c r="N181" s="1851" cm="1">
        <f t="array" ref="N181">_xlfn.IFS(
    AND(I181=TRUE, K181&lt;=No_Regular_Payments), Repay_Amt,
    AND(I181=TRUE, K181=No_Regular_Payments+1), Tm_Balloon_Amt,
   TRUE, 0
)</f>
        <v>0</v>
      </c>
      <c r="O181" s="1850" cm="1">
        <f t="array" ref="O181">_xlfn.IFS(
    M181=0,0,
   ABS(N181 - S180 - P181-Q181) &lt; 1, N181 - S180-Q181,
    TRUE, P181
)</f>
        <v>0</v>
      </c>
      <c r="P181" s="1852">
        <f>IF(M181=0,0,ROUND(S180*EXP(Int_Rate/365.25 * M181)-S180,2))</f>
        <v>0</v>
      </c>
      <c r="Q181" s="1851" cm="1">
        <f t="array" ref="Q181">_xlfn.IFS(
    AND(I181=TRUE, K181&lt;=No_Regular_Payments), Periodic_Admin_Charge,
   TRUE, 0
)</f>
        <v>0</v>
      </c>
      <c r="R181" s="1850">
        <f>N181-O181-Q181</f>
        <v>0</v>
      </c>
      <c r="S181" s="1850">
        <f>ROUND(S180-R181,2)</f>
        <v>0</v>
      </c>
      <c r="T181" s="1850">
        <f>ROUND(T180-(N181-Q181),2)</f>
        <v>0</v>
      </c>
      <c r="U181" s="1849"/>
      <c r="W181" s="1848"/>
      <c r="X181" s="1848"/>
      <c r="Y181" s="1848"/>
    </row>
    <row r="182" spans="2:25" ht="15.95" hidden="1" customHeight="1">
      <c r="B182" s="1815" t="b">
        <f>AND(I182=FALSE,N181=0,Q181=0,L181="")</f>
        <v>1</v>
      </c>
      <c r="C182" s="1844" t="str" cm="1">
        <f t="array" ref="C182">_xlfn.IFS(
    L182="", "",
    MONTH(L182) &lt;= End_of_Year_Month, YEAR(L182),
    TRUE, YEAR(L182) + 1
)</f>
        <v/>
      </c>
      <c r="F182" s="1857">
        <f>IF(L182="",0,L182)</f>
        <v>0</v>
      </c>
      <c r="G182" s="1856">
        <f>-(N182-Q182)</f>
        <v>0</v>
      </c>
      <c r="I182" s="1815" t="b">
        <f>K182&lt;=Number_Payments</f>
        <v>0</v>
      </c>
      <c r="J182" s="1855"/>
      <c r="K182" s="1351">
        <f>K181+1</f>
        <v>56</v>
      </c>
      <c r="L182" s="1854" t="str" cm="1">
        <f t="array" ref="L182">_xlfn.IFS(
    I181=FALSE, "",
    Payment_Frequency="Monthly", EDATE(L181, 1),
    Payment_Frequency="Weekly", DATE(YEAR(L181), MONTH(L181), DAY(L181) + 7),
    Payment_Frequency="Fortnightly", DATE(YEAR(L181), MONTH(L181), DAY(L181) + 14),
    Payment_Frequency="Quarterly", DATE(YEAR(L181), MONTH(L181) + 3, DAY(L181)),
    Payment_Frequency="Yearly", DATE(YEAR(L181) + 1, MONTH(L181), DAY(L181)),
    TRUE, ""
)</f>
        <v/>
      </c>
      <c r="M182" s="1853">
        <f>IF(ISERROR(L182-L181),0,L182-L181)</f>
        <v>0</v>
      </c>
      <c r="N182" s="1851" cm="1">
        <f t="array" ref="N182">_xlfn.IFS(
    AND(I182=TRUE, K182&lt;=No_Regular_Payments), Repay_Amt,
    AND(I182=TRUE, K182=No_Regular_Payments+1), Tm_Balloon_Amt,
   TRUE, 0
)</f>
        <v>0</v>
      </c>
      <c r="O182" s="1850" cm="1">
        <f t="array" ref="O182">_xlfn.IFS(
    M182=0,0,
   ABS(N182 - S181 - P182-Q182) &lt; 1, N182 - S181-Q182,
    TRUE, P182
)</f>
        <v>0</v>
      </c>
      <c r="P182" s="1852">
        <f>IF(M182=0,0,ROUND(S181*EXP(Int_Rate/365.25 * M182)-S181,2))</f>
        <v>0</v>
      </c>
      <c r="Q182" s="1851" cm="1">
        <f t="array" ref="Q182">_xlfn.IFS(
    AND(I182=TRUE, K182&lt;=No_Regular_Payments), Periodic_Admin_Charge,
   TRUE, 0
)</f>
        <v>0</v>
      </c>
      <c r="R182" s="1850">
        <f>N182-O182-Q182</f>
        <v>0</v>
      </c>
      <c r="S182" s="1850">
        <f>ROUND(S181-R182,2)</f>
        <v>0</v>
      </c>
      <c r="T182" s="1850">
        <f>ROUND(T181-(N182-Q182),2)</f>
        <v>0</v>
      </c>
      <c r="U182" s="1849"/>
      <c r="W182" s="1848"/>
      <c r="X182" s="1848"/>
      <c r="Y182" s="1848"/>
    </row>
    <row r="183" spans="2:25" ht="15.95" hidden="1" customHeight="1">
      <c r="B183" s="1815" t="b">
        <f>AND(I183=FALSE,N182=0,Q182=0,L182="")</f>
        <v>1</v>
      </c>
      <c r="C183" s="1844" t="str" cm="1">
        <f t="array" ref="C183">_xlfn.IFS(
    L183="", "",
    MONTH(L183) &lt;= End_of_Year_Month, YEAR(L183),
    TRUE, YEAR(L183) + 1
)</f>
        <v/>
      </c>
      <c r="F183" s="1857">
        <f>IF(L183="",0,L183)</f>
        <v>0</v>
      </c>
      <c r="G183" s="1856">
        <f>-(N183-Q183)</f>
        <v>0</v>
      </c>
      <c r="I183" s="1815" t="b">
        <f>K183&lt;=Number_Payments</f>
        <v>0</v>
      </c>
      <c r="J183" s="1855"/>
      <c r="K183" s="1351">
        <f>K182+1</f>
        <v>57</v>
      </c>
      <c r="L183" s="1854" t="str" cm="1">
        <f t="array" ref="L183">_xlfn.IFS(
    I182=FALSE, "",
    Payment_Frequency="Monthly", EDATE(L182, 1),
    Payment_Frequency="Weekly", DATE(YEAR(L182), MONTH(L182), DAY(L182) + 7),
    Payment_Frequency="Fortnightly", DATE(YEAR(L182), MONTH(L182), DAY(L182) + 14),
    Payment_Frequency="Quarterly", DATE(YEAR(L182), MONTH(L182) + 3, DAY(L182)),
    Payment_Frequency="Yearly", DATE(YEAR(L182) + 1, MONTH(L182), DAY(L182)),
    TRUE, ""
)</f>
        <v/>
      </c>
      <c r="M183" s="1853">
        <f>IF(ISERROR(L183-L182),0,L183-L182)</f>
        <v>0</v>
      </c>
      <c r="N183" s="1851" cm="1">
        <f t="array" ref="N183">_xlfn.IFS(
    AND(I183=TRUE, K183&lt;=No_Regular_Payments), Repay_Amt,
    AND(I183=TRUE, K183=No_Regular_Payments+1), Tm_Balloon_Amt,
   TRUE, 0
)</f>
        <v>0</v>
      </c>
      <c r="O183" s="1850" cm="1">
        <f t="array" ref="O183">_xlfn.IFS(
    M183=0,0,
   ABS(N183 - S182 - P183-Q183) &lt; 1, N183 - S182-Q183,
    TRUE, P183
)</f>
        <v>0</v>
      </c>
      <c r="P183" s="1852">
        <f>IF(M183=0,0,ROUND(S182*EXP(Int_Rate/365.25 * M183)-S182,2))</f>
        <v>0</v>
      </c>
      <c r="Q183" s="1851" cm="1">
        <f t="array" ref="Q183">_xlfn.IFS(
    AND(I183=TRUE, K183&lt;=No_Regular_Payments), Periodic_Admin_Charge,
   TRUE, 0
)</f>
        <v>0</v>
      </c>
      <c r="R183" s="1850">
        <f>N183-O183-Q183</f>
        <v>0</v>
      </c>
      <c r="S183" s="1850">
        <f>ROUND(S182-R183,2)</f>
        <v>0</v>
      </c>
      <c r="T183" s="1850">
        <f>ROUND(T182-(N183-Q183),2)</f>
        <v>0</v>
      </c>
      <c r="U183" s="1849"/>
      <c r="W183" s="1848"/>
      <c r="X183" s="1848"/>
      <c r="Y183" s="1848"/>
    </row>
    <row r="184" spans="2:25" ht="15.95" hidden="1" customHeight="1">
      <c r="B184" s="1815" t="b">
        <f>AND(I184=FALSE,N183=0,Q183=0,L183="")</f>
        <v>1</v>
      </c>
      <c r="C184" s="1844" t="str" cm="1">
        <f t="array" ref="C184">_xlfn.IFS(
    L184="", "",
    MONTH(L184) &lt;= End_of_Year_Month, YEAR(L184),
    TRUE, YEAR(L184) + 1
)</f>
        <v/>
      </c>
      <c r="F184" s="1857">
        <f>IF(L184="",0,L184)</f>
        <v>0</v>
      </c>
      <c r="G184" s="1856">
        <f>-(N184-Q184)</f>
        <v>0</v>
      </c>
      <c r="I184" s="1815" t="b">
        <f>K184&lt;=Number_Payments</f>
        <v>0</v>
      </c>
      <c r="J184" s="1855"/>
      <c r="K184" s="1351">
        <f>K183+1</f>
        <v>58</v>
      </c>
      <c r="L184" s="1854" t="str" cm="1">
        <f t="array" ref="L184">_xlfn.IFS(
    I183=FALSE, "",
    Payment_Frequency="Monthly", EDATE(L183, 1),
    Payment_Frequency="Weekly", DATE(YEAR(L183), MONTH(L183), DAY(L183) + 7),
    Payment_Frequency="Fortnightly", DATE(YEAR(L183), MONTH(L183), DAY(L183) + 14),
    Payment_Frequency="Quarterly", DATE(YEAR(L183), MONTH(L183) + 3, DAY(L183)),
    Payment_Frequency="Yearly", DATE(YEAR(L183) + 1, MONTH(L183), DAY(L183)),
    TRUE, ""
)</f>
        <v/>
      </c>
      <c r="M184" s="1853">
        <f>IF(ISERROR(L184-L183),0,L184-L183)</f>
        <v>0</v>
      </c>
      <c r="N184" s="1851" cm="1">
        <f t="array" ref="N184">_xlfn.IFS(
    AND(I184=TRUE, K184&lt;=No_Regular_Payments), Repay_Amt,
    AND(I184=TRUE, K184=No_Regular_Payments+1), Tm_Balloon_Amt,
   TRUE, 0
)</f>
        <v>0</v>
      </c>
      <c r="O184" s="1850" cm="1">
        <f t="array" ref="O184">_xlfn.IFS(
    M184=0,0,
   ABS(N184 - S183 - P184-Q184) &lt; 1, N184 - S183-Q184,
    TRUE, P184
)</f>
        <v>0</v>
      </c>
      <c r="P184" s="1852">
        <f>IF(M184=0,0,ROUND(S183*EXP(Int_Rate/365.25 * M184)-S183,2))</f>
        <v>0</v>
      </c>
      <c r="Q184" s="1851" cm="1">
        <f t="array" ref="Q184">_xlfn.IFS(
    AND(I184=TRUE, K184&lt;=No_Regular_Payments), Periodic_Admin_Charge,
   TRUE, 0
)</f>
        <v>0</v>
      </c>
      <c r="R184" s="1850">
        <f>N184-O184-Q184</f>
        <v>0</v>
      </c>
      <c r="S184" s="1850">
        <f>ROUND(S183-R184,2)</f>
        <v>0</v>
      </c>
      <c r="T184" s="1850">
        <f>ROUND(T183-(N184-Q184),2)</f>
        <v>0</v>
      </c>
      <c r="U184" s="1849"/>
      <c r="W184" s="1848"/>
      <c r="X184" s="1848"/>
      <c r="Y184" s="1848"/>
    </row>
    <row r="185" spans="2:25" ht="15.95" hidden="1" customHeight="1">
      <c r="B185" s="1815" t="b">
        <f>AND(I185=FALSE,N184=0,Q184=0,L184="")</f>
        <v>1</v>
      </c>
      <c r="C185" s="1844" t="str" cm="1">
        <f t="array" ref="C185">_xlfn.IFS(
    L185="", "",
    MONTH(L185) &lt;= End_of_Year_Month, YEAR(L185),
    TRUE, YEAR(L185) + 1
)</f>
        <v/>
      </c>
      <c r="F185" s="1857">
        <f>IF(L185="",0,L185)</f>
        <v>0</v>
      </c>
      <c r="G185" s="1856">
        <f>-(N185-Q185)</f>
        <v>0</v>
      </c>
      <c r="I185" s="1815" t="b">
        <f>K185&lt;=Number_Payments</f>
        <v>0</v>
      </c>
      <c r="J185" s="1855"/>
      <c r="K185" s="1351">
        <f>K184+1</f>
        <v>59</v>
      </c>
      <c r="L185" s="1854" t="str" cm="1">
        <f t="array" ref="L185">_xlfn.IFS(
    I184=FALSE, "",
    Payment_Frequency="Monthly", EDATE(L184, 1),
    Payment_Frequency="Weekly", DATE(YEAR(L184), MONTH(L184), DAY(L184) + 7),
    Payment_Frequency="Fortnightly", DATE(YEAR(L184), MONTH(L184), DAY(L184) + 14),
    Payment_Frequency="Quarterly", DATE(YEAR(L184), MONTH(L184) + 3, DAY(L184)),
    Payment_Frequency="Yearly", DATE(YEAR(L184) + 1, MONTH(L184), DAY(L184)),
    TRUE, ""
)</f>
        <v/>
      </c>
      <c r="M185" s="1853">
        <f>IF(ISERROR(L185-L184),0,L185-L184)</f>
        <v>0</v>
      </c>
      <c r="N185" s="1851" cm="1">
        <f t="array" ref="N185">_xlfn.IFS(
    AND(I185=TRUE, K185&lt;=No_Regular_Payments), Repay_Amt,
    AND(I185=TRUE, K185=No_Regular_Payments+1), Tm_Balloon_Amt,
   TRUE, 0
)</f>
        <v>0</v>
      </c>
      <c r="O185" s="1850" cm="1">
        <f t="array" ref="O185">_xlfn.IFS(
    M185=0,0,
   ABS(N185 - S184 - P185-Q185) &lt; 1, N185 - S184-Q185,
    TRUE, P185
)</f>
        <v>0</v>
      </c>
      <c r="P185" s="1852">
        <f>IF(M185=0,0,ROUND(S184*EXP(Int_Rate/365.25 * M185)-S184,2))</f>
        <v>0</v>
      </c>
      <c r="Q185" s="1851" cm="1">
        <f t="array" ref="Q185">_xlfn.IFS(
    AND(I185=TRUE, K185&lt;=No_Regular_Payments), Periodic_Admin_Charge,
   TRUE, 0
)</f>
        <v>0</v>
      </c>
      <c r="R185" s="1850">
        <f>N185-O185-Q185</f>
        <v>0</v>
      </c>
      <c r="S185" s="1850">
        <f>ROUND(S184-R185,2)</f>
        <v>0</v>
      </c>
      <c r="T185" s="1850">
        <f>ROUND(T184-(N185-Q185),2)</f>
        <v>0</v>
      </c>
      <c r="U185" s="1849"/>
      <c r="W185" s="1848"/>
      <c r="X185" s="1848"/>
      <c r="Y185" s="1848"/>
    </row>
    <row r="186" spans="2:25" ht="15.95" hidden="1" customHeight="1">
      <c r="B186" s="1815" t="b">
        <f>AND(I186=FALSE,N185=0,Q185=0,L185="")</f>
        <v>1</v>
      </c>
      <c r="C186" s="1844" t="str" cm="1">
        <f t="array" ref="C186">_xlfn.IFS(
    L186="", "",
    MONTH(L186) &lt;= End_of_Year_Month, YEAR(L186),
    TRUE, YEAR(L186) + 1
)</f>
        <v/>
      </c>
      <c r="F186" s="1857">
        <f>IF(L186="",0,L186)</f>
        <v>0</v>
      </c>
      <c r="G186" s="1856">
        <f>-(N186-Q186)</f>
        <v>0</v>
      </c>
      <c r="I186" s="1815" t="b">
        <f>K186&lt;=Number_Payments</f>
        <v>0</v>
      </c>
      <c r="J186" s="1855"/>
      <c r="K186" s="1351">
        <f>K185+1</f>
        <v>60</v>
      </c>
      <c r="L186" s="1854" t="str" cm="1">
        <f t="array" ref="L186">_xlfn.IFS(
    I185=FALSE, "",
    Payment_Frequency="Monthly", EDATE(L185, 1),
    Payment_Frequency="Weekly", DATE(YEAR(L185), MONTH(L185), DAY(L185) + 7),
    Payment_Frequency="Fortnightly", DATE(YEAR(L185), MONTH(L185), DAY(L185) + 14),
    Payment_Frequency="Quarterly", DATE(YEAR(L185), MONTH(L185) + 3, DAY(L185)),
    Payment_Frequency="Yearly", DATE(YEAR(L185) + 1, MONTH(L185), DAY(L185)),
    TRUE, ""
)</f>
        <v/>
      </c>
      <c r="M186" s="1853">
        <f>IF(ISERROR(L186-L185),0,L186-L185)</f>
        <v>0</v>
      </c>
      <c r="N186" s="1851" cm="1">
        <f t="array" ref="N186">_xlfn.IFS(
    AND(I186=TRUE, K186&lt;=No_Regular_Payments), Repay_Amt,
    AND(I186=TRUE, K186=No_Regular_Payments+1), Tm_Balloon_Amt,
   TRUE, 0
)</f>
        <v>0</v>
      </c>
      <c r="O186" s="1850" cm="1">
        <f t="array" ref="O186">_xlfn.IFS(
    M186=0,0,
   ABS(N186 - S185 - P186-Q186) &lt; 1, N186 - S185-Q186,
    TRUE, P186
)</f>
        <v>0</v>
      </c>
      <c r="P186" s="1852">
        <f>IF(M186=0,0,ROUND(S185*EXP(Int_Rate/365.25 * M186)-S185,2))</f>
        <v>0</v>
      </c>
      <c r="Q186" s="1851" cm="1">
        <f t="array" ref="Q186">_xlfn.IFS(
    AND(I186=TRUE, K186&lt;=No_Regular_Payments), Periodic_Admin_Charge,
   TRUE, 0
)</f>
        <v>0</v>
      </c>
      <c r="R186" s="1850">
        <f>N186-O186-Q186</f>
        <v>0</v>
      </c>
      <c r="S186" s="1850">
        <f>ROUND(S185-R186,2)</f>
        <v>0</v>
      </c>
      <c r="T186" s="1850">
        <f>ROUND(T185-(N186-Q186),2)</f>
        <v>0</v>
      </c>
      <c r="U186" s="1849"/>
      <c r="W186" s="1848"/>
      <c r="X186" s="1848"/>
      <c r="Y186" s="1848"/>
    </row>
    <row r="187" spans="2:25" ht="15.95" hidden="1" customHeight="1">
      <c r="B187" s="1815" t="b">
        <f>AND(I187=FALSE,N186=0,Q186=0,L186="")</f>
        <v>1</v>
      </c>
      <c r="C187" s="1844" t="str" cm="1">
        <f t="array" ref="C187">_xlfn.IFS(
    L187="", "",
    MONTH(L187) &lt;= End_of_Year_Month, YEAR(L187),
    TRUE, YEAR(L187) + 1
)</f>
        <v/>
      </c>
      <c r="F187" s="1857">
        <f>IF(L187="",0,L187)</f>
        <v>0</v>
      </c>
      <c r="G187" s="1856">
        <f>-(N187-Q187)</f>
        <v>0</v>
      </c>
      <c r="I187" s="1815" t="b">
        <f>K187&lt;=Number_Payments</f>
        <v>0</v>
      </c>
      <c r="J187" s="1855"/>
      <c r="K187" s="1351">
        <f>K186+1</f>
        <v>61</v>
      </c>
      <c r="L187" s="1854" t="str" cm="1">
        <f t="array" ref="L187">_xlfn.IFS(
    I186=FALSE, "",
    Payment_Frequency="Monthly", EDATE(L186, 1),
    Payment_Frequency="Weekly", DATE(YEAR(L186), MONTH(L186), DAY(L186) + 7),
    Payment_Frequency="Fortnightly", DATE(YEAR(L186), MONTH(L186), DAY(L186) + 14),
    Payment_Frequency="Quarterly", DATE(YEAR(L186), MONTH(L186) + 3, DAY(L186)),
    Payment_Frequency="Yearly", DATE(YEAR(L186) + 1, MONTH(L186), DAY(L186)),
    TRUE, ""
)</f>
        <v/>
      </c>
      <c r="M187" s="1853">
        <f>IF(ISERROR(L187-L186),0,L187-L186)</f>
        <v>0</v>
      </c>
      <c r="N187" s="1851" cm="1">
        <f t="array" ref="N187">_xlfn.IFS(
    AND(I187=TRUE, K187&lt;=No_Regular_Payments), Repay_Amt,
    AND(I187=TRUE, K187=No_Regular_Payments+1), Tm_Balloon_Amt,
   TRUE, 0
)</f>
        <v>0</v>
      </c>
      <c r="O187" s="1850" cm="1">
        <f t="array" ref="O187">_xlfn.IFS(
    M187=0,0,
   ABS(N187 - S186 - P187-Q187) &lt; 1, N187 - S186-Q187,
    TRUE, P187
)</f>
        <v>0</v>
      </c>
      <c r="P187" s="1852">
        <f>IF(M187=0,0,ROUND(S186*EXP(Int_Rate/365.25 * M187)-S186,2))</f>
        <v>0</v>
      </c>
      <c r="Q187" s="1851" cm="1">
        <f t="array" ref="Q187">_xlfn.IFS(
    AND(I187=TRUE, K187&lt;=No_Regular_Payments), Periodic_Admin_Charge,
   TRUE, 0
)</f>
        <v>0</v>
      </c>
      <c r="R187" s="1850">
        <f>N187-O187-Q187</f>
        <v>0</v>
      </c>
      <c r="S187" s="1850">
        <f>ROUND(S186-R187,2)</f>
        <v>0</v>
      </c>
      <c r="T187" s="1850">
        <f>ROUND(T186-(N187-Q187),2)</f>
        <v>0</v>
      </c>
      <c r="U187" s="1849"/>
      <c r="W187" s="1848"/>
      <c r="X187" s="1848"/>
      <c r="Y187" s="1848"/>
    </row>
    <row r="188" spans="2:25" ht="15.95" hidden="1" customHeight="1">
      <c r="B188" s="1815" t="b">
        <f>AND(I188=FALSE,N187=0,Q187=0,L187="")</f>
        <v>1</v>
      </c>
      <c r="C188" s="1844" t="str" cm="1">
        <f t="array" ref="C188">_xlfn.IFS(
    L188="", "",
    MONTH(L188) &lt;= End_of_Year_Month, YEAR(L188),
    TRUE, YEAR(L188) + 1
)</f>
        <v/>
      </c>
      <c r="F188" s="1857">
        <f>IF(L188="",0,L188)</f>
        <v>0</v>
      </c>
      <c r="G188" s="1856">
        <f>-(N188-Q188)</f>
        <v>0</v>
      </c>
      <c r="I188" s="1815" t="b">
        <f>K188&lt;=Number_Payments</f>
        <v>0</v>
      </c>
      <c r="J188" s="1855"/>
      <c r="K188" s="1351">
        <f>K187+1</f>
        <v>62</v>
      </c>
      <c r="L188" s="1854" t="str" cm="1">
        <f t="array" ref="L188">_xlfn.IFS(
    I187=FALSE, "",
    Payment_Frequency="Monthly", EDATE(L187, 1),
    Payment_Frequency="Weekly", DATE(YEAR(L187), MONTH(L187), DAY(L187) + 7),
    Payment_Frequency="Fortnightly", DATE(YEAR(L187), MONTH(L187), DAY(L187) + 14),
    Payment_Frequency="Quarterly", DATE(YEAR(L187), MONTH(L187) + 3, DAY(L187)),
    Payment_Frequency="Yearly", DATE(YEAR(L187) + 1, MONTH(L187), DAY(L187)),
    TRUE, ""
)</f>
        <v/>
      </c>
      <c r="M188" s="1853">
        <f>IF(ISERROR(L188-L187),0,L188-L187)</f>
        <v>0</v>
      </c>
      <c r="N188" s="1851" cm="1">
        <f t="array" ref="N188">_xlfn.IFS(
    AND(I188=TRUE, K188&lt;=No_Regular_Payments), Repay_Amt,
    AND(I188=TRUE, K188=No_Regular_Payments+1), Tm_Balloon_Amt,
   TRUE, 0
)</f>
        <v>0</v>
      </c>
      <c r="O188" s="1850" cm="1">
        <f t="array" ref="O188">_xlfn.IFS(
    M188=0,0,
   ABS(N188 - S187 - P188-Q188) &lt; 1, N188 - S187-Q188,
    TRUE, P188
)</f>
        <v>0</v>
      </c>
      <c r="P188" s="1852">
        <f>IF(M188=0,0,ROUND(S187*EXP(Int_Rate/365.25 * M188)-S187,2))</f>
        <v>0</v>
      </c>
      <c r="Q188" s="1851" cm="1">
        <f t="array" ref="Q188">_xlfn.IFS(
    AND(I188=TRUE, K188&lt;=No_Regular_Payments), Periodic_Admin_Charge,
   TRUE, 0
)</f>
        <v>0</v>
      </c>
      <c r="R188" s="1850">
        <f>N188-O188-Q188</f>
        <v>0</v>
      </c>
      <c r="S188" s="1850">
        <f>ROUND(S187-R188,2)</f>
        <v>0</v>
      </c>
      <c r="T188" s="1850">
        <f>ROUND(T187-(N188-Q188),2)</f>
        <v>0</v>
      </c>
      <c r="U188" s="1849"/>
      <c r="W188" s="1848"/>
      <c r="X188" s="1848"/>
      <c r="Y188" s="1848"/>
    </row>
    <row r="189" spans="2:25" ht="15.95" hidden="1" customHeight="1">
      <c r="B189" s="1815" t="b">
        <f>AND(I189=FALSE,N188=0,Q188=0,L188="")</f>
        <v>1</v>
      </c>
      <c r="C189" s="1844" t="str" cm="1">
        <f t="array" ref="C189">_xlfn.IFS(
    L189="", "",
    MONTH(L189) &lt;= End_of_Year_Month, YEAR(L189),
    TRUE, YEAR(L189) + 1
)</f>
        <v/>
      </c>
      <c r="F189" s="1857">
        <f>IF(L189="",0,L189)</f>
        <v>0</v>
      </c>
      <c r="G189" s="1856">
        <f>-(N189-Q189)</f>
        <v>0</v>
      </c>
      <c r="I189" s="1815" t="b">
        <f>K189&lt;=Number_Payments</f>
        <v>0</v>
      </c>
      <c r="J189" s="1855"/>
      <c r="K189" s="1351">
        <f>K188+1</f>
        <v>63</v>
      </c>
      <c r="L189" s="1854" t="str" cm="1">
        <f t="array" ref="L189">_xlfn.IFS(
    I188=FALSE, "",
    Payment_Frequency="Monthly", EDATE(L188, 1),
    Payment_Frequency="Weekly", DATE(YEAR(L188), MONTH(L188), DAY(L188) + 7),
    Payment_Frequency="Fortnightly", DATE(YEAR(L188), MONTH(L188), DAY(L188) + 14),
    Payment_Frequency="Quarterly", DATE(YEAR(L188), MONTH(L188) + 3, DAY(L188)),
    Payment_Frequency="Yearly", DATE(YEAR(L188) + 1, MONTH(L188), DAY(L188)),
    TRUE, ""
)</f>
        <v/>
      </c>
      <c r="M189" s="1853">
        <f>IF(ISERROR(L189-L188),0,L189-L188)</f>
        <v>0</v>
      </c>
      <c r="N189" s="1851" cm="1">
        <f t="array" ref="N189">_xlfn.IFS(
    AND(I189=TRUE, K189&lt;=No_Regular_Payments), Repay_Amt,
    AND(I189=TRUE, K189=No_Regular_Payments+1), Tm_Balloon_Amt,
   TRUE, 0
)</f>
        <v>0</v>
      </c>
      <c r="O189" s="1850" cm="1">
        <f t="array" ref="O189">_xlfn.IFS(
    M189=0,0,
   ABS(N189 - S188 - P189-Q189) &lt; 1, N189 - S188-Q189,
    TRUE, P189
)</f>
        <v>0</v>
      </c>
      <c r="P189" s="1852">
        <f>IF(M189=0,0,ROUND(S188*EXP(Int_Rate/365.25 * M189)-S188,2))</f>
        <v>0</v>
      </c>
      <c r="Q189" s="1851" cm="1">
        <f t="array" ref="Q189">_xlfn.IFS(
    AND(I189=TRUE, K189&lt;=No_Regular_Payments), Periodic_Admin_Charge,
   TRUE, 0
)</f>
        <v>0</v>
      </c>
      <c r="R189" s="1850">
        <f>N189-O189-Q189</f>
        <v>0</v>
      </c>
      <c r="S189" s="1850">
        <f>ROUND(S188-R189,2)</f>
        <v>0</v>
      </c>
      <c r="T189" s="1850">
        <f>ROUND(T188-(N189-Q189),2)</f>
        <v>0</v>
      </c>
      <c r="U189" s="1849"/>
      <c r="W189" s="1848"/>
      <c r="X189" s="1848"/>
      <c r="Y189" s="1848"/>
    </row>
    <row r="190" spans="2:25" ht="15.95" hidden="1" customHeight="1">
      <c r="B190" s="1815" t="b">
        <f>AND(I190=FALSE,N189=0,Q189=0,L189="")</f>
        <v>1</v>
      </c>
      <c r="C190" s="1844" t="str" cm="1">
        <f t="array" ref="C190">_xlfn.IFS(
    L190="", "",
    MONTH(L190) &lt;= End_of_Year_Month, YEAR(L190),
    TRUE, YEAR(L190) + 1
)</f>
        <v/>
      </c>
      <c r="F190" s="1857">
        <f>IF(L190="",0,L190)</f>
        <v>0</v>
      </c>
      <c r="G190" s="1856">
        <f>-(N190-Q190)</f>
        <v>0</v>
      </c>
      <c r="I190" s="1815" t="b">
        <f>K190&lt;=Number_Payments</f>
        <v>0</v>
      </c>
      <c r="J190" s="1855"/>
      <c r="K190" s="1351">
        <f>K189+1</f>
        <v>64</v>
      </c>
      <c r="L190" s="1854" t="str" cm="1">
        <f t="array" ref="L190">_xlfn.IFS(
    I189=FALSE, "",
    Payment_Frequency="Monthly", EDATE(L189, 1),
    Payment_Frequency="Weekly", DATE(YEAR(L189), MONTH(L189), DAY(L189) + 7),
    Payment_Frequency="Fortnightly", DATE(YEAR(L189), MONTH(L189), DAY(L189) + 14),
    Payment_Frequency="Quarterly", DATE(YEAR(L189), MONTH(L189) + 3, DAY(L189)),
    Payment_Frequency="Yearly", DATE(YEAR(L189) + 1, MONTH(L189), DAY(L189)),
    TRUE, ""
)</f>
        <v/>
      </c>
      <c r="M190" s="1853">
        <f>IF(ISERROR(L190-L189),0,L190-L189)</f>
        <v>0</v>
      </c>
      <c r="N190" s="1851" cm="1">
        <f t="array" ref="N190">_xlfn.IFS(
    AND(I190=TRUE, K190&lt;=No_Regular_Payments), Repay_Amt,
    AND(I190=TRUE, K190=No_Regular_Payments+1), Tm_Balloon_Amt,
   TRUE, 0
)</f>
        <v>0</v>
      </c>
      <c r="O190" s="1850" cm="1">
        <f t="array" ref="O190">_xlfn.IFS(
    M190=0,0,
   ABS(N190 - S189 - P190-Q190) &lt; 1, N190 - S189-Q190,
    TRUE, P190
)</f>
        <v>0</v>
      </c>
      <c r="P190" s="1852">
        <f>IF(M190=0,0,ROUND(S189*EXP(Int_Rate/365.25 * M190)-S189,2))</f>
        <v>0</v>
      </c>
      <c r="Q190" s="1851" cm="1">
        <f t="array" ref="Q190">_xlfn.IFS(
    AND(I190=TRUE, K190&lt;=No_Regular_Payments), Periodic_Admin_Charge,
   TRUE, 0
)</f>
        <v>0</v>
      </c>
      <c r="R190" s="1850">
        <f>N190-O190-Q190</f>
        <v>0</v>
      </c>
      <c r="S190" s="1850">
        <f>ROUND(S189-R190,2)</f>
        <v>0</v>
      </c>
      <c r="T190" s="1850">
        <f>ROUND(T189-(N190-Q190),2)</f>
        <v>0</v>
      </c>
      <c r="U190" s="1849"/>
      <c r="W190" s="1848"/>
      <c r="X190" s="1848"/>
      <c r="Y190" s="1848"/>
    </row>
    <row r="191" spans="2:25" ht="15.95" hidden="1" customHeight="1">
      <c r="B191" s="1815" t="b">
        <f>AND(I191=FALSE,N190=0,Q190=0,L190="")</f>
        <v>1</v>
      </c>
      <c r="C191" s="1844" t="str" cm="1">
        <f t="array" ref="C191">_xlfn.IFS(
    L191="", "",
    MONTH(L191) &lt;= End_of_Year_Month, YEAR(L191),
    TRUE, YEAR(L191) + 1
)</f>
        <v/>
      </c>
      <c r="F191" s="1857">
        <f>IF(L191="",0,L191)</f>
        <v>0</v>
      </c>
      <c r="G191" s="1856">
        <f>-(N191-Q191)</f>
        <v>0</v>
      </c>
      <c r="I191" s="1815" t="b">
        <f>K191&lt;=Number_Payments</f>
        <v>0</v>
      </c>
      <c r="J191" s="1855"/>
      <c r="K191" s="1351">
        <f>K190+1</f>
        <v>65</v>
      </c>
      <c r="L191" s="1854" t="str" cm="1">
        <f t="array" ref="L191">_xlfn.IFS(
    I190=FALSE, "",
    Payment_Frequency="Monthly", EDATE(L190, 1),
    Payment_Frequency="Weekly", DATE(YEAR(L190), MONTH(L190), DAY(L190) + 7),
    Payment_Frequency="Fortnightly", DATE(YEAR(L190), MONTH(L190), DAY(L190) + 14),
    Payment_Frequency="Quarterly", DATE(YEAR(L190), MONTH(L190) + 3, DAY(L190)),
    Payment_Frequency="Yearly", DATE(YEAR(L190) + 1, MONTH(L190), DAY(L190)),
    TRUE, ""
)</f>
        <v/>
      </c>
      <c r="M191" s="1853">
        <f>IF(ISERROR(L191-L190),0,L191-L190)</f>
        <v>0</v>
      </c>
      <c r="N191" s="1851" cm="1">
        <f t="array" ref="N191">_xlfn.IFS(
    AND(I191=TRUE, K191&lt;=No_Regular_Payments), Repay_Amt,
    AND(I191=TRUE, K191=No_Regular_Payments+1), Tm_Balloon_Amt,
   TRUE, 0
)</f>
        <v>0</v>
      </c>
      <c r="O191" s="1850" cm="1">
        <f t="array" ref="O191">_xlfn.IFS(
    M191=0,0,
   ABS(N191 - S190 - P191-Q191) &lt; 1, N191 - S190-Q191,
    TRUE, P191
)</f>
        <v>0</v>
      </c>
      <c r="P191" s="1852">
        <f>IF(M191=0,0,ROUND(S190*EXP(Int_Rate/365.25 * M191)-S190,2))</f>
        <v>0</v>
      </c>
      <c r="Q191" s="1851" cm="1">
        <f t="array" ref="Q191">_xlfn.IFS(
    AND(I191=TRUE, K191&lt;=No_Regular_Payments), Periodic_Admin_Charge,
   TRUE, 0
)</f>
        <v>0</v>
      </c>
      <c r="R191" s="1850">
        <f>N191-O191-Q191</f>
        <v>0</v>
      </c>
      <c r="S191" s="1850">
        <f>ROUND(S190-R191,2)</f>
        <v>0</v>
      </c>
      <c r="T191" s="1850">
        <f>ROUND(T190-(N191-Q191),2)</f>
        <v>0</v>
      </c>
      <c r="U191" s="1849"/>
      <c r="W191" s="1848"/>
      <c r="X191" s="1848"/>
      <c r="Y191" s="1848"/>
    </row>
    <row r="192" spans="2:25" ht="15.95" hidden="1" customHeight="1">
      <c r="B192" s="1815" t="b">
        <f>AND(I192=FALSE,N191=0,Q191=0,L191="")</f>
        <v>1</v>
      </c>
      <c r="C192" s="1844" t="str" cm="1">
        <f t="array" ref="C192">_xlfn.IFS(
    L192="", "",
    MONTH(L192) &lt;= End_of_Year_Month, YEAR(L192),
    TRUE, YEAR(L192) + 1
)</f>
        <v/>
      </c>
      <c r="F192" s="1857">
        <f>IF(L192="",0,L192)</f>
        <v>0</v>
      </c>
      <c r="G192" s="1856">
        <f>-(N192-Q192)</f>
        <v>0</v>
      </c>
      <c r="I192" s="1815" t="b">
        <f>K192&lt;=Number_Payments</f>
        <v>0</v>
      </c>
      <c r="J192" s="1855"/>
      <c r="K192" s="1351">
        <f>K191+1</f>
        <v>66</v>
      </c>
      <c r="L192" s="1854" t="str" cm="1">
        <f t="array" ref="L192">_xlfn.IFS(
    I191=FALSE, "",
    Payment_Frequency="Monthly", EDATE(L191, 1),
    Payment_Frequency="Weekly", DATE(YEAR(L191), MONTH(L191), DAY(L191) + 7),
    Payment_Frequency="Fortnightly", DATE(YEAR(L191), MONTH(L191), DAY(L191) + 14),
    Payment_Frequency="Quarterly", DATE(YEAR(L191), MONTH(L191) + 3, DAY(L191)),
    Payment_Frequency="Yearly", DATE(YEAR(L191) + 1, MONTH(L191), DAY(L191)),
    TRUE, ""
)</f>
        <v/>
      </c>
      <c r="M192" s="1853">
        <f>IF(ISERROR(L192-L191),0,L192-L191)</f>
        <v>0</v>
      </c>
      <c r="N192" s="1851" cm="1">
        <f t="array" ref="N192">_xlfn.IFS(
    AND(I192=TRUE, K192&lt;=No_Regular_Payments), Repay_Amt,
    AND(I192=TRUE, K192=No_Regular_Payments+1), Tm_Balloon_Amt,
   TRUE, 0
)</f>
        <v>0</v>
      </c>
      <c r="O192" s="1850" cm="1">
        <f t="array" ref="O192">_xlfn.IFS(
    M192=0,0,
   ABS(N192 - S191 - P192-Q192) &lt; 1, N192 - S191-Q192,
    TRUE, P192
)</f>
        <v>0</v>
      </c>
      <c r="P192" s="1852">
        <f>IF(M192=0,0,ROUND(S191*EXP(Int_Rate/365.25 * M192)-S191,2))</f>
        <v>0</v>
      </c>
      <c r="Q192" s="1851" cm="1">
        <f t="array" ref="Q192">_xlfn.IFS(
    AND(I192=TRUE, K192&lt;=No_Regular_Payments), Periodic_Admin_Charge,
   TRUE, 0
)</f>
        <v>0</v>
      </c>
      <c r="R192" s="1850">
        <f>N192-O192-Q192</f>
        <v>0</v>
      </c>
      <c r="S192" s="1850">
        <f>ROUND(S191-R192,2)</f>
        <v>0</v>
      </c>
      <c r="T192" s="1850">
        <f>ROUND(T191-(N192-Q192),2)</f>
        <v>0</v>
      </c>
      <c r="U192" s="1849"/>
      <c r="W192" s="1848"/>
      <c r="X192" s="1848"/>
      <c r="Y192" s="1848"/>
    </row>
    <row r="193" spans="2:25" ht="15.95" hidden="1" customHeight="1">
      <c r="B193" s="1815" t="b">
        <f>AND(I193=FALSE,N192=0,Q192=0,L192="")</f>
        <v>1</v>
      </c>
      <c r="C193" s="1844" t="str" cm="1">
        <f t="array" ref="C193">_xlfn.IFS(
    L193="", "",
    MONTH(L193) &lt;= End_of_Year_Month, YEAR(L193),
    TRUE, YEAR(L193) + 1
)</f>
        <v/>
      </c>
      <c r="F193" s="1857">
        <f>IF(L193="",0,L193)</f>
        <v>0</v>
      </c>
      <c r="G193" s="1856">
        <f>-(N193-Q193)</f>
        <v>0</v>
      </c>
      <c r="I193" s="1815" t="b">
        <f>K193&lt;=Number_Payments</f>
        <v>0</v>
      </c>
      <c r="J193" s="1855"/>
      <c r="K193" s="1351">
        <f>K192+1</f>
        <v>67</v>
      </c>
      <c r="L193" s="1854" t="str" cm="1">
        <f t="array" ref="L193">_xlfn.IFS(
    I192=FALSE, "",
    Payment_Frequency="Monthly", EDATE(L192, 1),
    Payment_Frequency="Weekly", DATE(YEAR(L192), MONTH(L192), DAY(L192) + 7),
    Payment_Frequency="Fortnightly", DATE(YEAR(L192), MONTH(L192), DAY(L192) + 14),
    Payment_Frequency="Quarterly", DATE(YEAR(L192), MONTH(L192) + 3, DAY(L192)),
    Payment_Frequency="Yearly", DATE(YEAR(L192) + 1, MONTH(L192), DAY(L192)),
    TRUE, ""
)</f>
        <v/>
      </c>
      <c r="M193" s="1853">
        <f>IF(ISERROR(L193-L192),0,L193-L192)</f>
        <v>0</v>
      </c>
      <c r="N193" s="1851" cm="1">
        <f t="array" ref="N193">_xlfn.IFS(
    AND(I193=TRUE, K193&lt;=No_Regular_Payments), Repay_Amt,
    AND(I193=TRUE, K193=No_Regular_Payments+1), Tm_Balloon_Amt,
   TRUE, 0
)</f>
        <v>0</v>
      </c>
      <c r="O193" s="1850" cm="1">
        <f t="array" ref="O193">_xlfn.IFS(
    M193=0,0,
   ABS(N193 - S192 - P193-Q193) &lt; 1, N193 - S192-Q193,
    TRUE, P193
)</f>
        <v>0</v>
      </c>
      <c r="P193" s="1852">
        <f>IF(M193=0,0,ROUND(S192*EXP(Int_Rate/365.25 * M193)-S192,2))</f>
        <v>0</v>
      </c>
      <c r="Q193" s="1851" cm="1">
        <f t="array" ref="Q193">_xlfn.IFS(
    AND(I193=TRUE, K193&lt;=No_Regular_Payments), Periodic_Admin_Charge,
   TRUE, 0
)</f>
        <v>0</v>
      </c>
      <c r="R193" s="1850">
        <f>N193-O193-Q193</f>
        <v>0</v>
      </c>
      <c r="S193" s="1850">
        <f>ROUND(S192-R193,2)</f>
        <v>0</v>
      </c>
      <c r="T193" s="1850">
        <f>ROUND(T192-(N193-Q193),2)</f>
        <v>0</v>
      </c>
      <c r="U193" s="1849"/>
      <c r="W193" s="1848"/>
      <c r="X193" s="1848"/>
      <c r="Y193" s="1848"/>
    </row>
    <row r="194" spans="2:25" ht="15.95" hidden="1" customHeight="1">
      <c r="B194" s="1815" t="b">
        <f>AND(I194=FALSE,N193=0,Q193=0,L193="")</f>
        <v>1</v>
      </c>
      <c r="C194" s="1844" t="str" cm="1">
        <f t="array" ref="C194">_xlfn.IFS(
    L194="", "",
    MONTH(L194) &lt;= End_of_Year_Month, YEAR(L194),
    TRUE, YEAR(L194) + 1
)</f>
        <v/>
      </c>
      <c r="F194" s="1857">
        <f>IF(L194="",0,L194)</f>
        <v>0</v>
      </c>
      <c r="G194" s="1856">
        <f>-(N194-Q194)</f>
        <v>0</v>
      </c>
      <c r="I194" s="1815" t="b">
        <f>K194&lt;=Number_Payments</f>
        <v>0</v>
      </c>
      <c r="J194" s="1855"/>
      <c r="K194" s="1351">
        <f>K193+1</f>
        <v>68</v>
      </c>
      <c r="L194" s="1854" t="str" cm="1">
        <f t="array" ref="L194">_xlfn.IFS(
    I193=FALSE, "",
    Payment_Frequency="Monthly", EDATE(L193, 1),
    Payment_Frequency="Weekly", DATE(YEAR(L193), MONTH(L193), DAY(L193) + 7),
    Payment_Frequency="Fortnightly", DATE(YEAR(L193), MONTH(L193), DAY(L193) + 14),
    Payment_Frequency="Quarterly", DATE(YEAR(L193), MONTH(L193) + 3, DAY(L193)),
    Payment_Frequency="Yearly", DATE(YEAR(L193) + 1, MONTH(L193), DAY(L193)),
    TRUE, ""
)</f>
        <v/>
      </c>
      <c r="M194" s="1853">
        <f>IF(ISERROR(L194-L193),0,L194-L193)</f>
        <v>0</v>
      </c>
      <c r="N194" s="1851" cm="1">
        <f t="array" ref="N194">_xlfn.IFS(
    AND(I194=TRUE, K194&lt;=No_Regular_Payments), Repay_Amt,
    AND(I194=TRUE, K194=No_Regular_Payments+1), Tm_Balloon_Amt,
   TRUE, 0
)</f>
        <v>0</v>
      </c>
      <c r="O194" s="1850" cm="1">
        <f t="array" ref="O194">_xlfn.IFS(
    M194=0,0,
   ABS(N194 - S193 - P194-Q194) &lt; 1, N194 - S193-Q194,
    TRUE, P194
)</f>
        <v>0</v>
      </c>
      <c r="P194" s="1852">
        <f>IF(M194=0,0,ROUND(S193*EXP(Int_Rate/365.25 * M194)-S193,2))</f>
        <v>0</v>
      </c>
      <c r="Q194" s="1851" cm="1">
        <f t="array" ref="Q194">_xlfn.IFS(
    AND(I194=TRUE, K194&lt;=No_Regular_Payments), Periodic_Admin_Charge,
   TRUE, 0
)</f>
        <v>0</v>
      </c>
      <c r="R194" s="1850">
        <f>N194-O194-Q194</f>
        <v>0</v>
      </c>
      <c r="S194" s="1850">
        <f>ROUND(S193-R194,2)</f>
        <v>0</v>
      </c>
      <c r="T194" s="1850">
        <f>ROUND(T193-(N194-Q194),2)</f>
        <v>0</v>
      </c>
      <c r="U194" s="1849"/>
      <c r="W194" s="1848"/>
      <c r="X194" s="1848"/>
      <c r="Y194" s="1848"/>
    </row>
    <row r="195" spans="2:25" ht="15.95" hidden="1" customHeight="1">
      <c r="B195" s="1815" t="b">
        <f>AND(I195=FALSE,N194=0,Q194=0,L194="")</f>
        <v>1</v>
      </c>
      <c r="C195" s="1844" t="str" cm="1">
        <f t="array" ref="C195">_xlfn.IFS(
    L195="", "",
    MONTH(L195) &lt;= End_of_Year_Month, YEAR(L195),
    TRUE, YEAR(L195) + 1
)</f>
        <v/>
      </c>
      <c r="F195" s="1857">
        <f>IF(L195="",0,L195)</f>
        <v>0</v>
      </c>
      <c r="G195" s="1856">
        <f>-(N195-Q195)</f>
        <v>0</v>
      </c>
      <c r="I195" s="1815" t="b">
        <f>K195&lt;=Number_Payments</f>
        <v>0</v>
      </c>
      <c r="J195" s="1855"/>
      <c r="K195" s="1351">
        <f>K194+1</f>
        <v>69</v>
      </c>
      <c r="L195" s="1854" t="str" cm="1">
        <f t="array" ref="L195">_xlfn.IFS(
    I194=FALSE, "",
    Payment_Frequency="Monthly", EDATE(L194, 1),
    Payment_Frequency="Weekly", DATE(YEAR(L194), MONTH(L194), DAY(L194) + 7),
    Payment_Frequency="Fortnightly", DATE(YEAR(L194), MONTH(L194), DAY(L194) + 14),
    Payment_Frequency="Quarterly", DATE(YEAR(L194), MONTH(L194) + 3, DAY(L194)),
    Payment_Frequency="Yearly", DATE(YEAR(L194) + 1, MONTH(L194), DAY(L194)),
    TRUE, ""
)</f>
        <v/>
      </c>
      <c r="M195" s="1853">
        <f>IF(ISERROR(L195-L194),0,L195-L194)</f>
        <v>0</v>
      </c>
      <c r="N195" s="1851" cm="1">
        <f t="array" ref="N195">_xlfn.IFS(
    AND(I195=TRUE, K195&lt;=No_Regular_Payments), Repay_Amt,
    AND(I195=TRUE, K195=No_Regular_Payments+1), Tm_Balloon_Amt,
   TRUE, 0
)</f>
        <v>0</v>
      </c>
      <c r="O195" s="1850" cm="1">
        <f t="array" ref="O195">_xlfn.IFS(
    M195=0,0,
   ABS(N195 - S194 - P195-Q195) &lt; 1, N195 - S194-Q195,
    TRUE, P195
)</f>
        <v>0</v>
      </c>
      <c r="P195" s="1852">
        <f>IF(M195=0,0,ROUND(S194*EXP(Int_Rate/365.25 * M195)-S194,2))</f>
        <v>0</v>
      </c>
      <c r="Q195" s="1851" cm="1">
        <f t="array" ref="Q195">_xlfn.IFS(
    AND(I195=TRUE, K195&lt;=No_Regular_Payments), Periodic_Admin_Charge,
   TRUE, 0
)</f>
        <v>0</v>
      </c>
      <c r="R195" s="1850">
        <f>N195-O195-Q195</f>
        <v>0</v>
      </c>
      <c r="S195" s="1850">
        <f>ROUND(S194-R195,2)</f>
        <v>0</v>
      </c>
      <c r="T195" s="1850">
        <f>ROUND(T194-(N195-Q195),2)</f>
        <v>0</v>
      </c>
      <c r="U195" s="1849"/>
      <c r="W195" s="1848"/>
      <c r="X195" s="1848"/>
      <c r="Y195" s="1848"/>
    </row>
    <row r="196" spans="2:25" ht="15.95" hidden="1" customHeight="1">
      <c r="B196" s="1815" t="b">
        <f>AND(I196=FALSE,N195=0,Q195=0,L195="")</f>
        <v>1</v>
      </c>
      <c r="C196" s="1844" t="str" cm="1">
        <f t="array" ref="C196">_xlfn.IFS(
    L196="", "",
    MONTH(L196) &lt;= End_of_Year_Month, YEAR(L196),
    TRUE, YEAR(L196) + 1
)</f>
        <v/>
      </c>
      <c r="F196" s="1857">
        <f>IF(L196="",0,L196)</f>
        <v>0</v>
      </c>
      <c r="G196" s="1856">
        <f>-(N196-Q196)</f>
        <v>0</v>
      </c>
      <c r="I196" s="1815" t="b">
        <f>K196&lt;=Number_Payments</f>
        <v>0</v>
      </c>
      <c r="J196" s="1855"/>
      <c r="K196" s="1351">
        <f>K195+1</f>
        <v>70</v>
      </c>
      <c r="L196" s="1854" t="str" cm="1">
        <f t="array" ref="L196">_xlfn.IFS(
    I195=FALSE, "",
    Payment_Frequency="Monthly", EDATE(L195, 1),
    Payment_Frequency="Weekly", DATE(YEAR(L195), MONTH(L195), DAY(L195) + 7),
    Payment_Frequency="Fortnightly", DATE(YEAR(L195), MONTH(L195), DAY(L195) + 14),
    Payment_Frequency="Quarterly", DATE(YEAR(L195), MONTH(L195) + 3, DAY(L195)),
    Payment_Frequency="Yearly", DATE(YEAR(L195) + 1, MONTH(L195), DAY(L195)),
    TRUE, ""
)</f>
        <v/>
      </c>
      <c r="M196" s="1853">
        <f>IF(ISERROR(L196-L195),0,L196-L195)</f>
        <v>0</v>
      </c>
      <c r="N196" s="1851" cm="1">
        <f t="array" ref="N196">_xlfn.IFS(
    AND(I196=TRUE, K196&lt;=No_Regular_Payments), Repay_Amt,
    AND(I196=TRUE, K196=No_Regular_Payments+1), Tm_Balloon_Amt,
   TRUE, 0
)</f>
        <v>0</v>
      </c>
      <c r="O196" s="1850" cm="1">
        <f t="array" ref="O196">_xlfn.IFS(
    M196=0,0,
   ABS(N196 - S195 - P196-Q196) &lt; 1, N196 - S195-Q196,
    TRUE, P196
)</f>
        <v>0</v>
      </c>
      <c r="P196" s="1852">
        <f>IF(M196=0,0,ROUND(S195*EXP(Int_Rate/365.25 * M196)-S195,2))</f>
        <v>0</v>
      </c>
      <c r="Q196" s="1851" cm="1">
        <f t="array" ref="Q196">_xlfn.IFS(
    AND(I196=TRUE, K196&lt;=No_Regular_Payments), Periodic_Admin_Charge,
   TRUE, 0
)</f>
        <v>0</v>
      </c>
      <c r="R196" s="1850">
        <f>N196-O196-Q196</f>
        <v>0</v>
      </c>
      <c r="S196" s="1850">
        <f>ROUND(S195-R196,2)</f>
        <v>0</v>
      </c>
      <c r="T196" s="1850">
        <f>ROUND(T195-(N196-Q196),2)</f>
        <v>0</v>
      </c>
      <c r="U196" s="1849"/>
      <c r="W196" s="1848"/>
      <c r="X196" s="1848"/>
      <c r="Y196" s="1848"/>
    </row>
    <row r="197" spans="2:25" ht="15.95" hidden="1" customHeight="1">
      <c r="B197" s="1815" t="b">
        <f>AND(I197=FALSE,N196=0,Q196=0,L196="")</f>
        <v>1</v>
      </c>
      <c r="C197" s="1844" t="str" cm="1">
        <f t="array" ref="C197">_xlfn.IFS(
    L197="", "",
    MONTH(L197) &lt;= End_of_Year_Month, YEAR(L197),
    TRUE, YEAR(L197) + 1
)</f>
        <v/>
      </c>
      <c r="F197" s="1857">
        <f>IF(L197="",0,L197)</f>
        <v>0</v>
      </c>
      <c r="G197" s="1856">
        <f>-(N197-Q197)</f>
        <v>0</v>
      </c>
      <c r="I197" s="1815" t="b">
        <f>K197&lt;=Number_Payments</f>
        <v>0</v>
      </c>
      <c r="J197" s="1855"/>
      <c r="K197" s="1351">
        <f>K196+1</f>
        <v>71</v>
      </c>
      <c r="L197" s="1854" t="str" cm="1">
        <f t="array" ref="L197">_xlfn.IFS(
    I196=FALSE, "",
    Payment_Frequency="Monthly", EDATE(L196, 1),
    Payment_Frequency="Weekly", DATE(YEAR(L196), MONTH(L196), DAY(L196) + 7),
    Payment_Frequency="Fortnightly", DATE(YEAR(L196), MONTH(L196), DAY(L196) + 14),
    Payment_Frequency="Quarterly", DATE(YEAR(L196), MONTH(L196) + 3, DAY(L196)),
    Payment_Frequency="Yearly", DATE(YEAR(L196) + 1, MONTH(L196), DAY(L196)),
    TRUE, ""
)</f>
        <v/>
      </c>
      <c r="M197" s="1853">
        <f>IF(ISERROR(L197-L196),0,L197-L196)</f>
        <v>0</v>
      </c>
      <c r="N197" s="1851" cm="1">
        <f t="array" ref="N197">_xlfn.IFS(
    AND(I197=TRUE, K197&lt;=No_Regular_Payments), Repay_Amt,
    AND(I197=TRUE, K197=No_Regular_Payments+1), Tm_Balloon_Amt,
   TRUE, 0
)</f>
        <v>0</v>
      </c>
      <c r="O197" s="1850" cm="1">
        <f t="array" ref="O197">_xlfn.IFS(
    M197=0,0,
   ABS(N197 - S196 - P197-Q197) &lt; 1, N197 - S196-Q197,
    TRUE, P197
)</f>
        <v>0</v>
      </c>
      <c r="P197" s="1852">
        <f>IF(M197=0,0,ROUND(S196*EXP(Int_Rate/365.25 * M197)-S196,2))</f>
        <v>0</v>
      </c>
      <c r="Q197" s="1851" cm="1">
        <f t="array" ref="Q197">_xlfn.IFS(
    AND(I197=TRUE, K197&lt;=No_Regular_Payments), Periodic_Admin_Charge,
   TRUE, 0
)</f>
        <v>0</v>
      </c>
      <c r="R197" s="1850">
        <f>N197-O197-Q197</f>
        <v>0</v>
      </c>
      <c r="S197" s="1850">
        <f>ROUND(S196-R197,2)</f>
        <v>0</v>
      </c>
      <c r="T197" s="1850">
        <f>ROUND(T196-(N197-Q197),2)</f>
        <v>0</v>
      </c>
      <c r="U197" s="1849"/>
      <c r="W197" s="1848"/>
      <c r="X197" s="1848"/>
      <c r="Y197" s="1848"/>
    </row>
    <row r="198" spans="2:25" ht="15.95" hidden="1" customHeight="1">
      <c r="B198" s="1815" t="b">
        <f>AND(I198=FALSE,N197=0,Q197=0,L197="")</f>
        <v>1</v>
      </c>
      <c r="C198" s="1844" t="str" cm="1">
        <f t="array" ref="C198">_xlfn.IFS(
    L198="", "",
    MONTH(L198) &lt;= End_of_Year_Month, YEAR(L198),
    TRUE, YEAR(L198) + 1
)</f>
        <v/>
      </c>
      <c r="F198" s="1857">
        <f>IF(L198="",0,L198)</f>
        <v>0</v>
      </c>
      <c r="G198" s="1856">
        <f>-(N198-Q198)</f>
        <v>0</v>
      </c>
      <c r="I198" s="1815" t="b">
        <f>K198&lt;=Number_Payments</f>
        <v>0</v>
      </c>
      <c r="J198" s="1855"/>
      <c r="K198" s="1351">
        <f>K197+1</f>
        <v>72</v>
      </c>
      <c r="L198" s="1854" t="str" cm="1">
        <f t="array" ref="L198">_xlfn.IFS(
    I197=FALSE, "",
    Payment_Frequency="Monthly", EDATE(L197, 1),
    Payment_Frequency="Weekly", DATE(YEAR(L197), MONTH(L197), DAY(L197) + 7),
    Payment_Frequency="Fortnightly", DATE(YEAR(L197), MONTH(L197), DAY(L197) + 14),
    Payment_Frequency="Quarterly", DATE(YEAR(L197), MONTH(L197) + 3, DAY(L197)),
    Payment_Frequency="Yearly", DATE(YEAR(L197) + 1, MONTH(L197), DAY(L197)),
    TRUE, ""
)</f>
        <v/>
      </c>
      <c r="M198" s="1853">
        <f>IF(ISERROR(L198-L197),0,L198-L197)</f>
        <v>0</v>
      </c>
      <c r="N198" s="1851" cm="1">
        <f t="array" ref="N198">_xlfn.IFS(
    AND(I198=TRUE, K198&lt;=No_Regular_Payments), Repay_Amt,
    AND(I198=TRUE, K198=No_Regular_Payments+1), Tm_Balloon_Amt,
   TRUE, 0
)</f>
        <v>0</v>
      </c>
      <c r="O198" s="1850" cm="1">
        <f t="array" ref="O198">_xlfn.IFS(
    M198=0,0,
   ABS(N198 - S197 - P198-Q198) &lt; 1, N198 - S197-Q198,
    TRUE, P198
)</f>
        <v>0</v>
      </c>
      <c r="P198" s="1852">
        <f>IF(M198=0,0,ROUND(S197*EXP(Int_Rate/365.25 * M198)-S197,2))</f>
        <v>0</v>
      </c>
      <c r="Q198" s="1851" cm="1">
        <f t="array" ref="Q198">_xlfn.IFS(
    AND(I198=TRUE, K198&lt;=No_Regular_Payments), Periodic_Admin_Charge,
   TRUE, 0
)</f>
        <v>0</v>
      </c>
      <c r="R198" s="1850">
        <f>N198-O198-Q198</f>
        <v>0</v>
      </c>
      <c r="S198" s="1850">
        <f>ROUND(S197-R198,2)</f>
        <v>0</v>
      </c>
      <c r="T198" s="1850">
        <f>ROUND(T197-(N198-Q198),2)</f>
        <v>0</v>
      </c>
      <c r="U198" s="1849"/>
      <c r="W198" s="1848"/>
      <c r="X198" s="1848"/>
      <c r="Y198" s="1848"/>
    </row>
    <row r="199" spans="2:25" ht="15.95" hidden="1" customHeight="1">
      <c r="B199" s="1815" t="b">
        <f>AND(I199=FALSE,N198=0,Q198=0,L198="")</f>
        <v>1</v>
      </c>
      <c r="C199" s="1844" t="str" cm="1">
        <f t="array" ref="C199">_xlfn.IFS(
    L199="", "",
    MONTH(L199) &lt;= End_of_Year_Month, YEAR(L199),
    TRUE, YEAR(L199) + 1
)</f>
        <v/>
      </c>
      <c r="F199" s="1857">
        <f>IF(L199="",0,L199)</f>
        <v>0</v>
      </c>
      <c r="G199" s="1856">
        <f>-(N199-Q199)</f>
        <v>0</v>
      </c>
      <c r="I199" s="1815" t="b">
        <f>K199&lt;=Number_Payments</f>
        <v>0</v>
      </c>
      <c r="J199" s="1855"/>
      <c r="K199" s="1351">
        <f>K198+1</f>
        <v>73</v>
      </c>
      <c r="L199" s="1854" t="str" cm="1">
        <f t="array" ref="L199">_xlfn.IFS(
    I198=FALSE, "",
    Payment_Frequency="Monthly", EDATE(L198, 1),
    Payment_Frequency="Weekly", DATE(YEAR(L198), MONTH(L198), DAY(L198) + 7),
    Payment_Frequency="Fortnightly", DATE(YEAR(L198), MONTH(L198), DAY(L198) + 14),
    Payment_Frequency="Quarterly", DATE(YEAR(L198), MONTH(L198) + 3, DAY(L198)),
    Payment_Frequency="Yearly", DATE(YEAR(L198) + 1, MONTH(L198), DAY(L198)),
    TRUE, ""
)</f>
        <v/>
      </c>
      <c r="M199" s="1853">
        <f>IF(ISERROR(L199-L198),0,L199-L198)</f>
        <v>0</v>
      </c>
      <c r="N199" s="1851" cm="1">
        <f t="array" ref="N199">_xlfn.IFS(
    AND(I199=TRUE, K199&lt;=No_Regular_Payments), Repay_Amt,
    AND(I199=TRUE, K199=No_Regular_Payments+1), Tm_Balloon_Amt,
   TRUE, 0
)</f>
        <v>0</v>
      </c>
      <c r="O199" s="1850" cm="1">
        <f t="array" ref="O199">_xlfn.IFS(
    M199=0,0,
   ABS(N199 - S198 - P199-Q199) &lt; 1, N199 - S198-Q199,
    TRUE, P199
)</f>
        <v>0</v>
      </c>
      <c r="P199" s="1852">
        <f>IF(M199=0,0,ROUND(S198*EXP(Int_Rate/365.25 * M199)-S198,2))</f>
        <v>0</v>
      </c>
      <c r="Q199" s="1851" cm="1">
        <f t="array" ref="Q199">_xlfn.IFS(
    AND(I199=TRUE, K199&lt;=No_Regular_Payments), Periodic_Admin_Charge,
   TRUE, 0
)</f>
        <v>0</v>
      </c>
      <c r="R199" s="1850">
        <f>N199-O199-Q199</f>
        <v>0</v>
      </c>
      <c r="S199" s="1850">
        <f>ROUND(S198-R199,2)</f>
        <v>0</v>
      </c>
      <c r="T199" s="1850">
        <f>ROUND(T198-(N199-Q199),2)</f>
        <v>0</v>
      </c>
      <c r="U199" s="1849"/>
      <c r="W199" s="1848"/>
      <c r="X199" s="1848"/>
      <c r="Y199" s="1848"/>
    </row>
    <row r="200" spans="2:25" ht="15.95" hidden="1" customHeight="1">
      <c r="B200" s="1815" t="b">
        <f>AND(I200=FALSE,N199=0,Q199=0,L199="")</f>
        <v>1</v>
      </c>
      <c r="C200" s="1844" t="str" cm="1">
        <f t="array" ref="C200">_xlfn.IFS(
    L200="", "",
    MONTH(L200) &lt;= End_of_Year_Month, YEAR(L200),
    TRUE, YEAR(L200) + 1
)</f>
        <v/>
      </c>
      <c r="F200" s="1857">
        <f>IF(L200="",0,L200)</f>
        <v>0</v>
      </c>
      <c r="G200" s="1856">
        <f>-(N200-Q200)</f>
        <v>0</v>
      </c>
      <c r="I200" s="1815" t="b">
        <f>K200&lt;=Number_Payments</f>
        <v>0</v>
      </c>
      <c r="J200" s="1855"/>
      <c r="K200" s="1351">
        <f>K199+1</f>
        <v>74</v>
      </c>
      <c r="L200" s="1854" t="str" cm="1">
        <f t="array" ref="L200">_xlfn.IFS(
    I199=FALSE, "",
    Payment_Frequency="Monthly", EDATE(L199, 1),
    Payment_Frequency="Weekly", DATE(YEAR(L199), MONTH(L199), DAY(L199) + 7),
    Payment_Frequency="Fortnightly", DATE(YEAR(L199), MONTH(L199), DAY(L199) + 14),
    Payment_Frequency="Quarterly", DATE(YEAR(L199), MONTH(L199) + 3, DAY(L199)),
    Payment_Frequency="Yearly", DATE(YEAR(L199) + 1, MONTH(L199), DAY(L199)),
    TRUE, ""
)</f>
        <v/>
      </c>
      <c r="M200" s="1853">
        <f>IF(ISERROR(L200-L199),0,L200-L199)</f>
        <v>0</v>
      </c>
      <c r="N200" s="1851" cm="1">
        <f t="array" ref="N200">_xlfn.IFS(
    AND(I200=TRUE, K200&lt;=No_Regular_Payments), Repay_Amt,
    AND(I200=TRUE, K200=No_Regular_Payments+1), Tm_Balloon_Amt,
   TRUE, 0
)</f>
        <v>0</v>
      </c>
      <c r="O200" s="1850" cm="1">
        <f t="array" ref="O200">_xlfn.IFS(
    M200=0,0,
   ABS(N200 - S199 - P200-Q200) &lt; 1, N200 - S199-Q200,
    TRUE, P200
)</f>
        <v>0</v>
      </c>
      <c r="P200" s="1852">
        <f>IF(M200=0,0,ROUND(S199*EXP(Int_Rate/365.25 * M200)-S199,2))</f>
        <v>0</v>
      </c>
      <c r="Q200" s="1851" cm="1">
        <f t="array" ref="Q200">_xlfn.IFS(
    AND(I200=TRUE, K200&lt;=No_Regular_Payments), Periodic_Admin_Charge,
   TRUE, 0
)</f>
        <v>0</v>
      </c>
      <c r="R200" s="1850">
        <f>N200-O200-Q200</f>
        <v>0</v>
      </c>
      <c r="S200" s="1850">
        <f>ROUND(S199-R200,2)</f>
        <v>0</v>
      </c>
      <c r="T200" s="1850">
        <f>ROUND(T199-(N200-Q200),2)</f>
        <v>0</v>
      </c>
      <c r="U200" s="1849"/>
      <c r="W200" s="1848"/>
      <c r="X200" s="1848"/>
      <c r="Y200" s="1848"/>
    </row>
    <row r="201" spans="2:25" ht="15.95" hidden="1" customHeight="1">
      <c r="B201" s="1815" t="b">
        <f>AND(I201=FALSE,N200=0,Q200=0,L200="")</f>
        <v>1</v>
      </c>
      <c r="C201" s="1844" t="str" cm="1">
        <f t="array" ref="C201">_xlfn.IFS(
    L201="", "",
    MONTH(L201) &lt;= End_of_Year_Month, YEAR(L201),
    TRUE, YEAR(L201) + 1
)</f>
        <v/>
      </c>
      <c r="F201" s="1857">
        <f>IF(L201="",0,L201)</f>
        <v>0</v>
      </c>
      <c r="G201" s="1856">
        <f>-(N201-Q201)</f>
        <v>0</v>
      </c>
      <c r="I201" s="1815" t="b">
        <f>K201&lt;=Number_Payments</f>
        <v>0</v>
      </c>
      <c r="J201" s="1855"/>
      <c r="K201" s="1351">
        <f>K200+1</f>
        <v>75</v>
      </c>
      <c r="L201" s="1854" t="str" cm="1">
        <f t="array" ref="L201">_xlfn.IFS(
    I200=FALSE, "",
    Payment_Frequency="Monthly", EDATE(L200, 1),
    Payment_Frequency="Weekly", DATE(YEAR(L200), MONTH(L200), DAY(L200) + 7),
    Payment_Frequency="Fortnightly", DATE(YEAR(L200), MONTH(L200), DAY(L200) + 14),
    Payment_Frequency="Quarterly", DATE(YEAR(L200), MONTH(L200) + 3, DAY(L200)),
    Payment_Frequency="Yearly", DATE(YEAR(L200) + 1, MONTH(L200), DAY(L200)),
    TRUE, ""
)</f>
        <v/>
      </c>
      <c r="M201" s="1853">
        <f>IF(ISERROR(L201-L200),0,L201-L200)</f>
        <v>0</v>
      </c>
      <c r="N201" s="1851" cm="1">
        <f t="array" ref="N201">_xlfn.IFS(
    AND(I201=TRUE, K201&lt;=No_Regular_Payments), Repay_Amt,
    AND(I201=TRUE, K201=No_Regular_Payments+1), Tm_Balloon_Amt,
   TRUE, 0
)</f>
        <v>0</v>
      </c>
      <c r="O201" s="1850" cm="1">
        <f t="array" ref="O201">_xlfn.IFS(
    M201=0,0,
   ABS(N201 - S200 - P201-Q201) &lt; 1, N201 - S200-Q201,
    TRUE, P201
)</f>
        <v>0</v>
      </c>
      <c r="P201" s="1852">
        <f>IF(M201=0,0,ROUND(S200*EXP(Int_Rate/365.25 * M201)-S200,2))</f>
        <v>0</v>
      </c>
      <c r="Q201" s="1851" cm="1">
        <f t="array" ref="Q201">_xlfn.IFS(
    AND(I201=TRUE, K201&lt;=No_Regular_Payments), Periodic_Admin_Charge,
   TRUE, 0
)</f>
        <v>0</v>
      </c>
      <c r="R201" s="1850">
        <f>N201-O201-Q201</f>
        <v>0</v>
      </c>
      <c r="S201" s="1850">
        <f>ROUND(S200-R201,2)</f>
        <v>0</v>
      </c>
      <c r="T201" s="1850">
        <f>ROUND(T200-(N201-Q201),2)</f>
        <v>0</v>
      </c>
      <c r="U201" s="1849"/>
      <c r="W201" s="1848"/>
      <c r="X201" s="1848"/>
      <c r="Y201" s="1848"/>
    </row>
    <row r="202" spans="2:25" ht="15.95" hidden="1" customHeight="1">
      <c r="B202" s="1815" t="b">
        <f>AND(I202=FALSE,N201=0,Q201=0,L201="")</f>
        <v>1</v>
      </c>
      <c r="C202" s="1844" t="str" cm="1">
        <f t="array" ref="C202">_xlfn.IFS(
    L202="", "",
    MONTH(L202) &lt;= End_of_Year_Month, YEAR(L202),
    TRUE, YEAR(L202) + 1
)</f>
        <v/>
      </c>
      <c r="F202" s="1857">
        <f>IF(L202="",0,L202)</f>
        <v>0</v>
      </c>
      <c r="G202" s="1856">
        <f>-(N202-Q202)</f>
        <v>0</v>
      </c>
      <c r="I202" s="1815" t="b">
        <f>K202&lt;=Number_Payments</f>
        <v>0</v>
      </c>
      <c r="J202" s="1855"/>
      <c r="K202" s="1351">
        <f>K201+1</f>
        <v>76</v>
      </c>
      <c r="L202" s="1854" t="str" cm="1">
        <f t="array" ref="L202">_xlfn.IFS(
    I201=FALSE, "",
    Payment_Frequency="Monthly", EDATE(L201, 1),
    Payment_Frequency="Weekly", DATE(YEAR(L201), MONTH(L201), DAY(L201) + 7),
    Payment_Frequency="Fortnightly", DATE(YEAR(L201), MONTH(L201), DAY(L201) + 14),
    Payment_Frequency="Quarterly", DATE(YEAR(L201), MONTH(L201) + 3, DAY(L201)),
    Payment_Frequency="Yearly", DATE(YEAR(L201) + 1, MONTH(L201), DAY(L201)),
    TRUE, ""
)</f>
        <v/>
      </c>
      <c r="M202" s="1853">
        <f>IF(ISERROR(L202-L201),0,L202-L201)</f>
        <v>0</v>
      </c>
      <c r="N202" s="1851" cm="1">
        <f t="array" ref="N202">_xlfn.IFS(
    AND(I202=TRUE, K202&lt;=No_Regular_Payments), Repay_Amt,
    AND(I202=TRUE, K202=No_Regular_Payments+1), Tm_Balloon_Amt,
   TRUE, 0
)</f>
        <v>0</v>
      </c>
      <c r="O202" s="1850" cm="1">
        <f t="array" ref="O202">_xlfn.IFS(
    M202=0,0,
   ABS(N202 - S201 - P202-Q202) &lt; 1, N202 - S201-Q202,
    TRUE, P202
)</f>
        <v>0</v>
      </c>
      <c r="P202" s="1852">
        <f>IF(M202=0,0,ROUND(S201*EXP(Int_Rate/365.25 * M202)-S201,2))</f>
        <v>0</v>
      </c>
      <c r="Q202" s="1851" cm="1">
        <f t="array" ref="Q202">_xlfn.IFS(
    AND(I202=TRUE, K202&lt;=No_Regular_Payments), Periodic_Admin_Charge,
   TRUE, 0
)</f>
        <v>0</v>
      </c>
      <c r="R202" s="1850">
        <f>N202-O202-Q202</f>
        <v>0</v>
      </c>
      <c r="S202" s="1850">
        <f>ROUND(S201-R202,2)</f>
        <v>0</v>
      </c>
      <c r="T202" s="1850">
        <f>ROUND(T201-(N202-Q202),2)</f>
        <v>0</v>
      </c>
      <c r="U202" s="1849"/>
      <c r="W202" s="1848"/>
      <c r="X202" s="1848"/>
      <c r="Y202" s="1848"/>
    </row>
    <row r="203" spans="2:25" ht="15.95" hidden="1" customHeight="1">
      <c r="B203" s="1815" t="b">
        <f>AND(I203=FALSE,N202=0,Q202=0,L202="")</f>
        <v>1</v>
      </c>
      <c r="C203" s="1844" t="str" cm="1">
        <f t="array" ref="C203">_xlfn.IFS(
    L203="", "",
    MONTH(L203) &lt;= End_of_Year_Month, YEAR(L203),
    TRUE, YEAR(L203) + 1
)</f>
        <v/>
      </c>
      <c r="F203" s="1857">
        <f>IF(L203="",0,L203)</f>
        <v>0</v>
      </c>
      <c r="G203" s="1856">
        <f>-(N203-Q203)</f>
        <v>0</v>
      </c>
      <c r="I203" s="1815" t="b">
        <f>K203&lt;=Number_Payments</f>
        <v>0</v>
      </c>
      <c r="J203" s="1855"/>
      <c r="K203" s="1351">
        <f>K202+1</f>
        <v>77</v>
      </c>
      <c r="L203" s="1854" t="str" cm="1">
        <f t="array" ref="L203">_xlfn.IFS(
    I202=FALSE, "",
    Payment_Frequency="Monthly", EDATE(L202, 1),
    Payment_Frequency="Weekly", DATE(YEAR(L202), MONTH(L202), DAY(L202) + 7),
    Payment_Frequency="Fortnightly", DATE(YEAR(L202), MONTH(L202), DAY(L202) + 14),
    Payment_Frequency="Quarterly", DATE(YEAR(L202), MONTH(L202) + 3, DAY(L202)),
    Payment_Frequency="Yearly", DATE(YEAR(L202) + 1, MONTH(L202), DAY(L202)),
    TRUE, ""
)</f>
        <v/>
      </c>
      <c r="M203" s="1853">
        <f>IF(ISERROR(L203-L202),0,L203-L202)</f>
        <v>0</v>
      </c>
      <c r="N203" s="1851" cm="1">
        <f t="array" ref="N203">_xlfn.IFS(
    AND(I203=TRUE, K203&lt;=No_Regular_Payments), Repay_Amt,
    AND(I203=TRUE, K203=No_Regular_Payments+1), Tm_Balloon_Amt,
   TRUE, 0
)</f>
        <v>0</v>
      </c>
      <c r="O203" s="1850" cm="1">
        <f t="array" ref="O203">_xlfn.IFS(
    M203=0,0,
   ABS(N203 - S202 - P203-Q203) &lt; 1, N203 - S202-Q203,
    TRUE, P203
)</f>
        <v>0</v>
      </c>
      <c r="P203" s="1852">
        <f>IF(M203=0,0,ROUND(S202*EXP(Int_Rate/365.25 * M203)-S202,2))</f>
        <v>0</v>
      </c>
      <c r="Q203" s="1851" cm="1">
        <f t="array" ref="Q203">_xlfn.IFS(
    AND(I203=TRUE, K203&lt;=No_Regular_Payments), Periodic_Admin_Charge,
   TRUE, 0
)</f>
        <v>0</v>
      </c>
      <c r="R203" s="1850">
        <f>N203-O203-Q203</f>
        <v>0</v>
      </c>
      <c r="S203" s="1850">
        <f>ROUND(S202-R203,2)</f>
        <v>0</v>
      </c>
      <c r="T203" s="1850">
        <f>ROUND(T202-(N203-Q203),2)</f>
        <v>0</v>
      </c>
      <c r="U203" s="1849"/>
      <c r="W203" s="1848"/>
      <c r="X203" s="1848"/>
      <c r="Y203" s="1848"/>
    </row>
    <row r="204" spans="2:25" ht="15.95" hidden="1" customHeight="1">
      <c r="B204" s="1815" t="b">
        <f>AND(I204=FALSE,N203=0,Q203=0,L203="")</f>
        <v>1</v>
      </c>
      <c r="C204" s="1844" t="str" cm="1">
        <f t="array" ref="C204">_xlfn.IFS(
    L204="", "",
    MONTH(L204) &lt;= End_of_Year_Month, YEAR(L204),
    TRUE, YEAR(L204) + 1
)</f>
        <v/>
      </c>
      <c r="F204" s="1857">
        <f>IF(L204="",0,L204)</f>
        <v>0</v>
      </c>
      <c r="G204" s="1856">
        <f>-(N204-Q204)</f>
        <v>0</v>
      </c>
      <c r="I204" s="1815" t="b">
        <f>K204&lt;=Number_Payments</f>
        <v>0</v>
      </c>
      <c r="J204" s="1855"/>
      <c r="K204" s="1351">
        <f>K203+1</f>
        <v>78</v>
      </c>
      <c r="L204" s="1854" t="str" cm="1">
        <f t="array" ref="L204">_xlfn.IFS(
    I203=FALSE, "",
    Payment_Frequency="Monthly", EDATE(L203, 1),
    Payment_Frequency="Weekly", DATE(YEAR(L203), MONTH(L203), DAY(L203) + 7),
    Payment_Frequency="Fortnightly", DATE(YEAR(L203), MONTH(L203), DAY(L203) + 14),
    Payment_Frequency="Quarterly", DATE(YEAR(L203), MONTH(L203) + 3, DAY(L203)),
    Payment_Frequency="Yearly", DATE(YEAR(L203) + 1, MONTH(L203), DAY(L203)),
    TRUE, ""
)</f>
        <v/>
      </c>
      <c r="M204" s="1853">
        <f>IF(ISERROR(L204-L203),0,L204-L203)</f>
        <v>0</v>
      </c>
      <c r="N204" s="1851" cm="1">
        <f t="array" ref="N204">_xlfn.IFS(
    AND(I204=TRUE, K204&lt;=No_Regular_Payments), Repay_Amt,
    AND(I204=TRUE, K204=No_Regular_Payments+1), Tm_Balloon_Amt,
   TRUE, 0
)</f>
        <v>0</v>
      </c>
      <c r="O204" s="1850" cm="1">
        <f t="array" ref="O204">_xlfn.IFS(
    M204=0,0,
   ABS(N204 - S203 - P204-Q204) &lt; 1, N204 - S203-Q204,
    TRUE, P204
)</f>
        <v>0</v>
      </c>
      <c r="P204" s="1852">
        <f>IF(M204=0,0,ROUND(S203*EXP(Int_Rate/365.25 * M204)-S203,2))</f>
        <v>0</v>
      </c>
      <c r="Q204" s="1851" cm="1">
        <f t="array" ref="Q204">_xlfn.IFS(
    AND(I204=TRUE, K204&lt;=No_Regular_Payments), Periodic_Admin_Charge,
   TRUE, 0
)</f>
        <v>0</v>
      </c>
      <c r="R204" s="1850">
        <f>N204-O204-Q204</f>
        <v>0</v>
      </c>
      <c r="S204" s="1850">
        <f>ROUND(S203-R204,2)</f>
        <v>0</v>
      </c>
      <c r="T204" s="1850">
        <f>ROUND(T203-(N204-Q204),2)</f>
        <v>0</v>
      </c>
      <c r="U204" s="1849"/>
      <c r="W204" s="1848"/>
      <c r="X204" s="1848"/>
      <c r="Y204" s="1848"/>
    </row>
    <row r="205" spans="2:25" ht="15.95" hidden="1" customHeight="1">
      <c r="B205" s="1815" t="b">
        <f>AND(I205=FALSE,N204=0,Q204=0,L204="")</f>
        <v>1</v>
      </c>
      <c r="C205" s="1844" t="str" cm="1">
        <f t="array" ref="C205">_xlfn.IFS(
    L205="", "",
    MONTH(L205) &lt;= End_of_Year_Month, YEAR(L205),
    TRUE, YEAR(L205) + 1
)</f>
        <v/>
      </c>
      <c r="F205" s="1857">
        <f>IF(L205="",0,L205)</f>
        <v>0</v>
      </c>
      <c r="G205" s="1856">
        <f>-(N205-Q205)</f>
        <v>0</v>
      </c>
      <c r="I205" s="1815" t="b">
        <f>K205&lt;=Number_Payments</f>
        <v>0</v>
      </c>
      <c r="J205" s="1855"/>
      <c r="K205" s="1351">
        <f>K204+1</f>
        <v>79</v>
      </c>
      <c r="L205" s="1854" t="str" cm="1">
        <f t="array" ref="L205">_xlfn.IFS(
    I204=FALSE, "",
    Payment_Frequency="Monthly", EDATE(L204, 1),
    Payment_Frequency="Weekly", DATE(YEAR(L204), MONTH(L204), DAY(L204) + 7),
    Payment_Frequency="Fortnightly", DATE(YEAR(L204), MONTH(L204), DAY(L204) + 14),
    Payment_Frequency="Quarterly", DATE(YEAR(L204), MONTH(L204) + 3, DAY(L204)),
    Payment_Frequency="Yearly", DATE(YEAR(L204) + 1, MONTH(L204), DAY(L204)),
    TRUE, ""
)</f>
        <v/>
      </c>
      <c r="M205" s="1853">
        <f>IF(ISERROR(L205-L204),0,L205-L204)</f>
        <v>0</v>
      </c>
      <c r="N205" s="1851" cm="1">
        <f t="array" ref="N205">_xlfn.IFS(
    AND(I205=TRUE, K205&lt;=No_Regular_Payments), Repay_Amt,
    AND(I205=TRUE, K205=No_Regular_Payments+1), Tm_Balloon_Amt,
   TRUE, 0
)</f>
        <v>0</v>
      </c>
      <c r="O205" s="1850" cm="1">
        <f t="array" ref="O205">_xlfn.IFS(
    M205=0,0,
   ABS(N205 - S204 - P205-Q205) &lt; 1, N205 - S204-Q205,
    TRUE, P205
)</f>
        <v>0</v>
      </c>
      <c r="P205" s="1852">
        <f>IF(M205=0,0,ROUND(S204*EXP(Int_Rate/365.25 * M205)-S204,2))</f>
        <v>0</v>
      </c>
      <c r="Q205" s="1851" cm="1">
        <f t="array" ref="Q205">_xlfn.IFS(
    AND(I205=TRUE, K205&lt;=No_Regular_Payments), Periodic_Admin_Charge,
   TRUE, 0
)</f>
        <v>0</v>
      </c>
      <c r="R205" s="1850">
        <f>N205-O205-Q205</f>
        <v>0</v>
      </c>
      <c r="S205" s="1850">
        <f>ROUND(S204-R205,2)</f>
        <v>0</v>
      </c>
      <c r="T205" s="1850">
        <f>ROUND(T204-(N205-Q205),2)</f>
        <v>0</v>
      </c>
      <c r="U205" s="1849"/>
      <c r="W205" s="1848"/>
      <c r="X205" s="1848"/>
      <c r="Y205" s="1848"/>
    </row>
    <row r="206" spans="2:25" ht="15.95" hidden="1" customHeight="1">
      <c r="B206" s="1815" t="b">
        <f>AND(I206=FALSE,N205=0,Q205=0,L205="")</f>
        <v>1</v>
      </c>
      <c r="C206" s="1844" t="str" cm="1">
        <f t="array" ref="C206">_xlfn.IFS(
    L206="", "",
    MONTH(L206) &lt;= End_of_Year_Month, YEAR(L206),
    TRUE, YEAR(L206) + 1
)</f>
        <v/>
      </c>
      <c r="F206" s="1857">
        <f>IF(L206="",0,L206)</f>
        <v>0</v>
      </c>
      <c r="G206" s="1856">
        <f>-(N206-Q206)</f>
        <v>0</v>
      </c>
      <c r="I206" s="1815" t="b">
        <f>K206&lt;=Number_Payments</f>
        <v>0</v>
      </c>
      <c r="J206" s="1855"/>
      <c r="K206" s="1351">
        <f>K205+1</f>
        <v>80</v>
      </c>
      <c r="L206" s="1854" t="str" cm="1">
        <f t="array" ref="L206">_xlfn.IFS(
    I205=FALSE, "",
    Payment_Frequency="Monthly", EDATE(L205, 1),
    Payment_Frequency="Weekly", DATE(YEAR(L205), MONTH(L205), DAY(L205) + 7),
    Payment_Frequency="Fortnightly", DATE(YEAR(L205), MONTH(L205), DAY(L205) + 14),
    Payment_Frequency="Quarterly", DATE(YEAR(L205), MONTH(L205) + 3, DAY(L205)),
    Payment_Frequency="Yearly", DATE(YEAR(L205) + 1, MONTH(L205), DAY(L205)),
    TRUE, ""
)</f>
        <v/>
      </c>
      <c r="M206" s="1853">
        <f>IF(ISERROR(L206-L205),0,L206-L205)</f>
        <v>0</v>
      </c>
      <c r="N206" s="1851" cm="1">
        <f t="array" ref="N206">_xlfn.IFS(
    AND(I206=TRUE, K206&lt;=No_Regular_Payments), Repay_Amt,
    AND(I206=TRUE, K206=No_Regular_Payments+1), Tm_Balloon_Amt,
   TRUE, 0
)</f>
        <v>0</v>
      </c>
      <c r="O206" s="1850" cm="1">
        <f t="array" ref="O206">_xlfn.IFS(
    M206=0,0,
   ABS(N206 - S205 - P206-Q206) &lt; 1, N206 - S205-Q206,
    TRUE, P206
)</f>
        <v>0</v>
      </c>
      <c r="P206" s="1852">
        <f>IF(M206=0,0,ROUND(S205*EXP(Int_Rate/365.25 * M206)-S205,2))</f>
        <v>0</v>
      </c>
      <c r="Q206" s="1851" cm="1">
        <f t="array" ref="Q206">_xlfn.IFS(
    AND(I206=TRUE, K206&lt;=No_Regular_Payments), Periodic_Admin_Charge,
   TRUE, 0
)</f>
        <v>0</v>
      </c>
      <c r="R206" s="1850">
        <f>N206-O206-Q206</f>
        <v>0</v>
      </c>
      <c r="S206" s="1850">
        <f>ROUND(S205-R206,2)</f>
        <v>0</v>
      </c>
      <c r="T206" s="1850">
        <f>ROUND(T205-(N206-Q206),2)</f>
        <v>0</v>
      </c>
      <c r="U206" s="1849"/>
      <c r="W206" s="1848"/>
      <c r="X206" s="1848"/>
      <c r="Y206" s="1848"/>
    </row>
    <row r="207" spans="2:25" ht="15.95" hidden="1" customHeight="1">
      <c r="B207" s="1815" t="b">
        <f>AND(I207=FALSE,N206=0,Q206=0,L206="")</f>
        <v>1</v>
      </c>
      <c r="C207" s="1844" t="str" cm="1">
        <f t="array" ref="C207">_xlfn.IFS(
    L207="", "",
    MONTH(L207) &lt;= End_of_Year_Month, YEAR(L207),
    TRUE, YEAR(L207) + 1
)</f>
        <v/>
      </c>
      <c r="F207" s="1857">
        <f>IF(L207="",0,L207)</f>
        <v>0</v>
      </c>
      <c r="G207" s="1856">
        <f>-(N207-Q207)</f>
        <v>0</v>
      </c>
      <c r="I207" s="1815" t="b">
        <f>K207&lt;=Number_Payments</f>
        <v>0</v>
      </c>
      <c r="J207" s="1855"/>
      <c r="K207" s="1351">
        <f>K206+1</f>
        <v>81</v>
      </c>
      <c r="L207" s="1854" t="str" cm="1">
        <f t="array" ref="L207">_xlfn.IFS(
    I206=FALSE, "",
    Payment_Frequency="Monthly", EDATE(L206, 1),
    Payment_Frequency="Weekly", DATE(YEAR(L206), MONTH(L206), DAY(L206) + 7),
    Payment_Frequency="Fortnightly", DATE(YEAR(L206), MONTH(L206), DAY(L206) + 14),
    Payment_Frequency="Quarterly", DATE(YEAR(L206), MONTH(L206) + 3, DAY(L206)),
    Payment_Frequency="Yearly", DATE(YEAR(L206) + 1, MONTH(L206), DAY(L206)),
    TRUE, ""
)</f>
        <v/>
      </c>
      <c r="M207" s="1853">
        <f>IF(ISERROR(L207-L206),0,L207-L206)</f>
        <v>0</v>
      </c>
      <c r="N207" s="1851" cm="1">
        <f t="array" ref="N207">_xlfn.IFS(
    AND(I207=TRUE, K207&lt;=No_Regular_Payments), Repay_Amt,
    AND(I207=TRUE, K207=No_Regular_Payments+1), Tm_Balloon_Amt,
   TRUE, 0
)</f>
        <v>0</v>
      </c>
      <c r="O207" s="1850" cm="1">
        <f t="array" ref="O207">_xlfn.IFS(
    M207=0,0,
   ABS(N207 - S206 - P207-Q207) &lt; 1, N207 - S206-Q207,
    TRUE, P207
)</f>
        <v>0</v>
      </c>
      <c r="P207" s="1852">
        <f>IF(M207=0,0,ROUND(S206*EXP(Int_Rate/365.25 * M207)-S206,2))</f>
        <v>0</v>
      </c>
      <c r="Q207" s="1851" cm="1">
        <f t="array" ref="Q207">_xlfn.IFS(
    AND(I207=TRUE, K207&lt;=No_Regular_Payments), Periodic_Admin_Charge,
   TRUE, 0
)</f>
        <v>0</v>
      </c>
      <c r="R207" s="1850">
        <f>N207-O207-Q207</f>
        <v>0</v>
      </c>
      <c r="S207" s="1850">
        <f>ROUND(S206-R207,2)</f>
        <v>0</v>
      </c>
      <c r="T207" s="1850">
        <f>ROUND(T206-(N207-Q207),2)</f>
        <v>0</v>
      </c>
      <c r="U207" s="1849"/>
      <c r="W207" s="1848"/>
      <c r="X207" s="1848"/>
      <c r="Y207" s="1848"/>
    </row>
    <row r="208" spans="2:25" ht="15.95" hidden="1" customHeight="1">
      <c r="B208" s="1815" t="b">
        <f>AND(I208=FALSE,N207=0,Q207=0,L207="")</f>
        <v>1</v>
      </c>
      <c r="C208" s="1844" t="str" cm="1">
        <f t="array" ref="C208">_xlfn.IFS(
    L208="", "",
    MONTH(L208) &lt;= End_of_Year_Month, YEAR(L208),
    TRUE, YEAR(L208) + 1
)</f>
        <v/>
      </c>
      <c r="F208" s="1857">
        <f>IF(L208="",0,L208)</f>
        <v>0</v>
      </c>
      <c r="G208" s="1856">
        <f>-(N208-Q208)</f>
        <v>0</v>
      </c>
      <c r="I208" s="1815" t="b">
        <f>K208&lt;=Number_Payments</f>
        <v>0</v>
      </c>
      <c r="J208" s="1855"/>
      <c r="K208" s="1351">
        <f>K207+1</f>
        <v>82</v>
      </c>
      <c r="L208" s="1854" t="str" cm="1">
        <f t="array" ref="L208">_xlfn.IFS(
    I207=FALSE, "",
    Payment_Frequency="Monthly", EDATE(L207, 1),
    Payment_Frequency="Weekly", DATE(YEAR(L207), MONTH(L207), DAY(L207) + 7),
    Payment_Frequency="Fortnightly", DATE(YEAR(L207), MONTH(L207), DAY(L207) + 14),
    Payment_Frequency="Quarterly", DATE(YEAR(L207), MONTH(L207) + 3, DAY(L207)),
    Payment_Frequency="Yearly", DATE(YEAR(L207) + 1, MONTH(L207), DAY(L207)),
    TRUE, ""
)</f>
        <v/>
      </c>
      <c r="M208" s="1853">
        <f>IF(ISERROR(L208-L207),0,L208-L207)</f>
        <v>0</v>
      </c>
      <c r="N208" s="1851" cm="1">
        <f t="array" ref="N208">_xlfn.IFS(
    AND(I208=TRUE, K208&lt;=No_Regular_Payments), Repay_Amt,
    AND(I208=TRUE, K208=No_Regular_Payments+1), Tm_Balloon_Amt,
   TRUE, 0
)</f>
        <v>0</v>
      </c>
      <c r="O208" s="1850" cm="1">
        <f t="array" ref="O208">_xlfn.IFS(
    M208=0,0,
   ABS(N208 - S207 - P208-Q208) &lt; 1, N208 - S207-Q208,
    TRUE, P208
)</f>
        <v>0</v>
      </c>
      <c r="P208" s="1852">
        <f>IF(M208=0,0,ROUND(S207*EXP(Int_Rate/365.25 * M208)-S207,2))</f>
        <v>0</v>
      </c>
      <c r="Q208" s="1851" cm="1">
        <f t="array" ref="Q208">_xlfn.IFS(
    AND(I208=TRUE, K208&lt;=No_Regular_Payments), Periodic_Admin_Charge,
   TRUE, 0
)</f>
        <v>0</v>
      </c>
      <c r="R208" s="1850">
        <f>N208-O208-Q208</f>
        <v>0</v>
      </c>
      <c r="S208" s="1850">
        <f>ROUND(S207-R208,2)</f>
        <v>0</v>
      </c>
      <c r="T208" s="1850">
        <f>ROUND(T207-(N208-Q208),2)</f>
        <v>0</v>
      </c>
      <c r="U208" s="1849"/>
      <c r="W208" s="1848"/>
      <c r="X208" s="1848"/>
      <c r="Y208" s="1848"/>
    </row>
    <row r="209" spans="2:25" ht="15.95" hidden="1" customHeight="1">
      <c r="B209" s="1815" t="b">
        <f>AND(I209=FALSE,N208=0,Q208=0,L208="")</f>
        <v>1</v>
      </c>
      <c r="C209" s="1844" t="str" cm="1">
        <f t="array" ref="C209">_xlfn.IFS(
    L209="", "",
    MONTH(L209) &lt;= End_of_Year_Month, YEAR(L209),
    TRUE, YEAR(L209) + 1
)</f>
        <v/>
      </c>
      <c r="F209" s="1857">
        <f>IF(L209="",0,L209)</f>
        <v>0</v>
      </c>
      <c r="G209" s="1856">
        <f>-(N209-Q209)</f>
        <v>0</v>
      </c>
      <c r="I209" s="1815" t="b">
        <f>K209&lt;=Number_Payments</f>
        <v>0</v>
      </c>
      <c r="J209" s="1855"/>
      <c r="K209" s="1351">
        <f>K208+1</f>
        <v>83</v>
      </c>
      <c r="L209" s="1854" t="str" cm="1">
        <f t="array" ref="L209">_xlfn.IFS(
    I208=FALSE, "",
    Payment_Frequency="Monthly", EDATE(L208, 1),
    Payment_Frequency="Weekly", DATE(YEAR(L208), MONTH(L208), DAY(L208) + 7),
    Payment_Frequency="Fortnightly", DATE(YEAR(L208), MONTH(L208), DAY(L208) + 14),
    Payment_Frequency="Quarterly", DATE(YEAR(L208), MONTH(L208) + 3, DAY(L208)),
    Payment_Frequency="Yearly", DATE(YEAR(L208) + 1, MONTH(L208), DAY(L208)),
    TRUE, ""
)</f>
        <v/>
      </c>
      <c r="M209" s="1853">
        <f>IF(ISERROR(L209-L208),0,L209-L208)</f>
        <v>0</v>
      </c>
      <c r="N209" s="1851" cm="1">
        <f t="array" ref="N209">_xlfn.IFS(
    AND(I209=TRUE, K209&lt;=No_Regular_Payments), Repay_Amt,
    AND(I209=TRUE, K209=No_Regular_Payments+1), Tm_Balloon_Amt,
   TRUE, 0
)</f>
        <v>0</v>
      </c>
      <c r="O209" s="1850" cm="1">
        <f t="array" ref="O209">_xlfn.IFS(
    M209=0,0,
   ABS(N209 - S208 - P209-Q209) &lt; 1, N209 - S208-Q209,
    TRUE, P209
)</f>
        <v>0</v>
      </c>
      <c r="P209" s="1852">
        <f>IF(M209=0,0,ROUND(S208*EXP(Int_Rate/365.25 * M209)-S208,2))</f>
        <v>0</v>
      </c>
      <c r="Q209" s="1851" cm="1">
        <f t="array" ref="Q209">_xlfn.IFS(
    AND(I209=TRUE, K209&lt;=No_Regular_Payments), Periodic_Admin_Charge,
   TRUE, 0
)</f>
        <v>0</v>
      </c>
      <c r="R209" s="1850">
        <f>N209-O209-Q209</f>
        <v>0</v>
      </c>
      <c r="S209" s="1850">
        <f>ROUND(S208-R209,2)</f>
        <v>0</v>
      </c>
      <c r="T209" s="1850">
        <f>ROUND(T208-(N209-Q209),2)</f>
        <v>0</v>
      </c>
      <c r="U209" s="1849"/>
      <c r="W209" s="1848"/>
      <c r="X209" s="1848"/>
      <c r="Y209" s="1848"/>
    </row>
    <row r="210" spans="2:25" ht="15.95" hidden="1" customHeight="1">
      <c r="B210" s="1815" t="b">
        <f>AND(I210=FALSE,N209=0,Q209=0,L209="")</f>
        <v>1</v>
      </c>
      <c r="C210" s="1844" t="str" cm="1">
        <f t="array" ref="C210">_xlfn.IFS(
    L210="", "",
    MONTH(L210) &lt;= End_of_Year_Month, YEAR(L210),
    TRUE, YEAR(L210) + 1
)</f>
        <v/>
      </c>
      <c r="F210" s="1857">
        <f>IF(L210="",0,L210)</f>
        <v>0</v>
      </c>
      <c r="G210" s="1856">
        <f>-(N210-Q210)</f>
        <v>0</v>
      </c>
      <c r="I210" s="1815" t="b">
        <f>K210&lt;=Number_Payments</f>
        <v>0</v>
      </c>
      <c r="J210" s="1855"/>
      <c r="K210" s="1351">
        <f>K209+1</f>
        <v>84</v>
      </c>
      <c r="L210" s="1854" t="str" cm="1">
        <f t="array" ref="L210">_xlfn.IFS(
    I209=FALSE, "",
    Payment_Frequency="Monthly", EDATE(L209, 1),
    Payment_Frequency="Weekly", DATE(YEAR(L209), MONTH(L209), DAY(L209) + 7),
    Payment_Frequency="Fortnightly", DATE(YEAR(L209), MONTH(L209), DAY(L209) + 14),
    Payment_Frequency="Quarterly", DATE(YEAR(L209), MONTH(L209) + 3, DAY(L209)),
    Payment_Frequency="Yearly", DATE(YEAR(L209) + 1, MONTH(L209), DAY(L209)),
    TRUE, ""
)</f>
        <v/>
      </c>
      <c r="M210" s="1853">
        <f>IF(ISERROR(L210-L209),0,L210-L209)</f>
        <v>0</v>
      </c>
      <c r="N210" s="1851" cm="1">
        <f t="array" ref="N210">_xlfn.IFS(
    AND(I210=TRUE, K210&lt;=No_Regular_Payments), Repay_Amt,
    AND(I210=TRUE, K210=No_Regular_Payments+1), Tm_Balloon_Amt,
   TRUE, 0
)</f>
        <v>0</v>
      </c>
      <c r="O210" s="1850" cm="1">
        <f t="array" ref="O210">_xlfn.IFS(
    M210=0,0,
   ABS(N210 - S209 - P210-Q210) &lt; 1, N210 - S209-Q210,
    TRUE, P210
)</f>
        <v>0</v>
      </c>
      <c r="P210" s="1852">
        <f>IF(M210=0,0,ROUND(S209*EXP(Int_Rate/365.25 * M210)-S209,2))</f>
        <v>0</v>
      </c>
      <c r="Q210" s="1851" cm="1">
        <f t="array" ref="Q210">_xlfn.IFS(
    AND(I210=TRUE, K210&lt;=No_Regular_Payments), Periodic_Admin_Charge,
   TRUE, 0
)</f>
        <v>0</v>
      </c>
      <c r="R210" s="1850">
        <f>N210-O210-Q210</f>
        <v>0</v>
      </c>
      <c r="S210" s="1850">
        <f>ROUND(S209-R210,2)</f>
        <v>0</v>
      </c>
      <c r="T210" s="1850">
        <f>ROUND(T209-(N210-Q210),2)</f>
        <v>0</v>
      </c>
      <c r="U210" s="1849"/>
      <c r="W210" s="1848"/>
      <c r="X210" s="1848"/>
      <c r="Y210" s="1848"/>
    </row>
    <row r="211" spans="2:25" ht="15.95" hidden="1" customHeight="1">
      <c r="B211" s="1815" t="b">
        <f>AND(I211=FALSE,N210=0,Q210=0,L210="")</f>
        <v>1</v>
      </c>
      <c r="C211" s="1844" t="str" cm="1">
        <f t="array" ref="C211">_xlfn.IFS(
    L211="", "",
    MONTH(L211) &lt;= End_of_Year_Month, YEAR(L211),
    TRUE, YEAR(L211) + 1
)</f>
        <v/>
      </c>
      <c r="F211" s="1857">
        <f>IF(L211="",0,L211)</f>
        <v>0</v>
      </c>
      <c r="G211" s="1856">
        <f>-(N211-Q211)</f>
        <v>0</v>
      </c>
      <c r="I211" s="1815" t="b">
        <f>K211&lt;=Number_Payments</f>
        <v>0</v>
      </c>
      <c r="J211" s="1855"/>
      <c r="K211" s="1351">
        <f>K210+1</f>
        <v>85</v>
      </c>
      <c r="L211" s="1854" t="str" cm="1">
        <f t="array" ref="L211">_xlfn.IFS(
    I210=FALSE, "",
    Payment_Frequency="Monthly", EDATE(L210, 1),
    Payment_Frequency="Weekly", DATE(YEAR(L210), MONTH(L210), DAY(L210) + 7),
    Payment_Frequency="Fortnightly", DATE(YEAR(L210), MONTH(L210), DAY(L210) + 14),
    Payment_Frequency="Quarterly", DATE(YEAR(L210), MONTH(L210) + 3, DAY(L210)),
    Payment_Frequency="Yearly", DATE(YEAR(L210) + 1, MONTH(L210), DAY(L210)),
    TRUE, ""
)</f>
        <v/>
      </c>
      <c r="M211" s="1853">
        <f>IF(ISERROR(L211-L210),0,L211-L210)</f>
        <v>0</v>
      </c>
      <c r="N211" s="1851" cm="1">
        <f t="array" ref="N211">_xlfn.IFS(
    AND(I211=TRUE, K211&lt;=No_Regular_Payments), Repay_Amt,
    AND(I211=TRUE, K211=No_Regular_Payments+1), Tm_Balloon_Amt,
   TRUE, 0
)</f>
        <v>0</v>
      </c>
      <c r="O211" s="1850" cm="1">
        <f t="array" ref="O211">_xlfn.IFS(
    M211=0,0,
   ABS(N211 - S210 - P211-Q211) &lt; 1, N211 - S210-Q211,
    TRUE, P211
)</f>
        <v>0</v>
      </c>
      <c r="P211" s="1852">
        <f>IF(M211=0,0,ROUND(S210*EXP(Int_Rate/365.25 * M211)-S210,2))</f>
        <v>0</v>
      </c>
      <c r="Q211" s="1851" cm="1">
        <f t="array" ref="Q211">_xlfn.IFS(
    AND(I211=TRUE, K211&lt;=No_Regular_Payments), Periodic_Admin_Charge,
   TRUE, 0
)</f>
        <v>0</v>
      </c>
      <c r="R211" s="1850">
        <f>N211-O211-Q211</f>
        <v>0</v>
      </c>
      <c r="S211" s="1850">
        <f>ROUND(S210-R211,2)</f>
        <v>0</v>
      </c>
      <c r="T211" s="1850">
        <f>ROUND(T210-(N211-Q211),2)</f>
        <v>0</v>
      </c>
      <c r="U211" s="1849"/>
      <c r="W211" s="1848"/>
      <c r="X211" s="1848"/>
      <c r="Y211" s="1848"/>
    </row>
    <row r="212" spans="2:25" ht="15.95" hidden="1" customHeight="1">
      <c r="B212" s="1815" t="b">
        <f>AND(I212=FALSE,N211=0,Q211=0,L211="")</f>
        <v>1</v>
      </c>
      <c r="C212" s="1844" t="str" cm="1">
        <f t="array" ref="C212">_xlfn.IFS(
    L212="", "",
    MONTH(L212) &lt;= End_of_Year_Month, YEAR(L212),
    TRUE, YEAR(L212) + 1
)</f>
        <v/>
      </c>
      <c r="F212" s="1857">
        <f>IF(L212="",0,L212)</f>
        <v>0</v>
      </c>
      <c r="G212" s="1856">
        <f>-(N212-Q212)</f>
        <v>0</v>
      </c>
      <c r="I212" s="1815" t="b">
        <f>K212&lt;=Number_Payments</f>
        <v>0</v>
      </c>
      <c r="J212" s="1855"/>
      <c r="K212" s="1351">
        <f>K211+1</f>
        <v>86</v>
      </c>
      <c r="L212" s="1854" t="str" cm="1">
        <f t="array" ref="L212">_xlfn.IFS(
    I211=FALSE, "",
    Payment_Frequency="Monthly", EDATE(L211, 1),
    Payment_Frequency="Weekly", DATE(YEAR(L211), MONTH(L211), DAY(L211) + 7),
    Payment_Frequency="Fortnightly", DATE(YEAR(L211), MONTH(L211), DAY(L211) + 14),
    Payment_Frequency="Quarterly", DATE(YEAR(L211), MONTH(L211) + 3, DAY(L211)),
    Payment_Frequency="Yearly", DATE(YEAR(L211) + 1, MONTH(L211), DAY(L211)),
    TRUE, ""
)</f>
        <v/>
      </c>
      <c r="M212" s="1853">
        <f>IF(ISERROR(L212-L211),0,L212-L211)</f>
        <v>0</v>
      </c>
      <c r="N212" s="1851" cm="1">
        <f t="array" ref="N212">_xlfn.IFS(
    AND(I212=TRUE, K212&lt;=No_Regular_Payments), Repay_Amt,
    AND(I212=TRUE, K212=No_Regular_Payments+1), Tm_Balloon_Amt,
   TRUE, 0
)</f>
        <v>0</v>
      </c>
      <c r="O212" s="1850" cm="1">
        <f t="array" ref="O212">_xlfn.IFS(
    M212=0,0,
   ABS(N212 - S211 - P212-Q212) &lt; 1, N212 - S211-Q212,
    TRUE, P212
)</f>
        <v>0</v>
      </c>
      <c r="P212" s="1852">
        <f>IF(M212=0,0,ROUND(S211*EXP(Int_Rate/365.25 * M212)-S211,2))</f>
        <v>0</v>
      </c>
      <c r="Q212" s="1851" cm="1">
        <f t="array" ref="Q212">_xlfn.IFS(
    AND(I212=TRUE, K212&lt;=No_Regular_Payments), Periodic_Admin_Charge,
   TRUE, 0
)</f>
        <v>0</v>
      </c>
      <c r="R212" s="1850">
        <f>N212-O212-Q212</f>
        <v>0</v>
      </c>
      <c r="S212" s="1850">
        <f>ROUND(S211-R212,2)</f>
        <v>0</v>
      </c>
      <c r="T212" s="1850">
        <f>ROUND(T211-(N212-Q212),2)</f>
        <v>0</v>
      </c>
      <c r="U212" s="1849"/>
      <c r="W212" s="1848"/>
      <c r="X212" s="1848"/>
      <c r="Y212" s="1848"/>
    </row>
    <row r="213" spans="2:25" ht="15.95" hidden="1" customHeight="1">
      <c r="B213" s="1815" t="b">
        <f>AND(I213=FALSE,N212=0,Q212=0,L212="")</f>
        <v>1</v>
      </c>
      <c r="C213" s="1844" t="str" cm="1">
        <f t="array" ref="C213">_xlfn.IFS(
    L213="", "",
    MONTH(L213) &lt;= End_of_Year_Month, YEAR(L213),
    TRUE, YEAR(L213) + 1
)</f>
        <v/>
      </c>
      <c r="F213" s="1857">
        <f>IF(L213="",0,L213)</f>
        <v>0</v>
      </c>
      <c r="G213" s="1856">
        <f>-(N213-Q213)</f>
        <v>0</v>
      </c>
      <c r="I213" s="1815" t="b">
        <f>K213&lt;=Number_Payments</f>
        <v>0</v>
      </c>
      <c r="J213" s="1855"/>
      <c r="K213" s="1351">
        <f>K212+1</f>
        <v>87</v>
      </c>
      <c r="L213" s="1854" t="str" cm="1">
        <f t="array" ref="L213">_xlfn.IFS(
    I212=FALSE, "",
    Payment_Frequency="Monthly", EDATE(L212, 1),
    Payment_Frequency="Weekly", DATE(YEAR(L212), MONTH(L212), DAY(L212) + 7),
    Payment_Frequency="Fortnightly", DATE(YEAR(L212), MONTH(L212), DAY(L212) + 14),
    Payment_Frequency="Quarterly", DATE(YEAR(L212), MONTH(L212) + 3, DAY(L212)),
    Payment_Frequency="Yearly", DATE(YEAR(L212) + 1, MONTH(L212), DAY(L212)),
    TRUE, ""
)</f>
        <v/>
      </c>
      <c r="M213" s="1853">
        <f>IF(ISERROR(L213-L212),0,L213-L212)</f>
        <v>0</v>
      </c>
      <c r="N213" s="1851" cm="1">
        <f t="array" ref="N213">_xlfn.IFS(
    AND(I213=TRUE, K213&lt;=No_Regular_Payments), Repay_Amt,
    AND(I213=TRUE, K213=No_Regular_Payments+1), Tm_Balloon_Amt,
   TRUE, 0
)</f>
        <v>0</v>
      </c>
      <c r="O213" s="1850" cm="1">
        <f t="array" ref="O213">_xlfn.IFS(
    M213=0,0,
   ABS(N213 - S212 - P213-Q213) &lt; 1, N213 - S212-Q213,
    TRUE, P213
)</f>
        <v>0</v>
      </c>
      <c r="P213" s="1852">
        <f>IF(M213=0,0,ROUND(S212*EXP(Int_Rate/365.25 * M213)-S212,2))</f>
        <v>0</v>
      </c>
      <c r="Q213" s="1851" cm="1">
        <f t="array" ref="Q213">_xlfn.IFS(
    AND(I213=TRUE, K213&lt;=No_Regular_Payments), Periodic_Admin_Charge,
   TRUE, 0
)</f>
        <v>0</v>
      </c>
      <c r="R213" s="1850">
        <f>N213-O213-Q213</f>
        <v>0</v>
      </c>
      <c r="S213" s="1850">
        <f>ROUND(S212-R213,2)</f>
        <v>0</v>
      </c>
      <c r="T213" s="1850">
        <f>ROUND(T212-(N213-Q213),2)</f>
        <v>0</v>
      </c>
      <c r="U213" s="1849"/>
      <c r="W213" s="1848"/>
      <c r="X213" s="1848"/>
      <c r="Y213" s="1848"/>
    </row>
    <row r="214" spans="2:25" ht="15.95" hidden="1" customHeight="1">
      <c r="B214" s="1815" t="b">
        <f>AND(I214=FALSE,N213=0,Q213=0,L213="")</f>
        <v>1</v>
      </c>
      <c r="C214" s="1844" t="str" cm="1">
        <f t="array" ref="C214">_xlfn.IFS(
    L214="", "",
    MONTH(L214) &lt;= End_of_Year_Month, YEAR(L214),
    TRUE, YEAR(L214) + 1
)</f>
        <v/>
      </c>
      <c r="F214" s="1857">
        <f>IF(L214="",0,L214)</f>
        <v>0</v>
      </c>
      <c r="G214" s="1856">
        <f>-(N214-Q214)</f>
        <v>0</v>
      </c>
      <c r="I214" s="1815" t="b">
        <f>K214&lt;=Number_Payments</f>
        <v>0</v>
      </c>
      <c r="J214" s="1855"/>
      <c r="K214" s="1351">
        <f>K213+1</f>
        <v>88</v>
      </c>
      <c r="L214" s="1854" t="str" cm="1">
        <f t="array" ref="L214">_xlfn.IFS(
    I213=FALSE, "",
    Payment_Frequency="Monthly", EDATE(L213, 1),
    Payment_Frequency="Weekly", DATE(YEAR(L213), MONTH(L213), DAY(L213) + 7),
    Payment_Frequency="Fortnightly", DATE(YEAR(L213), MONTH(L213), DAY(L213) + 14),
    Payment_Frequency="Quarterly", DATE(YEAR(L213), MONTH(L213) + 3, DAY(L213)),
    Payment_Frequency="Yearly", DATE(YEAR(L213) + 1, MONTH(L213), DAY(L213)),
    TRUE, ""
)</f>
        <v/>
      </c>
      <c r="M214" s="1853">
        <f>IF(ISERROR(L214-L213),0,L214-L213)</f>
        <v>0</v>
      </c>
      <c r="N214" s="1851" cm="1">
        <f t="array" ref="N214">_xlfn.IFS(
    AND(I214=TRUE, K214&lt;=No_Regular_Payments), Repay_Amt,
    AND(I214=TRUE, K214=No_Regular_Payments+1), Tm_Balloon_Amt,
   TRUE, 0
)</f>
        <v>0</v>
      </c>
      <c r="O214" s="1850" cm="1">
        <f t="array" ref="O214">_xlfn.IFS(
    M214=0,0,
   ABS(N214 - S213 - P214-Q214) &lt; 1, N214 - S213-Q214,
    TRUE, P214
)</f>
        <v>0</v>
      </c>
      <c r="P214" s="1852">
        <f>IF(M214=0,0,ROUND(S213*EXP(Int_Rate/365.25 * M214)-S213,2))</f>
        <v>0</v>
      </c>
      <c r="Q214" s="1851" cm="1">
        <f t="array" ref="Q214">_xlfn.IFS(
    AND(I214=TRUE, K214&lt;=No_Regular_Payments), Periodic_Admin_Charge,
   TRUE, 0
)</f>
        <v>0</v>
      </c>
      <c r="R214" s="1850">
        <f>N214-O214-Q214</f>
        <v>0</v>
      </c>
      <c r="S214" s="1850">
        <f>ROUND(S213-R214,2)</f>
        <v>0</v>
      </c>
      <c r="T214" s="1850">
        <f>ROUND(T213-(N214-Q214),2)</f>
        <v>0</v>
      </c>
      <c r="U214" s="1849"/>
      <c r="W214" s="1848"/>
      <c r="X214" s="1848"/>
      <c r="Y214" s="1848"/>
    </row>
    <row r="215" spans="2:25" ht="15.95" hidden="1" customHeight="1">
      <c r="B215" s="1815" t="b">
        <f>AND(I215=FALSE,N214=0,Q214=0,L214="")</f>
        <v>1</v>
      </c>
      <c r="C215" s="1844" t="str" cm="1">
        <f t="array" ref="C215">_xlfn.IFS(
    L215="", "",
    MONTH(L215) &lt;= End_of_Year_Month, YEAR(L215),
    TRUE, YEAR(L215) + 1
)</f>
        <v/>
      </c>
      <c r="F215" s="1857">
        <f>IF(L215="",0,L215)</f>
        <v>0</v>
      </c>
      <c r="G215" s="1856">
        <f>-(N215-Q215)</f>
        <v>0</v>
      </c>
      <c r="I215" s="1815" t="b">
        <f>K215&lt;=Number_Payments</f>
        <v>0</v>
      </c>
      <c r="J215" s="1855"/>
      <c r="K215" s="1351">
        <f>K214+1</f>
        <v>89</v>
      </c>
      <c r="L215" s="1854" t="str" cm="1">
        <f t="array" ref="L215">_xlfn.IFS(
    I214=FALSE, "",
    Payment_Frequency="Monthly", EDATE(L214, 1),
    Payment_Frequency="Weekly", DATE(YEAR(L214), MONTH(L214), DAY(L214) + 7),
    Payment_Frequency="Fortnightly", DATE(YEAR(L214), MONTH(L214), DAY(L214) + 14),
    Payment_Frequency="Quarterly", DATE(YEAR(L214), MONTH(L214) + 3, DAY(L214)),
    Payment_Frequency="Yearly", DATE(YEAR(L214) + 1, MONTH(L214), DAY(L214)),
    TRUE, ""
)</f>
        <v/>
      </c>
      <c r="M215" s="1853">
        <f>IF(ISERROR(L215-L214),0,L215-L214)</f>
        <v>0</v>
      </c>
      <c r="N215" s="1851" cm="1">
        <f t="array" ref="N215">_xlfn.IFS(
    AND(I215=TRUE, K215&lt;=No_Regular_Payments), Repay_Amt,
    AND(I215=TRUE, K215=No_Regular_Payments+1), Tm_Balloon_Amt,
   TRUE, 0
)</f>
        <v>0</v>
      </c>
      <c r="O215" s="1850" cm="1">
        <f t="array" ref="O215">_xlfn.IFS(
    M215=0,0,
   ABS(N215 - S214 - P215-Q215) &lt; 1, N215 - S214-Q215,
    TRUE, P215
)</f>
        <v>0</v>
      </c>
      <c r="P215" s="1852">
        <f>IF(M215=0,0,ROUND(S214*EXP(Int_Rate/365.25 * M215)-S214,2))</f>
        <v>0</v>
      </c>
      <c r="Q215" s="1851" cm="1">
        <f t="array" ref="Q215">_xlfn.IFS(
    AND(I215=TRUE, K215&lt;=No_Regular_Payments), Periodic_Admin_Charge,
   TRUE, 0
)</f>
        <v>0</v>
      </c>
      <c r="R215" s="1850">
        <f>N215-O215-Q215</f>
        <v>0</v>
      </c>
      <c r="S215" s="1850">
        <f>ROUND(S214-R215,2)</f>
        <v>0</v>
      </c>
      <c r="T215" s="1850">
        <f>ROUND(T214-(N215-Q215),2)</f>
        <v>0</v>
      </c>
      <c r="U215" s="1849"/>
      <c r="W215" s="1848"/>
      <c r="X215" s="1848"/>
      <c r="Y215" s="1848"/>
    </row>
    <row r="216" spans="2:25" ht="15.95" hidden="1" customHeight="1">
      <c r="B216" s="1815" t="b">
        <f>AND(I216=FALSE,N215=0,Q215=0,L215="")</f>
        <v>1</v>
      </c>
      <c r="C216" s="1844" t="str" cm="1">
        <f t="array" ref="C216">_xlfn.IFS(
    L216="", "",
    MONTH(L216) &lt;= End_of_Year_Month, YEAR(L216),
    TRUE, YEAR(L216) + 1
)</f>
        <v/>
      </c>
      <c r="F216" s="1857">
        <f>IF(L216="",0,L216)</f>
        <v>0</v>
      </c>
      <c r="G216" s="1856">
        <f>-(N216-Q216)</f>
        <v>0</v>
      </c>
      <c r="I216" s="1815" t="b">
        <f>K216&lt;=Number_Payments</f>
        <v>0</v>
      </c>
      <c r="J216" s="1855"/>
      <c r="K216" s="1351">
        <f>K215+1</f>
        <v>90</v>
      </c>
      <c r="L216" s="1854" t="str" cm="1">
        <f t="array" ref="L216">_xlfn.IFS(
    I215=FALSE, "",
    Payment_Frequency="Monthly", EDATE(L215, 1),
    Payment_Frequency="Weekly", DATE(YEAR(L215), MONTH(L215), DAY(L215) + 7),
    Payment_Frequency="Fortnightly", DATE(YEAR(L215), MONTH(L215), DAY(L215) + 14),
    Payment_Frequency="Quarterly", DATE(YEAR(L215), MONTH(L215) + 3, DAY(L215)),
    Payment_Frequency="Yearly", DATE(YEAR(L215) + 1, MONTH(L215), DAY(L215)),
    TRUE, ""
)</f>
        <v/>
      </c>
      <c r="M216" s="1853">
        <f>IF(ISERROR(L216-L215),0,L216-L215)</f>
        <v>0</v>
      </c>
      <c r="N216" s="1851" cm="1">
        <f t="array" ref="N216">_xlfn.IFS(
    AND(I216=TRUE, K216&lt;=No_Regular_Payments), Repay_Amt,
    AND(I216=TRUE, K216=No_Regular_Payments+1), Tm_Balloon_Amt,
   TRUE, 0
)</f>
        <v>0</v>
      </c>
      <c r="O216" s="1850" cm="1">
        <f t="array" ref="O216">_xlfn.IFS(
    M216=0,0,
   ABS(N216 - S215 - P216-Q216) &lt; 1, N216 - S215-Q216,
    TRUE, P216
)</f>
        <v>0</v>
      </c>
      <c r="P216" s="1852">
        <f>IF(M216=0,0,ROUND(S215*EXP(Int_Rate/365.25 * M216)-S215,2))</f>
        <v>0</v>
      </c>
      <c r="Q216" s="1851" cm="1">
        <f t="array" ref="Q216">_xlfn.IFS(
    AND(I216=TRUE, K216&lt;=No_Regular_Payments), Periodic_Admin_Charge,
   TRUE, 0
)</f>
        <v>0</v>
      </c>
      <c r="R216" s="1850">
        <f>N216-O216-Q216</f>
        <v>0</v>
      </c>
      <c r="S216" s="1850">
        <f>ROUND(S215-R216,2)</f>
        <v>0</v>
      </c>
      <c r="T216" s="1850">
        <f>ROUND(T215-(N216-Q216),2)</f>
        <v>0</v>
      </c>
      <c r="U216" s="1849"/>
      <c r="W216" s="1848"/>
      <c r="X216" s="1848"/>
      <c r="Y216" s="1848"/>
    </row>
    <row r="217" spans="2:25" ht="15.95" hidden="1" customHeight="1">
      <c r="B217" s="1815" t="b">
        <f>AND(I217=FALSE,N216=0,Q216=0,L216="")</f>
        <v>1</v>
      </c>
      <c r="C217" s="1844" t="str" cm="1">
        <f t="array" ref="C217">_xlfn.IFS(
    L217="", "",
    MONTH(L217) &lt;= End_of_Year_Month, YEAR(L217),
    TRUE, YEAR(L217) + 1
)</f>
        <v/>
      </c>
      <c r="F217" s="1857">
        <f>IF(L217="",0,L217)</f>
        <v>0</v>
      </c>
      <c r="G217" s="1856">
        <f>-(N217-Q217)</f>
        <v>0</v>
      </c>
      <c r="I217" s="1815" t="b">
        <f>K217&lt;=Number_Payments</f>
        <v>0</v>
      </c>
      <c r="J217" s="1855"/>
      <c r="K217" s="1351">
        <f>K216+1</f>
        <v>91</v>
      </c>
      <c r="L217" s="1854" t="str" cm="1">
        <f t="array" ref="L217">_xlfn.IFS(
    I216=FALSE, "",
    Payment_Frequency="Monthly", EDATE(L216, 1),
    Payment_Frequency="Weekly", DATE(YEAR(L216), MONTH(L216), DAY(L216) + 7),
    Payment_Frequency="Fortnightly", DATE(YEAR(L216), MONTH(L216), DAY(L216) + 14),
    Payment_Frequency="Quarterly", DATE(YEAR(L216), MONTH(L216) + 3, DAY(L216)),
    Payment_Frequency="Yearly", DATE(YEAR(L216) + 1, MONTH(L216), DAY(L216)),
    TRUE, ""
)</f>
        <v/>
      </c>
      <c r="M217" s="1853">
        <f>IF(ISERROR(L217-L216),0,L217-L216)</f>
        <v>0</v>
      </c>
      <c r="N217" s="1851" cm="1">
        <f t="array" ref="N217">_xlfn.IFS(
    AND(I217=TRUE, K217&lt;=No_Regular_Payments), Repay_Amt,
    AND(I217=TRUE, K217=No_Regular_Payments+1), Tm_Balloon_Amt,
   TRUE, 0
)</f>
        <v>0</v>
      </c>
      <c r="O217" s="1850" cm="1">
        <f t="array" ref="O217">_xlfn.IFS(
    M217=0,0,
   ABS(N217 - S216 - P217-Q217) &lt; 1, N217 - S216-Q217,
    TRUE, P217
)</f>
        <v>0</v>
      </c>
      <c r="P217" s="1852">
        <f>IF(M217=0,0,ROUND(S216*EXP(Int_Rate/365.25 * M217)-S216,2))</f>
        <v>0</v>
      </c>
      <c r="Q217" s="1851" cm="1">
        <f t="array" ref="Q217">_xlfn.IFS(
    AND(I217=TRUE, K217&lt;=No_Regular_Payments), Periodic_Admin_Charge,
   TRUE, 0
)</f>
        <v>0</v>
      </c>
      <c r="R217" s="1850">
        <f>N217-O217-Q217</f>
        <v>0</v>
      </c>
      <c r="S217" s="1850">
        <f>ROUND(S216-R217,2)</f>
        <v>0</v>
      </c>
      <c r="T217" s="1850">
        <f>ROUND(T216-(N217-Q217),2)</f>
        <v>0</v>
      </c>
      <c r="U217" s="1849"/>
      <c r="W217" s="1848"/>
      <c r="X217" s="1848"/>
      <c r="Y217" s="1848"/>
    </row>
    <row r="218" spans="2:25" ht="15.95" hidden="1" customHeight="1">
      <c r="B218" s="1815" t="b">
        <f>AND(I218=FALSE,N217=0,Q217=0,L217="")</f>
        <v>1</v>
      </c>
      <c r="C218" s="1844" t="str" cm="1">
        <f t="array" ref="C218">_xlfn.IFS(
    L218="", "",
    MONTH(L218) &lt;= End_of_Year_Month, YEAR(L218),
    TRUE, YEAR(L218) + 1
)</f>
        <v/>
      </c>
      <c r="F218" s="1857">
        <f>IF(L218="",0,L218)</f>
        <v>0</v>
      </c>
      <c r="G218" s="1856">
        <f>-(N218-Q218)</f>
        <v>0</v>
      </c>
      <c r="I218" s="1815" t="b">
        <f>K218&lt;=Number_Payments</f>
        <v>0</v>
      </c>
      <c r="J218" s="1855"/>
      <c r="K218" s="1351">
        <f>K217+1</f>
        <v>92</v>
      </c>
      <c r="L218" s="1854" t="str" cm="1">
        <f t="array" ref="L218">_xlfn.IFS(
    I217=FALSE, "",
    Payment_Frequency="Monthly", EDATE(L217, 1),
    Payment_Frequency="Weekly", DATE(YEAR(L217), MONTH(L217), DAY(L217) + 7),
    Payment_Frequency="Fortnightly", DATE(YEAR(L217), MONTH(L217), DAY(L217) + 14),
    Payment_Frequency="Quarterly", DATE(YEAR(L217), MONTH(L217) + 3, DAY(L217)),
    Payment_Frequency="Yearly", DATE(YEAR(L217) + 1, MONTH(L217), DAY(L217)),
    TRUE, ""
)</f>
        <v/>
      </c>
      <c r="M218" s="1853">
        <f>IF(ISERROR(L218-L217),0,L218-L217)</f>
        <v>0</v>
      </c>
      <c r="N218" s="1851" cm="1">
        <f t="array" ref="N218">_xlfn.IFS(
    AND(I218=TRUE, K218&lt;=No_Regular_Payments), Repay_Amt,
    AND(I218=TRUE, K218=No_Regular_Payments+1), Tm_Balloon_Amt,
   TRUE, 0
)</f>
        <v>0</v>
      </c>
      <c r="O218" s="1850" cm="1">
        <f t="array" ref="O218">_xlfn.IFS(
    M218=0,0,
   ABS(N218 - S217 - P218-Q218) &lt; 1, N218 - S217-Q218,
    TRUE, P218
)</f>
        <v>0</v>
      </c>
      <c r="P218" s="1852">
        <f>IF(M218=0,0,ROUND(S217*EXP(Int_Rate/365.25 * M218)-S217,2))</f>
        <v>0</v>
      </c>
      <c r="Q218" s="1851" cm="1">
        <f t="array" ref="Q218">_xlfn.IFS(
    AND(I218=TRUE, K218&lt;=No_Regular_Payments), Periodic_Admin_Charge,
   TRUE, 0
)</f>
        <v>0</v>
      </c>
      <c r="R218" s="1850">
        <f>N218-O218-Q218</f>
        <v>0</v>
      </c>
      <c r="S218" s="1850">
        <f>ROUND(S217-R218,2)</f>
        <v>0</v>
      </c>
      <c r="T218" s="1850">
        <f>ROUND(T217-(N218-Q218),2)</f>
        <v>0</v>
      </c>
      <c r="U218" s="1849"/>
      <c r="W218" s="1848"/>
      <c r="X218" s="1848"/>
      <c r="Y218" s="1848"/>
    </row>
    <row r="219" spans="2:25" ht="15.95" hidden="1" customHeight="1">
      <c r="B219" s="1815" t="b">
        <f>AND(I219=FALSE,N218=0,Q218=0,L218="")</f>
        <v>1</v>
      </c>
      <c r="C219" s="1844" t="str" cm="1">
        <f t="array" ref="C219">_xlfn.IFS(
    L219="", "",
    MONTH(L219) &lt;= End_of_Year_Month, YEAR(L219),
    TRUE, YEAR(L219) + 1
)</f>
        <v/>
      </c>
      <c r="F219" s="1857">
        <f>IF(L219="",0,L219)</f>
        <v>0</v>
      </c>
      <c r="G219" s="1856">
        <f>-(N219-Q219)</f>
        <v>0</v>
      </c>
      <c r="I219" s="1815" t="b">
        <f>K219&lt;=Number_Payments</f>
        <v>0</v>
      </c>
      <c r="J219" s="1855"/>
      <c r="K219" s="1351">
        <f>K218+1</f>
        <v>93</v>
      </c>
      <c r="L219" s="1854" t="str" cm="1">
        <f t="array" ref="L219">_xlfn.IFS(
    I218=FALSE, "",
    Payment_Frequency="Monthly", EDATE(L218, 1),
    Payment_Frequency="Weekly", DATE(YEAR(L218), MONTH(L218), DAY(L218) + 7),
    Payment_Frequency="Fortnightly", DATE(YEAR(L218), MONTH(L218), DAY(L218) + 14),
    Payment_Frequency="Quarterly", DATE(YEAR(L218), MONTH(L218) + 3, DAY(L218)),
    Payment_Frequency="Yearly", DATE(YEAR(L218) + 1, MONTH(L218), DAY(L218)),
    TRUE, ""
)</f>
        <v/>
      </c>
      <c r="M219" s="1853">
        <f>IF(ISERROR(L219-L218),0,L219-L218)</f>
        <v>0</v>
      </c>
      <c r="N219" s="1851" cm="1">
        <f t="array" ref="N219">_xlfn.IFS(
    AND(I219=TRUE, K219&lt;=No_Regular_Payments), Repay_Amt,
    AND(I219=TRUE, K219=No_Regular_Payments+1), Tm_Balloon_Amt,
   TRUE, 0
)</f>
        <v>0</v>
      </c>
      <c r="O219" s="1850" cm="1">
        <f t="array" ref="O219">_xlfn.IFS(
    M219=0,0,
   ABS(N219 - S218 - P219-Q219) &lt; 1, N219 - S218-Q219,
    TRUE, P219
)</f>
        <v>0</v>
      </c>
      <c r="P219" s="1852">
        <f>IF(M219=0,0,ROUND(S218*EXP(Int_Rate/365.25 * M219)-S218,2))</f>
        <v>0</v>
      </c>
      <c r="Q219" s="1851" cm="1">
        <f t="array" ref="Q219">_xlfn.IFS(
    AND(I219=TRUE, K219&lt;=No_Regular_Payments), Periodic_Admin_Charge,
   TRUE, 0
)</f>
        <v>0</v>
      </c>
      <c r="R219" s="1850">
        <f>N219-O219-Q219</f>
        <v>0</v>
      </c>
      <c r="S219" s="1850">
        <f>ROUND(S218-R219,2)</f>
        <v>0</v>
      </c>
      <c r="T219" s="1850">
        <f>ROUND(T218-(N219-Q219),2)</f>
        <v>0</v>
      </c>
      <c r="U219" s="1849"/>
      <c r="W219" s="1848"/>
      <c r="X219" s="1848"/>
      <c r="Y219" s="1848"/>
    </row>
    <row r="220" spans="2:25" ht="15.95" hidden="1" customHeight="1">
      <c r="B220" s="1815" t="b">
        <f>AND(I220=FALSE,N219=0,Q219=0,L219="")</f>
        <v>1</v>
      </c>
      <c r="C220" s="1844" t="str" cm="1">
        <f t="array" ref="C220">_xlfn.IFS(
    L220="", "",
    MONTH(L220) &lt;= End_of_Year_Month, YEAR(L220),
    TRUE, YEAR(L220) + 1
)</f>
        <v/>
      </c>
      <c r="F220" s="1857">
        <f>IF(L220="",0,L220)</f>
        <v>0</v>
      </c>
      <c r="G220" s="1856">
        <f>-(N220-Q220)</f>
        <v>0</v>
      </c>
      <c r="I220" s="1815" t="b">
        <f>K220&lt;=Number_Payments</f>
        <v>0</v>
      </c>
      <c r="J220" s="1855"/>
      <c r="K220" s="1351">
        <f>K219+1</f>
        <v>94</v>
      </c>
      <c r="L220" s="1854" t="str" cm="1">
        <f t="array" ref="L220">_xlfn.IFS(
    I219=FALSE, "",
    Payment_Frequency="Monthly", EDATE(L219, 1),
    Payment_Frequency="Weekly", DATE(YEAR(L219), MONTH(L219), DAY(L219) + 7),
    Payment_Frequency="Fortnightly", DATE(YEAR(L219), MONTH(L219), DAY(L219) + 14),
    Payment_Frequency="Quarterly", DATE(YEAR(L219), MONTH(L219) + 3, DAY(L219)),
    Payment_Frequency="Yearly", DATE(YEAR(L219) + 1, MONTH(L219), DAY(L219)),
    TRUE, ""
)</f>
        <v/>
      </c>
      <c r="M220" s="1853">
        <f>IF(ISERROR(L220-L219),0,L220-L219)</f>
        <v>0</v>
      </c>
      <c r="N220" s="1851" cm="1">
        <f t="array" ref="N220">_xlfn.IFS(
    AND(I220=TRUE, K220&lt;=No_Regular_Payments), Repay_Amt,
    AND(I220=TRUE, K220=No_Regular_Payments+1), Tm_Balloon_Amt,
   TRUE, 0
)</f>
        <v>0</v>
      </c>
      <c r="O220" s="1850" cm="1">
        <f t="array" ref="O220">_xlfn.IFS(
    M220=0,0,
   ABS(N220 - S219 - P220-Q220) &lt; 1, N220 - S219-Q220,
    TRUE, P220
)</f>
        <v>0</v>
      </c>
      <c r="P220" s="1852">
        <f>IF(M220=0,0,ROUND(S219*EXP(Int_Rate/365.25 * M220)-S219,2))</f>
        <v>0</v>
      </c>
      <c r="Q220" s="1851" cm="1">
        <f t="array" ref="Q220">_xlfn.IFS(
    AND(I220=TRUE, K220&lt;=No_Regular_Payments), Periodic_Admin_Charge,
   TRUE, 0
)</f>
        <v>0</v>
      </c>
      <c r="R220" s="1850">
        <f>N220-O220-Q220</f>
        <v>0</v>
      </c>
      <c r="S220" s="1850">
        <f>ROUND(S219-R220,2)</f>
        <v>0</v>
      </c>
      <c r="T220" s="1850">
        <f>ROUND(T219-(N220-Q220),2)</f>
        <v>0</v>
      </c>
      <c r="U220" s="1849"/>
      <c r="W220" s="1848"/>
      <c r="X220" s="1848"/>
      <c r="Y220" s="1848"/>
    </row>
    <row r="221" spans="2:25" ht="15.95" hidden="1" customHeight="1">
      <c r="B221" s="1815" t="b">
        <f>AND(I221=FALSE,N220=0,Q220=0,L220="")</f>
        <v>1</v>
      </c>
      <c r="C221" s="1844" t="str" cm="1">
        <f t="array" ref="C221">_xlfn.IFS(
    L221="", "",
    MONTH(L221) &lt;= End_of_Year_Month, YEAR(L221),
    TRUE, YEAR(L221) + 1
)</f>
        <v/>
      </c>
      <c r="F221" s="1857">
        <f>IF(L221="",0,L221)</f>
        <v>0</v>
      </c>
      <c r="G221" s="1856">
        <f>-(N221-Q221)</f>
        <v>0</v>
      </c>
      <c r="I221" s="1815" t="b">
        <f>K221&lt;=Number_Payments</f>
        <v>0</v>
      </c>
      <c r="J221" s="1855"/>
      <c r="K221" s="1351">
        <f>K220+1</f>
        <v>95</v>
      </c>
      <c r="L221" s="1854" t="str" cm="1">
        <f t="array" ref="L221">_xlfn.IFS(
    I220=FALSE, "",
    Payment_Frequency="Monthly", EDATE(L220, 1),
    Payment_Frequency="Weekly", DATE(YEAR(L220), MONTH(L220), DAY(L220) + 7),
    Payment_Frequency="Fortnightly", DATE(YEAR(L220), MONTH(L220), DAY(L220) + 14),
    Payment_Frequency="Quarterly", DATE(YEAR(L220), MONTH(L220) + 3, DAY(L220)),
    Payment_Frequency="Yearly", DATE(YEAR(L220) + 1, MONTH(L220), DAY(L220)),
    TRUE, ""
)</f>
        <v/>
      </c>
      <c r="M221" s="1853">
        <f>IF(ISERROR(L221-L220),0,L221-L220)</f>
        <v>0</v>
      </c>
      <c r="N221" s="1851" cm="1">
        <f t="array" ref="N221">_xlfn.IFS(
    AND(I221=TRUE, K221&lt;=No_Regular_Payments), Repay_Amt,
    AND(I221=TRUE, K221=No_Regular_Payments+1), Tm_Balloon_Amt,
   TRUE, 0
)</f>
        <v>0</v>
      </c>
      <c r="O221" s="1850" cm="1">
        <f t="array" ref="O221">_xlfn.IFS(
    M221=0,0,
   ABS(N221 - S220 - P221-Q221) &lt; 1, N221 - S220-Q221,
    TRUE, P221
)</f>
        <v>0</v>
      </c>
      <c r="P221" s="1852">
        <f>IF(M221=0,0,ROUND(S220*EXP(Int_Rate/365.25 * M221)-S220,2))</f>
        <v>0</v>
      </c>
      <c r="Q221" s="1851" cm="1">
        <f t="array" ref="Q221">_xlfn.IFS(
    AND(I221=TRUE, K221&lt;=No_Regular_Payments), Periodic_Admin_Charge,
   TRUE, 0
)</f>
        <v>0</v>
      </c>
      <c r="R221" s="1850">
        <f>N221-O221-Q221</f>
        <v>0</v>
      </c>
      <c r="S221" s="1850">
        <f>ROUND(S220-R221,2)</f>
        <v>0</v>
      </c>
      <c r="T221" s="1850">
        <f>ROUND(T220-(N221-Q221),2)</f>
        <v>0</v>
      </c>
      <c r="U221" s="1849"/>
      <c r="W221" s="1848"/>
      <c r="X221" s="1848"/>
      <c r="Y221" s="1848"/>
    </row>
    <row r="222" spans="2:25" ht="15.95" hidden="1" customHeight="1">
      <c r="B222" s="1815" t="b">
        <f>AND(I222=FALSE,N221=0,Q221=0,L221="")</f>
        <v>1</v>
      </c>
      <c r="C222" s="1844" t="str" cm="1">
        <f t="array" ref="C222">_xlfn.IFS(
    L222="", "",
    MONTH(L222) &lt;= End_of_Year_Month, YEAR(L222),
    TRUE, YEAR(L222) + 1
)</f>
        <v/>
      </c>
      <c r="F222" s="1857">
        <f>IF(L222="",0,L222)</f>
        <v>0</v>
      </c>
      <c r="G222" s="1856">
        <f>-(N222-Q222)</f>
        <v>0</v>
      </c>
      <c r="I222" s="1815" t="b">
        <f>K222&lt;=Number_Payments</f>
        <v>0</v>
      </c>
      <c r="J222" s="1855"/>
      <c r="K222" s="1351">
        <f>K221+1</f>
        <v>96</v>
      </c>
      <c r="L222" s="1854" t="str" cm="1">
        <f t="array" ref="L222">_xlfn.IFS(
    I221=FALSE, "",
    Payment_Frequency="Monthly", EDATE(L221, 1),
    Payment_Frequency="Weekly", DATE(YEAR(L221), MONTH(L221), DAY(L221) + 7),
    Payment_Frequency="Fortnightly", DATE(YEAR(L221), MONTH(L221), DAY(L221) + 14),
    Payment_Frequency="Quarterly", DATE(YEAR(L221), MONTH(L221) + 3, DAY(L221)),
    Payment_Frequency="Yearly", DATE(YEAR(L221) + 1, MONTH(L221), DAY(L221)),
    TRUE, ""
)</f>
        <v/>
      </c>
      <c r="M222" s="1853">
        <f>IF(ISERROR(L222-L221),0,L222-L221)</f>
        <v>0</v>
      </c>
      <c r="N222" s="1851" cm="1">
        <f t="array" ref="N222">_xlfn.IFS(
    AND(I222=TRUE, K222&lt;=No_Regular_Payments), Repay_Amt,
    AND(I222=TRUE, K222=No_Regular_Payments+1), Tm_Balloon_Amt,
   TRUE, 0
)</f>
        <v>0</v>
      </c>
      <c r="O222" s="1850" cm="1">
        <f t="array" ref="O222">_xlfn.IFS(
    M222=0,0,
   ABS(N222 - S221 - P222-Q222) &lt; 1, N222 - S221-Q222,
    TRUE, P222
)</f>
        <v>0</v>
      </c>
      <c r="P222" s="1852">
        <f>IF(M222=0,0,ROUND(S221*EXP(Int_Rate/365.25 * M222)-S221,2))</f>
        <v>0</v>
      </c>
      <c r="Q222" s="1851" cm="1">
        <f t="array" ref="Q222">_xlfn.IFS(
    AND(I222=TRUE, K222&lt;=No_Regular_Payments), Periodic_Admin_Charge,
   TRUE, 0
)</f>
        <v>0</v>
      </c>
      <c r="R222" s="1850">
        <f>N222-O222-Q222</f>
        <v>0</v>
      </c>
      <c r="S222" s="1850">
        <f>ROUND(S221-R222,2)</f>
        <v>0</v>
      </c>
      <c r="T222" s="1850">
        <f>ROUND(T221-(N222-Q222),2)</f>
        <v>0</v>
      </c>
      <c r="U222" s="1849"/>
      <c r="W222" s="1848"/>
      <c r="X222" s="1848"/>
      <c r="Y222" s="1848"/>
    </row>
    <row r="223" spans="2:25" ht="15.95" hidden="1" customHeight="1">
      <c r="B223" s="1815" t="b">
        <f>AND(I223=FALSE,N222=0,Q222=0,L222="")</f>
        <v>1</v>
      </c>
      <c r="C223" s="1844" t="str" cm="1">
        <f t="array" ref="C223">_xlfn.IFS(
    L223="", "",
    MONTH(L223) &lt;= End_of_Year_Month, YEAR(L223),
    TRUE, YEAR(L223) + 1
)</f>
        <v/>
      </c>
      <c r="F223" s="1857">
        <f>IF(L223="",0,L223)</f>
        <v>0</v>
      </c>
      <c r="G223" s="1856">
        <f>-(N223-Q223)</f>
        <v>0</v>
      </c>
      <c r="I223" s="1815" t="b">
        <f>K223&lt;=Number_Payments</f>
        <v>0</v>
      </c>
      <c r="J223" s="1855"/>
      <c r="K223" s="1351">
        <f>K222+1</f>
        <v>97</v>
      </c>
      <c r="L223" s="1854" t="str" cm="1">
        <f t="array" ref="L223">_xlfn.IFS(
    I222=FALSE, "",
    Payment_Frequency="Monthly", EDATE(L222, 1),
    Payment_Frequency="Weekly", DATE(YEAR(L222), MONTH(L222), DAY(L222) + 7),
    Payment_Frequency="Fortnightly", DATE(YEAR(L222), MONTH(L222), DAY(L222) + 14),
    Payment_Frequency="Quarterly", DATE(YEAR(L222), MONTH(L222) + 3, DAY(L222)),
    Payment_Frequency="Yearly", DATE(YEAR(L222) + 1, MONTH(L222), DAY(L222)),
    TRUE, ""
)</f>
        <v/>
      </c>
      <c r="M223" s="1853">
        <f>IF(ISERROR(L223-L222),0,L223-L222)</f>
        <v>0</v>
      </c>
      <c r="N223" s="1851" cm="1">
        <f t="array" ref="N223">_xlfn.IFS(
    AND(I223=TRUE, K223&lt;=No_Regular_Payments), Repay_Amt,
    AND(I223=TRUE, K223=No_Regular_Payments+1), Tm_Balloon_Amt,
   TRUE, 0
)</f>
        <v>0</v>
      </c>
      <c r="O223" s="1850" cm="1">
        <f t="array" ref="O223">_xlfn.IFS(
    M223=0,0,
   ABS(N223 - S222 - P223-Q223) &lt; 1, N223 - S222-Q223,
    TRUE, P223
)</f>
        <v>0</v>
      </c>
      <c r="P223" s="1852">
        <f>IF(M223=0,0,ROUND(S222*EXP(Int_Rate/365.25 * M223)-S222,2))</f>
        <v>0</v>
      </c>
      <c r="Q223" s="1851" cm="1">
        <f t="array" ref="Q223">_xlfn.IFS(
    AND(I223=TRUE, K223&lt;=No_Regular_Payments), Periodic_Admin_Charge,
   TRUE, 0
)</f>
        <v>0</v>
      </c>
      <c r="R223" s="1850">
        <f>N223-O223-Q223</f>
        <v>0</v>
      </c>
      <c r="S223" s="1850">
        <f>ROUND(S222-R223,2)</f>
        <v>0</v>
      </c>
      <c r="T223" s="1850">
        <f>ROUND(T222-(N223-Q223),2)</f>
        <v>0</v>
      </c>
      <c r="U223" s="1849"/>
      <c r="W223" s="1848"/>
      <c r="X223" s="1848"/>
      <c r="Y223" s="1848"/>
    </row>
    <row r="224" spans="2:25" ht="15.95" hidden="1" customHeight="1">
      <c r="B224" s="1815" t="b">
        <f>AND(I224=FALSE,N223=0,Q223=0,L223="")</f>
        <v>1</v>
      </c>
      <c r="C224" s="1844" t="str" cm="1">
        <f t="array" ref="C224">_xlfn.IFS(
    L224="", "",
    MONTH(L224) &lt;= End_of_Year_Month, YEAR(L224),
    TRUE, YEAR(L224) + 1
)</f>
        <v/>
      </c>
      <c r="F224" s="1857">
        <f>IF(L224="",0,L224)</f>
        <v>0</v>
      </c>
      <c r="G224" s="1856">
        <f>-(N224-Q224)</f>
        <v>0</v>
      </c>
      <c r="I224" s="1815" t="b">
        <f>K224&lt;=Number_Payments</f>
        <v>0</v>
      </c>
      <c r="J224" s="1855"/>
      <c r="K224" s="1351">
        <f>K223+1</f>
        <v>98</v>
      </c>
      <c r="L224" s="1854" t="str" cm="1">
        <f t="array" ref="L224">_xlfn.IFS(
    I223=FALSE, "",
    Payment_Frequency="Monthly", EDATE(L223, 1),
    Payment_Frequency="Weekly", DATE(YEAR(L223), MONTH(L223), DAY(L223) + 7),
    Payment_Frequency="Fortnightly", DATE(YEAR(L223), MONTH(L223), DAY(L223) + 14),
    Payment_Frequency="Quarterly", DATE(YEAR(L223), MONTH(L223) + 3, DAY(L223)),
    Payment_Frequency="Yearly", DATE(YEAR(L223) + 1, MONTH(L223), DAY(L223)),
    TRUE, ""
)</f>
        <v/>
      </c>
      <c r="M224" s="1853">
        <f>IF(ISERROR(L224-L223),0,L224-L223)</f>
        <v>0</v>
      </c>
      <c r="N224" s="1851" cm="1">
        <f t="array" ref="N224">_xlfn.IFS(
    AND(I224=TRUE, K224&lt;=No_Regular_Payments), Repay_Amt,
    AND(I224=TRUE, K224=No_Regular_Payments+1), Tm_Balloon_Amt,
   TRUE, 0
)</f>
        <v>0</v>
      </c>
      <c r="O224" s="1850" cm="1">
        <f t="array" ref="O224">_xlfn.IFS(
    M224=0,0,
   ABS(N224 - S223 - P224-Q224) &lt; 1, N224 - S223-Q224,
    TRUE, P224
)</f>
        <v>0</v>
      </c>
      <c r="P224" s="1852">
        <f>IF(M224=0,0,ROUND(S223*EXP(Int_Rate/365.25 * M224)-S223,2))</f>
        <v>0</v>
      </c>
      <c r="Q224" s="1851" cm="1">
        <f t="array" ref="Q224">_xlfn.IFS(
    AND(I224=TRUE, K224&lt;=No_Regular_Payments), Periodic_Admin_Charge,
   TRUE, 0
)</f>
        <v>0</v>
      </c>
      <c r="R224" s="1850">
        <f>N224-O224-Q224</f>
        <v>0</v>
      </c>
      <c r="S224" s="1850">
        <f>ROUND(S223-R224,2)</f>
        <v>0</v>
      </c>
      <c r="T224" s="1850">
        <f>ROUND(T223-(N224-Q224),2)</f>
        <v>0</v>
      </c>
      <c r="U224" s="1849"/>
      <c r="W224" s="1848"/>
      <c r="X224" s="1848"/>
      <c r="Y224" s="1848"/>
    </row>
    <row r="225" spans="2:25" ht="15.95" hidden="1" customHeight="1">
      <c r="B225" s="1815" t="b">
        <f>AND(I225=FALSE,N224=0,Q224=0,L224="")</f>
        <v>1</v>
      </c>
      <c r="C225" s="1844" t="str" cm="1">
        <f t="array" ref="C225">_xlfn.IFS(
    L225="", "",
    MONTH(L225) &lt;= End_of_Year_Month, YEAR(L225),
    TRUE, YEAR(L225) + 1
)</f>
        <v/>
      </c>
      <c r="F225" s="1857">
        <f>IF(L225="",0,L225)</f>
        <v>0</v>
      </c>
      <c r="G225" s="1856">
        <f>-(N225-Q225)</f>
        <v>0</v>
      </c>
      <c r="I225" s="1815" t="b">
        <f>K225&lt;=Number_Payments</f>
        <v>0</v>
      </c>
      <c r="J225" s="1855"/>
      <c r="K225" s="1351">
        <f>K224+1</f>
        <v>99</v>
      </c>
      <c r="L225" s="1854" t="str" cm="1">
        <f t="array" ref="L225">_xlfn.IFS(
    I224=FALSE, "",
    Payment_Frequency="Monthly", EDATE(L224, 1),
    Payment_Frequency="Weekly", DATE(YEAR(L224), MONTH(L224), DAY(L224) + 7),
    Payment_Frequency="Fortnightly", DATE(YEAR(L224), MONTH(L224), DAY(L224) + 14),
    Payment_Frequency="Quarterly", DATE(YEAR(L224), MONTH(L224) + 3, DAY(L224)),
    Payment_Frequency="Yearly", DATE(YEAR(L224) + 1, MONTH(L224), DAY(L224)),
    TRUE, ""
)</f>
        <v/>
      </c>
      <c r="M225" s="1853">
        <f>IF(ISERROR(L225-L224),0,L225-L224)</f>
        <v>0</v>
      </c>
      <c r="N225" s="1851" cm="1">
        <f t="array" ref="N225">_xlfn.IFS(
    AND(I225=TRUE, K225&lt;=No_Regular_Payments), Repay_Amt,
    AND(I225=TRUE, K225=No_Regular_Payments+1), Tm_Balloon_Amt,
   TRUE, 0
)</f>
        <v>0</v>
      </c>
      <c r="O225" s="1850" cm="1">
        <f t="array" ref="O225">_xlfn.IFS(
    M225=0,0,
   ABS(N225 - S224 - P225-Q225) &lt; 1, N225 - S224-Q225,
    TRUE, P225
)</f>
        <v>0</v>
      </c>
      <c r="P225" s="1852">
        <f>IF(M225=0,0,ROUND(S224*EXP(Int_Rate/365.25 * M225)-S224,2))</f>
        <v>0</v>
      </c>
      <c r="Q225" s="1851" cm="1">
        <f t="array" ref="Q225">_xlfn.IFS(
    AND(I225=TRUE, K225&lt;=No_Regular_Payments), Periodic_Admin_Charge,
   TRUE, 0
)</f>
        <v>0</v>
      </c>
      <c r="R225" s="1850">
        <f>N225-O225-Q225</f>
        <v>0</v>
      </c>
      <c r="S225" s="1850">
        <f>ROUND(S224-R225,2)</f>
        <v>0</v>
      </c>
      <c r="T225" s="1850">
        <f>ROUND(T224-(N225-Q225),2)</f>
        <v>0</v>
      </c>
      <c r="U225" s="1849"/>
      <c r="W225" s="1848"/>
      <c r="X225" s="1848"/>
      <c r="Y225" s="1848"/>
    </row>
    <row r="226" spans="2:25" ht="15.95" hidden="1" customHeight="1">
      <c r="B226" s="1815" t="b">
        <f>AND(I226=FALSE,N225=0,Q225=0,L225="")</f>
        <v>1</v>
      </c>
      <c r="C226" s="1844" t="str" cm="1">
        <f t="array" ref="C226">_xlfn.IFS(
    L226="", "",
    MONTH(L226) &lt;= End_of_Year_Month, YEAR(L226),
    TRUE, YEAR(L226) + 1
)</f>
        <v/>
      </c>
      <c r="F226" s="1857">
        <f>IF(L226="",0,L226)</f>
        <v>0</v>
      </c>
      <c r="G226" s="1856">
        <f>-(N226-Q226)</f>
        <v>0</v>
      </c>
      <c r="I226" s="1815" t="b">
        <f>K226&lt;=Number_Payments</f>
        <v>0</v>
      </c>
      <c r="J226" s="1855"/>
      <c r="K226" s="1351">
        <f>K225+1</f>
        <v>100</v>
      </c>
      <c r="L226" s="1854" t="str" cm="1">
        <f t="array" ref="L226">_xlfn.IFS(
    I225=FALSE, "",
    Payment_Frequency="Monthly", EDATE(L225, 1),
    Payment_Frequency="Weekly", DATE(YEAR(L225), MONTH(L225), DAY(L225) + 7),
    Payment_Frequency="Fortnightly", DATE(YEAR(L225), MONTH(L225), DAY(L225) + 14),
    Payment_Frequency="Quarterly", DATE(YEAR(L225), MONTH(L225) + 3, DAY(L225)),
    Payment_Frequency="Yearly", DATE(YEAR(L225) + 1, MONTH(L225), DAY(L225)),
    TRUE, ""
)</f>
        <v/>
      </c>
      <c r="M226" s="1853">
        <f>IF(ISERROR(L226-L225),0,L226-L225)</f>
        <v>0</v>
      </c>
      <c r="N226" s="1851" cm="1">
        <f t="array" ref="N226">_xlfn.IFS(
    AND(I226=TRUE, K226&lt;=No_Regular_Payments), Repay_Amt,
    AND(I226=TRUE, K226=No_Regular_Payments+1), Tm_Balloon_Amt,
   TRUE, 0
)</f>
        <v>0</v>
      </c>
      <c r="O226" s="1850" cm="1">
        <f t="array" ref="O226">_xlfn.IFS(
    M226=0,0,
   ABS(N226 - S225 - P226-Q226) &lt; 1, N226 - S225-Q226,
    TRUE, P226
)</f>
        <v>0</v>
      </c>
      <c r="P226" s="1852">
        <f>IF(M226=0,0,ROUND(S225*EXP(Int_Rate/365.25 * M226)-S225,2))</f>
        <v>0</v>
      </c>
      <c r="Q226" s="1851" cm="1">
        <f t="array" ref="Q226">_xlfn.IFS(
    AND(I226=TRUE, K226&lt;=No_Regular_Payments), Periodic_Admin_Charge,
   TRUE, 0
)</f>
        <v>0</v>
      </c>
      <c r="R226" s="1850">
        <f>N226-O226-Q226</f>
        <v>0</v>
      </c>
      <c r="S226" s="1850">
        <f>ROUND(S225-R226,2)</f>
        <v>0</v>
      </c>
      <c r="T226" s="1850">
        <f>ROUND(T225-(N226-Q226),2)</f>
        <v>0</v>
      </c>
      <c r="U226" s="1849"/>
      <c r="W226" s="1848"/>
      <c r="X226" s="1848"/>
      <c r="Y226" s="1848"/>
    </row>
    <row r="227" spans="2:25" ht="15.95" hidden="1" customHeight="1">
      <c r="B227" s="1815" t="b">
        <f>AND(I227=FALSE,N226=0,Q226=0,L226="")</f>
        <v>1</v>
      </c>
      <c r="C227" s="1844" t="str" cm="1">
        <f t="array" ref="C227">_xlfn.IFS(
    L227="", "",
    MONTH(L227) &lt;= End_of_Year_Month, YEAR(L227),
    TRUE, YEAR(L227) + 1
)</f>
        <v/>
      </c>
      <c r="F227" s="1857">
        <f>IF(L227="",0,L227)</f>
        <v>0</v>
      </c>
      <c r="G227" s="1856">
        <f>-(N227-Q227)</f>
        <v>0</v>
      </c>
      <c r="I227" s="1815" t="b">
        <f>K227&lt;=Number_Payments</f>
        <v>0</v>
      </c>
      <c r="J227" s="1855"/>
      <c r="K227" s="1351">
        <f>K226+1</f>
        <v>101</v>
      </c>
      <c r="L227" s="1854" t="str" cm="1">
        <f t="array" ref="L227">_xlfn.IFS(
    I226=FALSE, "",
    Payment_Frequency="Monthly", EDATE(L226, 1),
    Payment_Frequency="Weekly", DATE(YEAR(L226), MONTH(L226), DAY(L226) + 7),
    Payment_Frequency="Fortnightly", DATE(YEAR(L226), MONTH(L226), DAY(L226) + 14),
    Payment_Frequency="Quarterly", DATE(YEAR(L226), MONTH(L226) + 3, DAY(L226)),
    Payment_Frequency="Yearly", DATE(YEAR(L226) + 1, MONTH(L226), DAY(L226)),
    TRUE, ""
)</f>
        <v/>
      </c>
      <c r="M227" s="1853">
        <f>IF(ISERROR(L227-L226),0,L227-L226)</f>
        <v>0</v>
      </c>
      <c r="N227" s="1851" cm="1">
        <f t="array" ref="N227">_xlfn.IFS(
    AND(I227=TRUE, K227&lt;=No_Regular_Payments), Repay_Amt,
    AND(I227=TRUE, K227=No_Regular_Payments+1), Tm_Balloon_Amt,
   TRUE, 0
)</f>
        <v>0</v>
      </c>
      <c r="O227" s="1850" cm="1">
        <f t="array" ref="O227">_xlfn.IFS(
    M227=0,0,
   ABS(N227 - S226 - P227-Q227) &lt; 1, N227 - S226-Q227,
    TRUE, P227
)</f>
        <v>0</v>
      </c>
      <c r="P227" s="1852">
        <f>IF(M227=0,0,ROUND(S226*EXP(Int_Rate/365.25 * M227)-S226,2))</f>
        <v>0</v>
      </c>
      <c r="Q227" s="1851" cm="1">
        <f t="array" ref="Q227">_xlfn.IFS(
    AND(I227=TRUE, K227&lt;=No_Regular_Payments), Periodic_Admin_Charge,
   TRUE, 0
)</f>
        <v>0</v>
      </c>
      <c r="R227" s="1850">
        <f>N227-O227-Q227</f>
        <v>0</v>
      </c>
      <c r="S227" s="1850">
        <f>ROUND(S226-R227,2)</f>
        <v>0</v>
      </c>
      <c r="T227" s="1850">
        <f>ROUND(T226-(N227-Q227),2)</f>
        <v>0</v>
      </c>
      <c r="U227" s="1849"/>
      <c r="W227" s="1848"/>
      <c r="X227" s="1848"/>
      <c r="Y227" s="1848"/>
    </row>
    <row r="228" spans="2:25" ht="15.95" hidden="1" customHeight="1">
      <c r="B228" s="1815" t="b">
        <f>AND(I228=FALSE,N227=0,Q227=0,L227="")</f>
        <v>1</v>
      </c>
      <c r="C228" s="1844" t="str" cm="1">
        <f t="array" ref="C228">_xlfn.IFS(
    L228="", "",
    MONTH(L228) &lt;= End_of_Year_Month, YEAR(L228),
    TRUE, YEAR(L228) + 1
)</f>
        <v/>
      </c>
      <c r="F228" s="1857">
        <f>IF(L228="",0,L228)</f>
        <v>0</v>
      </c>
      <c r="G228" s="1856">
        <f>-(N228-Q228)</f>
        <v>0</v>
      </c>
      <c r="I228" s="1815" t="b">
        <f>K228&lt;=Number_Payments</f>
        <v>0</v>
      </c>
      <c r="J228" s="1855"/>
      <c r="K228" s="1351">
        <f>K227+1</f>
        <v>102</v>
      </c>
      <c r="L228" s="1854" t="str" cm="1">
        <f t="array" ref="L228">_xlfn.IFS(
    I227=FALSE, "",
    Payment_Frequency="Monthly", EDATE(L227, 1),
    Payment_Frequency="Weekly", DATE(YEAR(L227), MONTH(L227), DAY(L227) + 7),
    Payment_Frequency="Fortnightly", DATE(YEAR(L227), MONTH(L227), DAY(L227) + 14),
    Payment_Frequency="Quarterly", DATE(YEAR(L227), MONTH(L227) + 3, DAY(L227)),
    Payment_Frequency="Yearly", DATE(YEAR(L227) + 1, MONTH(L227), DAY(L227)),
    TRUE, ""
)</f>
        <v/>
      </c>
      <c r="M228" s="1853">
        <f>IF(ISERROR(L228-L227),0,L228-L227)</f>
        <v>0</v>
      </c>
      <c r="N228" s="1851" cm="1">
        <f t="array" ref="N228">_xlfn.IFS(
    AND(I228=TRUE, K228&lt;=No_Regular_Payments), Repay_Amt,
    AND(I228=TRUE, K228=No_Regular_Payments+1), Tm_Balloon_Amt,
   TRUE, 0
)</f>
        <v>0</v>
      </c>
      <c r="O228" s="1850" cm="1">
        <f t="array" ref="O228">_xlfn.IFS(
    M228=0,0,
   ABS(N228 - S227 - P228-Q228) &lt; 1, N228 - S227-Q228,
    TRUE, P228
)</f>
        <v>0</v>
      </c>
      <c r="P228" s="1852">
        <f>IF(M228=0,0,ROUND(S227*EXP(Int_Rate/365.25 * M228)-S227,2))</f>
        <v>0</v>
      </c>
      <c r="Q228" s="1851" cm="1">
        <f t="array" ref="Q228">_xlfn.IFS(
    AND(I228=TRUE, K228&lt;=No_Regular_Payments), Periodic_Admin_Charge,
   TRUE, 0
)</f>
        <v>0</v>
      </c>
      <c r="R228" s="1850">
        <f>N228-O228-Q228</f>
        <v>0</v>
      </c>
      <c r="S228" s="1850">
        <f>ROUND(S227-R228,2)</f>
        <v>0</v>
      </c>
      <c r="T228" s="1850">
        <f>ROUND(T227-(N228-Q228),2)</f>
        <v>0</v>
      </c>
      <c r="U228" s="1849"/>
      <c r="W228" s="1848"/>
      <c r="X228" s="1848"/>
      <c r="Y228" s="1848"/>
    </row>
    <row r="229" spans="2:25" ht="15.95" hidden="1" customHeight="1">
      <c r="B229" s="1815" t="b">
        <f>AND(I229=FALSE,N228=0,Q228=0,L228="")</f>
        <v>1</v>
      </c>
      <c r="C229" s="1844" t="str" cm="1">
        <f t="array" ref="C229">_xlfn.IFS(
    L229="", "",
    MONTH(L229) &lt;= End_of_Year_Month, YEAR(L229),
    TRUE, YEAR(L229) + 1
)</f>
        <v/>
      </c>
      <c r="F229" s="1857">
        <f>IF(L229="",0,L229)</f>
        <v>0</v>
      </c>
      <c r="G229" s="1856">
        <f>-(N229-Q229)</f>
        <v>0</v>
      </c>
      <c r="I229" s="1815" t="b">
        <f>K229&lt;=Number_Payments</f>
        <v>0</v>
      </c>
      <c r="J229" s="1855"/>
      <c r="K229" s="1351">
        <f>K228+1</f>
        <v>103</v>
      </c>
      <c r="L229" s="1854" t="str" cm="1">
        <f t="array" ref="L229">_xlfn.IFS(
    I228=FALSE, "",
    Payment_Frequency="Monthly", EDATE(L228, 1),
    Payment_Frequency="Weekly", DATE(YEAR(L228), MONTH(L228), DAY(L228) + 7),
    Payment_Frequency="Fortnightly", DATE(YEAR(L228), MONTH(L228), DAY(L228) + 14),
    Payment_Frequency="Quarterly", DATE(YEAR(L228), MONTH(L228) + 3, DAY(L228)),
    Payment_Frequency="Yearly", DATE(YEAR(L228) + 1, MONTH(L228), DAY(L228)),
    TRUE, ""
)</f>
        <v/>
      </c>
      <c r="M229" s="1853">
        <f>IF(ISERROR(L229-L228),0,L229-L228)</f>
        <v>0</v>
      </c>
      <c r="N229" s="1851" cm="1">
        <f t="array" ref="N229">_xlfn.IFS(
    AND(I229=TRUE, K229&lt;=No_Regular_Payments), Repay_Amt,
    AND(I229=TRUE, K229=No_Regular_Payments+1), Tm_Balloon_Amt,
   TRUE, 0
)</f>
        <v>0</v>
      </c>
      <c r="O229" s="1850" cm="1">
        <f t="array" ref="O229">_xlfn.IFS(
    M229=0,0,
   ABS(N229 - S228 - P229-Q229) &lt; 1, N229 - S228-Q229,
    TRUE, P229
)</f>
        <v>0</v>
      </c>
      <c r="P229" s="1852">
        <f>IF(M229=0,0,ROUND(S228*EXP(Int_Rate/365.25 * M229)-S228,2))</f>
        <v>0</v>
      </c>
      <c r="Q229" s="1851" cm="1">
        <f t="array" ref="Q229">_xlfn.IFS(
    AND(I229=TRUE, K229&lt;=No_Regular_Payments), Periodic_Admin_Charge,
   TRUE, 0
)</f>
        <v>0</v>
      </c>
      <c r="R229" s="1850">
        <f>N229-O229-Q229</f>
        <v>0</v>
      </c>
      <c r="S229" s="1850">
        <f>ROUND(S228-R229,2)</f>
        <v>0</v>
      </c>
      <c r="T229" s="1850">
        <f>ROUND(T228-(N229-Q229),2)</f>
        <v>0</v>
      </c>
      <c r="U229" s="1849"/>
      <c r="W229" s="1848"/>
      <c r="X229" s="1848"/>
      <c r="Y229" s="1848"/>
    </row>
    <row r="230" spans="2:25" ht="15.95" hidden="1" customHeight="1">
      <c r="B230" s="1815" t="b">
        <f>AND(I230=FALSE,N229=0,Q229=0,L229="")</f>
        <v>1</v>
      </c>
      <c r="C230" s="1844" t="str" cm="1">
        <f t="array" ref="C230">_xlfn.IFS(
    L230="", "",
    MONTH(L230) &lt;= End_of_Year_Month, YEAR(L230),
    TRUE, YEAR(L230) + 1
)</f>
        <v/>
      </c>
      <c r="F230" s="1857">
        <f>IF(L230="",0,L230)</f>
        <v>0</v>
      </c>
      <c r="G230" s="1856">
        <f>-(N230-Q230)</f>
        <v>0</v>
      </c>
      <c r="I230" s="1815" t="b">
        <f>K230&lt;=Number_Payments</f>
        <v>0</v>
      </c>
      <c r="J230" s="1855"/>
      <c r="K230" s="1351">
        <f>K229+1</f>
        <v>104</v>
      </c>
      <c r="L230" s="1854" t="str" cm="1">
        <f t="array" ref="L230">_xlfn.IFS(
    I229=FALSE, "",
    Payment_Frequency="Monthly", EDATE(L229, 1),
    Payment_Frequency="Weekly", DATE(YEAR(L229), MONTH(L229), DAY(L229) + 7),
    Payment_Frequency="Fortnightly", DATE(YEAR(L229), MONTH(L229), DAY(L229) + 14),
    Payment_Frequency="Quarterly", DATE(YEAR(L229), MONTH(L229) + 3, DAY(L229)),
    Payment_Frequency="Yearly", DATE(YEAR(L229) + 1, MONTH(L229), DAY(L229)),
    TRUE, ""
)</f>
        <v/>
      </c>
      <c r="M230" s="1853">
        <f>IF(ISERROR(L230-L229),0,L230-L229)</f>
        <v>0</v>
      </c>
      <c r="N230" s="1851" cm="1">
        <f t="array" ref="N230">_xlfn.IFS(
    AND(I230=TRUE, K230&lt;=No_Regular_Payments), Repay_Amt,
    AND(I230=TRUE, K230=No_Regular_Payments+1), Tm_Balloon_Amt,
   TRUE, 0
)</f>
        <v>0</v>
      </c>
      <c r="O230" s="1850" cm="1">
        <f t="array" ref="O230">_xlfn.IFS(
    M230=0,0,
   ABS(N230 - S229 - P230-Q230) &lt; 1, N230 - S229-Q230,
    TRUE, P230
)</f>
        <v>0</v>
      </c>
      <c r="P230" s="1852">
        <f>IF(M230=0,0,ROUND(S229*EXP(Int_Rate/365.25 * M230)-S229,2))</f>
        <v>0</v>
      </c>
      <c r="Q230" s="1851" cm="1">
        <f t="array" ref="Q230">_xlfn.IFS(
    AND(I230=TRUE, K230&lt;=No_Regular_Payments), Periodic_Admin_Charge,
   TRUE, 0
)</f>
        <v>0</v>
      </c>
      <c r="R230" s="1850">
        <f>N230-O230-Q230</f>
        <v>0</v>
      </c>
      <c r="S230" s="1850">
        <f>ROUND(S229-R230,2)</f>
        <v>0</v>
      </c>
      <c r="T230" s="1850">
        <f>ROUND(T229-(N230-Q230),2)</f>
        <v>0</v>
      </c>
      <c r="U230" s="1849"/>
      <c r="W230" s="1848"/>
      <c r="X230" s="1848"/>
      <c r="Y230" s="1848"/>
    </row>
    <row r="231" spans="2:25" ht="15.95" hidden="1" customHeight="1">
      <c r="B231" s="1815" t="b">
        <f>AND(I231=FALSE,N230=0,Q230=0,L230="")</f>
        <v>1</v>
      </c>
      <c r="C231" s="1844" t="str" cm="1">
        <f t="array" ref="C231">_xlfn.IFS(
    L231="", "",
    MONTH(L231) &lt;= End_of_Year_Month, YEAR(L231),
    TRUE, YEAR(L231) + 1
)</f>
        <v/>
      </c>
      <c r="F231" s="1857">
        <f>IF(L231="",0,L231)</f>
        <v>0</v>
      </c>
      <c r="G231" s="1856">
        <f>-(N231-Q231)</f>
        <v>0</v>
      </c>
      <c r="I231" s="1815" t="b">
        <f>K231&lt;=Number_Payments</f>
        <v>0</v>
      </c>
      <c r="J231" s="1855"/>
      <c r="K231" s="1351">
        <f>K230+1</f>
        <v>105</v>
      </c>
      <c r="L231" s="1854" t="str" cm="1">
        <f t="array" ref="L231">_xlfn.IFS(
    I230=FALSE, "",
    Payment_Frequency="Monthly", EDATE(L230, 1),
    Payment_Frequency="Weekly", DATE(YEAR(L230), MONTH(L230), DAY(L230) + 7),
    Payment_Frequency="Fortnightly", DATE(YEAR(L230), MONTH(L230), DAY(L230) + 14),
    Payment_Frequency="Quarterly", DATE(YEAR(L230), MONTH(L230) + 3, DAY(L230)),
    Payment_Frequency="Yearly", DATE(YEAR(L230) + 1, MONTH(L230), DAY(L230)),
    TRUE, ""
)</f>
        <v/>
      </c>
      <c r="M231" s="1853">
        <f>IF(ISERROR(L231-L230),0,L231-L230)</f>
        <v>0</v>
      </c>
      <c r="N231" s="1851" cm="1">
        <f t="array" ref="N231">_xlfn.IFS(
    AND(I231=TRUE, K231&lt;=No_Regular_Payments), Repay_Amt,
    AND(I231=TRUE, K231=No_Regular_Payments+1), Tm_Balloon_Amt,
   TRUE, 0
)</f>
        <v>0</v>
      </c>
      <c r="O231" s="1850" cm="1">
        <f t="array" ref="O231">_xlfn.IFS(
    M231=0,0,
   ABS(N231 - S230 - P231-Q231) &lt; 1, N231 - S230-Q231,
    TRUE, P231
)</f>
        <v>0</v>
      </c>
      <c r="P231" s="1852">
        <f>IF(M231=0,0,ROUND(S230*EXP(Int_Rate/365.25 * M231)-S230,2))</f>
        <v>0</v>
      </c>
      <c r="Q231" s="1851" cm="1">
        <f t="array" ref="Q231">_xlfn.IFS(
    AND(I231=TRUE, K231&lt;=No_Regular_Payments), Periodic_Admin_Charge,
   TRUE, 0
)</f>
        <v>0</v>
      </c>
      <c r="R231" s="1850">
        <f>N231-O231-Q231</f>
        <v>0</v>
      </c>
      <c r="S231" s="1850">
        <f>ROUND(S230-R231,2)</f>
        <v>0</v>
      </c>
      <c r="T231" s="1850">
        <f>ROUND(T230-(N231-Q231),2)</f>
        <v>0</v>
      </c>
      <c r="U231" s="1849"/>
      <c r="W231" s="1848"/>
      <c r="X231" s="1848"/>
      <c r="Y231" s="1848"/>
    </row>
    <row r="232" spans="2:25" ht="15.95" hidden="1" customHeight="1">
      <c r="B232" s="1815" t="b">
        <f>AND(I232=FALSE,N231=0,Q231=0,L231="")</f>
        <v>1</v>
      </c>
      <c r="C232" s="1844" t="str" cm="1">
        <f t="array" ref="C232">_xlfn.IFS(
    L232="", "",
    MONTH(L232) &lt;= End_of_Year_Month, YEAR(L232),
    TRUE, YEAR(L232) + 1
)</f>
        <v/>
      </c>
      <c r="F232" s="1857">
        <f>IF(L232="",0,L232)</f>
        <v>0</v>
      </c>
      <c r="G232" s="1856">
        <f>-(N232-Q232)</f>
        <v>0</v>
      </c>
      <c r="I232" s="1815" t="b">
        <f>K232&lt;=Number_Payments</f>
        <v>0</v>
      </c>
      <c r="J232" s="1855"/>
      <c r="K232" s="1351">
        <f>K231+1</f>
        <v>106</v>
      </c>
      <c r="L232" s="1854" t="str" cm="1">
        <f t="array" ref="L232">_xlfn.IFS(
    I231=FALSE, "",
    Payment_Frequency="Monthly", EDATE(L231, 1),
    Payment_Frequency="Weekly", DATE(YEAR(L231), MONTH(L231), DAY(L231) + 7),
    Payment_Frequency="Fortnightly", DATE(YEAR(L231), MONTH(L231), DAY(L231) + 14),
    Payment_Frequency="Quarterly", DATE(YEAR(L231), MONTH(L231) + 3, DAY(L231)),
    Payment_Frequency="Yearly", DATE(YEAR(L231) + 1, MONTH(L231), DAY(L231)),
    TRUE, ""
)</f>
        <v/>
      </c>
      <c r="M232" s="1853">
        <f>IF(ISERROR(L232-L231),0,L232-L231)</f>
        <v>0</v>
      </c>
      <c r="N232" s="1851" cm="1">
        <f t="array" ref="N232">_xlfn.IFS(
    AND(I232=TRUE, K232&lt;=No_Regular_Payments), Repay_Amt,
    AND(I232=TRUE, K232=No_Regular_Payments+1), Tm_Balloon_Amt,
   TRUE, 0
)</f>
        <v>0</v>
      </c>
      <c r="O232" s="1850" cm="1">
        <f t="array" ref="O232">_xlfn.IFS(
    M232=0,0,
   ABS(N232 - S231 - P232-Q232) &lt; 1, N232 - S231-Q232,
    TRUE, P232
)</f>
        <v>0</v>
      </c>
      <c r="P232" s="1852">
        <f>IF(M232=0,0,ROUND(S231*EXP(Int_Rate/365.25 * M232)-S231,2))</f>
        <v>0</v>
      </c>
      <c r="Q232" s="1851" cm="1">
        <f t="array" ref="Q232">_xlfn.IFS(
    AND(I232=TRUE, K232&lt;=No_Regular_Payments), Periodic_Admin_Charge,
   TRUE, 0
)</f>
        <v>0</v>
      </c>
      <c r="R232" s="1850">
        <f>N232-O232-Q232</f>
        <v>0</v>
      </c>
      <c r="S232" s="1850">
        <f>ROUND(S231-R232,2)</f>
        <v>0</v>
      </c>
      <c r="T232" s="1850">
        <f>ROUND(T231-(N232-Q232),2)</f>
        <v>0</v>
      </c>
      <c r="U232" s="1849"/>
      <c r="W232" s="1848"/>
      <c r="X232" s="1848"/>
      <c r="Y232" s="1848"/>
    </row>
    <row r="233" spans="2:25" ht="15.95" hidden="1" customHeight="1">
      <c r="B233" s="1815" t="b">
        <f>AND(I233=FALSE,N232=0,Q232=0,L232="")</f>
        <v>1</v>
      </c>
      <c r="C233" s="1844" t="str" cm="1">
        <f t="array" ref="C233">_xlfn.IFS(
    L233="", "",
    MONTH(L233) &lt;= End_of_Year_Month, YEAR(L233),
    TRUE, YEAR(L233) + 1
)</f>
        <v/>
      </c>
      <c r="F233" s="1857">
        <f>IF(L233="",0,L233)</f>
        <v>0</v>
      </c>
      <c r="G233" s="1856">
        <f>-(N233-Q233)</f>
        <v>0</v>
      </c>
      <c r="I233" s="1815" t="b">
        <f>K233&lt;=Number_Payments</f>
        <v>0</v>
      </c>
      <c r="J233" s="1855"/>
      <c r="K233" s="1351">
        <f>K232+1</f>
        <v>107</v>
      </c>
      <c r="L233" s="1854" t="str" cm="1">
        <f t="array" ref="L233">_xlfn.IFS(
    I232=FALSE, "",
    Payment_Frequency="Monthly", EDATE(L232, 1),
    Payment_Frequency="Weekly", DATE(YEAR(L232), MONTH(L232), DAY(L232) + 7),
    Payment_Frequency="Fortnightly", DATE(YEAR(L232), MONTH(L232), DAY(L232) + 14),
    Payment_Frequency="Quarterly", DATE(YEAR(L232), MONTH(L232) + 3, DAY(L232)),
    Payment_Frequency="Yearly", DATE(YEAR(L232) + 1, MONTH(L232), DAY(L232)),
    TRUE, ""
)</f>
        <v/>
      </c>
      <c r="M233" s="1853">
        <f>IF(ISERROR(L233-L232),0,L233-L232)</f>
        <v>0</v>
      </c>
      <c r="N233" s="1851" cm="1">
        <f t="array" ref="N233">_xlfn.IFS(
    AND(I233=TRUE, K233&lt;=No_Regular_Payments), Repay_Amt,
    AND(I233=TRUE, K233=No_Regular_Payments+1), Tm_Balloon_Amt,
   TRUE, 0
)</f>
        <v>0</v>
      </c>
      <c r="O233" s="1850" cm="1">
        <f t="array" ref="O233">_xlfn.IFS(
    M233=0,0,
   ABS(N233 - S232 - P233-Q233) &lt; 1, N233 - S232-Q233,
    TRUE, P233
)</f>
        <v>0</v>
      </c>
      <c r="P233" s="1852">
        <f>IF(M233=0,0,ROUND(S232*EXP(Int_Rate/365.25 * M233)-S232,2))</f>
        <v>0</v>
      </c>
      <c r="Q233" s="1851" cm="1">
        <f t="array" ref="Q233">_xlfn.IFS(
    AND(I233=TRUE, K233&lt;=No_Regular_Payments), Periodic_Admin_Charge,
   TRUE, 0
)</f>
        <v>0</v>
      </c>
      <c r="R233" s="1850">
        <f>N233-O233-Q233</f>
        <v>0</v>
      </c>
      <c r="S233" s="1850">
        <f>ROUND(S232-R233,2)</f>
        <v>0</v>
      </c>
      <c r="T233" s="1850">
        <f>ROUND(T232-(N233-Q233),2)</f>
        <v>0</v>
      </c>
      <c r="U233" s="1849"/>
      <c r="W233" s="1848"/>
      <c r="X233" s="1848"/>
      <c r="Y233" s="1848"/>
    </row>
    <row r="234" spans="2:25" ht="15.95" hidden="1" customHeight="1">
      <c r="B234" s="1815" t="b">
        <f>AND(I234=FALSE,N233=0,Q233=0,L233="")</f>
        <v>1</v>
      </c>
      <c r="C234" s="1844" t="str" cm="1">
        <f t="array" ref="C234">_xlfn.IFS(
    L234="", "",
    MONTH(L234) &lt;= End_of_Year_Month, YEAR(L234),
    TRUE, YEAR(L234) + 1
)</f>
        <v/>
      </c>
      <c r="F234" s="1857">
        <f>IF(L234="",0,L234)</f>
        <v>0</v>
      </c>
      <c r="G234" s="1856">
        <f>-(N234-Q234)</f>
        <v>0</v>
      </c>
      <c r="I234" s="1815" t="b">
        <f>K234&lt;=Number_Payments</f>
        <v>0</v>
      </c>
      <c r="J234" s="1855"/>
      <c r="K234" s="1351">
        <f>K233+1</f>
        <v>108</v>
      </c>
      <c r="L234" s="1854" t="str" cm="1">
        <f t="array" ref="L234">_xlfn.IFS(
    I233=FALSE, "",
    Payment_Frequency="Monthly", EDATE(L233, 1),
    Payment_Frequency="Weekly", DATE(YEAR(L233), MONTH(L233), DAY(L233) + 7),
    Payment_Frequency="Fortnightly", DATE(YEAR(L233), MONTH(L233), DAY(L233) + 14),
    Payment_Frequency="Quarterly", DATE(YEAR(L233), MONTH(L233) + 3, DAY(L233)),
    Payment_Frequency="Yearly", DATE(YEAR(L233) + 1, MONTH(L233), DAY(L233)),
    TRUE, ""
)</f>
        <v/>
      </c>
      <c r="M234" s="1853">
        <f>IF(ISERROR(L234-L233),0,L234-L233)</f>
        <v>0</v>
      </c>
      <c r="N234" s="1851" cm="1">
        <f t="array" ref="N234">_xlfn.IFS(
    AND(I234=TRUE, K234&lt;=No_Regular_Payments), Repay_Amt,
    AND(I234=TRUE, K234=No_Regular_Payments+1), Tm_Balloon_Amt,
   TRUE, 0
)</f>
        <v>0</v>
      </c>
      <c r="O234" s="1850" cm="1">
        <f t="array" ref="O234">_xlfn.IFS(
    M234=0,0,
   ABS(N234 - S233 - P234-Q234) &lt; 1, N234 - S233-Q234,
    TRUE, P234
)</f>
        <v>0</v>
      </c>
      <c r="P234" s="1852">
        <f>IF(M234=0,0,ROUND(S233*EXP(Int_Rate/365.25 * M234)-S233,2))</f>
        <v>0</v>
      </c>
      <c r="Q234" s="1851" cm="1">
        <f t="array" ref="Q234">_xlfn.IFS(
    AND(I234=TRUE, K234&lt;=No_Regular_Payments), Periodic_Admin_Charge,
   TRUE, 0
)</f>
        <v>0</v>
      </c>
      <c r="R234" s="1850">
        <f>N234-O234-Q234</f>
        <v>0</v>
      </c>
      <c r="S234" s="1850">
        <f>ROUND(S233-R234,2)</f>
        <v>0</v>
      </c>
      <c r="T234" s="1850">
        <f>ROUND(T233-(N234-Q234),2)</f>
        <v>0</v>
      </c>
      <c r="U234" s="1849"/>
      <c r="W234" s="1848"/>
      <c r="X234" s="1848"/>
      <c r="Y234" s="1848"/>
    </row>
    <row r="235" spans="2:25" ht="15.95" hidden="1" customHeight="1">
      <c r="B235" s="1815" t="b">
        <f>AND(I235=FALSE,N234=0,Q234=0,L234="")</f>
        <v>1</v>
      </c>
      <c r="C235" s="1844" t="str" cm="1">
        <f t="array" ref="C235">_xlfn.IFS(
    L235="", "",
    MONTH(L235) &lt;= End_of_Year_Month, YEAR(L235),
    TRUE, YEAR(L235) + 1
)</f>
        <v/>
      </c>
      <c r="F235" s="1857">
        <f>IF(L235="",0,L235)</f>
        <v>0</v>
      </c>
      <c r="G235" s="1856">
        <f>-(N235-Q235)</f>
        <v>0</v>
      </c>
      <c r="I235" s="1815" t="b">
        <f>K235&lt;=Number_Payments</f>
        <v>0</v>
      </c>
      <c r="J235" s="1855"/>
      <c r="K235" s="1351">
        <f>K234+1</f>
        <v>109</v>
      </c>
      <c r="L235" s="1854" t="str" cm="1">
        <f t="array" ref="L235">_xlfn.IFS(
    I234=FALSE, "",
    Payment_Frequency="Monthly", EDATE(L234, 1),
    Payment_Frequency="Weekly", DATE(YEAR(L234), MONTH(L234), DAY(L234) + 7),
    Payment_Frequency="Fortnightly", DATE(YEAR(L234), MONTH(L234), DAY(L234) + 14),
    Payment_Frequency="Quarterly", DATE(YEAR(L234), MONTH(L234) + 3, DAY(L234)),
    Payment_Frequency="Yearly", DATE(YEAR(L234) + 1, MONTH(L234), DAY(L234)),
    TRUE, ""
)</f>
        <v/>
      </c>
      <c r="M235" s="1853">
        <f>IF(ISERROR(L235-L234),0,L235-L234)</f>
        <v>0</v>
      </c>
      <c r="N235" s="1851" cm="1">
        <f t="array" ref="N235">_xlfn.IFS(
    AND(I235=TRUE, K235&lt;=No_Regular_Payments), Repay_Amt,
    AND(I235=TRUE, K235=No_Regular_Payments+1), Tm_Balloon_Amt,
   TRUE, 0
)</f>
        <v>0</v>
      </c>
      <c r="O235" s="1850" cm="1">
        <f t="array" ref="O235">_xlfn.IFS(
    M235=0,0,
   ABS(N235 - S234 - P235-Q235) &lt; 1, N235 - S234-Q235,
    TRUE, P235
)</f>
        <v>0</v>
      </c>
      <c r="P235" s="1852">
        <f>IF(M235=0,0,ROUND(S234*EXP(Int_Rate/365.25 * M235)-S234,2))</f>
        <v>0</v>
      </c>
      <c r="Q235" s="1851" cm="1">
        <f t="array" ref="Q235">_xlfn.IFS(
    AND(I235=TRUE, K235&lt;=No_Regular_Payments), Periodic_Admin_Charge,
   TRUE, 0
)</f>
        <v>0</v>
      </c>
      <c r="R235" s="1850">
        <f>N235-O235-Q235</f>
        <v>0</v>
      </c>
      <c r="S235" s="1850">
        <f>ROUND(S234-R235,2)</f>
        <v>0</v>
      </c>
      <c r="T235" s="1850">
        <f>ROUND(T234-(N235-Q235),2)</f>
        <v>0</v>
      </c>
      <c r="U235" s="1849"/>
      <c r="W235" s="1848"/>
      <c r="X235" s="1848"/>
      <c r="Y235" s="1848"/>
    </row>
    <row r="236" spans="2:25" ht="15.95" hidden="1" customHeight="1">
      <c r="B236" s="1815" t="b">
        <f>AND(I236=FALSE,N235=0,Q235=0,L235="")</f>
        <v>1</v>
      </c>
      <c r="C236" s="1844" t="str" cm="1">
        <f t="array" ref="C236">_xlfn.IFS(
    L236="", "",
    MONTH(L236) &lt;= End_of_Year_Month, YEAR(L236),
    TRUE, YEAR(L236) + 1
)</f>
        <v/>
      </c>
      <c r="F236" s="1857">
        <f>IF(L236="",0,L236)</f>
        <v>0</v>
      </c>
      <c r="G236" s="1856">
        <f>-(N236-Q236)</f>
        <v>0</v>
      </c>
      <c r="I236" s="1815" t="b">
        <f>K236&lt;=Number_Payments</f>
        <v>0</v>
      </c>
      <c r="J236" s="1855"/>
      <c r="K236" s="1351">
        <f>K235+1</f>
        <v>110</v>
      </c>
      <c r="L236" s="1854" t="str" cm="1">
        <f t="array" ref="L236">_xlfn.IFS(
    I235=FALSE, "",
    Payment_Frequency="Monthly", EDATE(L235, 1),
    Payment_Frequency="Weekly", DATE(YEAR(L235), MONTH(L235), DAY(L235) + 7),
    Payment_Frequency="Fortnightly", DATE(YEAR(L235), MONTH(L235), DAY(L235) + 14),
    Payment_Frequency="Quarterly", DATE(YEAR(L235), MONTH(L235) + 3, DAY(L235)),
    Payment_Frequency="Yearly", DATE(YEAR(L235) + 1, MONTH(L235), DAY(L235)),
    TRUE, ""
)</f>
        <v/>
      </c>
      <c r="M236" s="1853">
        <f>IF(ISERROR(L236-L235),0,L236-L235)</f>
        <v>0</v>
      </c>
      <c r="N236" s="1851" cm="1">
        <f t="array" ref="N236">_xlfn.IFS(
    AND(I236=TRUE, K236&lt;=No_Regular_Payments), Repay_Amt,
    AND(I236=TRUE, K236=No_Regular_Payments+1), Tm_Balloon_Amt,
   TRUE, 0
)</f>
        <v>0</v>
      </c>
      <c r="O236" s="1850" cm="1">
        <f t="array" ref="O236">_xlfn.IFS(
    M236=0,0,
   ABS(N236 - S235 - P236-Q236) &lt; 1, N236 - S235-Q236,
    TRUE, P236
)</f>
        <v>0</v>
      </c>
      <c r="P236" s="1852">
        <f>IF(M236=0,0,ROUND(S235*EXP(Int_Rate/365.25 * M236)-S235,2))</f>
        <v>0</v>
      </c>
      <c r="Q236" s="1851" cm="1">
        <f t="array" ref="Q236">_xlfn.IFS(
    AND(I236=TRUE, K236&lt;=No_Regular_Payments), Periodic_Admin_Charge,
   TRUE, 0
)</f>
        <v>0</v>
      </c>
      <c r="R236" s="1850">
        <f>N236-O236-Q236</f>
        <v>0</v>
      </c>
      <c r="S236" s="1850">
        <f>ROUND(S235-R236,2)</f>
        <v>0</v>
      </c>
      <c r="T236" s="1850">
        <f>ROUND(T235-(N236-Q236),2)</f>
        <v>0</v>
      </c>
      <c r="U236" s="1849"/>
      <c r="W236" s="1848"/>
      <c r="X236" s="1848"/>
      <c r="Y236" s="1848"/>
    </row>
    <row r="237" spans="2:25" ht="15.95" hidden="1" customHeight="1">
      <c r="B237" s="1815" t="b">
        <f>AND(I237=FALSE,N236=0,Q236=0,L236="")</f>
        <v>1</v>
      </c>
      <c r="C237" s="1844" t="str" cm="1">
        <f t="array" ref="C237">_xlfn.IFS(
    L237="", "",
    MONTH(L237) &lt;= End_of_Year_Month, YEAR(L237),
    TRUE, YEAR(L237) + 1
)</f>
        <v/>
      </c>
      <c r="F237" s="1857">
        <f>IF(L237="",0,L237)</f>
        <v>0</v>
      </c>
      <c r="G237" s="1856">
        <f>-(N237-Q237)</f>
        <v>0</v>
      </c>
      <c r="I237" s="1815" t="b">
        <f>K237&lt;=Number_Payments</f>
        <v>0</v>
      </c>
      <c r="J237" s="1855"/>
      <c r="K237" s="1351">
        <f>K236+1</f>
        <v>111</v>
      </c>
      <c r="L237" s="1854" t="str" cm="1">
        <f t="array" ref="L237">_xlfn.IFS(
    I236=FALSE, "",
    Payment_Frequency="Monthly", EDATE(L236, 1),
    Payment_Frequency="Weekly", DATE(YEAR(L236), MONTH(L236), DAY(L236) + 7),
    Payment_Frequency="Fortnightly", DATE(YEAR(L236), MONTH(L236), DAY(L236) + 14),
    Payment_Frequency="Quarterly", DATE(YEAR(L236), MONTH(L236) + 3, DAY(L236)),
    Payment_Frequency="Yearly", DATE(YEAR(L236) + 1, MONTH(L236), DAY(L236)),
    TRUE, ""
)</f>
        <v/>
      </c>
      <c r="M237" s="1853">
        <f>IF(ISERROR(L237-L236),0,L237-L236)</f>
        <v>0</v>
      </c>
      <c r="N237" s="1851" cm="1">
        <f t="array" ref="N237">_xlfn.IFS(
    AND(I237=TRUE, K237&lt;=No_Regular_Payments), Repay_Amt,
    AND(I237=TRUE, K237=No_Regular_Payments+1), Tm_Balloon_Amt,
   TRUE, 0
)</f>
        <v>0</v>
      </c>
      <c r="O237" s="1850" cm="1">
        <f t="array" ref="O237">_xlfn.IFS(
    M237=0,0,
   ABS(N237 - S236 - P237-Q237) &lt; 1, N237 - S236-Q237,
    TRUE, P237
)</f>
        <v>0</v>
      </c>
      <c r="P237" s="1852">
        <f>IF(M237=0,0,ROUND(S236*EXP(Int_Rate/365.25 * M237)-S236,2))</f>
        <v>0</v>
      </c>
      <c r="Q237" s="1851" cm="1">
        <f t="array" ref="Q237">_xlfn.IFS(
    AND(I237=TRUE, K237&lt;=No_Regular_Payments), Periodic_Admin_Charge,
   TRUE, 0
)</f>
        <v>0</v>
      </c>
      <c r="R237" s="1850">
        <f>N237-O237-Q237</f>
        <v>0</v>
      </c>
      <c r="S237" s="1850">
        <f>ROUND(S236-R237,2)</f>
        <v>0</v>
      </c>
      <c r="T237" s="1850">
        <f>ROUND(T236-(N237-Q237),2)</f>
        <v>0</v>
      </c>
      <c r="U237" s="1849"/>
      <c r="W237" s="1848"/>
      <c r="X237" s="1848"/>
      <c r="Y237" s="1848"/>
    </row>
    <row r="238" spans="2:25" ht="15.95" hidden="1" customHeight="1">
      <c r="B238" s="1815" t="b">
        <f>AND(I238=FALSE,N237=0,Q237=0,L237="")</f>
        <v>1</v>
      </c>
      <c r="C238" s="1844" t="str" cm="1">
        <f t="array" ref="C238">_xlfn.IFS(
    L238="", "",
    MONTH(L238) &lt;= End_of_Year_Month, YEAR(L238),
    TRUE, YEAR(L238) + 1
)</f>
        <v/>
      </c>
      <c r="F238" s="1857">
        <f>IF(L238="",0,L238)</f>
        <v>0</v>
      </c>
      <c r="G238" s="1856">
        <f>-(N238-Q238)</f>
        <v>0</v>
      </c>
      <c r="I238" s="1815" t="b">
        <f>K238&lt;=Number_Payments</f>
        <v>0</v>
      </c>
      <c r="J238" s="1855"/>
      <c r="K238" s="1351">
        <f>K237+1</f>
        <v>112</v>
      </c>
      <c r="L238" s="1854" t="str" cm="1">
        <f t="array" ref="L238">_xlfn.IFS(
    I237=FALSE, "",
    Payment_Frequency="Monthly", EDATE(L237, 1),
    Payment_Frequency="Weekly", DATE(YEAR(L237), MONTH(L237), DAY(L237) + 7),
    Payment_Frequency="Fortnightly", DATE(YEAR(L237), MONTH(L237), DAY(L237) + 14),
    Payment_Frequency="Quarterly", DATE(YEAR(L237), MONTH(L237) + 3, DAY(L237)),
    Payment_Frequency="Yearly", DATE(YEAR(L237) + 1, MONTH(L237), DAY(L237)),
    TRUE, ""
)</f>
        <v/>
      </c>
      <c r="M238" s="1853">
        <f>IF(ISERROR(L238-L237),0,L238-L237)</f>
        <v>0</v>
      </c>
      <c r="N238" s="1851" cm="1">
        <f t="array" ref="N238">_xlfn.IFS(
    AND(I238=TRUE, K238&lt;=No_Regular_Payments), Repay_Amt,
    AND(I238=TRUE, K238=No_Regular_Payments+1), Tm_Balloon_Amt,
   TRUE, 0
)</f>
        <v>0</v>
      </c>
      <c r="O238" s="1850" cm="1">
        <f t="array" ref="O238">_xlfn.IFS(
    M238=0,0,
   ABS(N238 - S237 - P238-Q238) &lt; 1, N238 - S237-Q238,
    TRUE, P238
)</f>
        <v>0</v>
      </c>
      <c r="P238" s="1852">
        <f>IF(M238=0,0,ROUND(S237*EXP(Int_Rate/365.25 * M238)-S237,2))</f>
        <v>0</v>
      </c>
      <c r="Q238" s="1851" cm="1">
        <f t="array" ref="Q238">_xlfn.IFS(
    AND(I238=TRUE, K238&lt;=No_Regular_Payments), Periodic_Admin_Charge,
   TRUE, 0
)</f>
        <v>0</v>
      </c>
      <c r="R238" s="1850">
        <f>N238-O238-Q238</f>
        <v>0</v>
      </c>
      <c r="S238" s="1850">
        <f>ROUND(S237-R238,2)</f>
        <v>0</v>
      </c>
      <c r="T238" s="1850">
        <f>ROUND(T237-(N238-Q238),2)</f>
        <v>0</v>
      </c>
      <c r="U238" s="1849"/>
      <c r="W238" s="1848"/>
      <c r="X238" s="1848"/>
      <c r="Y238" s="1848"/>
    </row>
    <row r="239" spans="2:25" ht="15.95" hidden="1" customHeight="1">
      <c r="B239" s="1815" t="b">
        <f>AND(I239=FALSE,N238=0,Q238=0,L238="")</f>
        <v>1</v>
      </c>
      <c r="C239" s="1844" t="str" cm="1">
        <f t="array" ref="C239">_xlfn.IFS(
    L239="", "",
    MONTH(L239) &lt;= End_of_Year_Month, YEAR(L239),
    TRUE, YEAR(L239) + 1
)</f>
        <v/>
      </c>
      <c r="F239" s="1857">
        <f>IF(L239="",0,L239)</f>
        <v>0</v>
      </c>
      <c r="G239" s="1856">
        <f>-(N239-Q239)</f>
        <v>0</v>
      </c>
      <c r="I239" s="1815" t="b">
        <f>K239&lt;=Number_Payments</f>
        <v>0</v>
      </c>
      <c r="J239" s="1855"/>
      <c r="K239" s="1351">
        <f>K238+1</f>
        <v>113</v>
      </c>
      <c r="L239" s="1854" t="str" cm="1">
        <f t="array" ref="L239">_xlfn.IFS(
    I238=FALSE, "",
    Payment_Frequency="Monthly", EDATE(L238, 1),
    Payment_Frequency="Weekly", DATE(YEAR(L238), MONTH(L238), DAY(L238) + 7),
    Payment_Frequency="Fortnightly", DATE(YEAR(L238), MONTH(L238), DAY(L238) + 14),
    Payment_Frequency="Quarterly", DATE(YEAR(L238), MONTH(L238) + 3, DAY(L238)),
    Payment_Frequency="Yearly", DATE(YEAR(L238) + 1, MONTH(L238), DAY(L238)),
    TRUE, ""
)</f>
        <v/>
      </c>
      <c r="M239" s="1853">
        <f>IF(ISERROR(L239-L238),0,L239-L238)</f>
        <v>0</v>
      </c>
      <c r="N239" s="1851" cm="1">
        <f t="array" ref="N239">_xlfn.IFS(
    AND(I239=TRUE, K239&lt;=No_Regular_Payments), Repay_Amt,
    AND(I239=TRUE, K239=No_Regular_Payments+1), Tm_Balloon_Amt,
   TRUE, 0
)</f>
        <v>0</v>
      </c>
      <c r="O239" s="1850" cm="1">
        <f t="array" ref="O239">_xlfn.IFS(
    M239=0,0,
   ABS(N239 - S238 - P239-Q239) &lt; 1, N239 - S238-Q239,
    TRUE, P239
)</f>
        <v>0</v>
      </c>
      <c r="P239" s="1852">
        <f>IF(M239=0,0,ROUND(S238*EXP(Int_Rate/365.25 * M239)-S238,2))</f>
        <v>0</v>
      </c>
      <c r="Q239" s="1851" cm="1">
        <f t="array" ref="Q239">_xlfn.IFS(
    AND(I239=TRUE, K239&lt;=No_Regular_Payments), Periodic_Admin_Charge,
   TRUE, 0
)</f>
        <v>0</v>
      </c>
      <c r="R239" s="1850">
        <f>N239-O239-Q239</f>
        <v>0</v>
      </c>
      <c r="S239" s="1850">
        <f>ROUND(S238-R239,2)</f>
        <v>0</v>
      </c>
      <c r="T239" s="1850">
        <f>ROUND(T238-(N239-Q239),2)</f>
        <v>0</v>
      </c>
      <c r="U239" s="1849"/>
      <c r="W239" s="1848"/>
      <c r="X239" s="1848"/>
      <c r="Y239" s="1848"/>
    </row>
    <row r="240" spans="2:25" ht="15.95" hidden="1" customHeight="1">
      <c r="B240" s="1815" t="b">
        <f>AND(I240=FALSE,N239=0,Q239=0,L239="")</f>
        <v>1</v>
      </c>
      <c r="C240" s="1844" t="str" cm="1">
        <f t="array" ref="C240">_xlfn.IFS(
    L240="", "",
    MONTH(L240) &lt;= End_of_Year_Month, YEAR(L240),
    TRUE, YEAR(L240) + 1
)</f>
        <v/>
      </c>
      <c r="F240" s="1857">
        <f>IF(L240="",0,L240)</f>
        <v>0</v>
      </c>
      <c r="G240" s="1856">
        <f>-(N240-Q240)</f>
        <v>0</v>
      </c>
      <c r="I240" s="1815" t="b">
        <f>K240&lt;=Number_Payments</f>
        <v>0</v>
      </c>
      <c r="J240" s="1855"/>
      <c r="K240" s="1351">
        <f>K239+1</f>
        <v>114</v>
      </c>
      <c r="L240" s="1854" t="str" cm="1">
        <f t="array" ref="L240">_xlfn.IFS(
    I239=FALSE, "",
    Payment_Frequency="Monthly", EDATE(L239, 1),
    Payment_Frequency="Weekly", DATE(YEAR(L239), MONTH(L239), DAY(L239) + 7),
    Payment_Frequency="Fortnightly", DATE(YEAR(L239), MONTH(L239), DAY(L239) + 14),
    Payment_Frequency="Quarterly", DATE(YEAR(L239), MONTH(L239) + 3, DAY(L239)),
    Payment_Frequency="Yearly", DATE(YEAR(L239) + 1, MONTH(L239), DAY(L239)),
    TRUE, ""
)</f>
        <v/>
      </c>
      <c r="M240" s="1853">
        <f>IF(ISERROR(L240-L239),0,L240-L239)</f>
        <v>0</v>
      </c>
      <c r="N240" s="1851" cm="1">
        <f t="array" ref="N240">_xlfn.IFS(
    AND(I240=TRUE, K240&lt;=No_Regular_Payments), Repay_Amt,
    AND(I240=TRUE, K240=No_Regular_Payments+1), Tm_Balloon_Amt,
   TRUE, 0
)</f>
        <v>0</v>
      </c>
      <c r="O240" s="1850" cm="1">
        <f t="array" ref="O240">_xlfn.IFS(
    M240=0,0,
   ABS(N240 - S239 - P240-Q240) &lt; 1, N240 - S239-Q240,
    TRUE, P240
)</f>
        <v>0</v>
      </c>
      <c r="P240" s="1852">
        <f>IF(M240=0,0,ROUND(S239*EXP(Int_Rate/365.25 * M240)-S239,2))</f>
        <v>0</v>
      </c>
      <c r="Q240" s="1851" cm="1">
        <f t="array" ref="Q240">_xlfn.IFS(
    AND(I240=TRUE, K240&lt;=No_Regular_Payments), Periodic_Admin_Charge,
   TRUE, 0
)</f>
        <v>0</v>
      </c>
      <c r="R240" s="1850">
        <f>N240-O240-Q240</f>
        <v>0</v>
      </c>
      <c r="S240" s="1850">
        <f>ROUND(S239-R240,2)</f>
        <v>0</v>
      </c>
      <c r="T240" s="1850">
        <f>ROUND(T239-(N240-Q240),2)</f>
        <v>0</v>
      </c>
      <c r="U240" s="1849"/>
      <c r="W240" s="1848"/>
      <c r="X240" s="1848"/>
      <c r="Y240" s="1848"/>
    </row>
    <row r="241" spans="2:25" ht="15.95" hidden="1" customHeight="1">
      <c r="B241" s="1815" t="b">
        <f>AND(I241=FALSE,N240=0,Q240=0,L240="")</f>
        <v>1</v>
      </c>
      <c r="C241" s="1844" t="str" cm="1">
        <f t="array" ref="C241">_xlfn.IFS(
    L241="", "",
    MONTH(L241) &lt;= End_of_Year_Month, YEAR(L241),
    TRUE, YEAR(L241) + 1
)</f>
        <v/>
      </c>
      <c r="F241" s="1857">
        <f>IF(L241="",0,L241)</f>
        <v>0</v>
      </c>
      <c r="G241" s="1856">
        <f>-(N241-Q241)</f>
        <v>0</v>
      </c>
      <c r="I241" s="1815" t="b">
        <f>K241&lt;=Number_Payments</f>
        <v>0</v>
      </c>
      <c r="J241" s="1855"/>
      <c r="K241" s="1351">
        <f>K240+1</f>
        <v>115</v>
      </c>
      <c r="L241" s="1854" t="str" cm="1">
        <f t="array" ref="L241">_xlfn.IFS(
    I240=FALSE, "",
    Payment_Frequency="Monthly", EDATE(L240, 1),
    Payment_Frequency="Weekly", DATE(YEAR(L240), MONTH(L240), DAY(L240) + 7),
    Payment_Frequency="Fortnightly", DATE(YEAR(L240), MONTH(L240), DAY(L240) + 14),
    Payment_Frequency="Quarterly", DATE(YEAR(L240), MONTH(L240) + 3, DAY(L240)),
    Payment_Frequency="Yearly", DATE(YEAR(L240) + 1, MONTH(L240), DAY(L240)),
    TRUE, ""
)</f>
        <v/>
      </c>
      <c r="M241" s="1853">
        <f>IF(ISERROR(L241-L240),0,L241-L240)</f>
        <v>0</v>
      </c>
      <c r="N241" s="1851" cm="1">
        <f t="array" ref="N241">_xlfn.IFS(
    AND(I241=TRUE, K241&lt;=No_Regular_Payments), Repay_Amt,
    AND(I241=TRUE, K241=No_Regular_Payments+1), Tm_Balloon_Amt,
   TRUE, 0
)</f>
        <v>0</v>
      </c>
      <c r="O241" s="1850" cm="1">
        <f t="array" ref="O241">_xlfn.IFS(
    M241=0,0,
   ABS(N241 - S240 - P241-Q241) &lt; 1, N241 - S240-Q241,
    TRUE, P241
)</f>
        <v>0</v>
      </c>
      <c r="P241" s="1852">
        <f>IF(M241=0,0,ROUND(S240*EXP(Int_Rate/365.25 * M241)-S240,2))</f>
        <v>0</v>
      </c>
      <c r="Q241" s="1851" cm="1">
        <f t="array" ref="Q241">_xlfn.IFS(
    AND(I241=TRUE, K241&lt;=No_Regular_Payments), Periodic_Admin_Charge,
   TRUE, 0
)</f>
        <v>0</v>
      </c>
      <c r="R241" s="1850">
        <f>N241-O241-Q241</f>
        <v>0</v>
      </c>
      <c r="S241" s="1850">
        <f>ROUND(S240-R241,2)</f>
        <v>0</v>
      </c>
      <c r="T241" s="1850">
        <f>ROUND(T240-(N241-Q241),2)</f>
        <v>0</v>
      </c>
      <c r="U241" s="1849"/>
      <c r="W241" s="1848"/>
      <c r="X241" s="1848"/>
      <c r="Y241" s="1848"/>
    </row>
    <row r="242" spans="2:25" ht="15.95" hidden="1" customHeight="1">
      <c r="B242" s="1815" t="b">
        <f>AND(I242=FALSE,N241=0,Q241=0,L241="")</f>
        <v>1</v>
      </c>
      <c r="C242" s="1844" t="str" cm="1">
        <f t="array" ref="C242">_xlfn.IFS(
    L242="", "",
    MONTH(L242) &lt;= End_of_Year_Month, YEAR(L242),
    TRUE, YEAR(L242) + 1
)</f>
        <v/>
      </c>
      <c r="F242" s="1857">
        <f>IF(L242="",0,L242)</f>
        <v>0</v>
      </c>
      <c r="G242" s="1856">
        <f>-(N242-Q242)</f>
        <v>0</v>
      </c>
      <c r="I242" s="1815" t="b">
        <f>K242&lt;=Number_Payments</f>
        <v>0</v>
      </c>
      <c r="J242" s="1855"/>
      <c r="K242" s="1351">
        <f>K241+1</f>
        <v>116</v>
      </c>
      <c r="L242" s="1854" t="str" cm="1">
        <f t="array" ref="L242">_xlfn.IFS(
    I241=FALSE, "",
    Payment_Frequency="Monthly", EDATE(L241, 1),
    Payment_Frequency="Weekly", DATE(YEAR(L241), MONTH(L241), DAY(L241) + 7),
    Payment_Frequency="Fortnightly", DATE(YEAR(L241), MONTH(L241), DAY(L241) + 14),
    Payment_Frequency="Quarterly", DATE(YEAR(L241), MONTH(L241) + 3, DAY(L241)),
    Payment_Frequency="Yearly", DATE(YEAR(L241) + 1, MONTH(L241), DAY(L241)),
    TRUE, ""
)</f>
        <v/>
      </c>
      <c r="M242" s="1853">
        <f>IF(ISERROR(L242-L241),0,L242-L241)</f>
        <v>0</v>
      </c>
      <c r="N242" s="1851" cm="1">
        <f t="array" ref="N242">_xlfn.IFS(
    AND(I242=TRUE, K242&lt;=No_Regular_Payments), Repay_Amt,
    AND(I242=TRUE, K242=No_Regular_Payments+1), Tm_Balloon_Amt,
   TRUE, 0
)</f>
        <v>0</v>
      </c>
      <c r="O242" s="1850" cm="1">
        <f t="array" ref="O242">_xlfn.IFS(
    M242=0,0,
   ABS(N242 - S241 - P242-Q242) &lt; 1, N242 - S241-Q242,
    TRUE, P242
)</f>
        <v>0</v>
      </c>
      <c r="P242" s="1852">
        <f>IF(M242=0,0,ROUND(S241*EXP(Int_Rate/365.25 * M242)-S241,2))</f>
        <v>0</v>
      </c>
      <c r="Q242" s="1851" cm="1">
        <f t="array" ref="Q242">_xlfn.IFS(
    AND(I242=TRUE, K242&lt;=No_Regular_Payments), Periodic_Admin_Charge,
   TRUE, 0
)</f>
        <v>0</v>
      </c>
      <c r="R242" s="1850">
        <f>N242-O242-Q242</f>
        <v>0</v>
      </c>
      <c r="S242" s="1850">
        <f>ROUND(S241-R242,2)</f>
        <v>0</v>
      </c>
      <c r="T242" s="1850">
        <f>ROUND(T241-(N242-Q242),2)</f>
        <v>0</v>
      </c>
      <c r="U242" s="1849"/>
      <c r="W242" s="1848"/>
      <c r="X242" s="1848"/>
      <c r="Y242" s="1848"/>
    </row>
    <row r="243" spans="2:25" ht="15.95" hidden="1" customHeight="1">
      <c r="B243" s="1815" t="b">
        <f>AND(I243=FALSE,N242=0,Q242=0,L242="")</f>
        <v>1</v>
      </c>
      <c r="C243" s="1844" t="str" cm="1">
        <f t="array" ref="C243">_xlfn.IFS(
    L243="", "",
    MONTH(L243) &lt;= End_of_Year_Month, YEAR(L243),
    TRUE, YEAR(L243) + 1
)</f>
        <v/>
      </c>
      <c r="F243" s="1857">
        <f>IF(L243="",0,L243)</f>
        <v>0</v>
      </c>
      <c r="G243" s="1856">
        <f>-(N243-Q243)</f>
        <v>0</v>
      </c>
      <c r="I243" s="1815" t="b">
        <f>K243&lt;=Number_Payments</f>
        <v>0</v>
      </c>
      <c r="J243" s="1855"/>
      <c r="K243" s="1351">
        <f>K242+1</f>
        <v>117</v>
      </c>
      <c r="L243" s="1854" t="str" cm="1">
        <f t="array" ref="L243">_xlfn.IFS(
    I242=FALSE, "",
    Payment_Frequency="Monthly", EDATE(L242, 1),
    Payment_Frequency="Weekly", DATE(YEAR(L242), MONTH(L242), DAY(L242) + 7),
    Payment_Frequency="Fortnightly", DATE(YEAR(L242), MONTH(L242), DAY(L242) + 14),
    Payment_Frequency="Quarterly", DATE(YEAR(L242), MONTH(L242) + 3, DAY(L242)),
    Payment_Frequency="Yearly", DATE(YEAR(L242) + 1, MONTH(L242), DAY(L242)),
    TRUE, ""
)</f>
        <v/>
      </c>
      <c r="M243" s="1853">
        <f>IF(ISERROR(L243-L242),0,L243-L242)</f>
        <v>0</v>
      </c>
      <c r="N243" s="1851" cm="1">
        <f t="array" ref="N243">_xlfn.IFS(
    AND(I243=TRUE, K243&lt;=No_Regular_Payments), Repay_Amt,
    AND(I243=TRUE, K243=No_Regular_Payments+1), Tm_Balloon_Amt,
   TRUE, 0
)</f>
        <v>0</v>
      </c>
      <c r="O243" s="1850" cm="1">
        <f t="array" ref="O243">_xlfn.IFS(
    M243=0,0,
   ABS(N243 - S242 - P243-Q243) &lt; 1, N243 - S242-Q243,
    TRUE, P243
)</f>
        <v>0</v>
      </c>
      <c r="P243" s="1852">
        <f>IF(M243=0,0,ROUND(S242*EXP(Int_Rate/365.25 * M243)-S242,2))</f>
        <v>0</v>
      </c>
      <c r="Q243" s="1851" cm="1">
        <f t="array" ref="Q243">_xlfn.IFS(
    AND(I243=TRUE, K243&lt;=No_Regular_Payments), Periodic_Admin_Charge,
   TRUE, 0
)</f>
        <v>0</v>
      </c>
      <c r="R243" s="1850">
        <f>N243-O243-Q243</f>
        <v>0</v>
      </c>
      <c r="S243" s="1850">
        <f>ROUND(S242-R243,2)</f>
        <v>0</v>
      </c>
      <c r="T243" s="1850">
        <f>ROUND(T242-(N243-Q243),2)</f>
        <v>0</v>
      </c>
      <c r="U243" s="1849"/>
      <c r="W243" s="1848"/>
      <c r="X243" s="1848"/>
      <c r="Y243" s="1848"/>
    </row>
    <row r="244" spans="2:25" ht="15.95" hidden="1" customHeight="1">
      <c r="B244" s="1815" t="b">
        <f>AND(I244=FALSE,N243=0,Q243=0,L243="")</f>
        <v>1</v>
      </c>
      <c r="C244" s="1844" t="str" cm="1">
        <f t="array" ref="C244">_xlfn.IFS(
    L244="", "",
    MONTH(L244) &lt;= End_of_Year_Month, YEAR(L244),
    TRUE, YEAR(L244) + 1
)</f>
        <v/>
      </c>
      <c r="F244" s="1857">
        <f>IF(L244="",0,L244)</f>
        <v>0</v>
      </c>
      <c r="G244" s="1856">
        <f>-(N244-Q244)</f>
        <v>0</v>
      </c>
      <c r="I244" s="1815" t="b">
        <f>K244&lt;=Number_Payments</f>
        <v>0</v>
      </c>
      <c r="J244" s="1855"/>
      <c r="K244" s="1351">
        <f>K243+1</f>
        <v>118</v>
      </c>
      <c r="L244" s="1854" t="str" cm="1">
        <f t="array" ref="L244">_xlfn.IFS(
    I243=FALSE, "",
    Payment_Frequency="Monthly", EDATE(L243, 1),
    Payment_Frequency="Weekly", DATE(YEAR(L243), MONTH(L243), DAY(L243) + 7),
    Payment_Frequency="Fortnightly", DATE(YEAR(L243), MONTH(L243), DAY(L243) + 14),
    Payment_Frequency="Quarterly", DATE(YEAR(L243), MONTH(L243) + 3, DAY(L243)),
    Payment_Frequency="Yearly", DATE(YEAR(L243) + 1, MONTH(L243), DAY(L243)),
    TRUE, ""
)</f>
        <v/>
      </c>
      <c r="M244" s="1853">
        <f>IF(ISERROR(L244-L243),0,L244-L243)</f>
        <v>0</v>
      </c>
      <c r="N244" s="1851" cm="1">
        <f t="array" ref="N244">_xlfn.IFS(
    AND(I244=TRUE, K244&lt;=No_Regular_Payments), Repay_Amt,
    AND(I244=TRUE, K244=No_Regular_Payments+1), Tm_Balloon_Amt,
   TRUE, 0
)</f>
        <v>0</v>
      </c>
      <c r="O244" s="1850" cm="1">
        <f t="array" ref="O244">_xlfn.IFS(
    M244=0,0,
   ABS(N244 - S243 - P244-Q244) &lt; 1, N244 - S243-Q244,
    TRUE, P244
)</f>
        <v>0</v>
      </c>
      <c r="P244" s="1852">
        <f>IF(M244=0,0,ROUND(S243*EXP(Int_Rate/365.25 * M244)-S243,2))</f>
        <v>0</v>
      </c>
      <c r="Q244" s="1851" cm="1">
        <f t="array" ref="Q244">_xlfn.IFS(
    AND(I244=TRUE, K244&lt;=No_Regular_Payments), Periodic_Admin_Charge,
   TRUE, 0
)</f>
        <v>0</v>
      </c>
      <c r="R244" s="1850">
        <f>N244-O244-Q244</f>
        <v>0</v>
      </c>
      <c r="S244" s="1850">
        <f>ROUND(S243-R244,2)</f>
        <v>0</v>
      </c>
      <c r="T244" s="1850">
        <f>ROUND(T243-(N244-Q244),2)</f>
        <v>0</v>
      </c>
      <c r="U244" s="1849"/>
      <c r="W244" s="1848"/>
      <c r="X244" s="1848"/>
      <c r="Y244" s="1848"/>
    </row>
    <row r="245" spans="2:25" ht="15.95" hidden="1" customHeight="1">
      <c r="B245" s="1815" t="b">
        <f>AND(I245=FALSE,N244=0,Q244=0,L244="")</f>
        <v>1</v>
      </c>
      <c r="C245" s="1844" t="str" cm="1">
        <f t="array" ref="C245">_xlfn.IFS(
    L245="", "",
    MONTH(L245) &lt;= End_of_Year_Month, YEAR(L245),
    TRUE, YEAR(L245) + 1
)</f>
        <v/>
      </c>
      <c r="F245" s="1857">
        <f>IF(L245="",0,L245)</f>
        <v>0</v>
      </c>
      <c r="G245" s="1856">
        <f>-(N245-Q245)</f>
        <v>0</v>
      </c>
      <c r="I245" s="1815" t="b">
        <f>K245&lt;=Number_Payments</f>
        <v>0</v>
      </c>
      <c r="J245" s="1855"/>
      <c r="K245" s="1351">
        <f>K244+1</f>
        <v>119</v>
      </c>
      <c r="L245" s="1854" t="str" cm="1">
        <f t="array" ref="L245">_xlfn.IFS(
    I244=FALSE, "",
    Payment_Frequency="Monthly", EDATE(L244, 1),
    Payment_Frequency="Weekly", DATE(YEAR(L244), MONTH(L244), DAY(L244) + 7),
    Payment_Frequency="Fortnightly", DATE(YEAR(L244), MONTH(L244), DAY(L244) + 14),
    Payment_Frequency="Quarterly", DATE(YEAR(L244), MONTH(L244) + 3, DAY(L244)),
    Payment_Frequency="Yearly", DATE(YEAR(L244) + 1, MONTH(L244), DAY(L244)),
    TRUE, ""
)</f>
        <v/>
      </c>
      <c r="M245" s="1853">
        <f>IF(ISERROR(L245-L244),0,L245-L244)</f>
        <v>0</v>
      </c>
      <c r="N245" s="1851" cm="1">
        <f t="array" ref="N245">_xlfn.IFS(
    AND(I245=TRUE, K245&lt;=No_Regular_Payments), Repay_Amt,
    AND(I245=TRUE, K245=No_Regular_Payments+1), Tm_Balloon_Amt,
   TRUE, 0
)</f>
        <v>0</v>
      </c>
      <c r="O245" s="1850" cm="1">
        <f t="array" ref="O245">_xlfn.IFS(
    M245=0,0,
   ABS(N245 - S244 - P245-Q245) &lt; 1, N245 - S244-Q245,
    TRUE, P245
)</f>
        <v>0</v>
      </c>
      <c r="P245" s="1852">
        <f>IF(M245=0,0,ROUND(S244*EXP(Int_Rate/365.25 * M245)-S244,2))</f>
        <v>0</v>
      </c>
      <c r="Q245" s="1851" cm="1">
        <f t="array" ref="Q245">_xlfn.IFS(
    AND(I245=TRUE, K245&lt;=No_Regular_Payments), Periodic_Admin_Charge,
   TRUE, 0
)</f>
        <v>0</v>
      </c>
      <c r="R245" s="1850">
        <f>N245-O245-Q245</f>
        <v>0</v>
      </c>
      <c r="S245" s="1850">
        <f>ROUND(S244-R245,2)</f>
        <v>0</v>
      </c>
      <c r="T245" s="1850">
        <f>ROUND(T244-(N245-Q245),2)</f>
        <v>0</v>
      </c>
      <c r="U245" s="1849"/>
      <c r="W245" s="1848"/>
      <c r="X245" s="1848"/>
      <c r="Y245" s="1848"/>
    </row>
    <row r="246" spans="2:25" ht="15.95" hidden="1" customHeight="1">
      <c r="B246" s="1815" t="b">
        <f>AND(I246=FALSE,N245=0,Q245=0,L245="")</f>
        <v>1</v>
      </c>
      <c r="C246" s="1844" t="str" cm="1">
        <f t="array" ref="C246">_xlfn.IFS(
    L246="", "",
    MONTH(L246) &lt;= End_of_Year_Month, YEAR(L246),
    TRUE, YEAR(L246) + 1
)</f>
        <v/>
      </c>
      <c r="F246" s="1857">
        <f>IF(L246="",0,L246)</f>
        <v>0</v>
      </c>
      <c r="G246" s="1856">
        <f>-(N246-Q246)</f>
        <v>0</v>
      </c>
      <c r="I246" s="1815" t="b">
        <f>K246&lt;=Number_Payments</f>
        <v>0</v>
      </c>
      <c r="J246" s="1855"/>
      <c r="K246" s="1351">
        <f>K245+1</f>
        <v>120</v>
      </c>
      <c r="L246" s="1854" t="str" cm="1">
        <f t="array" ref="L246">_xlfn.IFS(
    I245=FALSE, "",
    Payment_Frequency="Monthly", EDATE(L245, 1),
    Payment_Frequency="Weekly", DATE(YEAR(L245), MONTH(L245), DAY(L245) + 7),
    Payment_Frequency="Fortnightly", DATE(YEAR(L245), MONTH(L245), DAY(L245) + 14),
    Payment_Frequency="Quarterly", DATE(YEAR(L245), MONTH(L245) + 3, DAY(L245)),
    Payment_Frequency="Yearly", DATE(YEAR(L245) + 1, MONTH(L245), DAY(L245)),
    TRUE, ""
)</f>
        <v/>
      </c>
      <c r="M246" s="1853">
        <f>IF(ISERROR(L246-L245),0,L246-L245)</f>
        <v>0</v>
      </c>
      <c r="N246" s="1851" cm="1">
        <f t="array" ref="N246">_xlfn.IFS(
    AND(I246=TRUE, K246&lt;=No_Regular_Payments), Repay_Amt,
    AND(I246=TRUE, K246=No_Regular_Payments+1), Tm_Balloon_Amt,
   TRUE, 0
)</f>
        <v>0</v>
      </c>
      <c r="O246" s="1850" cm="1">
        <f t="array" ref="O246">_xlfn.IFS(
    M246=0,0,
   ABS(N246 - S245 - P246-Q246) &lt; 1, N246 - S245-Q246,
    TRUE, P246
)</f>
        <v>0</v>
      </c>
      <c r="P246" s="1852">
        <f>IF(M246=0,0,ROUND(S245*EXP(Int_Rate/365.25 * M246)-S245,2))</f>
        <v>0</v>
      </c>
      <c r="Q246" s="1851" cm="1">
        <f t="array" ref="Q246">_xlfn.IFS(
    AND(I246=TRUE, K246&lt;=No_Regular_Payments), Periodic_Admin_Charge,
   TRUE, 0
)</f>
        <v>0</v>
      </c>
      <c r="R246" s="1850">
        <f>N246-O246-Q246</f>
        <v>0</v>
      </c>
      <c r="S246" s="1850">
        <f>ROUND(S245-R246,2)</f>
        <v>0</v>
      </c>
      <c r="T246" s="1850">
        <f>ROUND(T245-(N246-Q246),2)</f>
        <v>0</v>
      </c>
      <c r="U246" s="1849"/>
      <c r="W246" s="1848"/>
      <c r="X246" s="1848"/>
      <c r="Y246" s="1848"/>
    </row>
    <row r="247" spans="2:25" ht="15.95" hidden="1" customHeight="1">
      <c r="B247" s="1815" t="b">
        <f>AND(I247=FALSE,N246=0,Q246=0,L246="")</f>
        <v>1</v>
      </c>
      <c r="C247" s="1844" t="str" cm="1">
        <f t="array" ref="C247">_xlfn.IFS(
    L247="", "",
    MONTH(L247) &lt;= End_of_Year_Month, YEAR(L247),
    TRUE, YEAR(L247) + 1
)</f>
        <v/>
      </c>
      <c r="F247" s="1857">
        <f>IF(L247="",0,L247)</f>
        <v>0</v>
      </c>
      <c r="G247" s="1856">
        <f>-(N247-Q247)</f>
        <v>0</v>
      </c>
      <c r="I247" s="1815" t="b">
        <f>K247&lt;=Number_Payments</f>
        <v>0</v>
      </c>
      <c r="J247" s="1855"/>
      <c r="K247" s="1351">
        <f>K246+1</f>
        <v>121</v>
      </c>
      <c r="L247" s="1854" t="str" cm="1">
        <f t="array" ref="L247">_xlfn.IFS(
    I246=FALSE, "",
    Payment_Frequency="Monthly", EDATE(L246, 1),
    Payment_Frequency="Weekly", DATE(YEAR(L246), MONTH(L246), DAY(L246) + 7),
    Payment_Frequency="Fortnightly", DATE(YEAR(L246), MONTH(L246), DAY(L246) + 14),
    Payment_Frequency="Quarterly", DATE(YEAR(L246), MONTH(L246) + 3, DAY(L246)),
    Payment_Frequency="Yearly", DATE(YEAR(L246) + 1, MONTH(L246), DAY(L246)),
    TRUE, ""
)</f>
        <v/>
      </c>
      <c r="M247" s="1853">
        <f>IF(ISERROR(L247-L246),0,L247-L246)</f>
        <v>0</v>
      </c>
      <c r="N247" s="1851" cm="1">
        <f t="array" ref="N247">_xlfn.IFS(
    AND(I247=TRUE, K247&lt;=No_Regular_Payments), Repay_Amt,
    AND(I247=TRUE, K247=No_Regular_Payments+1), Tm_Balloon_Amt,
   TRUE, 0
)</f>
        <v>0</v>
      </c>
      <c r="O247" s="1850" cm="1">
        <f t="array" ref="O247">_xlfn.IFS(
    M247=0,0,
   ABS(N247 - S246 - P247-Q247) &lt; 1, N247 - S246-Q247,
    TRUE, P247
)</f>
        <v>0</v>
      </c>
      <c r="P247" s="1852">
        <f>IF(M247=0,0,ROUND(S246*EXP(Int_Rate/365.25 * M247)-S246,2))</f>
        <v>0</v>
      </c>
      <c r="Q247" s="1851" cm="1">
        <f t="array" ref="Q247">_xlfn.IFS(
    AND(I247=TRUE, K247&lt;=No_Regular_Payments), Periodic_Admin_Charge,
   TRUE, 0
)</f>
        <v>0</v>
      </c>
      <c r="R247" s="1850">
        <f>N247-O247-Q247</f>
        <v>0</v>
      </c>
      <c r="S247" s="1850">
        <f>ROUND(S246-R247,2)</f>
        <v>0</v>
      </c>
      <c r="T247" s="1850">
        <f>ROUND(T246-(N247-Q247),2)</f>
        <v>0</v>
      </c>
      <c r="U247" s="1849"/>
      <c r="W247" s="1848"/>
      <c r="X247" s="1848"/>
      <c r="Y247" s="1848"/>
    </row>
    <row r="248" spans="2:25" ht="15.95" hidden="1" customHeight="1">
      <c r="B248" s="1815" t="b">
        <f>AND(I248=FALSE,N247=0,Q247=0,L247="")</f>
        <v>1</v>
      </c>
      <c r="C248" s="1844" t="str" cm="1">
        <f t="array" ref="C248">_xlfn.IFS(
    L248="", "",
    MONTH(L248) &lt;= End_of_Year_Month, YEAR(L248),
    TRUE, YEAR(L248) + 1
)</f>
        <v/>
      </c>
      <c r="F248" s="1857">
        <f>IF(L248="",0,L248)</f>
        <v>0</v>
      </c>
      <c r="G248" s="1856">
        <f>-(N248-Q248)</f>
        <v>0</v>
      </c>
      <c r="I248" s="1815" t="b">
        <f>K248&lt;=Number_Payments</f>
        <v>0</v>
      </c>
      <c r="J248" s="1855"/>
      <c r="K248" s="1351">
        <f>K247+1</f>
        <v>122</v>
      </c>
      <c r="L248" s="1854" t="str" cm="1">
        <f t="array" ref="L248">_xlfn.IFS(
    I247=FALSE, "",
    Payment_Frequency="Monthly", EDATE(L247, 1),
    Payment_Frequency="Weekly", DATE(YEAR(L247), MONTH(L247), DAY(L247) + 7),
    Payment_Frequency="Fortnightly", DATE(YEAR(L247), MONTH(L247), DAY(L247) + 14),
    Payment_Frequency="Quarterly", DATE(YEAR(L247), MONTH(L247) + 3, DAY(L247)),
    Payment_Frequency="Yearly", DATE(YEAR(L247) + 1, MONTH(L247), DAY(L247)),
    TRUE, ""
)</f>
        <v/>
      </c>
      <c r="M248" s="1853">
        <f>IF(ISERROR(L248-L247),0,L248-L247)</f>
        <v>0</v>
      </c>
      <c r="N248" s="1851" cm="1">
        <f t="array" ref="N248">_xlfn.IFS(
    AND(I248=TRUE, K248&lt;=No_Regular_Payments), Repay_Amt,
    AND(I248=TRUE, K248=No_Regular_Payments+1), Tm_Balloon_Amt,
   TRUE, 0
)</f>
        <v>0</v>
      </c>
      <c r="O248" s="1850" cm="1">
        <f t="array" ref="O248">_xlfn.IFS(
    M248=0,0,
   ABS(N248 - S247 - P248-Q248) &lt; 1, N248 - S247-Q248,
    TRUE, P248
)</f>
        <v>0</v>
      </c>
      <c r="P248" s="1852">
        <f>IF(M248=0,0,ROUND(S247*EXP(Int_Rate/365.25 * M248)-S247,2))</f>
        <v>0</v>
      </c>
      <c r="Q248" s="1851" cm="1">
        <f t="array" ref="Q248">_xlfn.IFS(
    AND(I248=TRUE, K248&lt;=No_Regular_Payments), Periodic_Admin_Charge,
   TRUE, 0
)</f>
        <v>0</v>
      </c>
      <c r="R248" s="1850">
        <f>N248-O248-Q248</f>
        <v>0</v>
      </c>
      <c r="S248" s="1850">
        <f>ROUND(S247-R248,2)</f>
        <v>0</v>
      </c>
      <c r="T248" s="1850">
        <f>ROUND(T247-(N248-Q248),2)</f>
        <v>0</v>
      </c>
      <c r="U248" s="1849"/>
      <c r="W248" s="1848"/>
      <c r="X248" s="1848"/>
      <c r="Y248" s="1848"/>
    </row>
    <row r="249" spans="2:25" ht="15.95" hidden="1" customHeight="1">
      <c r="B249" s="1815" t="b">
        <f>AND(I249=FALSE,N248=0,Q248=0,L248="")</f>
        <v>1</v>
      </c>
      <c r="C249" s="1844" t="str" cm="1">
        <f t="array" ref="C249">_xlfn.IFS(
    L249="", "",
    MONTH(L249) &lt;= End_of_Year_Month, YEAR(L249),
    TRUE, YEAR(L249) + 1
)</f>
        <v/>
      </c>
      <c r="F249" s="1857">
        <f>IF(L249="",0,L249)</f>
        <v>0</v>
      </c>
      <c r="G249" s="1856">
        <f>-(N249-Q249)</f>
        <v>0</v>
      </c>
      <c r="I249" s="1815" t="b">
        <f>K249&lt;=Number_Payments</f>
        <v>0</v>
      </c>
      <c r="J249" s="1855"/>
      <c r="K249" s="1351">
        <f>K248+1</f>
        <v>123</v>
      </c>
      <c r="L249" s="1854" t="str" cm="1">
        <f t="array" ref="L249">_xlfn.IFS(
    I248=FALSE, "",
    Payment_Frequency="Monthly", EDATE(L248, 1),
    Payment_Frequency="Weekly", DATE(YEAR(L248), MONTH(L248), DAY(L248) + 7),
    Payment_Frequency="Fortnightly", DATE(YEAR(L248), MONTH(L248), DAY(L248) + 14),
    Payment_Frequency="Quarterly", DATE(YEAR(L248), MONTH(L248) + 3, DAY(L248)),
    Payment_Frequency="Yearly", DATE(YEAR(L248) + 1, MONTH(L248), DAY(L248)),
    TRUE, ""
)</f>
        <v/>
      </c>
      <c r="M249" s="1853">
        <f>IF(ISERROR(L249-L248),0,L249-L248)</f>
        <v>0</v>
      </c>
      <c r="N249" s="1851" cm="1">
        <f t="array" ref="N249">_xlfn.IFS(
    AND(I249=TRUE, K249&lt;=No_Regular_Payments), Repay_Amt,
    AND(I249=TRUE, K249=No_Regular_Payments+1), Tm_Balloon_Amt,
   TRUE, 0
)</f>
        <v>0</v>
      </c>
      <c r="O249" s="1850" cm="1">
        <f t="array" ref="O249">_xlfn.IFS(
    M249=0,0,
   ABS(N249 - S248 - P249-Q249) &lt; 1, N249 - S248-Q249,
    TRUE, P249
)</f>
        <v>0</v>
      </c>
      <c r="P249" s="1852">
        <f>IF(M249=0,0,ROUND(S248*EXP(Int_Rate/365.25 * M249)-S248,2))</f>
        <v>0</v>
      </c>
      <c r="Q249" s="1851" cm="1">
        <f t="array" ref="Q249">_xlfn.IFS(
    AND(I249=TRUE, K249&lt;=No_Regular_Payments), Periodic_Admin_Charge,
   TRUE, 0
)</f>
        <v>0</v>
      </c>
      <c r="R249" s="1850">
        <f>N249-O249-Q249</f>
        <v>0</v>
      </c>
      <c r="S249" s="1850">
        <f>ROUND(S248-R249,2)</f>
        <v>0</v>
      </c>
      <c r="T249" s="1850">
        <f>ROUND(T248-(N249-Q249),2)</f>
        <v>0</v>
      </c>
      <c r="U249" s="1849"/>
      <c r="W249" s="1848"/>
      <c r="X249" s="1848"/>
      <c r="Y249" s="1848"/>
    </row>
    <row r="250" spans="2:25" ht="15.95" hidden="1" customHeight="1">
      <c r="B250" s="1815" t="b">
        <f>AND(I250=FALSE,N249=0,Q249=0,L249="")</f>
        <v>1</v>
      </c>
      <c r="C250" s="1844" t="str" cm="1">
        <f t="array" ref="C250">_xlfn.IFS(
    L250="", "",
    MONTH(L250) &lt;= End_of_Year_Month, YEAR(L250),
    TRUE, YEAR(L250) + 1
)</f>
        <v/>
      </c>
      <c r="F250" s="1857">
        <f>IF(L250="",0,L250)</f>
        <v>0</v>
      </c>
      <c r="G250" s="1856">
        <f>-(N250-Q250)</f>
        <v>0</v>
      </c>
      <c r="I250" s="1815" t="b">
        <f>K250&lt;=Number_Payments</f>
        <v>0</v>
      </c>
      <c r="J250" s="1855"/>
      <c r="K250" s="1351">
        <f>K249+1</f>
        <v>124</v>
      </c>
      <c r="L250" s="1854" t="str" cm="1">
        <f t="array" ref="L250">_xlfn.IFS(
    I249=FALSE, "",
    Payment_Frequency="Monthly", EDATE(L249, 1),
    Payment_Frequency="Weekly", DATE(YEAR(L249), MONTH(L249), DAY(L249) + 7),
    Payment_Frequency="Fortnightly", DATE(YEAR(L249), MONTH(L249), DAY(L249) + 14),
    Payment_Frequency="Quarterly", DATE(YEAR(L249), MONTH(L249) + 3, DAY(L249)),
    Payment_Frequency="Yearly", DATE(YEAR(L249) + 1, MONTH(L249), DAY(L249)),
    TRUE, ""
)</f>
        <v/>
      </c>
      <c r="M250" s="1853">
        <f>IF(ISERROR(L250-L249),0,L250-L249)</f>
        <v>0</v>
      </c>
      <c r="N250" s="1851" cm="1">
        <f t="array" ref="N250">_xlfn.IFS(
    AND(I250=TRUE, K250&lt;=No_Regular_Payments), Repay_Amt,
    AND(I250=TRUE, K250=No_Regular_Payments+1), Tm_Balloon_Amt,
   TRUE, 0
)</f>
        <v>0</v>
      </c>
      <c r="O250" s="1850" cm="1">
        <f t="array" ref="O250">_xlfn.IFS(
    M250=0,0,
   ABS(N250 - S249 - P250-Q250) &lt; 1, N250 - S249-Q250,
    TRUE, P250
)</f>
        <v>0</v>
      </c>
      <c r="P250" s="1852">
        <f>IF(M250=0,0,ROUND(S249*EXP(Int_Rate/365.25 * M250)-S249,2))</f>
        <v>0</v>
      </c>
      <c r="Q250" s="1851" cm="1">
        <f t="array" ref="Q250">_xlfn.IFS(
    AND(I250=TRUE, K250&lt;=No_Regular_Payments), Periodic_Admin_Charge,
   TRUE, 0
)</f>
        <v>0</v>
      </c>
      <c r="R250" s="1850">
        <f>N250-O250-Q250</f>
        <v>0</v>
      </c>
      <c r="S250" s="1850">
        <f>ROUND(S249-R250,2)</f>
        <v>0</v>
      </c>
      <c r="T250" s="1850">
        <f>ROUND(T249-(N250-Q250),2)</f>
        <v>0</v>
      </c>
      <c r="U250" s="1849"/>
      <c r="W250" s="1848"/>
      <c r="X250" s="1848"/>
      <c r="Y250" s="1848"/>
    </row>
    <row r="251" spans="2:25" ht="15.95" hidden="1" customHeight="1">
      <c r="B251" s="1815" t="b">
        <f>AND(I251=FALSE,N250=0,Q250=0,L250="")</f>
        <v>1</v>
      </c>
      <c r="C251" s="1844" t="str" cm="1">
        <f t="array" ref="C251">_xlfn.IFS(
    L251="", "",
    MONTH(L251) &lt;= End_of_Year_Month, YEAR(L251),
    TRUE, YEAR(L251) + 1
)</f>
        <v/>
      </c>
      <c r="F251" s="1857">
        <f>IF(L251="",0,L251)</f>
        <v>0</v>
      </c>
      <c r="G251" s="1856">
        <f>-(N251-Q251)</f>
        <v>0</v>
      </c>
      <c r="I251" s="1815" t="b">
        <f>K251&lt;=Number_Payments</f>
        <v>0</v>
      </c>
      <c r="J251" s="1855"/>
      <c r="K251" s="1351">
        <f>K250+1</f>
        <v>125</v>
      </c>
      <c r="L251" s="1854" t="str" cm="1">
        <f t="array" ref="L251">_xlfn.IFS(
    I250=FALSE, "",
    Payment_Frequency="Monthly", EDATE(L250, 1),
    Payment_Frequency="Weekly", DATE(YEAR(L250), MONTH(L250), DAY(L250) + 7),
    Payment_Frequency="Fortnightly", DATE(YEAR(L250), MONTH(L250), DAY(L250) + 14),
    Payment_Frequency="Quarterly", DATE(YEAR(L250), MONTH(L250) + 3, DAY(L250)),
    Payment_Frequency="Yearly", DATE(YEAR(L250) + 1, MONTH(L250), DAY(L250)),
    TRUE, ""
)</f>
        <v/>
      </c>
      <c r="M251" s="1853">
        <f>IF(ISERROR(L251-L250),0,L251-L250)</f>
        <v>0</v>
      </c>
      <c r="N251" s="1851" cm="1">
        <f t="array" ref="N251">_xlfn.IFS(
    AND(I251=TRUE, K251&lt;=No_Regular_Payments), Repay_Amt,
    AND(I251=TRUE, K251=No_Regular_Payments+1), Tm_Balloon_Amt,
   TRUE, 0
)</f>
        <v>0</v>
      </c>
      <c r="O251" s="1850" cm="1">
        <f t="array" ref="O251">_xlfn.IFS(
    M251=0,0,
   ABS(N251 - S250 - P251-Q251) &lt; 1, N251 - S250-Q251,
    TRUE, P251
)</f>
        <v>0</v>
      </c>
      <c r="P251" s="1852">
        <f>IF(M251=0,0,ROUND(S250*EXP(Int_Rate/365.25 * M251)-S250,2))</f>
        <v>0</v>
      </c>
      <c r="Q251" s="1851" cm="1">
        <f t="array" ref="Q251">_xlfn.IFS(
    AND(I251=TRUE, K251&lt;=No_Regular_Payments), Periodic_Admin_Charge,
   TRUE, 0
)</f>
        <v>0</v>
      </c>
      <c r="R251" s="1850">
        <f>N251-O251-Q251</f>
        <v>0</v>
      </c>
      <c r="S251" s="1850">
        <f>ROUND(S250-R251,2)</f>
        <v>0</v>
      </c>
      <c r="T251" s="1850">
        <f>ROUND(T250-(N251-Q251),2)</f>
        <v>0</v>
      </c>
      <c r="U251" s="1849"/>
      <c r="W251" s="1848"/>
      <c r="X251" s="1848"/>
      <c r="Y251" s="1848"/>
    </row>
    <row r="252" spans="2:25" ht="15.95" hidden="1" customHeight="1">
      <c r="B252" s="1815" t="b">
        <f>AND(I252=FALSE,N251=0,Q251=0,L251="")</f>
        <v>1</v>
      </c>
      <c r="C252" s="1844" t="str" cm="1">
        <f t="array" ref="C252">_xlfn.IFS(
    L252="", "",
    MONTH(L252) &lt;= End_of_Year_Month, YEAR(L252),
    TRUE, YEAR(L252) + 1
)</f>
        <v/>
      </c>
      <c r="F252" s="1857">
        <f>IF(L252="",0,L252)</f>
        <v>0</v>
      </c>
      <c r="G252" s="1856">
        <f>-(N252-Q252)</f>
        <v>0</v>
      </c>
      <c r="I252" s="1815" t="b">
        <f>K252&lt;=Number_Payments</f>
        <v>0</v>
      </c>
      <c r="J252" s="1855"/>
      <c r="K252" s="1351">
        <f>K251+1</f>
        <v>126</v>
      </c>
      <c r="L252" s="1854" t="str" cm="1">
        <f t="array" ref="L252">_xlfn.IFS(
    I251=FALSE, "",
    Payment_Frequency="Monthly", EDATE(L251, 1),
    Payment_Frequency="Weekly", DATE(YEAR(L251), MONTH(L251), DAY(L251) + 7),
    Payment_Frequency="Fortnightly", DATE(YEAR(L251), MONTH(L251), DAY(L251) + 14),
    Payment_Frequency="Quarterly", DATE(YEAR(L251), MONTH(L251) + 3, DAY(L251)),
    Payment_Frequency="Yearly", DATE(YEAR(L251) + 1, MONTH(L251), DAY(L251)),
    TRUE, ""
)</f>
        <v/>
      </c>
      <c r="M252" s="1853">
        <f>IF(ISERROR(L252-L251),0,L252-L251)</f>
        <v>0</v>
      </c>
      <c r="N252" s="1851" cm="1">
        <f t="array" ref="N252">_xlfn.IFS(
    AND(I252=TRUE, K252&lt;=No_Regular_Payments), Repay_Amt,
    AND(I252=TRUE, K252=No_Regular_Payments+1), Tm_Balloon_Amt,
   TRUE, 0
)</f>
        <v>0</v>
      </c>
      <c r="O252" s="1850" cm="1">
        <f t="array" ref="O252">_xlfn.IFS(
    M252=0,0,
   ABS(N252 - S251 - P252-Q252) &lt; 1, N252 - S251-Q252,
    TRUE, P252
)</f>
        <v>0</v>
      </c>
      <c r="P252" s="1852">
        <f>IF(M252=0,0,ROUND(S251*EXP(Int_Rate/365.25 * M252)-S251,2))</f>
        <v>0</v>
      </c>
      <c r="Q252" s="1851" cm="1">
        <f t="array" ref="Q252">_xlfn.IFS(
    AND(I252=TRUE, K252&lt;=No_Regular_Payments), Periodic_Admin_Charge,
   TRUE, 0
)</f>
        <v>0</v>
      </c>
      <c r="R252" s="1850">
        <f>N252-O252-Q252</f>
        <v>0</v>
      </c>
      <c r="S252" s="1850">
        <f>ROUND(S251-R252,2)</f>
        <v>0</v>
      </c>
      <c r="T252" s="1850">
        <f>ROUND(T251-(N252-Q252),2)</f>
        <v>0</v>
      </c>
      <c r="U252" s="1849"/>
      <c r="W252" s="1848"/>
      <c r="X252" s="1848"/>
      <c r="Y252" s="1848"/>
    </row>
    <row r="253" spans="2:25" ht="15.95" hidden="1" customHeight="1">
      <c r="B253" s="1815" t="b">
        <f>AND(I253=FALSE,N252=0,Q252=0,L252="")</f>
        <v>1</v>
      </c>
      <c r="C253" s="1844" t="str" cm="1">
        <f t="array" ref="C253">_xlfn.IFS(
    L253="", "",
    MONTH(L253) &lt;= End_of_Year_Month, YEAR(L253),
    TRUE, YEAR(L253) + 1
)</f>
        <v/>
      </c>
      <c r="F253" s="1857">
        <f>IF(L253="",0,L253)</f>
        <v>0</v>
      </c>
      <c r="G253" s="1856">
        <f>-(N253-Q253)</f>
        <v>0</v>
      </c>
      <c r="I253" s="1815" t="b">
        <f>K253&lt;=Number_Payments</f>
        <v>0</v>
      </c>
      <c r="J253" s="1855"/>
      <c r="K253" s="1351">
        <f>K252+1</f>
        <v>127</v>
      </c>
      <c r="L253" s="1854" t="str" cm="1">
        <f t="array" ref="L253">_xlfn.IFS(
    I252=FALSE, "",
    Payment_Frequency="Monthly", EDATE(L252, 1),
    Payment_Frequency="Weekly", DATE(YEAR(L252), MONTH(L252), DAY(L252) + 7),
    Payment_Frequency="Fortnightly", DATE(YEAR(L252), MONTH(L252), DAY(L252) + 14),
    Payment_Frequency="Quarterly", DATE(YEAR(L252), MONTH(L252) + 3, DAY(L252)),
    Payment_Frequency="Yearly", DATE(YEAR(L252) + 1, MONTH(L252), DAY(L252)),
    TRUE, ""
)</f>
        <v/>
      </c>
      <c r="M253" s="1853">
        <f>IF(ISERROR(L253-L252),0,L253-L252)</f>
        <v>0</v>
      </c>
      <c r="N253" s="1851" cm="1">
        <f t="array" ref="N253">_xlfn.IFS(
    AND(I253=TRUE, K253&lt;=No_Regular_Payments), Repay_Amt,
    AND(I253=TRUE, K253=No_Regular_Payments+1), Tm_Balloon_Amt,
   TRUE, 0
)</f>
        <v>0</v>
      </c>
      <c r="O253" s="1850" cm="1">
        <f t="array" ref="O253">_xlfn.IFS(
    M253=0,0,
   ABS(N253 - S252 - P253-Q253) &lt; 1, N253 - S252-Q253,
    TRUE, P253
)</f>
        <v>0</v>
      </c>
      <c r="P253" s="1852">
        <f>IF(M253=0,0,ROUND(S252*EXP(Int_Rate/365.25 * M253)-S252,2))</f>
        <v>0</v>
      </c>
      <c r="Q253" s="1851" cm="1">
        <f t="array" ref="Q253">_xlfn.IFS(
    AND(I253=TRUE, K253&lt;=No_Regular_Payments), Periodic_Admin_Charge,
   TRUE, 0
)</f>
        <v>0</v>
      </c>
      <c r="R253" s="1850">
        <f>N253-O253-Q253</f>
        <v>0</v>
      </c>
      <c r="S253" s="1850">
        <f>ROUND(S252-R253,2)</f>
        <v>0</v>
      </c>
      <c r="T253" s="1850">
        <f>ROUND(T252-(N253-Q253),2)</f>
        <v>0</v>
      </c>
      <c r="U253" s="1849"/>
      <c r="W253" s="1848"/>
      <c r="X253" s="1848"/>
      <c r="Y253" s="1848"/>
    </row>
    <row r="254" spans="2:25" ht="15.95" hidden="1" customHeight="1">
      <c r="B254" s="1815" t="b">
        <f>AND(I254=FALSE,N253=0,Q253=0,L253="")</f>
        <v>1</v>
      </c>
      <c r="C254" s="1844" t="str" cm="1">
        <f t="array" ref="C254">_xlfn.IFS(
    L254="", "",
    MONTH(L254) &lt;= End_of_Year_Month, YEAR(L254),
    TRUE, YEAR(L254) + 1
)</f>
        <v/>
      </c>
      <c r="F254" s="1857">
        <f>IF(L254="",0,L254)</f>
        <v>0</v>
      </c>
      <c r="G254" s="1856">
        <f>-(N254-Q254)</f>
        <v>0</v>
      </c>
      <c r="I254" s="1815" t="b">
        <f>K254&lt;=Number_Payments</f>
        <v>0</v>
      </c>
      <c r="J254" s="1855"/>
      <c r="K254" s="1351">
        <f>K253+1</f>
        <v>128</v>
      </c>
      <c r="L254" s="1854" t="str" cm="1">
        <f t="array" ref="L254">_xlfn.IFS(
    I253=FALSE, "",
    Payment_Frequency="Monthly", EDATE(L253, 1),
    Payment_Frequency="Weekly", DATE(YEAR(L253), MONTH(L253), DAY(L253) + 7),
    Payment_Frequency="Fortnightly", DATE(YEAR(L253), MONTH(L253), DAY(L253) + 14),
    Payment_Frequency="Quarterly", DATE(YEAR(L253), MONTH(L253) + 3, DAY(L253)),
    Payment_Frequency="Yearly", DATE(YEAR(L253) + 1, MONTH(L253), DAY(L253)),
    TRUE, ""
)</f>
        <v/>
      </c>
      <c r="M254" s="1853">
        <f>IF(ISERROR(L254-L253),0,L254-L253)</f>
        <v>0</v>
      </c>
      <c r="N254" s="1851" cm="1">
        <f t="array" ref="N254">_xlfn.IFS(
    AND(I254=TRUE, K254&lt;=No_Regular_Payments), Repay_Amt,
    AND(I254=TRUE, K254=No_Regular_Payments+1), Tm_Balloon_Amt,
   TRUE, 0
)</f>
        <v>0</v>
      </c>
      <c r="O254" s="1850" cm="1">
        <f t="array" ref="O254">_xlfn.IFS(
    M254=0,0,
   ABS(N254 - S253 - P254-Q254) &lt; 1, N254 - S253-Q254,
    TRUE, P254
)</f>
        <v>0</v>
      </c>
      <c r="P254" s="1852">
        <f>IF(M254=0,0,ROUND(S253*EXP(Int_Rate/365.25 * M254)-S253,2))</f>
        <v>0</v>
      </c>
      <c r="Q254" s="1851" cm="1">
        <f t="array" ref="Q254">_xlfn.IFS(
    AND(I254=TRUE, K254&lt;=No_Regular_Payments), Periodic_Admin_Charge,
   TRUE, 0
)</f>
        <v>0</v>
      </c>
      <c r="R254" s="1850">
        <f>N254-O254-Q254</f>
        <v>0</v>
      </c>
      <c r="S254" s="1850">
        <f>ROUND(S253-R254,2)</f>
        <v>0</v>
      </c>
      <c r="T254" s="1850">
        <f>ROUND(T253-(N254-Q254),2)</f>
        <v>0</v>
      </c>
      <c r="U254" s="1849"/>
      <c r="W254" s="1848"/>
      <c r="X254" s="1848"/>
      <c r="Y254" s="1848"/>
    </row>
    <row r="255" spans="2:25" ht="15.95" hidden="1" customHeight="1">
      <c r="B255" s="1815" t="b">
        <f>AND(I255=FALSE,N254=0,Q254=0,L254="")</f>
        <v>1</v>
      </c>
      <c r="C255" s="1844" t="str" cm="1">
        <f t="array" ref="C255">_xlfn.IFS(
    L255="", "",
    MONTH(L255) &lt;= End_of_Year_Month, YEAR(L255),
    TRUE, YEAR(L255) + 1
)</f>
        <v/>
      </c>
      <c r="F255" s="1857">
        <f>IF(L255="",0,L255)</f>
        <v>0</v>
      </c>
      <c r="G255" s="1856">
        <f>-(N255-Q255)</f>
        <v>0</v>
      </c>
      <c r="I255" s="1815" t="b">
        <f>K255&lt;=Number_Payments</f>
        <v>0</v>
      </c>
      <c r="J255" s="1855"/>
      <c r="K255" s="1351">
        <f>K254+1</f>
        <v>129</v>
      </c>
      <c r="L255" s="1854" t="str" cm="1">
        <f t="array" ref="L255">_xlfn.IFS(
    I254=FALSE, "",
    Payment_Frequency="Monthly", EDATE(L254, 1),
    Payment_Frequency="Weekly", DATE(YEAR(L254), MONTH(L254), DAY(L254) + 7),
    Payment_Frequency="Fortnightly", DATE(YEAR(L254), MONTH(L254), DAY(L254) + 14),
    Payment_Frequency="Quarterly", DATE(YEAR(L254), MONTH(L254) + 3, DAY(L254)),
    Payment_Frequency="Yearly", DATE(YEAR(L254) + 1, MONTH(L254), DAY(L254)),
    TRUE, ""
)</f>
        <v/>
      </c>
      <c r="M255" s="1853">
        <f>IF(ISERROR(L255-L254),0,L255-L254)</f>
        <v>0</v>
      </c>
      <c r="N255" s="1851" cm="1">
        <f t="array" ref="N255">_xlfn.IFS(
    AND(I255=TRUE, K255&lt;=No_Regular_Payments), Repay_Amt,
    AND(I255=TRUE, K255=No_Regular_Payments+1), Tm_Balloon_Amt,
   TRUE, 0
)</f>
        <v>0</v>
      </c>
      <c r="O255" s="1850" cm="1">
        <f t="array" ref="O255">_xlfn.IFS(
    M255=0,0,
   ABS(N255 - S254 - P255-Q255) &lt; 1, N255 - S254-Q255,
    TRUE, P255
)</f>
        <v>0</v>
      </c>
      <c r="P255" s="1852">
        <f>IF(M255=0,0,ROUND(S254*EXP(Int_Rate/365.25 * M255)-S254,2))</f>
        <v>0</v>
      </c>
      <c r="Q255" s="1851" cm="1">
        <f t="array" ref="Q255">_xlfn.IFS(
    AND(I255=TRUE, K255&lt;=No_Regular_Payments), Periodic_Admin_Charge,
   TRUE, 0
)</f>
        <v>0</v>
      </c>
      <c r="R255" s="1850">
        <f>N255-O255-Q255</f>
        <v>0</v>
      </c>
      <c r="S255" s="1850">
        <f>ROUND(S254-R255,2)</f>
        <v>0</v>
      </c>
      <c r="T255" s="1850">
        <f>ROUND(T254-(N255-Q255),2)</f>
        <v>0</v>
      </c>
      <c r="U255" s="1849"/>
      <c r="W255" s="1848"/>
      <c r="X255" s="1848"/>
      <c r="Y255" s="1848"/>
    </row>
    <row r="256" spans="2:25" ht="15.95" hidden="1" customHeight="1">
      <c r="B256" s="1815" t="b">
        <f>AND(I256=FALSE,N255=0,Q255=0,L255="")</f>
        <v>1</v>
      </c>
      <c r="C256" s="1844" t="str" cm="1">
        <f t="array" ref="C256">_xlfn.IFS(
    L256="", "",
    MONTH(L256) &lt;= End_of_Year_Month, YEAR(L256),
    TRUE, YEAR(L256) + 1
)</f>
        <v/>
      </c>
      <c r="F256" s="1857">
        <f>IF(L256="",0,L256)</f>
        <v>0</v>
      </c>
      <c r="G256" s="1856">
        <f>-(N256-Q256)</f>
        <v>0</v>
      </c>
      <c r="I256" s="1815" t="b">
        <f>K256&lt;=Number_Payments</f>
        <v>0</v>
      </c>
      <c r="J256" s="1855"/>
      <c r="K256" s="1351">
        <f>K255+1</f>
        <v>130</v>
      </c>
      <c r="L256" s="1854" t="str" cm="1">
        <f t="array" ref="L256">_xlfn.IFS(
    I255=FALSE, "",
    Payment_Frequency="Monthly", EDATE(L255, 1),
    Payment_Frequency="Weekly", DATE(YEAR(L255), MONTH(L255), DAY(L255) + 7),
    Payment_Frequency="Fortnightly", DATE(YEAR(L255), MONTH(L255), DAY(L255) + 14),
    Payment_Frequency="Quarterly", DATE(YEAR(L255), MONTH(L255) + 3, DAY(L255)),
    Payment_Frequency="Yearly", DATE(YEAR(L255) + 1, MONTH(L255), DAY(L255)),
    TRUE, ""
)</f>
        <v/>
      </c>
      <c r="M256" s="1853">
        <f>IF(ISERROR(L256-L255),0,L256-L255)</f>
        <v>0</v>
      </c>
      <c r="N256" s="1851" cm="1">
        <f t="array" ref="N256">_xlfn.IFS(
    AND(I256=TRUE, K256&lt;=No_Regular_Payments), Repay_Amt,
    AND(I256=TRUE, K256=No_Regular_Payments+1), Tm_Balloon_Amt,
   TRUE, 0
)</f>
        <v>0</v>
      </c>
      <c r="O256" s="1850" cm="1">
        <f t="array" ref="O256">_xlfn.IFS(
    M256=0,0,
   ABS(N256 - S255 - P256-Q256) &lt; 1, N256 - S255-Q256,
    TRUE, P256
)</f>
        <v>0</v>
      </c>
      <c r="P256" s="1852">
        <f>IF(M256=0,0,ROUND(S255*EXP(Int_Rate/365.25 * M256)-S255,2))</f>
        <v>0</v>
      </c>
      <c r="Q256" s="1851" cm="1">
        <f t="array" ref="Q256">_xlfn.IFS(
    AND(I256=TRUE, K256&lt;=No_Regular_Payments), Periodic_Admin_Charge,
   TRUE, 0
)</f>
        <v>0</v>
      </c>
      <c r="R256" s="1850">
        <f>N256-O256-Q256</f>
        <v>0</v>
      </c>
      <c r="S256" s="1850">
        <f>ROUND(S255-R256,2)</f>
        <v>0</v>
      </c>
      <c r="T256" s="1850">
        <f>ROUND(T255-(N256-Q256),2)</f>
        <v>0</v>
      </c>
      <c r="U256" s="1849"/>
      <c r="W256" s="1848"/>
      <c r="X256" s="1848"/>
      <c r="Y256" s="1848"/>
    </row>
    <row r="257" spans="2:25" ht="15.95" hidden="1" customHeight="1">
      <c r="B257" s="1815" t="b">
        <f>AND(I257=FALSE,N256=0,Q256=0,L256="")</f>
        <v>1</v>
      </c>
      <c r="C257" s="1844" t="str" cm="1">
        <f t="array" ref="C257">_xlfn.IFS(
    L257="", "",
    MONTH(L257) &lt;= End_of_Year_Month, YEAR(L257),
    TRUE, YEAR(L257) + 1
)</f>
        <v/>
      </c>
      <c r="F257" s="1857">
        <f>IF(L257="",0,L257)</f>
        <v>0</v>
      </c>
      <c r="G257" s="1856">
        <f>-(N257-Q257)</f>
        <v>0</v>
      </c>
      <c r="I257" s="1815" t="b">
        <f>K257&lt;=Number_Payments</f>
        <v>0</v>
      </c>
      <c r="J257" s="1855"/>
      <c r="K257" s="1351">
        <f>K256+1</f>
        <v>131</v>
      </c>
      <c r="L257" s="1854" t="str" cm="1">
        <f t="array" ref="L257">_xlfn.IFS(
    I256=FALSE, "",
    Payment_Frequency="Monthly", EDATE(L256, 1),
    Payment_Frequency="Weekly", DATE(YEAR(L256), MONTH(L256), DAY(L256) + 7),
    Payment_Frequency="Fortnightly", DATE(YEAR(L256), MONTH(L256), DAY(L256) + 14),
    Payment_Frequency="Quarterly", DATE(YEAR(L256), MONTH(L256) + 3, DAY(L256)),
    Payment_Frequency="Yearly", DATE(YEAR(L256) + 1, MONTH(L256), DAY(L256)),
    TRUE, ""
)</f>
        <v/>
      </c>
      <c r="M257" s="1853">
        <f>IF(ISERROR(L257-L256),0,L257-L256)</f>
        <v>0</v>
      </c>
      <c r="N257" s="1851" cm="1">
        <f t="array" ref="N257">_xlfn.IFS(
    AND(I257=TRUE, K257&lt;=No_Regular_Payments), Repay_Amt,
    AND(I257=TRUE, K257=No_Regular_Payments+1), Tm_Balloon_Amt,
   TRUE, 0
)</f>
        <v>0</v>
      </c>
      <c r="O257" s="1850" cm="1">
        <f t="array" ref="O257">_xlfn.IFS(
    M257=0,0,
   ABS(N257 - S256 - P257-Q257) &lt; 1, N257 - S256-Q257,
    TRUE, P257
)</f>
        <v>0</v>
      </c>
      <c r="P257" s="1852">
        <f>IF(M257=0,0,ROUND(S256*EXP(Int_Rate/365.25 * M257)-S256,2))</f>
        <v>0</v>
      </c>
      <c r="Q257" s="1851" cm="1">
        <f t="array" ref="Q257">_xlfn.IFS(
    AND(I257=TRUE, K257&lt;=No_Regular_Payments), Periodic_Admin_Charge,
   TRUE, 0
)</f>
        <v>0</v>
      </c>
      <c r="R257" s="1850">
        <f>N257-O257-Q257</f>
        <v>0</v>
      </c>
      <c r="S257" s="1850">
        <f>ROUND(S256-R257,2)</f>
        <v>0</v>
      </c>
      <c r="T257" s="1850">
        <f>ROUND(T256-(N257-Q257),2)</f>
        <v>0</v>
      </c>
      <c r="U257" s="1849"/>
      <c r="W257" s="1848"/>
      <c r="X257" s="1848"/>
      <c r="Y257" s="1848"/>
    </row>
    <row r="258" spans="2:25" hidden="1">
      <c r="B258" s="1815" t="b">
        <f>AND(I258=FALSE,N257=0,Q257=0,L257="")</f>
        <v>1</v>
      </c>
      <c r="C258" s="1844" t="str" cm="1">
        <f t="array" ref="C258">_xlfn.IFS(
    L258="", "",
    MONTH(L258) &lt;= End_of_Year_Month, YEAR(L258),
    TRUE, YEAR(L258) + 1
)</f>
        <v/>
      </c>
      <c r="F258" s="1857">
        <f>IF(L258="",0,L258)</f>
        <v>0</v>
      </c>
      <c r="G258" s="1856">
        <f>-(N258-Q258)</f>
        <v>0</v>
      </c>
      <c r="I258" s="1815" t="b">
        <f>K258&lt;=Number_Payments</f>
        <v>0</v>
      </c>
      <c r="J258" s="1855"/>
      <c r="K258" s="1351">
        <f>K257+1</f>
        <v>132</v>
      </c>
      <c r="L258" s="1854" t="str" cm="1">
        <f t="array" ref="L258">_xlfn.IFS(
    I257=FALSE, "",
    Payment_Frequency="Monthly", EDATE(L257, 1),
    Payment_Frequency="Weekly", DATE(YEAR(L257), MONTH(L257), DAY(L257) + 7),
    Payment_Frequency="Fortnightly", DATE(YEAR(L257), MONTH(L257), DAY(L257) + 14),
    Payment_Frequency="Quarterly", DATE(YEAR(L257), MONTH(L257) + 3, DAY(L257)),
    Payment_Frequency="Yearly", DATE(YEAR(L257) + 1, MONTH(L257), DAY(L257)),
    TRUE, ""
)</f>
        <v/>
      </c>
      <c r="M258" s="1853">
        <f>IF(ISERROR(L258-L257),0,L258-L257)</f>
        <v>0</v>
      </c>
      <c r="N258" s="1851" cm="1">
        <f t="array" ref="N258">_xlfn.IFS(
    AND(I258=TRUE, K258&lt;=No_Regular_Payments), Repay_Amt,
    AND(I258=TRUE, K258=No_Regular_Payments+1), Tm_Balloon_Amt,
   TRUE, 0
)</f>
        <v>0</v>
      </c>
      <c r="O258" s="1850" cm="1">
        <f t="array" ref="O258">_xlfn.IFS(
    M258=0,0,
   ABS(N258 - S257 - P258-Q258) &lt; 1, N258 - S257-Q258,
    TRUE, P258
)</f>
        <v>0</v>
      </c>
      <c r="P258" s="1852">
        <f>IF(M258=0,0,ROUND(S257*EXP(Int_Rate/365.25 * M258)-S257,2))</f>
        <v>0</v>
      </c>
      <c r="Q258" s="1851" cm="1">
        <f t="array" ref="Q258">_xlfn.IFS(
    AND(I258=TRUE, K258&lt;=No_Regular_Payments), Periodic_Admin_Charge,
   TRUE, 0
)</f>
        <v>0</v>
      </c>
      <c r="R258" s="1850">
        <f>N258-O258-Q258</f>
        <v>0</v>
      </c>
      <c r="S258" s="1850">
        <f>ROUND(S257-R258,2)</f>
        <v>0</v>
      </c>
      <c r="T258" s="1850">
        <f>ROUND(T257-(N258-Q258),2)</f>
        <v>0</v>
      </c>
      <c r="U258" s="1849"/>
      <c r="W258" s="1848"/>
      <c r="X258" s="1848"/>
      <c r="Y258" s="1848"/>
    </row>
    <row r="259" spans="2:25" hidden="1">
      <c r="B259" s="1815" t="b">
        <f>AND(I259=FALSE,N258=0,Q258=0,L258="")</f>
        <v>1</v>
      </c>
      <c r="C259" s="1844" t="str" cm="1">
        <f t="array" ref="C259">_xlfn.IFS(
    L259="", "",
    MONTH(L259) &lt;= End_of_Year_Month, YEAR(L259),
    TRUE, YEAR(L259) + 1
)</f>
        <v/>
      </c>
      <c r="F259" s="1857">
        <f>IF(L259="",0,L259)</f>
        <v>0</v>
      </c>
      <c r="G259" s="1856">
        <f>-(N259-Q259)</f>
        <v>0</v>
      </c>
      <c r="I259" s="1815" t="b">
        <f>K259&lt;=Number_Payments</f>
        <v>0</v>
      </c>
      <c r="J259" s="1855"/>
      <c r="K259" s="1351">
        <f>K258+1</f>
        <v>133</v>
      </c>
      <c r="L259" s="1854" t="str" cm="1">
        <f t="array" ref="L259">_xlfn.IFS(
    I258=FALSE, "",
    Payment_Frequency="Monthly", EDATE(L258, 1),
    Payment_Frequency="Weekly", DATE(YEAR(L258), MONTH(L258), DAY(L258) + 7),
    Payment_Frequency="Fortnightly", DATE(YEAR(L258), MONTH(L258), DAY(L258) + 14),
    Payment_Frequency="Quarterly", DATE(YEAR(L258), MONTH(L258) + 3, DAY(L258)),
    Payment_Frequency="Yearly", DATE(YEAR(L258) + 1, MONTH(L258), DAY(L258)),
    TRUE, ""
)</f>
        <v/>
      </c>
      <c r="M259" s="1853">
        <f>IF(ISERROR(L259-L258),0,L259-L258)</f>
        <v>0</v>
      </c>
      <c r="N259" s="1851" cm="1">
        <f t="array" ref="N259">_xlfn.IFS(
    AND(I259=TRUE, K259&lt;=No_Regular_Payments), Repay_Amt,
    AND(I259=TRUE, K259=No_Regular_Payments+1), Tm_Balloon_Amt,
   TRUE, 0
)</f>
        <v>0</v>
      </c>
      <c r="O259" s="1850" cm="1">
        <f t="array" ref="O259">_xlfn.IFS(
    M259=0,0,
   ABS(N259 - S258 - P259-Q259) &lt; 1, N259 - S258-Q259,
    TRUE, P259
)</f>
        <v>0</v>
      </c>
      <c r="P259" s="1852">
        <f>IF(M259=0,0,ROUND(S258*EXP(Int_Rate/365.25 * M259)-S258,2))</f>
        <v>0</v>
      </c>
      <c r="Q259" s="1851" cm="1">
        <f t="array" ref="Q259">_xlfn.IFS(
    AND(I259=TRUE, K259&lt;=No_Regular_Payments), Periodic_Admin_Charge,
   TRUE, 0
)</f>
        <v>0</v>
      </c>
      <c r="R259" s="1850">
        <f>N259-O259-Q259</f>
        <v>0</v>
      </c>
      <c r="S259" s="1850">
        <f>ROUND(S258-R259,2)</f>
        <v>0</v>
      </c>
      <c r="T259" s="1850">
        <f>ROUND(T258-(N259-Q259),2)</f>
        <v>0</v>
      </c>
      <c r="U259" s="1849"/>
      <c r="W259" s="1848"/>
      <c r="X259" s="1848"/>
      <c r="Y259" s="1848"/>
    </row>
    <row r="260" spans="2:25" hidden="1">
      <c r="B260" s="1815" t="b">
        <f>AND(I260=FALSE,N259=0,Q259=0,L259="")</f>
        <v>1</v>
      </c>
      <c r="C260" s="1844" t="str" cm="1">
        <f t="array" ref="C260">_xlfn.IFS(
    L260="", "",
    MONTH(L260) &lt;= End_of_Year_Month, YEAR(L260),
    TRUE, YEAR(L260) + 1
)</f>
        <v/>
      </c>
      <c r="F260" s="1857">
        <f>IF(L260="",0,L260)</f>
        <v>0</v>
      </c>
      <c r="G260" s="1856">
        <f>-(N260-Q260)</f>
        <v>0</v>
      </c>
      <c r="I260" s="1815" t="b">
        <f>K260&lt;=Number_Payments</f>
        <v>0</v>
      </c>
      <c r="J260" s="1855"/>
      <c r="K260" s="1351">
        <f>K259+1</f>
        <v>134</v>
      </c>
      <c r="L260" s="1854" t="str" cm="1">
        <f t="array" ref="L260">_xlfn.IFS(
    I259=FALSE, "",
    Payment_Frequency="Monthly", EDATE(L259, 1),
    Payment_Frequency="Weekly", DATE(YEAR(L259), MONTH(L259), DAY(L259) + 7),
    Payment_Frequency="Fortnightly", DATE(YEAR(L259), MONTH(L259), DAY(L259) + 14),
    Payment_Frequency="Quarterly", DATE(YEAR(L259), MONTH(L259) + 3, DAY(L259)),
    Payment_Frequency="Yearly", DATE(YEAR(L259) + 1, MONTH(L259), DAY(L259)),
    TRUE, ""
)</f>
        <v/>
      </c>
      <c r="M260" s="1853">
        <f>IF(ISERROR(L260-L259),0,L260-L259)</f>
        <v>0</v>
      </c>
      <c r="N260" s="1851" cm="1">
        <f t="array" ref="N260">_xlfn.IFS(
    AND(I260=TRUE, K260&lt;=No_Regular_Payments), Repay_Amt,
    AND(I260=TRUE, K260=No_Regular_Payments+1), Tm_Balloon_Amt,
   TRUE, 0
)</f>
        <v>0</v>
      </c>
      <c r="O260" s="1850" cm="1">
        <f t="array" ref="O260">_xlfn.IFS(
    M260=0,0,
   ABS(N260 - S259 - P260-Q260) &lt; 1, N260 - S259-Q260,
    TRUE, P260
)</f>
        <v>0</v>
      </c>
      <c r="P260" s="1852">
        <f>IF(M260=0,0,ROUND(S259*EXP(Int_Rate/365.25 * M260)-S259,2))</f>
        <v>0</v>
      </c>
      <c r="Q260" s="1851" cm="1">
        <f t="array" ref="Q260">_xlfn.IFS(
    AND(I260=TRUE, K260&lt;=No_Regular_Payments), Periodic_Admin_Charge,
   TRUE, 0
)</f>
        <v>0</v>
      </c>
      <c r="R260" s="1850">
        <f>N260-O260-Q260</f>
        <v>0</v>
      </c>
      <c r="S260" s="1850">
        <f>ROUND(S259-R260,2)</f>
        <v>0</v>
      </c>
      <c r="T260" s="1850">
        <f>ROUND(T259-(N260-Q260),2)</f>
        <v>0</v>
      </c>
      <c r="U260" s="1849"/>
      <c r="W260" s="1848"/>
      <c r="X260" s="1848"/>
      <c r="Y260" s="1848"/>
    </row>
    <row r="261" spans="2:25" hidden="1">
      <c r="B261" s="1815" t="b">
        <f>AND(I261=FALSE,N260=0,Q260=0,L260="")</f>
        <v>1</v>
      </c>
      <c r="C261" s="1844" t="str" cm="1">
        <f t="array" ref="C261">_xlfn.IFS(
    L261="", "",
    MONTH(L261) &lt;= End_of_Year_Month, YEAR(L261),
    TRUE, YEAR(L261) + 1
)</f>
        <v/>
      </c>
      <c r="F261" s="1857">
        <f>IF(L261="",0,L261)</f>
        <v>0</v>
      </c>
      <c r="G261" s="1856">
        <f>-(N261-Q261)</f>
        <v>0</v>
      </c>
      <c r="I261" s="1815" t="b">
        <f>K261&lt;=Number_Payments</f>
        <v>0</v>
      </c>
      <c r="J261" s="1855"/>
      <c r="K261" s="1351">
        <f>K260+1</f>
        <v>135</v>
      </c>
      <c r="L261" s="1854" t="str" cm="1">
        <f t="array" ref="L261">_xlfn.IFS(
    I260=FALSE, "",
    Payment_Frequency="Monthly", EDATE(L260, 1),
    Payment_Frequency="Weekly", DATE(YEAR(L260), MONTH(L260), DAY(L260) + 7),
    Payment_Frequency="Fortnightly", DATE(YEAR(L260), MONTH(L260), DAY(L260) + 14),
    Payment_Frequency="Quarterly", DATE(YEAR(L260), MONTH(L260) + 3, DAY(L260)),
    Payment_Frequency="Yearly", DATE(YEAR(L260) + 1, MONTH(L260), DAY(L260)),
    TRUE, ""
)</f>
        <v/>
      </c>
      <c r="M261" s="1853">
        <f>IF(ISERROR(L261-L260),0,L261-L260)</f>
        <v>0</v>
      </c>
      <c r="N261" s="1851" cm="1">
        <f t="array" ref="N261">_xlfn.IFS(
    AND(I261=TRUE, K261&lt;=No_Regular_Payments), Repay_Amt,
    AND(I261=TRUE, K261=No_Regular_Payments+1), Tm_Balloon_Amt,
   TRUE, 0
)</f>
        <v>0</v>
      </c>
      <c r="O261" s="1850" cm="1">
        <f t="array" ref="O261">_xlfn.IFS(
    M261=0,0,
   ABS(N261 - S260 - P261-Q261) &lt; 1, N261 - S260-Q261,
    TRUE, P261
)</f>
        <v>0</v>
      </c>
      <c r="P261" s="1852">
        <f>IF(M261=0,0,ROUND(S260*EXP(Int_Rate/365.25 * M261)-S260,2))</f>
        <v>0</v>
      </c>
      <c r="Q261" s="1851" cm="1">
        <f t="array" ref="Q261">_xlfn.IFS(
    AND(I261=TRUE, K261&lt;=No_Regular_Payments), Periodic_Admin_Charge,
   TRUE, 0
)</f>
        <v>0</v>
      </c>
      <c r="R261" s="1850">
        <f>N261-O261-Q261</f>
        <v>0</v>
      </c>
      <c r="S261" s="1850">
        <f>ROUND(S260-R261,2)</f>
        <v>0</v>
      </c>
      <c r="T261" s="1850">
        <f>ROUND(T260-(N261-Q261),2)</f>
        <v>0</v>
      </c>
      <c r="U261" s="1849"/>
      <c r="W261" s="1848"/>
      <c r="X261" s="1848"/>
      <c r="Y261" s="1848"/>
    </row>
    <row r="262" spans="2:25" hidden="1">
      <c r="B262" s="1815" t="b">
        <f>AND(I262=FALSE,N261=0,Q261=0,L261="")</f>
        <v>1</v>
      </c>
      <c r="C262" s="1844" t="str" cm="1">
        <f t="array" ref="C262">_xlfn.IFS(
    L262="", "",
    MONTH(L262) &lt;= End_of_Year_Month, YEAR(L262),
    TRUE, YEAR(L262) + 1
)</f>
        <v/>
      </c>
      <c r="F262" s="1857">
        <f>IF(L262="",0,L262)</f>
        <v>0</v>
      </c>
      <c r="G262" s="1856">
        <f>-(N262-Q262)</f>
        <v>0</v>
      </c>
      <c r="I262" s="1815" t="b">
        <f>K262&lt;=Number_Payments</f>
        <v>0</v>
      </c>
      <c r="J262" s="1855"/>
      <c r="K262" s="1351">
        <f>K261+1</f>
        <v>136</v>
      </c>
      <c r="L262" s="1854" t="str" cm="1">
        <f t="array" ref="L262">_xlfn.IFS(
    I261=FALSE, "",
    Payment_Frequency="Monthly", EDATE(L261, 1),
    Payment_Frequency="Weekly", DATE(YEAR(L261), MONTH(L261), DAY(L261) + 7),
    Payment_Frequency="Fortnightly", DATE(YEAR(L261), MONTH(L261), DAY(L261) + 14),
    Payment_Frequency="Quarterly", DATE(YEAR(L261), MONTH(L261) + 3, DAY(L261)),
    Payment_Frequency="Yearly", DATE(YEAR(L261) + 1, MONTH(L261), DAY(L261)),
    TRUE, ""
)</f>
        <v/>
      </c>
      <c r="M262" s="1853">
        <f>IF(ISERROR(L262-L261),0,L262-L261)</f>
        <v>0</v>
      </c>
      <c r="N262" s="1851" cm="1">
        <f t="array" ref="N262">_xlfn.IFS(
    AND(I262=TRUE, K262&lt;=No_Regular_Payments), Repay_Amt,
    AND(I262=TRUE, K262=No_Regular_Payments+1), Tm_Balloon_Amt,
   TRUE, 0
)</f>
        <v>0</v>
      </c>
      <c r="O262" s="1850" cm="1">
        <f t="array" ref="O262">_xlfn.IFS(
    M262=0,0,
   ABS(N262 - S261 - P262-Q262) &lt; 1, N262 - S261-Q262,
    TRUE, P262
)</f>
        <v>0</v>
      </c>
      <c r="P262" s="1852">
        <f>IF(M262=0,0,ROUND(S261*EXP(Int_Rate/365.25 * M262)-S261,2))</f>
        <v>0</v>
      </c>
      <c r="Q262" s="1851" cm="1">
        <f t="array" ref="Q262">_xlfn.IFS(
    AND(I262=TRUE, K262&lt;=No_Regular_Payments), Periodic_Admin_Charge,
   TRUE, 0
)</f>
        <v>0</v>
      </c>
      <c r="R262" s="1850">
        <f>N262-O262-Q262</f>
        <v>0</v>
      </c>
      <c r="S262" s="1850">
        <f>ROUND(S261-R262,2)</f>
        <v>0</v>
      </c>
      <c r="T262" s="1850">
        <f>ROUND(T261-(N262-Q262),2)</f>
        <v>0</v>
      </c>
      <c r="U262" s="1849"/>
      <c r="W262" s="1848"/>
      <c r="X262" s="1848"/>
      <c r="Y262" s="1848"/>
    </row>
    <row r="263" spans="2:25" hidden="1">
      <c r="B263" s="1815" t="b">
        <f>AND(I263=FALSE,N262=0,Q262=0,L262="")</f>
        <v>1</v>
      </c>
      <c r="C263" s="1844" t="str" cm="1">
        <f t="array" ref="C263">_xlfn.IFS(
    L263="", "",
    MONTH(L263) &lt;= End_of_Year_Month, YEAR(L263),
    TRUE, YEAR(L263) + 1
)</f>
        <v/>
      </c>
      <c r="F263" s="1857">
        <f>IF(L263="",0,L263)</f>
        <v>0</v>
      </c>
      <c r="G263" s="1856">
        <f>-(N263-Q263)</f>
        <v>0</v>
      </c>
      <c r="I263" s="1815" t="b">
        <f>K263&lt;=Number_Payments</f>
        <v>0</v>
      </c>
      <c r="J263" s="1855"/>
      <c r="K263" s="1351">
        <f>K262+1</f>
        <v>137</v>
      </c>
      <c r="L263" s="1854" t="str" cm="1">
        <f t="array" ref="L263">_xlfn.IFS(
    I262=FALSE, "",
    Payment_Frequency="Monthly", EDATE(L262, 1),
    Payment_Frequency="Weekly", DATE(YEAR(L262), MONTH(L262), DAY(L262) + 7),
    Payment_Frequency="Fortnightly", DATE(YEAR(L262), MONTH(L262), DAY(L262) + 14),
    Payment_Frequency="Quarterly", DATE(YEAR(L262), MONTH(L262) + 3, DAY(L262)),
    Payment_Frequency="Yearly", DATE(YEAR(L262) + 1, MONTH(L262), DAY(L262)),
    TRUE, ""
)</f>
        <v/>
      </c>
      <c r="M263" s="1853">
        <f>IF(ISERROR(L263-L262),0,L263-L262)</f>
        <v>0</v>
      </c>
      <c r="N263" s="1851" cm="1">
        <f t="array" ref="N263">_xlfn.IFS(
    AND(I263=TRUE, K263&lt;=No_Regular_Payments), Repay_Amt,
    AND(I263=TRUE, K263=No_Regular_Payments+1), Tm_Balloon_Amt,
   TRUE, 0
)</f>
        <v>0</v>
      </c>
      <c r="O263" s="1850" cm="1">
        <f t="array" ref="O263">_xlfn.IFS(
    M263=0,0,
   ABS(N263 - S262 - P263-Q263) &lt; 1, N263 - S262-Q263,
    TRUE, P263
)</f>
        <v>0</v>
      </c>
      <c r="P263" s="1852">
        <f>IF(M263=0,0,ROUND(S262*EXP(Int_Rate/365.25 * M263)-S262,2))</f>
        <v>0</v>
      </c>
      <c r="Q263" s="1851" cm="1">
        <f t="array" ref="Q263">_xlfn.IFS(
    AND(I263=TRUE, K263&lt;=No_Regular_Payments), Periodic_Admin_Charge,
   TRUE, 0
)</f>
        <v>0</v>
      </c>
      <c r="R263" s="1850">
        <f>N263-O263-Q263</f>
        <v>0</v>
      </c>
      <c r="S263" s="1850">
        <f>ROUND(S262-R263,2)</f>
        <v>0</v>
      </c>
      <c r="T263" s="1850">
        <f>ROUND(T262-(N263-Q263),2)</f>
        <v>0</v>
      </c>
      <c r="U263" s="1849"/>
      <c r="W263" s="1848"/>
      <c r="X263" s="1848"/>
      <c r="Y263" s="1848"/>
    </row>
    <row r="264" spans="2:25" hidden="1">
      <c r="B264" s="1815" t="b">
        <f>AND(I264=FALSE,N263=0,Q263=0,L263="")</f>
        <v>1</v>
      </c>
      <c r="C264" s="1844" t="str" cm="1">
        <f t="array" ref="C264">_xlfn.IFS(
    L264="", "",
    MONTH(L264) &lt;= End_of_Year_Month, YEAR(L264),
    TRUE, YEAR(L264) + 1
)</f>
        <v/>
      </c>
      <c r="F264" s="1857">
        <f>IF(L264="",0,L264)</f>
        <v>0</v>
      </c>
      <c r="G264" s="1856">
        <f>-(N264-Q264)</f>
        <v>0</v>
      </c>
      <c r="I264" s="1815" t="b">
        <f>K264&lt;=Number_Payments</f>
        <v>0</v>
      </c>
      <c r="J264" s="1855"/>
      <c r="K264" s="1351">
        <f>K263+1</f>
        <v>138</v>
      </c>
      <c r="L264" s="1854" t="str" cm="1">
        <f t="array" ref="L264">_xlfn.IFS(
    I263=FALSE, "",
    Payment_Frequency="Monthly", EDATE(L263, 1),
    Payment_Frequency="Weekly", DATE(YEAR(L263), MONTH(L263), DAY(L263) + 7),
    Payment_Frequency="Fortnightly", DATE(YEAR(L263), MONTH(L263), DAY(L263) + 14),
    Payment_Frequency="Quarterly", DATE(YEAR(L263), MONTH(L263) + 3, DAY(L263)),
    Payment_Frequency="Yearly", DATE(YEAR(L263) + 1, MONTH(L263), DAY(L263)),
    TRUE, ""
)</f>
        <v/>
      </c>
      <c r="M264" s="1853">
        <f>IF(ISERROR(L264-L263),0,L264-L263)</f>
        <v>0</v>
      </c>
      <c r="N264" s="1851" cm="1">
        <f t="array" ref="N264">_xlfn.IFS(
    AND(I264=TRUE, K264&lt;=No_Regular_Payments), Repay_Amt,
    AND(I264=TRUE, K264=No_Regular_Payments+1), Tm_Balloon_Amt,
   TRUE, 0
)</f>
        <v>0</v>
      </c>
      <c r="O264" s="1850" cm="1">
        <f t="array" ref="O264">_xlfn.IFS(
    M264=0,0,
   ABS(N264 - S263 - P264-Q264) &lt; 1, N264 - S263-Q264,
    TRUE, P264
)</f>
        <v>0</v>
      </c>
      <c r="P264" s="1852">
        <f>IF(M264=0,0,ROUND(S263*EXP(Int_Rate/365.25 * M264)-S263,2))</f>
        <v>0</v>
      </c>
      <c r="Q264" s="1851" cm="1">
        <f t="array" ref="Q264">_xlfn.IFS(
    AND(I264=TRUE, K264&lt;=No_Regular_Payments), Periodic_Admin_Charge,
   TRUE, 0
)</f>
        <v>0</v>
      </c>
      <c r="R264" s="1850">
        <f>N264-O264-Q264</f>
        <v>0</v>
      </c>
      <c r="S264" s="1850">
        <f>ROUND(S263-R264,2)</f>
        <v>0</v>
      </c>
      <c r="T264" s="1850">
        <f>ROUND(T263-(N264-Q264),2)</f>
        <v>0</v>
      </c>
      <c r="U264" s="1849"/>
      <c r="W264" s="1848"/>
      <c r="X264" s="1848"/>
      <c r="Y264" s="1848"/>
    </row>
    <row r="265" spans="2:25" hidden="1">
      <c r="B265" s="1815" t="b">
        <f>AND(I265=FALSE,N264=0,Q264=0,L264="")</f>
        <v>1</v>
      </c>
      <c r="C265" s="1844" t="str" cm="1">
        <f t="array" ref="C265">_xlfn.IFS(
    L265="", "",
    MONTH(L265) &lt;= End_of_Year_Month, YEAR(L265),
    TRUE, YEAR(L265) + 1
)</f>
        <v/>
      </c>
      <c r="F265" s="1857">
        <f>IF(L265="",0,L265)</f>
        <v>0</v>
      </c>
      <c r="G265" s="1856">
        <f>-(N265-Q265)</f>
        <v>0</v>
      </c>
      <c r="I265" s="1815" t="b">
        <f>K265&lt;=Number_Payments</f>
        <v>0</v>
      </c>
      <c r="J265" s="1855"/>
      <c r="K265" s="1351">
        <f>K264+1</f>
        <v>139</v>
      </c>
      <c r="L265" s="1854" t="str" cm="1">
        <f t="array" ref="L265">_xlfn.IFS(
    I264=FALSE, "",
    Payment_Frequency="Monthly", EDATE(L264, 1),
    Payment_Frequency="Weekly", DATE(YEAR(L264), MONTH(L264), DAY(L264) + 7),
    Payment_Frequency="Fortnightly", DATE(YEAR(L264), MONTH(L264), DAY(L264) + 14),
    Payment_Frequency="Quarterly", DATE(YEAR(L264), MONTH(L264) + 3, DAY(L264)),
    Payment_Frequency="Yearly", DATE(YEAR(L264) + 1, MONTH(L264), DAY(L264)),
    TRUE, ""
)</f>
        <v/>
      </c>
      <c r="M265" s="1853">
        <f>IF(ISERROR(L265-L264),0,L265-L264)</f>
        <v>0</v>
      </c>
      <c r="N265" s="1851" cm="1">
        <f t="array" ref="N265">_xlfn.IFS(
    AND(I265=TRUE, K265&lt;=No_Regular_Payments), Repay_Amt,
    AND(I265=TRUE, K265=No_Regular_Payments+1), Tm_Balloon_Amt,
   TRUE, 0
)</f>
        <v>0</v>
      </c>
      <c r="O265" s="1850" cm="1">
        <f t="array" ref="O265">_xlfn.IFS(
    M265=0,0,
   ABS(N265 - S264 - P265-Q265) &lt; 1, N265 - S264-Q265,
    TRUE, P265
)</f>
        <v>0</v>
      </c>
      <c r="P265" s="1852">
        <f>IF(M265=0,0,ROUND(S264*EXP(Int_Rate/365.25 * M265)-S264,2))</f>
        <v>0</v>
      </c>
      <c r="Q265" s="1851" cm="1">
        <f t="array" ref="Q265">_xlfn.IFS(
    AND(I265=TRUE, K265&lt;=No_Regular_Payments), Periodic_Admin_Charge,
   TRUE, 0
)</f>
        <v>0</v>
      </c>
      <c r="R265" s="1850">
        <f>N265-O265-Q265</f>
        <v>0</v>
      </c>
      <c r="S265" s="1850">
        <f>ROUND(S264-R265,2)</f>
        <v>0</v>
      </c>
      <c r="T265" s="1850">
        <f>ROUND(T264-(N265-Q265),2)</f>
        <v>0</v>
      </c>
      <c r="U265" s="1849"/>
      <c r="W265" s="1848"/>
      <c r="X265" s="1848"/>
      <c r="Y265" s="1848"/>
    </row>
    <row r="266" spans="2:25" hidden="1">
      <c r="B266" s="1815" t="b">
        <f>AND(I266=FALSE,N265=0,Q265=0,L265="")</f>
        <v>1</v>
      </c>
      <c r="C266" s="1844" t="str" cm="1">
        <f t="array" ref="C266">_xlfn.IFS(
    L266="", "",
    MONTH(L266) &lt;= End_of_Year_Month, YEAR(L266),
    TRUE, YEAR(L266) + 1
)</f>
        <v/>
      </c>
      <c r="F266" s="1857">
        <f>IF(L266="",0,L266)</f>
        <v>0</v>
      </c>
      <c r="G266" s="1856">
        <f>-(N266-Q266)</f>
        <v>0</v>
      </c>
      <c r="I266" s="1815" t="b">
        <f>K266&lt;=Number_Payments</f>
        <v>0</v>
      </c>
      <c r="J266" s="1855"/>
      <c r="K266" s="1351">
        <f>K265+1</f>
        <v>140</v>
      </c>
      <c r="L266" s="1854" t="str" cm="1">
        <f t="array" ref="L266">_xlfn.IFS(
    I265=FALSE, "",
    Payment_Frequency="Monthly", EDATE(L265, 1),
    Payment_Frequency="Weekly", DATE(YEAR(L265), MONTH(L265), DAY(L265) + 7),
    Payment_Frequency="Fortnightly", DATE(YEAR(L265), MONTH(L265), DAY(L265) + 14),
    Payment_Frequency="Quarterly", DATE(YEAR(L265), MONTH(L265) + 3, DAY(L265)),
    Payment_Frequency="Yearly", DATE(YEAR(L265) + 1, MONTH(L265), DAY(L265)),
    TRUE, ""
)</f>
        <v/>
      </c>
      <c r="M266" s="1853">
        <f>IF(ISERROR(L266-L265),0,L266-L265)</f>
        <v>0</v>
      </c>
      <c r="N266" s="1851" cm="1">
        <f t="array" ref="N266">_xlfn.IFS(
    AND(I266=TRUE, K266&lt;=No_Regular_Payments), Repay_Amt,
    AND(I266=TRUE, K266=No_Regular_Payments+1), Tm_Balloon_Amt,
   TRUE, 0
)</f>
        <v>0</v>
      </c>
      <c r="O266" s="1850" cm="1">
        <f t="array" ref="O266">_xlfn.IFS(
    M266=0,0,
   ABS(N266 - S265 - P266-Q266) &lt; 1, N266 - S265-Q266,
    TRUE, P266
)</f>
        <v>0</v>
      </c>
      <c r="P266" s="1852">
        <f>IF(M266=0,0,ROUND(S265*EXP(Int_Rate/365.25 * M266)-S265,2))</f>
        <v>0</v>
      </c>
      <c r="Q266" s="1851" cm="1">
        <f t="array" ref="Q266">_xlfn.IFS(
    AND(I266=TRUE, K266&lt;=No_Regular_Payments), Periodic_Admin_Charge,
   TRUE, 0
)</f>
        <v>0</v>
      </c>
      <c r="R266" s="1850">
        <f>N266-O266-Q266</f>
        <v>0</v>
      </c>
      <c r="S266" s="1850">
        <f>ROUND(S265-R266,2)</f>
        <v>0</v>
      </c>
      <c r="T266" s="1850">
        <f>ROUND(T265-(N266-Q266),2)</f>
        <v>0</v>
      </c>
      <c r="U266" s="1849"/>
      <c r="W266" s="1848"/>
      <c r="X266" s="1848"/>
      <c r="Y266" s="1848"/>
    </row>
    <row r="267" spans="2:25" hidden="1">
      <c r="B267" s="1815" t="b">
        <f>AND(I267=FALSE,N266=0,Q266=0,L266="")</f>
        <v>1</v>
      </c>
      <c r="C267" s="1844" t="str" cm="1">
        <f t="array" ref="C267">_xlfn.IFS(
    L267="", "",
    MONTH(L267) &lt;= End_of_Year_Month, YEAR(L267),
    TRUE, YEAR(L267) + 1
)</f>
        <v/>
      </c>
      <c r="F267" s="1857">
        <f>IF(L267="",0,L267)</f>
        <v>0</v>
      </c>
      <c r="G267" s="1856">
        <f>-(N267-Q267)</f>
        <v>0</v>
      </c>
      <c r="I267" s="1815" t="b">
        <f>K267&lt;=Number_Payments</f>
        <v>0</v>
      </c>
      <c r="J267" s="1855"/>
      <c r="K267" s="1351">
        <f>K266+1</f>
        <v>141</v>
      </c>
      <c r="L267" s="1854" t="str" cm="1">
        <f t="array" ref="L267">_xlfn.IFS(
    I266=FALSE, "",
    Payment_Frequency="Monthly", EDATE(L266, 1),
    Payment_Frequency="Weekly", DATE(YEAR(L266), MONTH(L266), DAY(L266) + 7),
    Payment_Frequency="Fortnightly", DATE(YEAR(L266), MONTH(L266), DAY(L266) + 14),
    Payment_Frequency="Quarterly", DATE(YEAR(L266), MONTH(L266) + 3, DAY(L266)),
    Payment_Frequency="Yearly", DATE(YEAR(L266) + 1, MONTH(L266), DAY(L266)),
    TRUE, ""
)</f>
        <v/>
      </c>
      <c r="M267" s="1853">
        <f>IF(ISERROR(L267-L266),0,L267-L266)</f>
        <v>0</v>
      </c>
      <c r="N267" s="1851" cm="1">
        <f t="array" ref="N267">_xlfn.IFS(
    AND(I267=TRUE, K267&lt;=No_Regular_Payments), Repay_Amt,
    AND(I267=TRUE, K267=No_Regular_Payments+1), Tm_Balloon_Amt,
   TRUE, 0
)</f>
        <v>0</v>
      </c>
      <c r="O267" s="1850" cm="1">
        <f t="array" ref="O267">_xlfn.IFS(
    M267=0,0,
   ABS(N267 - S266 - P267-Q267) &lt; 1, N267 - S266-Q267,
    TRUE, P267
)</f>
        <v>0</v>
      </c>
      <c r="P267" s="1852">
        <f>IF(M267=0,0,ROUND(S266*EXP(Int_Rate/365.25 * M267)-S266,2))</f>
        <v>0</v>
      </c>
      <c r="Q267" s="1851" cm="1">
        <f t="array" ref="Q267">_xlfn.IFS(
    AND(I267=TRUE, K267&lt;=No_Regular_Payments), Periodic_Admin_Charge,
   TRUE, 0
)</f>
        <v>0</v>
      </c>
      <c r="R267" s="1850">
        <f>N267-O267-Q267</f>
        <v>0</v>
      </c>
      <c r="S267" s="1850">
        <f>ROUND(S266-R267,2)</f>
        <v>0</v>
      </c>
      <c r="T267" s="1850">
        <f>ROUND(T266-(N267-Q267),2)</f>
        <v>0</v>
      </c>
      <c r="U267" s="1849"/>
      <c r="W267" s="1848"/>
      <c r="X267" s="1848"/>
      <c r="Y267" s="1848"/>
    </row>
    <row r="268" spans="2:25" hidden="1">
      <c r="B268" s="1815" t="b">
        <f>AND(I268=FALSE,N267=0,Q267=0,L267="")</f>
        <v>1</v>
      </c>
      <c r="C268" s="1844" t="str" cm="1">
        <f t="array" ref="C268">_xlfn.IFS(
    L268="", "",
    MONTH(L268) &lt;= End_of_Year_Month, YEAR(L268),
    TRUE, YEAR(L268) + 1
)</f>
        <v/>
      </c>
      <c r="F268" s="1857">
        <f>IF(L268="",0,L268)</f>
        <v>0</v>
      </c>
      <c r="G268" s="1856">
        <f>-(N268-Q268)</f>
        <v>0</v>
      </c>
      <c r="I268" s="1815" t="b">
        <f>K268&lt;=Number_Payments</f>
        <v>0</v>
      </c>
      <c r="J268" s="1855"/>
      <c r="K268" s="1351">
        <f>K267+1</f>
        <v>142</v>
      </c>
      <c r="L268" s="1854" t="str" cm="1">
        <f t="array" ref="L268">_xlfn.IFS(
    I267=FALSE, "",
    Payment_Frequency="Monthly", EDATE(L267, 1),
    Payment_Frequency="Weekly", DATE(YEAR(L267), MONTH(L267), DAY(L267) + 7),
    Payment_Frequency="Fortnightly", DATE(YEAR(L267), MONTH(L267), DAY(L267) + 14),
    Payment_Frequency="Quarterly", DATE(YEAR(L267), MONTH(L267) + 3, DAY(L267)),
    Payment_Frequency="Yearly", DATE(YEAR(L267) + 1, MONTH(L267), DAY(L267)),
    TRUE, ""
)</f>
        <v/>
      </c>
      <c r="M268" s="1853">
        <f>IF(ISERROR(L268-L267),0,L268-L267)</f>
        <v>0</v>
      </c>
      <c r="N268" s="1851" cm="1">
        <f t="array" ref="N268">_xlfn.IFS(
    AND(I268=TRUE, K268&lt;=No_Regular_Payments), Repay_Amt,
    AND(I268=TRUE, K268=No_Regular_Payments+1), Tm_Balloon_Amt,
   TRUE, 0
)</f>
        <v>0</v>
      </c>
      <c r="O268" s="1850" cm="1">
        <f t="array" ref="O268">_xlfn.IFS(
    M268=0,0,
   ABS(N268 - S267 - P268-Q268) &lt; 1, N268 - S267-Q268,
    TRUE, P268
)</f>
        <v>0</v>
      </c>
      <c r="P268" s="1852">
        <f>IF(M268=0,0,ROUND(S267*EXP(Int_Rate/365.25 * M268)-S267,2))</f>
        <v>0</v>
      </c>
      <c r="Q268" s="1851" cm="1">
        <f t="array" ref="Q268">_xlfn.IFS(
    AND(I268=TRUE, K268&lt;=No_Regular_Payments), Periodic_Admin_Charge,
   TRUE, 0
)</f>
        <v>0</v>
      </c>
      <c r="R268" s="1850">
        <f>N268-O268-Q268</f>
        <v>0</v>
      </c>
      <c r="S268" s="1850">
        <f>ROUND(S267-R268,2)</f>
        <v>0</v>
      </c>
      <c r="T268" s="1850">
        <f>ROUND(T267-(N268-Q268),2)</f>
        <v>0</v>
      </c>
      <c r="U268" s="1849"/>
      <c r="W268" s="1848"/>
      <c r="X268" s="1848"/>
      <c r="Y268" s="1848"/>
    </row>
    <row r="269" spans="2:25" hidden="1">
      <c r="B269" s="1815" t="b">
        <f>AND(I269=FALSE,N268=0,Q268=0,L268="")</f>
        <v>1</v>
      </c>
      <c r="C269" s="1844" t="str" cm="1">
        <f t="array" ref="C269">_xlfn.IFS(
    L269="", "",
    MONTH(L269) &lt;= End_of_Year_Month, YEAR(L269),
    TRUE, YEAR(L269) + 1
)</f>
        <v/>
      </c>
      <c r="F269" s="1857">
        <f>IF(L269="",0,L269)</f>
        <v>0</v>
      </c>
      <c r="G269" s="1856">
        <f>-(N269-Q269)</f>
        <v>0</v>
      </c>
      <c r="I269" s="1815" t="b">
        <f>K269&lt;=Number_Payments</f>
        <v>0</v>
      </c>
      <c r="J269" s="1855"/>
      <c r="K269" s="1351">
        <f>K268+1</f>
        <v>143</v>
      </c>
      <c r="L269" s="1854" t="str" cm="1">
        <f t="array" ref="L269">_xlfn.IFS(
    I268=FALSE, "",
    Payment_Frequency="Monthly", EDATE(L268, 1),
    Payment_Frequency="Weekly", DATE(YEAR(L268), MONTH(L268), DAY(L268) + 7),
    Payment_Frequency="Fortnightly", DATE(YEAR(L268), MONTH(L268), DAY(L268) + 14),
    Payment_Frequency="Quarterly", DATE(YEAR(L268), MONTH(L268) + 3, DAY(L268)),
    Payment_Frequency="Yearly", DATE(YEAR(L268) + 1, MONTH(L268), DAY(L268)),
    TRUE, ""
)</f>
        <v/>
      </c>
      <c r="M269" s="1853">
        <f>IF(ISERROR(L269-L268),0,L269-L268)</f>
        <v>0</v>
      </c>
      <c r="N269" s="1851" cm="1">
        <f t="array" ref="N269">_xlfn.IFS(
    AND(I269=TRUE, K269&lt;=No_Regular_Payments), Repay_Amt,
    AND(I269=TRUE, K269=No_Regular_Payments+1), Tm_Balloon_Amt,
   TRUE, 0
)</f>
        <v>0</v>
      </c>
      <c r="O269" s="1850" cm="1">
        <f t="array" ref="O269">_xlfn.IFS(
    M269=0,0,
   ABS(N269 - S268 - P269-Q269) &lt; 1, N269 - S268-Q269,
    TRUE, P269
)</f>
        <v>0</v>
      </c>
      <c r="P269" s="1852">
        <f>IF(M269=0,0,ROUND(S268*EXP(Int_Rate/365.25 * M269)-S268,2))</f>
        <v>0</v>
      </c>
      <c r="Q269" s="1851" cm="1">
        <f t="array" ref="Q269">_xlfn.IFS(
    AND(I269=TRUE, K269&lt;=No_Regular_Payments), Periodic_Admin_Charge,
   TRUE, 0
)</f>
        <v>0</v>
      </c>
      <c r="R269" s="1850">
        <f>N269-O269-Q269</f>
        <v>0</v>
      </c>
      <c r="S269" s="1850">
        <f>ROUND(S268-R269,2)</f>
        <v>0</v>
      </c>
      <c r="T269" s="1850">
        <f>ROUND(T268-(N269-Q269),2)</f>
        <v>0</v>
      </c>
      <c r="U269" s="1849"/>
      <c r="W269" s="1848"/>
      <c r="X269" s="1848"/>
      <c r="Y269" s="1848"/>
    </row>
    <row r="270" spans="2:25" hidden="1">
      <c r="B270" s="1815" t="b">
        <f>AND(I270=FALSE,N269=0,Q269=0,L269="")</f>
        <v>1</v>
      </c>
      <c r="C270" s="1844" t="str" cm="1">
        <f t="array" ref="C270">_xlfn.IFS(
    L270="", "",
    MONTH(L270) &lt;= End_of_Year_Month, YEAR(L270),
    TRUE, YEAR(L270) + 1
)</f>
        <v/>
      </c>
      <c r="F270" s="1857">
        <f>IF(L270="",0,L270)</f>
        <v>0</v>
      </c>
      <c r="G270" s="1856">
        <f>-(N270-Q270)</f>
        <v>0</v>
      </c>
      <c r="I270" s="1815" t="b">
        <f>K270&lt;=Number_Payments</f>
        <v>0</v>
      </c>
      <c r="J270" s="1855"/>
      <c r="K270" s="1351">
        <f>K269+1</f>
        <v>144</v>
      </c>
      <c r="L270" s="1854" t="str" cm="1">
        <f t="array" ref="L270">_xlfn.IFS(
    I269=FALSE, "",
    Payment_Frequency="Monthly", EDATE(L269, 1),
    Payment_Frequency="Weekly", DATE(YEAR(L269), MONTH(L269), DAY(L269) + 7),
    Payment_Frequency="Fortnightly", DATE(YEAR(L269), MONTH(L269), DAY(L269) + 14),
    Payment_Frequency="Quarterly", DATE(YEAR(L269), MONTH(L269) + 3, DAY(L269)),
    Payment_Frequency="Yearly", DATE(YEAR(L269) + 1, MONTH(L269), DAY(L269)),
    TRUE, ""
)</f>
        <v/>
      </c>
      <c r="M270" s="1853">
        <f>IF(ISERROR(L270-L269),0,L270-L269)</f>
        <v>0</v>
      </c>
      <c r="N270" s="1851" cm="1">
        <f t="array" ref="N270">_xlfn.IFS(
    AND(I270=TRUE, K270&lt;=No_Regular_Payments), Repay_Amt,
    AND(I270=TRUE, K270=No_Regular_Payments+1), Tm_Balloon_Amt,
   TRUE, 0
)</f>
        <v>0</v>
      </c>
      <c r="O270" s="1850" cm="1">
        <f t="array" ref="O270">_xlfn.IFS(
    M270=0,0,
   ABS(N270 - S269 - P270-Q270) &lt; 1, N270 - S269-Q270,
    TRUE, P270
)</f>
        <v>0</v>
      </c>
      <c r="P270" s="1852">
        <f>IF(M270=0,0,ROUND(S269*EXP(Int_Rate/365.25 * M270)-S269,2))</f>
        <v>0</v>
      </c>
      <c r="Q270" s="1851" cm="1">
        <f t="array" ref="Q270">_xlfn.IFS(
    AND(I270=TRUE, K270&lt;=No_Regular_Payments), Periodic_Admin_Charge,
   TRUE, 0
)</f>
        <v>0</v>
      </c>
      <c r="R270" s="1850">
        <f>N270-O270-Q270</f>
        <v>0</v>
      </c>
      <c r="S270" s="1850">
        <f>ROUND(S269-R270,2)</f>
        <v>0</v>
      </c>
      <c r="T270" s="1850">
        <f>ROUND(T269-(N270-Q270),2)</f>
        <v>0</v>
      </c>
      <c r="U270" s="1849"/>
      <c r="W270" s="1848"/>
      <c r="X270" s="1848"/>
      <c r="Y270" s="1848"/>
    </row>
    <row r="271" spans="2:25" hidden="1">
      <c r="B271" s="1815" t="b">
        <f>AND(I271=FALSE,N270=0,Q270=0,L270="")</f>
        <v>1</v>
      </c>
      <c r="C271" s="1844" t="str" cm="1">
        <f t="array" ref="C271">_xlfn.IFS(
    L271="", "",
    MONTH(L271) &lt;= End_of_Year_Month, YEAR(L271),
    TRUE, YEAR(L271) + 1
)</f>
        <v/>
      </c>
      <c r="F271" s="1857">
        <f>IF(L271="",0,L271)</f>
        <v>0</v>
      </c>
      <c r="G271" s="1856">
        <f>-(N271-Q271)</f>
        <v>0</v>
      </c>
      <c r="I271" s="1815" t="b">
        <f>K271&lt;=Number_Payments</f>
        <v>0</v>
      </c>
      <c r="J271" s="1855"/>
      <c r="K271" s="1351">
        <f>K270+1</f>
        <v>145</v>
      </c>
      <c r="L271" s="1854" t="str" cm="1">
        <f t="array" ref="L271">_xlfn.IFS(
    I270=FALSE, "",
    Payment_Frequency="Monthly", EDATE(L270, 1),
    Payment_Frequency="Weekly", DATE(YEAR(L270), MONTH(L270), DAY(L270) + 7),
    Payment_Frequency="Fortnightly", DATE(YEAR(L270), MONTH(L270), DAY(L270) + 14),
    Payment_Frequency="Quarterly", DATE(YEAR(L270), MONTH(L270) + 3, DAY(L270)),
    Payment_Frequency="Yearly", DATE(YEAR(L270) + 1, MONTH(L270), DAY(L270)),
    TRUE, ""
)</f>
        <v/>
      </c>
      <c r="M271" s="1853">
        <f>IF(ISERROR(L271-L270),0,L271-L270)</f>
        <v>0</v>
      </c>
      <c r="N271" s="1851" cm="1">
        <f t="array" ref="N271">_xlfn.IFS(
    AND(I271=TRUE, K271&lt;=No_Regular_Payments), Repay_Amt,
    AND(I271=TRUE, K271=No_Regular_Payments+1), Tm_Balloon_Amt,
   TRUE, 0
)</f>
        <v>0</v>
      </c>
      <c r="O271" s="1850" cm="1">
        <f t="array" ref="O271">_xlfn.IFS(
    M271=0,0,
   ABS(N271 - S270 - P271-Q271) &lt; 1, N271 - S270-Q271,
    TRUE, P271
)</f>
        <v>0</v>
      </c>
      <c r="P271" s="1852">
        <f>IF(M271=0,0,ROUND(S270*EXP(Int_Rate/365.25 * M271)-S270,2))</f>
        <v>0</v>
      </c>
      <c r="Q271" s="1851" cm="1">
        <f t="array" ref="Q271">_xlfn.IFS(
    AND(I271=TRUE, K271&lt;=No_Regular_Payments), Periodic_Admin_Charge,
   TRUE, 0
)</f>
        <v>0</v>
      </c>
      <c r="R271" s="1850">
        <f>N271-O271-Q271</f>
        <v>0</v>
      </c>
      <c r="S271" s="1850">
        <f>ROUND(S270-R271,2)</f>
        <v>0</v>
      </c>
      <c r="T271" s="1850">
        <f>ROUND(T270-(N271-Q271),2)</f>
        <v>0</v>
      </c>
      <c r="U271" s="1849"/>
      <c r="W271" s="1848"/>
      <c r="X271" s="1848"/>
      <c r="Y271" s="1848"/>
    </row>
    <row r="272" spans="2:25" hidden="1">
      <c r="B272" s="1815" t="b">
        <f>AND(I272=FALSE,N271=0,Q271=0,L271="")</f>
        <v>1</v>
      </c>
      <c r="C272" s="1844" t="str" cm="1">
        <f t="array" ref="C272">_xlfn.IFS(
    L272="", "",
    MONTH(L272) &lt;= End_of_Year_Month, YEAR(L272),
    TRUE, YEAR(L272) + 1
)</f>
        <v/>
      </c>
      <c r="F272" s="1857">
        <f>IF(L272="",0,L272)</f>
        <v>0</v>
      </c>
      <c r="G272" s="1856">
        <f>-(N272-Q272)</f>
        <v>0</v>
      </c>
      <c r="I272" s="1815" t="b">
        <f>K272&lt;=Number_Payments</f>
        <v>0</v>
      </c>
      <c r="J272" s="1855"/>
      <c r="K272" s="1351">
        <f>K271+1</f>
        <v>146</v>
      </c>
      <c r="L272" s="1854" t="str" cm="1">
        <f t="array" ref="L272">_xlfn.IFS(
    I271=FALSE, "",
    Payment_Frequency="Monthly", EDATE(L271, 1),
    Payment_Frequency="Weekly", DATE(YEAR(L271), MONTH(L271), DAY(L271) + 7),
    Payment_Frequency="Fortnightly", DATE(YEAR(L271), MONTH(L271), DAY(L271) + 14),
    Payment_Frequency="Quarterly", DATE(YEAR(L271), MONTH(L271) + 3, DAY(L271)),
    Payment_Frequency="Yearly", DATE(YEAR(L271) + 1, MONTH(L271), DAY(L271)),
    TRUE, ""
)</f>
        <v/>
      </c>
      <c r="M272" s="1853">
        <f>IF(ISERROR(L272-L271),0,L272-L271)</f>
        <v>0</v>
      </c>
      <c r="N272" s="1851" cm="1">
        <f t="array" ref="N272">_xlfn.IFS(
    AND(I272=TRUE, K272&lt;=No_Regular_Payments), Repay_Amt,
    AND(I272=TRUE, K272=No_Regular_Payments+1), Tm_Balloon_Amt,
   TRUE, 0
)</f>
        <v>0</v>
      </c>
      <c r="O272" s="1850" cm="1">
        <f t="array" ref="O272">_xlfn.IFS(
    M272=0,0,
   ABS(N272 - S271 - P272-Q272) &lt; 1, N272 - S271-Q272,
    TRUE, P272
)</f>
        <v>0</v>
      </c>
      <c r="P272" s="1852">
        <f>IF(M272=0,0,ROUND(S271*EXP(Int_Rate/365.25 * M272)-S271,2))</f>
        <v>0</v>
      </c>
      <c r="Q272" s="1851" cm="1">
        <f t="array" ref="Q272">_xlfn.IFS(
    AND(I272=TRUE, K272&lt;=No_Regular_Payments), Periodic_Admin_Charge,
   TRUE, 0
)</f>
        <v>0</v>
      </c>
      <c r="R272" s="1850">
        <f>N272-O272-Q272</f>
        <v>0</v>
      </c>
      <c r="S272" s="1850">
        <f>ROUND(S271-R272,2)</f>
        <v>0</v>
      </c>
      <c r="T272" s="1850">
        <f>ROUND(T271-(N272-Q272),2)</f>
        <v>0</v>
      </c>
      <c r="U272" s="1849"/>
      <c r="W272" s="1848"/>
      <c r="X272" s="1848"/>
      <c r="Y272" s="1848"/>
    </row>
    <row r="273" spans="2:25" hidden="1">
      <c r="B273" s="1815" t="b">
        <f>AND(I273=FALSE,N272=0,Q272=0,L272="")</f>
        <v>1</v>
      </c>
      <c r="C273" s="1844" t="str" cm="1">
        <f t="array" ref="C273">_xlfn.IFS(
    L273="", "",
    MONTH(L273) &lt;= End_of_Year_Month, YEAR(L273),
    TRUE, YEAR(L273) + 1
)</f>
        <v/>
      </c>
      <c r="F273" s="1857">
        <f>IF(L273="",0,L273)</f>
        <v>0</v>
      </c>
      <c r="G273" s="1856">
        <f>-(N273-Q273)</f>
        <v>0</v>
      </c>
      <c r="I273" s="1815" t="b">
        <f>K273&lt;=Number_Payments</f>
        <v>0</v>
      </c>
      <c r="J273" s="1855"/>
      <c r="K273" s="1351">
        <f>K272+1</f>
        <v>147</v>
      </c>
      <c r="L273" s="1854" t="str" cm="1">
        <f t="array" ref="L273">_xlfn.IFS(
    I272=FALSE, "",
    Payment_Frequency="Monthly", EDATE(L272, 1),
    Payment_Frequency="Weekly", DATE(YEAR(L272), MONTH(L272), DAY(L272) + 7),
    Payment_Frequency="Fortnightly", DATE(YEAR(L272), MONTH(L272), DAY(L272) + 14),
    Payment_Frequency="Quarterly", DATE(YEAR(L272), MONTH(L272) + 3, DAY(L272)),
    Payment_Frequency="Yearly", DATE(YEAR(L272) + 1, MONTH(L272), DAY(L272)),
    TRUE, ""
)</f>
        <v/>
      </c>
      <c r="M273" s="1853">
        <f>IF(ISERROR(L273-L272),0,L273-L272)</f>
        <v>0</v>
      </c>
      <c r="N273" s="1851" cm="1">
        <f t="array" ref="N273">_xlfn.IFS(
    AND(I273=TRUE, K273&lt;=No_Regular_Payments), Repay_Amt,
    AND(I273=TRUE, K273=No_Regular_Payments+1), Tm_Balloon_Amt,
   TRUE, 0
)</f>
        <v>0</v>
      </c>
      <c r="O273" s="1850" cm="1">
        <f t="array" ref="O273">_xlfn.IFS(
    M273=0,0,
   ABS(N273 - S272 - P273-Q273) &lt; 1, N273 - S272-Q273,
    TRUE, P273
)</f>
        <v>0</v>
      </c>
      <c r="P273" s="1852">
        <f>IF(M273=0,0,ROUND(S272*EXP(Int_Rate/365.25 * M273)-S272,2))</f>
        <v>0</v>
      </c>
      <c r="Q273" s="1851" cm="1">
        <f t="array" ref="Q273">_xlfn.IFS(
    AND(I273=TRUE, K273&lt;=No_Regular_Payments), Periodic_Admin_Charge,
   TRUE, 0
)</f>
        <v>0</v>
      </c>
      <c r="R273" s="1850">
        <f>N273-O273-Q273</f>
        <v>0</v>
      </c>
      <c r="S273" s="1850">
        <f>ROUND(S272-R273,2)</f>
        <v>0</v>
      </c>
      <c r="T273" s="1850">
        <f>ROUND(T272-(N273-Q273),2)</f>
        <v>0</v>
      </c>
      <c r="U273" s="1849"/>
      <c r="W273" s="1848"/>
      <c r="X273" s="1848"/>
      <c r="Y273" s="1848"/>
    </row>
    <row r="274" spans="2:25" hidden="1">
      <c r="B274" s="1815" t="b">
        <f>AND(I274=FALSE,N273=0,Q273=0,L273="")</f>
        <v>1</v>
      </c>
      <c r="C274" s="1844" t="str" cm="1">
        <f t="array" ref="C274">_xlfn.IFS(
    L274="", "",
    MONTH(L274) &lt;= End_of_Year_Month, YEAR(L274),
    TRUE, YEAR(L274) + 1
)</f>
        <v/>
      </c>
      <c r="F274" s="1857">
        <f>IF(L274="",0,L274)</f>
        <v>0</v>
      </c>
      <c r="G274" s="1856">
        <f>-(N274-Q274)</f>
        <v>0</v>
      </c>
      <c r="I274" s="1815" t="b">
        <f>K274&lt;=Number_Payments</f>
        <v>0</v>
      </c>
      <c r="J274" s="1855"/>
      <c r="K274" s="1351">
        <f>K273+1</f>
        <v>148</v>
      </c>
      <c r="L274" s="1854" t="str" cm="1">
        <f t="array" ref="L274">_xlfn.IFS(
    I273=FALSE, "",
    Payment_Frequency="Monthly", EDATE(L273, 1),
    Payment_Frequency="Weekly", DATE(YEAR(L273), MONTH(L273), DAY(L273) + 7),
    Payment_Frequency="Fortnightly", DATE(YEAR(L273), MONTH(L273), DAY(L273) + 14),
    Payment_Frequency="Quarterly", DATE(YEAR(L273), MONTH(L273) + 3, DAY(L273)),
    Payment_Frequency="Yearly", DATE(YEAR(L273) + 1, MONTH(L273), DAY(L273)),
    TRUE, ""
)</f>
        <v/>
      </c>
      <c r="M274" s="1853">
        <f>IF(ISERROR(L274-L273),0,L274-L273)</f>
        <v>0</v>
      </c>
      <c r="N274" s="1851" cm="1">
        <f t="array" ref="N274">_xlfn.IFS(
    AND(I274=TRUE, K274&lt;=No_Regular_Payments), Repay_Amt,
    AND(I274=TRUE, K274=No_Regular_Payments+1), Tm_Balloon_Amt,
   TRUE, 0
)</f>
        <v>0</v>
      </c>
      <c r="O274" s="1850" cm="1">
        <f t="array" ref="O274">_xlfn.IFS(
    M274=0,0,
   ABS(N274 - S273 - P274-Q274) &lt; 1, N274 - S273-Q274,
    TRUE, P274
)</f>
        <v>0</v>
      </c>
      <c r="P274" s="1852">
        <f>IF(M274=0,0,ROUND(S273*EXP(Int_Rate/365.25 * M274)-S273,2))</f>
        <v>0</v>
      </c>
      <c r="Q274" s="1851" cm="1">
        <f t="array" ref="Q274">_xlfn.IFS(
    AND(I274=TRUE, K274&lt;=No_Regular_Payments), Periodic_Admin_Charge,
   TRUE, 0
)</f>
        <v>0</v>
      </c>
      <c r="R274" s="1850">
        <f>N274-O274-Q274</f>
        <v>0</v>
      </c>
      <c r="S274" s="1850">
        <f>ROUND(S273-R274,2)</f>
        <v>0</v>
      </c>
      <c r="T274" s="1850">
        <f>ROUND(T273-(N274-Q274),2)</f>
        <v>0</v>
      </c>
      <c r="U274" s="1849"/>
      <c r="W274" s="1848"/>
      <c r="X274" s="1848"/>
      <c r="Y274" s="1848"/>
    </row>
    <row r="275" spans="2:25" hidden="1">
      <c r="B275" s="1815" t="b">
        <f>AND(I275=FALSE,N274=0,Q274=0,L274="")</f>
        <v>1</v>
      </c>
      <c r="C275" s="1844" t="str" cm="1">
        <f t="array" ref="C275">_xlfn.IFS(
    L275="", "",
    MONTH(L275) &lt;= End_of_Year_Month, YEAR(L275),
    TRUE, YEAR(L275) + 1
)</f>
        <v/>
      </c>
      <c r="F275" s="1857">
        <f>IF(L275="",0,L275)</f>
        <v>0</v>
      </c>
      <c r="G275" s="1856">
        <f>-(N275-Q275)</f>
        <v>0</v>
      </c>
      <c r="I275" s="1815" t="b">
        <f>K275&lt;=Number_Payments</f>
        <v>0</v>
      </c>
      <c r="J275" s="1855"/>
      <c r="K275" s="1351">
        <f>K274+1</f>
        <v>149</v>
      </c>
      <c r="L275" s="1854" t="str" cm="1">
        <f t="array" ref="L275">_xlfn.IFS(
    I274=FALSE, "",
    Payment_Frequency="Monthly", EDATE(L274, 1),
    Payment_Frequency="Weekly", DATE(YEAR(L274), MONTH(L274), DAY(L274) + 7),
    Payment_Frequency="Fortnightly", DATE(YEAR(L274), MONTH(L274), DAY(L274) + 14),
    Payment_Frequency="Quarterly", DATE(YEAR(L274), MONTH(L274) + 3, DAY(L274)),
    Payment_Frequency="Yearly", DATE(YEAR(L274) + 1, MONTH(L274), DAY(L274)),
    TRUE, ""
)</f>
        <v/>
      </c>
      <c r="M275" s="1853">
        <f>IF(ISERROR(L275-L274),0,L275-L274)</f>
        <v>0</v>
      </c>
      <c r="N275" s="1851" cm="1">
        <f t="array" ref="N275">_xlfn.IFS(
    AND(I275=TRUE, K275&lt;=No_Regular_Payments), Repay_Amt,
    AND(I275=TRUE, K275=No_Regular_Payments+1), Tm_Balloon_Amt,
   TRUE, 0
)</f>
        <v>0</v>
      </c>
      <c r="O275" s="1850" cm="1">
        <f t="array" ref="O275">_xlfn.IFS(
    M275=0,0,
   ABS(N275 - S274 - P275-Q275) &lt; 1, N275 - S274-Q275,
    TRUE, P275
)</f>
        <v>0</v>
      </c>
      <c r="P275" s="1852">
        <f>IF(M275=0,0,ROUND(S274*EXP(Int_Rate/365.25 * M275)-S274,2))</f>
        <v>0</v>
      </c>
      <c r="Q275" s="1851" cm="1">
        <f t="array" ref="Q275">_xlfn.IFS(
    AND(I275=TRUE, K275&lt;=No_Regular_Payments), Periodic_Admin_Charge,
   TRUE, 0
)</f>
        <v>0</v>
      </c>
      <c r="R275" s="1850">
        <f>N275-O275-Q275</f>
        <v>0</v>
      </c>
      <c r="S275" s="1850">
        <f>ROUND(S274-R275,2)</f>
        <v>0</v>
      </c>
      <c r="T275" s="1850">
        <f>ROUND(T274-(N275-Q275),2)</f>
        <v>0</v>
      </c>
      <c r="U275" s="1849"/>
      <c r="W275" s="1848"/>
      <c r="X275" s="1848"/>
      <c r="Y275" s="1848"/>
    </row>
    <row r="276" spans="2:25" hidden="1">
      <c r="B276" s="1815" t="b">
        <f>AND(I276=FALSE,N275=0,Q275=0,L275="")</f>
        <v>1</v>
      </c>
      <c r="C276" s="1844" t="str" cm="1">
        <f t="array" ref="C276">_xlfn.IFS(
    L276="", "",
    MONTH(L276) &lt;= End_of_Year_Month, YEAR(L276),
    TRUE, YEAR(L276) + 1
)</f>
        <v/>
      </c>
      <c r="F276" s="1857">
        <f>IF(L276="",0,L276)</f>
        <v>0</v>
      </c>
      <c r="G276" s="1856">
        <f>-(N276-Q276)</f>
        <v>0</v>
      </c>
      <c r="I276" s="1815" t="b">
        <f>K276&lt;=Number_Payments</f>
        <v>0</v>
      </c>
      <c r="J276" s="1855"/>
      <c r="K276" s="1351">
        <f>K275+1</f>
        <v>150</v>
      </c>
      <c r="L276" s="1854" t="str" cm="1">
        <f t="array" ref="L276">_xlfn.IFS(
    I275=FALSE, "",
    Payment_Frequency="Monthly", EDATE(L275, 1),
    Payment_Frequency="Weekly", DATE(YEAR(L275), MONTH(L275), DAY(L275) + 7),
    Payment_Frequency="Fortnightly", DATE(YEAR(L275), MONTH(L275), DAY(L275) + 14),
    Payment_Frequency="Quarterly", DATE(YEAR(L275), MONTH(L275) + 3, DAY(L275)),
    Payment_Frequency="Yearly", DATE(YEAR(L275) + 1, MONTH(L275), DAY(L275)),
    TRUE, ""
)</f>
        <v/>
      </c>
      <c r="M276" s="1853">
        <f>IF(ISERROR(L276-L275),0,L276-L275)</f>
        <v>0</v>
      </c>
      <c r="N276" s="1851" cm="1">
        <f t="array" ref="N276">_xlfn.IFS(
    AND(I276=TRUE, K276&lt;=No_Regular_Payments), Repay_Amt,
    AND(I276=TRUE, K276=No_Regular_Payments+1), Tm_Balloon_Amt,
   TRUE, 0
)</f>
        <v>0</v>
      </c>
      <c r="O276" s="1850" cm="1">
        <f t="array" ref="O276">_xlfn.IFS(
    M276=0,0,
   ABS(N276 - S275 - P276-Q276) &lt; 1, N276 - S275-Q276,
    TRUE, P276
)</f>
        <v>0</v>
      </c>
      <c r="P276" s="1852">
        <f>IF(M276=0,0,ROUND(S275*EXP(Int_Rate/365.25 * M276)-S275,2))</f>
        <v>0</v>
      </c>
      <c r="Q276" s="1851" cm="1">
        <f t="array" ref="Q276">_xlfn.IFS(
    AND(I276=TRUE, K276&lt;=No_Regular_Payments), Periodic_Admin_Charge,
   TRUE, 0
)</f>
        <v>0</v>
      </c>
      <c r="R276" s="1850">
        <f>N276-O276-Q276</f>
        <v>0</v>
      </c>
      <c r="S276" s="1850">
        <f>ROUND(S275-R276,2)</f>
        <v>0</v>
      </c>
      <c r="T276" s="1850">
        <f>ROUND(T275-(N276-Q276),2)</f>
        <v>0</v>
      </c>
      <c r="U276" s="1849"/>
      <c r="W276" s="1848"/>
      <c r="X276" s="1848"/>
      <c r="Y276" s="1848"/>
    </row>
    <row r="277" spans="2:25" hidden="1">
      <c r="B277" s="1815" t="b">
        <f>AND(I277=FALSE,N276=0,Q276=0,L276="")</f>
        <v>1</v>
      </c>
      <c r="C277" s="1844" t="str" cm="1">
        <f t="array" ref="C277">_xlfn.IFS(
    L277="", "",
    MONTH(L277) &lt;= End_of_Year_Month, YEAR(L277),
    TRUE, YEAR(L277) + 1
)</f>
        <v/>
      </c>
      <c r="F277" s="1857">
        <f>IF(L277="",0,L277)</f>
        <v>0</v>
      </c>
      <c r="G277" s="1856">
        <f>-(N277-Q277)</f>
        <v>0</v>
      </c>
      <c r="I277" s="1815" t="b">
        <f>K277&lt;=Number_Payments</f>
        <v>0</v>
      </c>
      <c r="J277" s="1855"/>
      <c r="K277" s="1351">
        <f>K276+1</f>
        <v>151</v>
      </c>
      <c r="L277" s="1854" t="str" cm="1">
        <f t="array" ref="L277">_xlfn.IFS(
    I276=FALSE, "",
    Payment_Frequency="Monthly", EDATE(L276, 1),
    Payment_Frequency="Weekly", DATE(YEAR(L276), MONTH(L276), DAY(L276) + 7),
    Payment_Frequency="Fortnightly", DATE(YEAR(L276), MONTH(L276), DAY(L276) + 14),
    Payment_Frequency="Quarterly", DATE(YEAR(L276), MONTH(L276) + 3, DAY(L276)),
    Payment_Frequency="Yearly", DATE(YEAR(L276) + 1, MONTH(L276), DAY(L276)),
    TRUE, ""
)</f>
        <v/>
      </c>
      <c r="M277" s="1853">
        <f>IF(ISERROR(L277-L276),0,L277-L276)</f>
        <v>0</v>
      </c>
      <c r="N277" s="1851" cm="1">
        <f t="array" ref="N277">_xlfn.IFS(
    AND(I277=TRUE, K277&lt;=No_Regular_Payments), Repay_Amt,
    AND(I277=TRUE, K277=No_Regular_Payments+1), Tm_Balloon_Amt,
   TRUE, 0
)</f>
        <v>0</v>
      </c>
      <c r="O277" s="1850" cm="1">
        <f t="array" ref="O277">_xlfn.IFS(
    M277=0,0,
   ABS(N277 - S276 - P277-Q277) &lt; 1, N277 - S276-Q277,
    TRUE, P277
)</f>
        <v>0</v>
      </c>
      <c r="P277" s="1852">
        <f>IF(M277=0,0,ROUND(S276*EXP(Int_Rate/365.25 * M277)-S276,2))</f>
        <v>0</v>
      </c>
      <c r="Q277" s="1851" cm="1">
        <f t="array" ref="Q277">_xlfn.IFS(
    AND(I277=TRUE, K277&lt;=No_Regular_Payments), Periodic_Admin_Charge,
   TRUE, 0
)</f>
        <v>0</v>
      </c>
      <c r="R277" s="1850">
        <f>N277-O277-Q277</f>
        <v>0</v>
      </c>
      <c r="S277" s="1850">
        <f>ROUND(S276-R277,2)</f>
        <v>0</v>
      </c>
      <c r="T277" s="1850">
        <f>ROUND(T276-(N277-Q277),2)</f>
        <v>0</v>
      </c>
      <c r="U277" s="1849"/>
      <c r="W277" s="1848"/>
      <c r="X277" s="1848"/>
      <c r="Y277" s="1848"/>
    </row>
    <row r="278" spans="2:25" hidden="1">
      <c r="B278" s="1815" t="b">
        <f>AND(I278=FALSE,N277=0,Q277=0,L277="")</f>
        <v>1</v>
      </c>
      <c r="C278" s="1844" t="str" cm="1">
        <f t="array" ref="C278">_xlfn.IFS(
    L278="", "",
    MONTH(L278) &lt;= End_of_Year_Month, YEAR(L278),
    TRUE, YEAR(L278) + 1
)</f>
        <v/>
      </c>
      <c r="F278" s="1857">
        <f>IF(L278="",0,L278)</f>
        <v>0</v>
      </c>
      <c r="G278" s="1856">
        <f>-(N278-Q278)</f>
        <v>0</v>
      </c>
      <c r="I278" s="1815" t="b">
        <f>K278&lt;=Number_Payments</f>
        <v>0</v>
      </c>
      <c r="J278" s="1855"/>
      <c r="K278" s="1351">
        <f>K277+1</f>
        <v>152</v>
      </c>
      <c r="L278" s="1854" t="str" cm="1">
        <f t="array" ref="L278">_xlfn.IFS(
    I277=FALSE, "",
    Payment_Frequency="Monthly", EDATE(L277, 1),
    Payment_Frequency="Weekly", DATE(YEAR(L277), MONTH(L277), DAY(L277) + 7),
    Payment_Frequency="Fortnightly", DATE(YEAR(L277), MONTH(L277), DAY(L277) + 14),
    Payment_Frequency="Quarterly", DATE(YEAR(L277), MONTH(L277) + 3, DAY(L277)),
    Payment_Frequency="Yearly", DATE(YEAR(L277) + 1, MONTH(L277), DAY(L277)),
    TRUE, ""
)</f>
        <v/>
      </c>
      <c r="M278" s="1853">
        <f>IF(ISERROR(L278-L277),0,L278-L277)</f>
        <v>0</v>
      </c>
      <c r="N278" s="1851" cm="1">
        <f t="array" ref="N278">_xlfn.IFS(
    AND(I278=TRUE, K278&lt;=No_Regular_Payments), Repay_Amt,
    AND(I278=TRUE, K278=No_Regular_Payments+1), Tm_Balloon_Amt,
   TRUE, 0
)</f>
        <v>0</v>
      </c>
      <c r="O278" s="1850" cm="1">
        <f t="array" ref="O278">_xlfn.IFS(
    M278=0,0,
   ABS(N278 - S277 - P278-Q278) &lt; 1, N278 - S277-Q278,
    TRUE, P278
)</f>
        <v>0</v>
      </c>
      <c r="P278" s="1852">
        <f>IF(M278=0,0,ROUND(S277*EXP(Int_Rate/365.25 * M278)-S277,2))</f>
        <v>0</v>
      </c>
      <c r="Q278" s="1851" cm="1">
        <f t="array" ref="Q278">_xlfn.IFS(
    AND(I278=TRUE, K278&lt;=No_Regular_Payments), Periodic_Admin_Charge,
   TRUE, 0
)</f>
        <v>0</v>
      </c>
      <c r="R278" s="1850">
        <f>N278-O278-Q278</f>
        <v>0</v>
      </c>
      <c r="S278" s="1850">
        <f>ROUND(S277-R278,2)</f>
        <v>0</v>
      </c>
      <c r="T278" s="1850">
        <f>ROUND(T277-(N278-Q278),2)</f>
        <v>0</v>
      </c>
      <c r="U278" s="1849"/>
      <c r="W278" s="1848"/>
      <c r="X278" s="1848"/>
      <c r="Y278" s="1848"/>
    </row>
    <row r="279" spans="2:25" hidden="1">
      <c r="B279" s="1815" t="b">
        <f>AND(I279=FALSE,N278=0,Q278=0,L278="")</f>
        <v>1</v>
      </c>
      <c r="C279" s="1844" t="str" cm="1">
        <f t="array" ref="C279">_xlfn.IFS(
    L279="", "",
    MONTH(L279) &lt;= End_of_Year_Month, YEAR(L279),
    TRUE, YEAR(L279) + 1
)</f>
        <v/>
      </c>
      <c r="F279" s="1857">
        <f>IF(L279="",0,L279)</f>
        <v>0</v>
      </c>
      <c r="G279" s="1856">
        <f>-(N279-Q279)</f>
        <v>0</v>
      </c>
      <c r="I279" s="1815" t="b">
        <f>K279&lt;=Number_Payments</f>
        <v>0</v>
      </c>
      <c r="J279" s="1855"/>
      <c r="K279" s="1351">
        <f>K278+1</f>
        <v>153</v>
      </c>
      <c r="L279" s="1854" t="str" cm="1">
        <f t="array" ref="L279">_xlfn.IFS(
    I278=FALSE, "",
    Payment_Frequency="Monthly", EDATE(L278, 1),
    Payment_Frequency="Weekly", DATE(YEAR(L278), MONTH(L278), DAY(L278) + 7),
    Payment_Frequency="Fortnightly", DATE(YEAR(L278), MONTH(L278), DAY(L278) + 14),
    Payment_Frequency="Quarterly", DATE(YEAR(L278), MONTH(L278) + 3, DAY(L278)),
    Payment_Frequency="Yearly", DATE(YEAR(L278) + 1, MONTH(L278), DAY(L278)),
    TRUE, ""
)</f>
        <v/>
      </c>
      <c r="M279" s="1853">
        <f>IF(ISERROR(L279-L278),0,L279-L278)</f>
        <v>0</v>
      </c>
      <c r="N279" s="1851" cm="1">
        <f t="array" ref="N279">_xlfn.IFS(
    AND(I279=TRUE, K279&lt;=No_Regular_Payments), Repay_Amt,
    AND(I279=TRUE, K279=No_Regular_Payments+1), Tm_Balloon_Amt,
   TRUE, 0
)</f>
        <v>0</v>
      </c>
      <c r="O279" s="1850" cm="1">
        <f t="array" ref="O279">_xlfn.IFS(
    M279=0,0,
   ABS(N279 - S278 - P279-Q279) &lt; 1, N279 - S278-Q279,
    TRUE, P279
)</f>
        <v>0</v>
      </c>
      <c r="P279" s="1852">
        <f>IF(M279=0,0,ROUND(S278*EXP(Int_Rate/365.25 * M279)-S278,2))</f>
        <v>0</v>
      </c>
      <c r="Q279" s="1851" cm="1">
        <f t="array" ref="Q279">_xlfn.IFS(
    AND(I279=TRUE, K279&lt;=No_Regular_Payments), Periodic_Admin_Charge,
   TRUE, 0
)</f>
        <v>0</v>
      </c>
      <c r="R279" s="1850">
        <f>N279-O279-Q279</f>
        <v>0</v>
      </c>
      <c r="S279" s="1850">
        <f>ROUND(S278-R279,2)</f>
        <v>0</v>
      </c>
      <c r="T279" s="1850">
        <f>ROUND(T278-(N279-Q279),2)</f>
        <v>0</v>
      </c>
      <c r="U279" s="1849"/>
      <c r="W279" s="1848"/>
      <c r="X279" s="1848"/>
      <c r="Y279" s="1848"/>
    </row>
    <row r="280" spans="2:25" hidden="1">
      <c r="B280" s="1815" t="b">
        <f>AND(I280=FALSE,N279=0,Q279=0,L279="")</f>
        <v>1</v>
      </c>
      <c r="C280" s="1844" t="str" cm="1">
        <f t="array" ref="C280">_xlfn.IFS(
    L280="", "",
    MONTH(L280) &lt;= End_of_Year_Month, YEAR(L280),
    TRUE, YEAR(L280) + 1
)</f>
        <v/>
      </c>
      <c r="F280" s="1857">
        <f>IF(L280="",0,L280)</f>
        <v>0</v>
      </c>
      <c r="G280" s="1856">
        <f>-(N280-Q280)</f>
        <v>0</v>
      </c>
      <c r="I280" s="1815" t="b">
        <f>K280&lt;=Number_Payments</f>
        <v>0</v>
      </c>
      <c r="J280" s="1855"/>
      <c r="K280" s="1351">
        <f>K279+1</f>
        <v>154</v>
      </c>
      <c r="L280" s="1854" t="str" cm="1">
        <f t="array" ref="L280">_xlfn.IFS(
    I279=FALSE, "",
    Payment_Frequency="Monthly", EDATE(L279, 1),
    Payment_Frequency="Weekly", DATE(YEAR(L279), MONTH(L279), DAY(L279) + 7),
    Payment_Frequency="Fortnightly", DATE(YEAR(L279), MONTH(L279), DAY(L279) + 14),
    Payment_Frequency="Quarterly", DATE(YEAR(L279), MONTH(L279) + 3, DAY(L279)),
    Payment_Frequency="Yearly", DATE(YEAR(L279) + 1, MONTH(L279), DAY(L279)),
    TRUE, ""
)</f>
        <v/>
      </c>
      <c r="M280" s="1853">
        <f>IF(ISERROR(L280-L279),0,L280-L279)</f>
        <v>0</v>
      </c>
      <c r="N280" s="1851" cm="1">
        <f t="array" ref="N280">_xlfn.IFS(
    AND(I280=TRUE, K280&lt;=No_Regular_Payments), Repay_Amt,
    AND(I280=TRUE, K280=No_Regular_Payments+1), Tm_Balloon_Amt,
   TRUE, 0
)</f>
        <v>0</v>
      </c>
      <c r="O280" s="1850" cm="1">
        <f t="array" ref="O280">_xlfn.IFS(
    M280=0,0,
   ABS(N280 - S279 - P280-Q280) &lt; 1, N280 - S279-Q280,
    TRUE, P280
)</f>
        <v>0</v>
      </c>
      <c r="P280" s="1852">
        <f>IF(M280=0,0,ROUND(S279*EXP(Int_Rate/365.25 * M280)-S279,2))</f>
        <v>0</v>
      </c>
      <c r="Q280" s="1851" cm="1">
        <f t="array" ref="Q280">_xlfn.IFS(
    AND(I280=TRUE, K280&lt;=No_Regular_Payments), Periodic_Admin_Charge,
   TRUE, 0
)</f>
        <v>0</v>
      </c>
      <c r="R280" s="1850">
        <f>N280-O280-Q280</f>
        <v>0</v>
      </c>
      <c r="S280" s="1850">
        <f>ROUND(S279-R280,2)</f>
        <v>0</v>
      </c>
      <c r="T280" s="1850">
        <f>ROUND(T279-(N280-Q280),2)</f>
        <v>0</v>
      </c>
      <c r="U280" s="1849"/>
      <c r="W280" s="1848"/>
      <c r="X280" s="1848"/>
      <c r="Y280" s="1848"/>
    </row>
    <row r="281" spans="2:25" hidden="1">
      <c r="B281" s="1815" t="b">
        <f>AND(I281=FALSE,N280=0,Q280=0,L280="")</f>
        <v>1</v>
      </c>
      <c r="C281" s="1844" t="str" cm="1">
        <f t="array" ref="C281">_xlfn.IFS(
    L281="", "",
    MONTH(L281) &lt;= End_of_Year_Month, YEAR(L281),
    TRUE, YEAR(L281) + 1
)</f>
        <v/>
      </c>
      <c r="F281" s="1857">
        <f>IF(L281="",0,L281)</f>
        <v>0</v>
      </c>
      <c r="G281" s="1856">
        <f>-(N281-Q281)</f>
        <v>0</v>
      </c>
      <c r="I281" s="1815" t="b">
        <f>K281&lt;=Number_Payments</f>
        <v>0</v>
      </c>
      <c r="J281" s="1855"/>
      <c r="K281" s="1351">
        <f>K280+1</f>
        <v>155</v>
      </c>
      <c r="L281" s="1854" t="str" cm="1">
        <f t="array" ref="L281">_xlfn.IFS(
    I280=FALSE, "",
    Payment_Frequency="Monthly", EDATE(L280, 1),
    Payment_Frequency="Weekly", DATE(YEAR(L280), MONTH(L280), DAY(L280) + 7),
    Payment_Frequency="Fortnightly", DATE(YEAR(L280), MONTH(L280), DAY(L280) + 14),
    Payment_Frequency="Quarterly", DATE(YEAR(L280), MONTH(L280) + 3, DAY(L280)),
    Payment_Frequency="Yearly", DATE(YEAR(L280) + 1, MONTH(L280), DAY(L280)),
    TRUE, ""
)</f>
        <v/>
      </c>
      <c r="M281" s="1853">
        <f>IF(ISERROR(L281-L280),0,L281-L280)</f>
        <v>0</v>
      </c>
      <c r="N281" s="1851" cm="1">
        <f t="array" ref="N281">_xlfn.IFS(
    AND(I281=TRUE, K281&lt;=No_Regular_Payments), Repay_Amt,
    AND(I281=TRUE, K281=No_Regular_Payments+1), Tm_Balloon_Amt,
   TRUE, 0
)</f>
        <v>0</v>
      </c>
      <c r="O281" s="1850" cm="1">
        <f t="array" ref="O281">_xlfn.IFS(
    M281=0,0,
   ABS(N281 - S280 - P281-Q281) &lt; 1, N281 - S280-Q281,
    TRUE, P281
)</f>
        <v>0</v>
      </c>
      <c r="P281" s="1852">
        <f>IF(M281=0,0,ROUND(S280*EXP(Int_Rate/365.25 * M281)-S280,2))</f>
        <v>0</v>
      </c>
      <c r="Q281" s="1851" cm="1">
        <f t="array" ref="Q281">_xlfn.IFS(
    AND(I281=TRUE, K281&lt;=No_Regular_Payments), Periodic_Admin_Charge,
   TRUE, 0
)</f>
        <v>0</v>
      </c>
      <c r="R281" s="1850">
        <f>N281-O281-Q281</f>
        <v>0</v>
      </c>
      <c r="S281" s="1850">
        <f>ROUND(S280-R281,2)</f>
        <v>0</v>
      </c>
      <c r="T281" s="1850">
        <f>ROUND(T280-(N281-Q281),2)</f>
        <v>0</v>
      </c>
      <c r="U281" s="1849"/>
      <c r="W281" s="1848"/>
      <c r="X281" s="1848"/>
      <c r="Y281" s="1848"/>
    </row>
    <row r="282" spans="2:25" hidden="1">
      <c r="B282" s="1815" t="b">
        <f>AND(I282=FALSE,N281=0,Q281=0,L281="")</f>
        <v>1</v>
      </c>
      <c r="C282" s="1844" t="str" cm="1">
        <f t="array" ref="C282">_xlfn.IFS(
    L282="", "",
    MONTH(L282) &lt;= End_of_Year_Month, YEAR(L282),
    TRUE, YEAR(L282) + 1
)</f>
        <v/>
      </c>
      <c r="F282" s="1857">
        <f>IF(L282="",0,L282)</f>
        <v>0</v>
      </c>
      <c r="G282" s="1856">
        <f>-(N282-Q282)</f>
        <v>0</v>
      </c>
      <c r="I282" s="1815" t="b">
        <f>K282&lt;=Number_Payments</f>
        <v>0</v>
      </c>
      <c r="J282" s="1855"/>
      <c r="K282" s="1351">
        <f>K281+1</f>
        <v>156</v>
      </c>
      <c r="L282" s="1854" t="str" cm="1">
        <f t="array" ref="L282">_xlfn.IFS(
    I281=FALSE, "",
    Payment_Frequency="Monthly", EDATE(L281, 1),
    Payment_Frequency="Weekly", DATE(YEAR(L281), MONTH(L281), DAY(L281) + 7),
    Payment_Frequency="Fortnightly", DATE(YEAR(L281), MONTH(L281), DAY(L281) + 14),
    Payment_Frequency="Quarterly", DATE(YEAR(L281), MONTH(L281) + 3, DAY(L281)),
    Payment_Frequency="Yearly", DATE(YEAR(L281) + 1, MONTH(L281), DAY(L281)),
    TRUE, ""
)</f>
        <v/>
      </c>
      <c r="M282" s="1853">
        <f>IF(ISERROR(L282-L281),0,L282-L281)</f>
        <v>0</v>
      </c>
      <c r="N282" s="1851" cm="1">
        <f t="array" ref="N282">_xlfn.IFS(
    AND(I282=TRUE, K282&lt;=No_Regular_Payments), Repay_Amt,
    AND(I282=TRUE, K282=No_Regular_Payments+1), Tm_Balloon_Amt,
   TRUE, 0
)</f>
        <v>0</v>
      </c>
      <c r="O282" s="1850" cm="1">
        <f t="array" ref="O282">_xlfn.IFS(
    M282=0,0,
   ABS(N282 - S281 - P282-Q282) &lt; 1, N282 - S281-Q282,
    TRUE, P282
)</f>
        <v>0</v>
      </c>
      <c r="P282" s="1852">
        <f>IF(M282=0,0,ROUND(S281*EXP(Int_Rate/365.25 * M282)-S281,2))</f>
        <v>0</v>
      </c>
      <c r="Q282" s="1851" cm="1">
        <f t="array" ref="Q282">_xlfn.IFS(
    AND(I282=TRUE, K282&lt;=No_Regular_Payments), Periodic_Admin_Charge,
   TRUE, 0
)</f>
        <v>0</v>
      </c>
      <c r="R282" s="1850">
        <f>N282-O282-Q282</f>
        <v>0</v>
      </c>
      <c r="S282" s="1850">
        <f>ROUND(S281-R282,2)</f>
        <v>0</v>
      </c>
      <c r="T282" s="1850">
        <f>ROUND(T281-(N282-Q282),2)</f>
        <v>0</v>
      </c>
      <c r="U282" s="1849"/>
      <c r="W282" s="1848"/>
      <c r="X282" s="1848"/>
      <c r="Y282" s="1848"/>
    </row>
    <row r="283" spans="2:25" hidden="1">
      <c r="B283" s="1815" t="b">
        <f>AND(I283=FALSE,N282=0,Q282=0,L282="")</f>
        <v>1</v>
      </c>
      <c r="C283" s="1844" t="str" cm="1">
        <f t="array" ref="C283">_xlfn.IFS(
    L283="", "",
    MONTH(L283) &lt;= End_of_Year_Month, YEAR(L283),
    TRUE, YEAR(L283) + 1
)</f>
        <v/>
      </c>
      <c r="F283" s="1857">
        <f>IF(L283="",0,L283)</f>
        <v>0</v>
      </c>
      <c r="G283" s="1856">
        <f>-(N283-Q283)</f>
        <v>0</v>
      </c>
      <c r="I283" s="1815" t="b">
        <f>K283&lt;=Number_Payments</f>
        <v>0</v>
      </c>
      <c r="J283" s="1855"/>
      <c r="K283" s="1351">
        <f>K282+1</f>
        <v>157</v>
      </c>
      <c r="L283" s="1854" t="str" cm="1">
        <f t="array" ref="L283">_xlfn.IFS(
    I282=FALSE, "",
    Payment_Frequency="Monthly", EDATE(L282, 1),
    Payment_Frequency="Weekly", DATE(YEAR(L282), MONTH(L282), DAY(L282) + 7),
    Payment_Frequency="Fortnightly", DATE(YEAR(L282), MONTH(L282), DAY(L282) + 14),
    Payment_Frequency="Quarterly", DATE(YEAR(L282), MONTH(L282) + 3, DAY(L282)),
    Payment_Frequency="Yearly", DATE(YEAR(L282) + 1, MONTH(L282), DAY(L282)),
    TRUE, ""
)</f>
        <v/>
      </c>
      <c r="M283" s="1853">
        <f>IF(ISERROR(L283-L282),0,L283-L282)</f>
        <v>0</v>
      </c>
      <c r="N283" s="1851" cm="1">
        <f t="array" ref="N283">_xlfn.IFS(
    AND(I283=TRUE, K283&lt;=No_Regular_Payments), Repay_Amt,
    AND(I283=TRUE, K283=No_Regular_Payments+1), Tm_Balloon_Amt,
   TRUE, 0
)</f>
        <v>0</v>
      </c>
      <c r="O283" s="1850" cm="1">
        <f t="array" ref="O283">_xlfn.IFS(
    M283=0,0,
   ABS(N283 - S282 - P283-Q283) &lt; 1, N283 - S282-Q283,
    TRUE, P283
)</f>
        <v>0</v>
      </c>
      <c r="P283" s="1852">
        <f>IF(M283=0,0,ROUND(S282*EXP(Int_Rate/365.25 * M283)-S282,2))</f>
        <v>0</v>
      </c>
      <c r="Q283" s="1851" cm="1">
        <f t="array" ref="Q283">_xlfn.IFS(
    AND(I283=TRUE, K283&lt;=No_Regular_Payments), Periodic_Admin_Charge,
   TRUE, 0
)</f>
        <v>0</v>
      </c>
      <c r="R283" s="1850">
        <f>N283-O283-Q283</f>
        <v>0</v>
      </c>
      <c r="S283" s="1850">
        <f>ROUND(S282-R283,2)</f>
        <v>0</v>
      </c>
      <c r="T283" s="1850">
        <f>ROUND(T282-(N283-Q283),2)</f>
        <v>0</v>
      </c>
      <c r="U283" s="1849"/>
      <c r="W283" s="1848"/>
      <c r="X283" s="1848"/>
      <c r="Y283" s="1848"/>
    </row>
    <row r="284" spans="2:25" hidden="1">
      <c r="B284" s="1815" t="b">
        <f>AND(I284=FALSE,N283=0,Q283=0,L283="")</f>
        <v>1</v>
      </c>
      <c r="C284" s="1844" t="str" cm="1">
        <f t="array" ref="C284">_xlfn.IFS(
    L284="", "",
    MONTH(L284) &lt;= End_of_Year_Month, YEAR(L284),
    TRUE, YEAR(L284) + 1
)</f>
        <v/>
      </c>
      <c r="F284" s="1857">
        <f>IF(L284="",0,L284)</f>
        <v>0</v>
      </c>
      <c r="G284" s="1856">
        <f>-(N284-Q284)</f>
        <v>0</v>
      </c>
      <c r="I284" s="1815" t="b">
        <f>K284&lt;=Number_Payments</f>
        <v>0</v>
      </c>
      <c r="J284" s="1855"/>
      <c r="K284" s="1351">
        <f>K283+1</f>
        <v>158</v>
      </c>
      <c r="L284" s="1854" t="str" cm="1">
        <f t="array" ref="L284">_xlfn.IFS(
    I283=FALSE, "",
    Payment_Frequency="Monthly", EDATE(L283, 1),
    Payment_Frequency="Weekly", DATE(YEAR(L283), MONTH(L283), DAY(L283) + 7),
    Payment_Frequency="Fortnightly", DATE(YEAR(L283), MONTH(L283), DAY(L283) + 14),
    Payment_Frequency="Quarterly", DATE(YEAR(L283), MONTH(L283) + 3, DAY(L283)),
    Payment_Frequency="Yearly", DATE(YEAR(L283) + 1, MONTH(L283), DAY(L283)),
    TRUE, ""
)</f>
        <v/>
      </c>
      <c r="M284" s="1853">
        <f>IF(ISERROR(L284-L283),0,L284-L283)</f>
        <v>0</v>
      </c>
      <c r="N284" s="1851" cm="1">
        <f t="array" ref="N284">_xlfn.IFS(
    AND(I284=TRUE, K284&lt;=No_Regular_Payments), Repay_Amt,
    AND(I284=TRUE, K284=No_Regular_Payments+1), Tm_Balloon_Amt,
   TRUE, 0
)</f>
        <v>0</v>
      </c>
      <c r="O284" s="1850" cm="1">
        <f t="array" ref="O284">_xlfn.IFS(
    M284=0,0,
   ABS(N284 - S283 - P284-Q284) &lt; 1, N284 - S283-Q284,
    TRUE, P284
)</f>
        <v>0</v>
      </c>
      <c r="P284" s="1852">
        <f>IF(M284=0,0,ROUND(S283*EXP(Int_Rate/365.25 * M284)-S283,2))</f>
        <v>0</v>
      </c>
      <c r="Q284" s="1851" cm="1">
        <f t="array" ref="Q284">_xlfn.IFS(
    AND(I284=TRUE, K284&lt;=No_Regular_Payments), Periodic_Admin_Charge,
   TRUE, 0
)</f>
        <v>0</v>
      </c>
      <c r="R284" s="1850">
        <f>N284-O284-Q284</f>
        <v>0</v>
      </c>
      <c r="S284" s="1850">
        <f>ROUND(S283-R284,2)</f>
        <v>0</v>
      </c>
      <c r="T284" s="1850">
        <f>ROUND(T283-(N284-Q284),2)</f>
        <v>0</v>
      </c>
      <c r="U284" s="1849"/>
      <c r="W284" s="1848"/>
      <c r="X284" s="1848"/>
      <c r="Y284" s="1848"/>
    </row>
    <row r="285" spans="2:25" hidden="1">
      <c r="B285" s="1815" t="b">
        <f>AND(I285=FALSE,N284=0,Q284=0,L284="")</f>
        <v>1</v>
      </c>
      <c r="C285" s="1844" t="str" cm="1">
        <f t="array" ref="C285">_xlfn.IFS(
    L285="", "",
    MONTH(L285) &lt;= End_of_Year_Month, YEAR(L285),
    TRUE, YEAR(L285) + 1
)</f>
        <v/>
      </c>
      <c r="F285" s="1857">
        <f>IF(L285="",0,L285)</f>
        <v>0</v>
      </c>
      <c r="G285" s="1856">
        <f>-(N285-Q285)</f>
        <v>0</v>
      </c>
      <c r="I285" s="1815" t="b">
        <f>K285&lt;=Number_Payments</f>
        <v>0</v>
      </c>
      <c r="J285" s="1855"/>
      <c r="K285" s="1351">
        <f>K284+1</f>
        <v>159</v>
      </c>
      <c r="L285" s="1854" t="str" cm="1">
        <f t="array" ref="L285">_xlfn.IFS(
    I284=FALSE, "",
    Payment_Frequency="Monthly", EDATE(L284, 1),
    Payment_Frequency="Weekly", DATE(YEAR(L284), MONTH(L284), DAY(L284) + 7),
    Payment_Frequency="Fortnightly", DATE(YEAR(L284), MONTH(L284), DAY(L284) + 14),
    Payment_Frequency="Quarterly", DATE(YEAR(L284), MONTH(L284) + 3, DAY(L284)),
    Payment_Frequency="Yearly", DATE(YEAR(L284) + 1, MONTH(L284), DAY(L284)),
    TRUE, ""
)</f>
        <v/>
      </c>
      <c r="M285" s="1853">
        <f>IF(ISERROR(L285-L284),0,L285-L284)</f>
        <v>0</v>
      </c>
      <c r="N285" s="1851" cm="1">
        <f t="array" ref="N285">_xlfn.IFS(
    AND(I285=TRUE, K285&lt;=No_Regular_Payments), Repay_Amt,
    AND(I285=TRUE, K285=No_Regular_Payments+1), Tm_Balloon_Amt,
   TRUE, 0
)</f>
        <v>0</v>
      </c>
      <c r="O285" s="1850" cm="1">
        <f t="array" ref="O285">_xlfn.IFS(
    M285=0,0,
   ABS(N285 - S284 - P285-Q285) &lt; 1, N285 - S284-Q285,
    TRUE, P285
)</f>
        <v>0</v>
      </c>
      <c r="P285" s="1852">
        <f>IF(M285=0,0,ROUND(S284*EXP(Int_Rate/365.25 * M285)-S284,2))</f>
        <v>0</v>
      </c>
      <c r="Q285" s="1851" cm="1">
        <f t="array" ref="Q285">_xlfn.IFS(
    AND(I285=TRUE, K285&lt;=No_Regular_Payments), Periodic_Admin_Charge,
   TRUE, 0
)</f>
        <v>0</v>
      </c>
      <c r="R285" s="1850">
        <f>N285-O285-Q285</f>
        <v>0</v>
      </c>
      <c r="S285" s="1850">
        <f>ROUND(S284-R285,2)</f>
        <v>0</v>
      </c>
      <c r="T285" s="1850">
        <f>ROUND(T284-(N285-Q285),2)</f>
        <v>0</v>
      </c>
      <c r="U285" s="1849"/>
      <c r="W285" s="1848"/>
      <c r="X285" s="1848"/>
      <c r="Y285" s="1848"/>
    </row>
    <row r="286" spans="2:25" hidden="1">
      <c r="B286" s="1815" t="b">
        <f>AND(I286=FALSE,N285=0,Q285=0,L285="")</f>
        <v>1</v>
      </c>
      <c r="C286" s="1844" t="str" cm="1">
        <f t="array" ref="C286">_xlfn.IFS(
    L286="", "",
    MONTH(L286) &lt;= End_of_Year_Month, YEAR(L286),
    TRUE, YEAR(L286) + 1
)</f>
        <v/>
      </c>
      <c r="F286" s="1857">
        <f>IF(L286="",0,L286)</f>
        <v>0</v>
      </c>
      <c r="G286" s="1856">
        <f>-(N286-Q286)</f>
        <v>0</v>
      </c>
      <c r="I286" s="1815" t="b">
        <f>K286&lt;=Number_Payments</f>
        <v>0</v>
      </c>
      <c r="J286" s="1855"/>
      <c r="K286" s="1351">
        <f>K285+1</f>
        <v>160</v>
      </c>
      <c r="L286" s="1854" t="str" cm="1">
        <f t="array" ref="L286">_xlfn.IFS(
    I285=FALSE, "",
    Payment_Frequency="Monthly", EDATE(L285, 1),
    Payment_Frequency="Weekly", DATE(YEAR(L285), MONTH(L285), DAY(L285) + 7),
    Payment_Frequency="Fortnightly", DATE(YEAR(L285), MONTH(L285), DAY(L285) + 14),
    Payment_Frequency="Quarterly", DATE(YEAR(L285), MONTH(L285) + 3, DAY(L285)),
    Payment_Frequency="Yearly", DATE(YEAR(L285) + 1, MONTH(L285), DAY(L285)),
    TRUE, ""
)</f>
        <v/>
      </c>
      <c r="M286" s="1853">
        <f>IF(ISERROR(L286-L285),0,L286-L285)</f>
        <v>0</v>
      </c>
      <c r="N286" s="1851" cm="1">
        <f t="array" ref="N286">_xlfn.IFS(
    AND(I286=TRUE, K286&lt;=No_Regular_Payments), Repay_Amt,
    AND(I286=TRUE, K286=No_Regular_Payments+1), Tm_Balloon_Amt,
   TRUE, 0
)</f>
        <v>0</v>
      </c>
      <c r="O286" s="1850" cm="1">
        <f t="array" ref="O286">_xlfn.IFS(
    M286=0,0,
   ABS(N286 - S285 - P286-Q286) &lt; 1, N286 - S285-Q286,
    TRUE, P286
)</f>
        <v>0</v>
      </c>
      <c r="P286" s="1852">
        <f>IF(M286=0,0,ROUND(S285*EXP(Int_Rate/365.25 * M286)-S285,2))</f>
        <v>0</v>
      </c>
      <c r="Q286" s="1851" cm="1">
        <f t="array" ref="Q286">_xlfn.IFS(
    AND(I286=TRUE, K286&lt;=No_Regular_Payments), Periodic_Admin_Charge,
   TRUE, 0
)</f>
        <v>0</v>
      </c>
      <c r="R286" s="1850">
        <f>N286-O286-Q286</f>
        <v>0</v>
      </c>
      <c r="S286" s="1850">
        <f>ROUND(S285-R286,2)</f>
        <v>0</v>
      </c>
      <c r="T286" s="1850">
        <f>ROUND(T285-(N286-Q286),2)</f>
        <v>0</v>
      </c>
      <c r="U286" s="1849"/>
      <c r="W286" s="1848"/>
      <c r="X286" s="1848"/>
      <c r="Y286" s="1848"/>
    </row>
    <row r="287" spans="2:25" hidden="1">
      <c r="B287" s="1815" t="b">
        <f>AND(I287=FALSE,N286=0,Q286=0,L286="")</f>
        <v>1</v>
      </c>
      <c r="C287" s="1844" t="str" cm="1">
        <f t="array" ref="C287">_xlfn.IFS(
    L287="", "",
    MONTH(L287) &lt;= End_of_Year_Month, YEAR(L287),
    TRUE, YEAR(L287) + 1
)</f>
        <v/>
      </c>
      <c r="F287" s="1857">
        <f>IF(L287="",0,L287)</f>
        <v>0</v>
      </c>
      <c r="G287" s="1856">
        <f>-(N287-Q287)</f>
        <v>0</v>
      </c>
      <c r="I287" s="1815" t="b">
        <f>K287&lt;=Number_Payments</f>
        <v>0</v>
      </c>
      <c r="J287" s="1855"/>
      <c r="K287" s="1351">
        <f>K286+1</f>
        <v>161</v>
      </c>
      <c r="L287" s="1854" t="str" cm="1">
        <f t="array" ref="L287">_xlfn.IFS(
    I286=FALSE, "",
    Payment_Frequency="Monthly", EDATE(L286, 1),
    Payment_Frequency="Weekly", DATE(YEAR(L286), MONTH(L286), DAY(L286) + 7),
    Payment_Frequency="Fortnightly", DATE(YEAR(L286), MONTH(L286), DAY(L286) + 14),
    Payment_Frequency="Quarterly", DATE(YEAR(L286), MONTH(L286) + 3, DAY(L286)),
    Payment_Frequency="Yearly", DATE(YEAR(L286) + 1, MONTH(L286), DAY(L286)),
    TRUE, ""
)</f>
        <v/>
      </c>
      <c r="M287" s="1853">
        <f>IF(ISERROR(L287-L286),0,L287-L286)</f>
        <v>0</v>
      </c>
      <c r="N287" s="1851" cm="1">
        <f t="array" ref="N287">_xlfn.IFS(
    AND(I287=TRUE, K287&lt;=No_Regular_Payments), Repay_Amt,
    AND(I287=TRUE, K287=No_Regular_Payments+1), Tm_Balloon_Amt,
   TRUE, 0
)</f>
        <v>0</v>
      </c>
      <c r="O287" s="1850" cm="1">
        <f t="array" ref="O287">_xlfn.IFS(
    M287=0,0,
   ABS(N287 - S286 - P287-Q287) &lt; 1, N287 - S286-Q287,
    TRUE, P287
)</f>
        <v>0</v>
      </c>
      <c r="P287" s="1852">
        <f>IF(M287=0,0,ROUND(S286*EXP(Int_Rate/365.25 * M287)-S286,2))</f>
        <v>0</v>
      </c>
      <c r="Q287" s="1851" cm="1">
        <f t="array" ref="Q287">_xlfn.IFS(
    AND(I287=TRUE, K287&lt;=No_Regular_Payments), Periodic_Admin_Charge,
   TRUE, 0
)</f>
        <v>0</v>
      </c>
      <c r="R287" s="1850">
        <f>N287-O287-Q287</f>
        <v>0</v>
      </c>
      <c r="S287" s="1850">
        <f>ROUND(S286-R287,2)</f>
        <v>0</v>
      </c>
      <c r="T287" s="1850">
        <f>ROUND(T286-(N287-Q287),2)</f>
        <v>0</v>
      </c>
      <c r="U287" s="1849"/>
      <c r="W287" s="1848"/>
      <c r="X287" s="1848"/>
      <c r="Y287" s="1848"/>
    </row>
    <row r="288" spans="2:25" hidden="1">
      <c r="B288" s="1815" t="b">
        <f>AND(I288=FALSE,N287=0,Q287=0,L287="")</f>
        <v>1</v>
      </c>
      <c r="C288" s="1844" t="str" cm="1">
        <f t="array" ref="C288">_xlfn.IFS(
    L288="", "",
    MONTH(L288) &lt;= End_of_Year_Month, YEAR(L288),
    TRUE, YEAR(L288) + 1
)</f>
        <v/>
      </c>
      <c r="F288" s="1857">
        <f>IF(L288="",0,L288)</f>
        <v>0</v>
      </c>
      <c r="G288" s="1856">
        <f>-(N288-Q288)</f>
        <v>0</v>
      </c>
      <c r="I288" s="1815" t="b">
        <f>K288&lt;=Number_Payments</f>
        <v>0</v>
      </c>
      <c r="J288" s="1855"/>
      <c r="K288" s="1351">
        <f>K287+1</f>
        <v>162</v>
      </c>
      <c r="L288" s="1854" t="str" cm="1">
        <f t="array" ref="L288">_xlfn.IFS(
    I287=FALSE, "",
    Payment_Frequency="Monthly", EDATE(L287, 1),
    Payment_Frequency="Weekly", DATE(YEAR(L287), MONTH(L287), DAY(L287) + 7),
    Payment_Frequency="Fortnightly", DATE(YEAR(L287), MONTH(L287), DAY(L287) + 14),
    Payment_Frequency="Quarterly", DATE(YEAR(L287), MONTH(L287) + 3, DAY(L287)),
    Payment_Frequency="Yearly", DATE(YEAR(L287) + 1, MONTH(L287), DAY(L287)),
    TRUE, ""
)</f>
        <v/>
      </c>
      <c r="M288" s="1853">
        <f>IF(ISERROR(L288-L287),0,L288-L287)</f>
        <v>0</v>
      </c>
      <c r="N288" s="1851" cm="1">
        <f t="array" ref="N288">_xlfn.IFS(
    AND(I288=TRUE, K288&lt;=No_Regular_Payments), Repay_Amt,
    AND(I288=TRUE, K288=No_Regular_Payments+1), Tm_Balloon_Amt,
   TRUE, 0
)</f>
        <v>0</v>
      </c>
      <c r="O288" s="1850" cm="1">
        <f t="array" ref="O288">_xlfn.IFS(
    M288=0,0,
   ABS(N288 - S287 - P288-Q288) &lt; 1, N288 - S287-Q288,
    TRUE, P288
)</f>
        <v>0</v>
      </c>
      <c r="P288" s="1852">
        <f>IF(M288=0,0,ROUND(S287*EXP(Int_Rate/365.25 * M288)-S287,2))</f>
        <v>0</v>
      </c>
      <c r="Q288" s="1851" cm="1">
        <f t="array" ref="Q288">_xlfn.IFS(
    AND(I288=TRUE, K288&lt;=No_Regular_Payments), Periodic_Admin_Charge,
   TRUE, 0
)</f>
        <v>0</v>
      </c>
      <c r="R288" s="1850">
        <f>N288-O288-Q288</f>
        <v>0</v>
      </c>
      <c r="S288" s="1850">
        <f>ROUND(S287-R288,2)</f>
        <v>0</v>
      </c>
      <c r="T288" s="1850">
        <f>ROUND(T287-(N288-Q288),2)</f>
        <v>0</v>
      </c>
      <c r="U288" s="1849"/>
      <c r="W288" s="1848"/>
      <c r="X288" s="1848"/>
      <c r="Y288" s="1848"/>
    </row>
    <row r="289" spans="2:25" hidden="1">
      <c r="B289" s="1815" t="b">
        <f>AND(I289=FALSE,N288=0,Q288=0,L288="")</f>
        <v>1</v>
      </c>
      <c r="C289" s="1844" t="str" cm="1">
        <f t="array" ref="C289">_xlfn.IFS(
    L289="", "",
    MONTH(L289) &lt;= End_of_Year_Month, YEAR(L289),
    TRUE, YEAR(L289) + 1
)</f>
        <v/>
      </c>
      <c r="F289" s="1857">
        <f>IF(L289="",0,L289)</f>
        <v>0</v>
      </c>
      <c r="G289" s="1856">
        <f>-(N289-Q289)</f>
        <v>0</v>
      </c>
      <c r="I289" s="1815" t="b">
        <f>K289&lt;=Number_Payments</f>
        <v>0</v>
      </c>
      <c r="J289" s="1855"/>
      <c r="K289" s="1351">
        <f>K288+1</f>
        <v>163</v>
      </c>
      <c r="L289" s="1854" t="str" cm="1">
        <f t="array" ref="L289">_xlfn.IFS(
    I288=FALSE, "",
    Payment_Frequency="Monthly", EDATE(L288, 1),
    Payment_Frequency="Weekly", DATE(YEAR(L288), MONTH(L288), DAY(L288) + 7),
    Payment_Frequency="Fortnightly", DATE(YEAR(L288), MONTH(L288), DAY(L288) + 14),
    Payment_Frequency="Quarterly", DATE(YEAR(L288), MONTH(L288) + 3, DAY(L288)),
    Payment_Frequency="Yearly", DATE(YEAR(L288) + 1, MONTH(L288), DAY(L288)),
    TRUE, ""
)</f>
        <v/>
      </c>
      <c r="M289" s="1853">
        <f>IF(ISERROR(L289-L288),0,L289-L288)</f>
        <v>0</v>
      </c>
      <c r="N289" s="1851" cm="1">
        <f t="array" ref="N289">_xlfn.IFS(
    AND(I289=TRUE, K289&lt;=No_Regular_Payments), Repay_Amt,
    AND(I289=TRUE, K289=No_Regular_Payments+1), Tm_Balloon_Amt,
   TRUE, 0
)</f>
        <v>0</v>
      </c>
      <c r="O289" s="1850" cm="1">
        <f t="array" ref="O289">_xlfn.IFS(
    M289=0,0,
   ABS(N289 - S288 - P289-Q289) &lt; 1, N289 - S288-Q289,
    TRUE, P289
)</f>
        <v>0</v>
      </c>
      <c r="P289" s="1852">
        <f>IF(M289=0,0,ROUND(S288*EXP(Int_Rate/365.25 * M289)-S288,2))</f>
        <v>0</v>
      </c>
      <c r="Q289" s="1851" cm="1">
        <f t="array" ref="Q289">_xlfn.IFS(
    AND(I289=TRUE, K289&lt;=No_Regular_Payments), Periodic_Admin_Charge,
   TRUE, 0
)</f>
        <v>0</v>
      </c>
      <c r="R289" s="1850">
        <f>N289-O289-Q289</f>
        <v>0</v>
      </c>
      <c r="S289" s="1850">
        <f>ROUND(S288-R289,2)</f>
        <v>0</v>
      </c>
      <c r="T289" s="1850">
        <f>ROUND(T288-(N289-Q289),2)</f>
        <v>0</v>
      </c>
      <c r="U289" s="1849"/>
      <c r="W289" s="1848"/>
      <c r="X289" s="1848"/>
      <c r="Y289" s="1848"/>
    </row>
    <row r="290" spans="2:25" hidden="1">
      <c r="B290" s="1815" t="b">
        <f>AND(I290=FALSE,N289=0,Q289=0,L289="")</f>
        <v>1</v>
      </c>
      <c r="C290" s="1844" t="str" cm="1">
        <f t="array" ref="C290">_xlfn.IFS(
    L290="", "",
    MONTH(L290) &lt;= End_of_Year_Month, YEAR(L290),
    TRUE, YEAR(L290) + 1
)</f>
        <v/>
      </c>
      <c r="F290" s="1857">
        <f>IF(L290="",0,L290)</f>
        <v>0</v>
      </c>
      <c r="G290" s="1856">
        <f>-(N290-Q290)</f>
        <v>0</v>
      </c>
      <c r="I290" s="1815" t="b">
        <f>K290&lt;=Number_Payments</f>
        <v>0</v>
      </c>
      <c r="J290" s="1855"/>
      <c r="K290" s="1351">
        <f>K289+1</f>
        <v>164</v>
      </c>
      <c r="L290" s="1854" t="str" cm="1">
        <f t="array" ref="L290">_xlfn.IFS(
    I289=FALSE, "",
    Payment_Frequency="Monthly", EDATE(L289, 1),
    Payment_Frequency="Weekly", DATE(YEAR(L289), MONTH(L289), DAY(L289) + 7),
    Payment_Frequency="Fortnightly", DATE(YEAR(L289), MONTH(L289), DAY(L289) + 14),
    Payment_Frequency="Quarterly", DATE(YEAR(L289), MONTH(L289) + 3, DAY(L289)),
    Payment_Frequency="Yearly", DATE(YEAR(L289) + 1, MONTH(L289), DAY(L289)),
    TRUE, ""
)</f>
        <v/>
      </c>
      <c r="M290" s="1853">
        <f>IF(ISERROR(L290-L289),0,L290-L289)</f>
        <v>0</v>
      </c>
      <c r="N290" s="1851" cm="1">
        <f t="array" ref="N290">_xlfn.IFS(
    AND(I290=TRUE, K290&lt;=No_Regular_Payments), Repay_Amt,
    AND(I290=TRUE, K290=No_Regular_Payments+1), Tm_Balloon_Amt,
   TRUE, 0
)</f>
        <v>0</v>
      </c>
      <c r="O290" s="1850" cm="1">
        <f t="array" ref="O290">_xlfn.IFS(
    M290=0,0,
   ABS(N290 - S289 - P290-Q290) &lt; 1, N290 - S289-Q290,
    TRUE, P290
)</f>
        <v>0</v>
      </c>
      <c r="P290" s="1852">
        <f>IF(M290=0,0,ROUND(S289*EXP(Int_Rate/365.25 * M290)-S289,2))</f>
        <v>0</v>
      </c>
      <c r="Q290" s="1851" cm="1">
        <f t="array" ref="Q290">_xlfn.IFS(
    AND(I290=TRUE, K290&lt;=No_Regular_Payments), Periodic_Admin_Charge,
   TRUE, 0
)</f>
        <v>0</v>
      </c>
      <c r="R290" s="1850">
        <f>N290-O290-Q290</f>
        <v>0</v>
      </c>
      <c r="S290" s="1850">
        <f>ROUND(S289-R290,2)</f>
        <v>0</v>
      </c>
      <c r="T290" s="1850">
        <f>ROUND(T289-(N290-Q290),2)</f>
        <v>0</v>
      </c>
      <c r="U290" s="1849"/>
      <c r="W290" s="1848"/>
      <c r="X290" s="1848"/>
      <c r="Y290" s="1848"/>
    </row>
    <row r="291" spans="2:25" hidden="1">
      <c r="B291" s="1815" t="b">
        <f>AND(I291=FALSE,N290=0,Q290=0,L290="")</f>
        <v>1</v>
      </c>
      <c r="C291" s="1844" t="str" cm="1">
        <f t="array" ref="C291">_xlfn.IFS(
    L291="", "",
    MONTH(L291) &lt;= End_of_Year_Month, YEAR(L291),
    TRUE, YEAR(L291) + 1
)</f>
        <v/>
      </c>
      <c r="F291" s="1857">
        <f>IF(L291="",0,L291)</f>
        <v>0</v>
      </c>
      <c r="G291" s="1856">
        <f>-(N291-Q291)</f>
        <v>0</v>
      </c>
      <c r="I291" s="1815" t="b">
        <f>K291&lt;=Number_Payments</f>
        <v>0</v>
      </c>
      <c r="J291" s="1855"/>
      <c r="K291" s="1351">
        <f>K290+1</f>
        <v>165</v>
      </c>
      <c r="L291" s="1854" t="str" cm="1">
        <f t="array" ref="L291">_xlfn.IFS(
    I290=FALSE, "",
    Payment_Frequency="Monthly", EDATE(L290, 1),
    Payment_Frequency="Weekly", DATE(YEAR(L290), MONTH(L290), DAY(L290) + 7),
    Payment_Frequency="Fortnightly", DATE(YEAR(L290), MONTH(L290), DAY(L290) + 14),
    Payment_Frequency="Quarterly", DATE(YEAR(L290), MONTH(L290) + 3, DAY(L290)),
    Payment_Frequency="Yearly", DATE(YEAR(L290) + 1, MONTH(L290), DAY(L290)),
    TRUE, ""
)</f>
        <v/>
      </c>
      <c r="M291" s="1853">
        <f>IF(ISERROR(L291-L290),0,L291-L290)</f>
        <v>0</v>
      </c>
      <c r="N291" s="1851" cm="1">
        <f t="array" ref="N291">_xlfn.IFS(
    AND(I291=TRUE, K291&lt;=No_Regular_Payments), Repay_Amt,
    AND(I291=TRUE, K291=No_Regular_Payments+1), Tm_Balloon_Amt,
   TRUE, 0
)</f>
        <v>0</v>
      </c>
      <c r="O291" s="1850" cm="1">
        <f t="array" ref="O291">_xlfn.IFS(
    M291=0,0,
   ABS(N291 - S290 - P291-Q291) &lt; 1, N291 - S290-Q291,
    TRUE, P291
)</f>
        <v>0</v>
      </c>
      <c r="P291" s="1852">
        <f>IF(M291=0,0,ROUND(S290*EXP(Int_Rate/365.25 * M291)-S290,2))</f>
        <v>0</v>
      </c>
      <c r="Q291" s="1851" cm="1">
        <f t="array" ref="Q291">_xlfn.IFS(
    AND(I291=TRUE, K291&lt;=No_Regular_Payments), Periodic_Admin_Charge,
   TRUE, 0
)</f>
        <v>0</v>
      </c>
      <c r="R291" s="1850">
        <f>N291-O291-Q291</f>
        <v>0</v>
      </c>
      <c r="S291" s="1850">
        <f>ROUND(S290-R291,2)</f>
        <v>0</v>
      </c>
      <c r="T291" s="1850">
        <f>ROUND(T290-(N291-Q291),2)</f>
        <v>0</v>
      </c>
      <c r="U291" s="1849"/>
      <c r="W291" s="1848"/>
      <c r="X291" s="1848"/>
      <c r="Y291" s="1848"/>
    </row>
    <row r="292" spans="2:25" hidden="1">
      <c r="B292" s="1815" t="b">
        <f>AND(I292=FALSE,N291=0,Q291=0,L291="")</f>
        <v>1</v>
      </c>
      <c r="C292" s="1844" t="str" cm="1">
        <f t="array" ref="C292">_xlfn.IFS(
    L292="", "",
    MONTH(L292) &lt;= End_of_Year_Month, YEAR(L292),
    TRUE, YEAR(L292) + 1
)</f>
        <v/>
      </c>
      <c r="F292" s="1857">
        <f>IF(L292="",0,L292)</f>
        <v>0</v>
      </c>
      <c r="G292" s="1856">
        <f>-(N292-Q292)</f>
        <v>0</v>
      </c>
      <c r="I292" s="1815" t="b">
        <f>K292&lt;=Number_Payments</f>
        <v>0</v>
      </c>
      <c r="J292" s="1855"/>
      <c r="K292" s="1351">
        <f>K291+1</f>
        <v>166</v>
      </c>
      <c r="L292" s="1854" t="str" cm="1">
        <f t="array" ref="L292">_xlfn.IFS(
    I291=FALSE, "",
    Payment_Frequency="Monthly", EDATE(L291, 1),
    Payment_Frequency="Weekly", DATE(YEAR(L291), MONTH(L291), DAY(L291) + 7),
    Payment_Frequency="Fortnightly", DATE(YEAR(L291), MONTH(L291), DAY(L291) + 14),
    Payment_Frequency="Quarterly", DATE(YEAR(L291), MONTH(L291) + 3, DAY(L291)),
    Payment_Frequency="Yearly", DATE(YEAR(L291) + 1, MONTH(L291), DAY(L291)),
    TRUE, ""
)</f>
        <v/>
      </c>
      <c r="M292" s="1853">
        <f>IF(ISERROR(L292-L291),0,L292-L291)</f>
        <v>0</v>
      </c>
      <c r="N292" s="1851" cm="1">
        <f t="array" ref="N292">_xlfn.IFS(
    AND(I292=TRUE, K292&lt;=No_Regular_Payments), Repay_Amt,
    AND(I292=TRUE, K292=No_Regular_Payments+1), Tm_Balloon_Amt,
   TRUE, 0
)</f>
        <v>0</v>
      </c>
      <c r="O292" s="1850" cm="1">
        <f t="array" ref="O292">_xlfn.IFS(
    M292=0,0,
   ABS(N292 - S291 - P292-Q292) &lt; 1, N292 - S291-Q292,
    TRUE, P292
)</f>
        <v>0</v>
      </c>
      <c r="P292" s="1852">
        <f>IF(M292=0,0,ROUND(S291*EXP(Int_Rate/365.25 * M292)-S291,2))</f>
        <v>0</v>
      </c>
      <c r="Q292" s="1851" cm="1">
        <f t="array" ref="Q292">_xlfn.IFS(
    AND(I292=TRUE, K292&lt;=No_Regular_Payments), Periodic_Admin_Charge,
   TRUE, 0
)</f>
        <v>0</v>
      </c>
      <c r="R292" s="1850">
        <f>N292-O292-Q292</f>
        <v>0</v>
      </c>
      <c r="S292" s="1850">
        <f>ROUND(S291-R292,2)</f>
        <v>0</v>
      </c>
      <c r="T292" s="1850">
        <f>ROUND(T291-(N292-Q292),2)</f>
        <v>0</v>
      </c>
      <c r="U292" s="1849"/>
      <c r="W292" s="1848"/>
      <c r="X292" s="1848"/>
      <c r="Y292" s="1848"/>
    </row>
    <row r="293" spans="2:25" hidden="1">
      <c r="B293" s="1815" t="b">
        <f>AND(I293=FALSE,N292=0,Q292=0,L292="")</f>
        <v>1</v>
      </c>
      <c r="C293" s="1844" t="str" cm="1">
        <f t="array" ref="C293">_xlfn.IFS(
    L293="", "",
    MONTH(L293) &lt;= End_of_Year_Month, YEAR(L293),
    TRUE, YEAR(L293) + 1
)</f>
        <v/>
      </c>
      <c r="F293" s="1857">
        <f>IF(L293="",0,L293)</f>
        <v>0</v>
      </c>
      <c r="G293" s="1856">
        <f>-(N293-Q293)</f>
        <v>0</v>
      </c>
      <c r="I293" s="1815" t="b">
        <f>K293&lt;=Number_Payments</f>
        <v>0</v>
      </c>
      <c r="J293" s="1855"/>
      <c r="K293" s="1351">
        <f>K292+1</f>
        <v>167</v>
      </c>
      <c r="L293" s="1854" t="str" cm="1">
        <f t="array" ref="L293">_xlfn.IFS(
    I292=FALSE, "",
    Payment_Frequency="Monthly", EDATE(L292, 1),
    Payment_Frequency="Weekly", DATE(YEAR(L292), MONTH(L292), DAY(L292) + 7),
    Payment_Frequency="Fortnightly", DATE(YEAR(L292), MONTH(L292), DAY(L292) + 14),
    Payment_Frequency="Quarterly", DATE(YEAR(L292), MONTH(L292) + 3, DAY(L292)),
    Payment_Frequency="Yearly", DATE(YEAR(L292) + 1, MONTH(L292), DAY(L292)),
    TRUE, ""
)</f>
        <v/>
      </c>
      <c r="M293" s="1853">
        <f>IF(ISERROR(L293-L292),0,L293-L292)</f>
        <v>0</v>
      </c>
      <c r="N293" s="1851" cm="1">
        <f t="array" ref="N293">_xlfn.IFS(
    AND(I293=TRUE, K293&lt;=No_Regular_Payments), Repay_Amt,
    AND(I293=TRUE, K293=No_Regular_Payments+1), Tm_Balloon_Amt,
   TRUE, 0
)</f>
        <v>0</v>
      </c>
      <c r="O293" s="1850" cm="1">
        <f t="array" ref="O293">_xlfn.IFS(
    M293=0,0,
   ABS(N293 - S292 - P293-Q293) &lt; 1, N293 - S292-Q293,
    TRUE, P293
)</f>
        <v>0</v>
      </c>
      <c r="P293" s="1852">
        <f>IF(M293=0,0,ROUND(S292*EXP(Int_Rate/365.25 * M293)-S292,2))</f>
        <v>0</v>
      </c>
      <c r="Q293" s="1851" cm="1">
        <f t="array" ref="Q293">_xlfn.IFS(
    AND(I293=TRUE, K293&lt;=No_Regular_Payments), Periodic_Admin_Charge,
   TRUE, 0
)</f>
        <v>0</v>
      </c>
      <c r="R293" s="1850">
        <f>N293-O293-Q293</f>
        <v>0</v>
      </c>
      <c r="S293" s="1850">
        <f>ROUND(S292-R293,2)</f>
        <v>0</v>
      </c>
      <c r="T293" s="1850">
        <f>ROUND(T292-(N293-Q293),2)</f>
        <v>0</v>
      </c>
      <c r="U293" s="1849"/>
      <c r="W293" s="1848"/>
      <c r="X293" s="1848"/>
      <c r="Y293" s="1848"/>
    </row>
    <row r="294" spans="2:25" hidden="1">
      <c r="B294" s="1815" t="b">
        <f>AND(I294=FALSE,N293=0,Q293=0,L293="")</f>
        <v>1</v>
      </c>
      <c r="C294" s="1844" t="str" cm="1">
        <f t="array" ref="C294">_xlfn.IFS(
    L294="", "",
    MONTH(L294) &lt;= End_of_Year_Month, YEAR(L294),
    TRUE, YEAR(L294) + 1
)</f>
        <v/>
      </c>
      <c r="F294" s="1857">
        <f>IF(L294="",0,L294)</f>
        <v>0</v>
      </c>
      <c r="G294" s="1856">
        <f>-(N294-Q294)</f>
        <v>0</v>
      </c>
      <c r="I294" s="1815" t="b">
        <f>K294&lt;=Number_Payments</f>
        <v>0</v>
      </c>
      <c r="J294" s="1855"/>
      <c r="K294" s="1351">
        <f>K293+1</f>
        <v>168</v>
      </c>
      <c r="L294" s="1854" t="str" cm="1">
        <f t="array" ref="L294">_xlfn.IFS(
    I293=FALSE, "",
    Payment_Frequency="Monthly", EDATE(L293, 1),
    Payment_Frequency="Weekly", DATE(YEAR(L293), MONTH(L293), DAY(L293) + 7),
    Payment_Frequency="Fortnightly", DATE(YEAR(L293), MONTH(L293), DAY(L293) + 14),
    Payment_Frequency="Quarterly", DATE(YEAR(L293), MONTH(L293) + 3, DAY(L293)),
    Payment_Frequency="Yearly", DATE(YEAR(L293) + 1, MONTH(L293), DAY(L293)),
    TRUE, ""
)</f>
        <v/>
      </c>
      <c r="M294" s="1853">
        <f>IF(ISERROR(L294-L293),0,L294-L293)</f>
        <v>0</v>
      </c>
      <c r="N294" s="1851" cm="1">
        <f t="array" ref="N294">_xlfn.IFS(
    AND(I294=TRUE, K294&lt;=No_Regular_Payments), Repay_Amt,
    AND(I294=TRUE, K294=No_Regular_Payments+1), Tm_Balloon_Amt,
   TRUE, 0
)</f>
        <v>0</v>
      </c>
      <c r="O294" s="1850" cm="1">
        <f t="array" ref="O294">_xlfn.IFS(
    M294=0,0,
   ABS(N294 - S293 - P294-Q294) &lt; 1, N294 - S293-Q294,
    TRUE, P294
)</f>
        <v>0</v>
      </c>
      <c r="P294" s="1852">
        <f>IF(M294=0,0,ROUND(S293*EXP(Int_Rate/365.25 * M294)-S293,2))</f>
        <v>0</v>
      </c>
      <c r="Q294" s="1851" cm="1">
        <f t="array" ref="Q294">_xlfn.IFS(
    AND(I294=TRUE, K294&lt;=No_Regular_Payments), Periodic_Admin_Charge,
   TRUE, 0
)</f>
        <v>0</v>
      </c>
      <c r="R294" s="1850">
        <f>N294-O294-Q294</f>
        <v>0</v>
      </c>
      <c r="S294" s="1850">
        <f>ROUND(S293-R294,2)</f>
        <v>0</v>
      </c>
      <c r="T294" s="1850">
        <f>ROUND(T293-(N294-Q294),2)</f>
        <v>0</v>
      </c>
      <c r="U294" s="1849"/>
      <c r="W294" s="1848"/>
      <c r="X294" s="1848"/>
      <c r="Y294" s="1848"/>
    </row>
    <row r="295" spans="2:25" hidden="1">
      <c r="B295" s="1815" t="b">
        <f>AND(I295=FALSE,N294=0,Q294=0,L294="")</f>
        <v>1</v>
      </c>
      <c r="C295" s="1844" t="str" cm="1">
        <f t="array" ref="C295">_xlfn.IFS(
    L295="", "",
    MONTH(L295) &lt;= End_of_Year_Month, YEAR(L295),
    TRUE, YEAR(L295) + 1
)</f>
        <v/>
      </c>
      <c r="F295" s="1857">
        <f>IF(L295="",0,L295)</f>
        <v>0</v>
      </c>
      <c r="G295" s="1856">
        <f>-(N295-Q295)</f>
        <v>0</v>
      </c>
      <c r="I295" s="1815" t="b">
        <f>K295&lt;=Number_Payments</f>
        <v>0</v>
      </c>
      <c r="J295" s="1855"/>
      <c r="K295" s="1351">
        <f>K294+1</f>
        <v>169</v>
      </c>
      <c r="L295" s="1854" t="str" cm="1">
        <f t="array" ref="L295">_xlfn.IFS(
    I294=FALSE, "",
    Payment_Frequency="Monthly", EDATE(L294, 1),
    Payment_Frequency="Weekly", DATE(YEAR(L294), MONTH(L294), DAY(L294) + 7),
    Payment_Frequency="Fortnightly", DATE(YEAR(L294), MONTH(L294), DAY(L294) + 14),
    Payment_Frequency="Quarterly", DATE(YEAR(L294), MONTH(L294) + 3, DAY(L294)),
    Payment_Frequency="Yearly", DATE(YEAR(L294) + 1, MONTH(L294), DAY(L294)),
    TRUE, ""
)</f>
        <v/>
      </c>
      <c r="M295" s="1853">
        <f>IF(ISERROR(L295-L294),0,L295-L294)</f>
        <v>0</v>
      </c>
      <c r="N295" s="1851" cm="1">
        <f t="array" ref="N295">_xlfn.IFS(
    AND(I295=TRUE, K295&lt;=No_Regular_Payments), Repay_Amt,
    AND(I295=TRUE, K295=No_Regular_Payments+1), Tm_Balloon_Amt,
   TRUE, 0
)</f>
        <v>0</v>
      </c>
      <c r="O295" s="1850" cm="1">
        <f t="array" ref="O295">_xlfn.IFS(
    M295=0,0,
   ABS(N295 - S294 - P295-Q295) &lt; 1, N295 - S294-Q295,
    TRUE, P295
)</f>
        <v>0</v>
      </c>
      <c r="P295" s="1852">
        <f>IF(M295=0,0,ROUND(S294*EXP(Int_Rate/365.25 * M295)-S294,2))</f>
        <v>0</v>
      </c>
      <c r="Q295" s="1851" cm="1">
        <f t="array" ref="Q295">_xlfn.IFS(
    AND(I295=TRUE, K295&lt;=No_Regular_Payments), Periodic_Admin_Charge,
   TRUE, 0
)</f>
        <v>0</v>
      </c>
      <c r="R295" s="1850">
        <f>N295-O295-Q295</f>
        <v>0</v>
      </c>
      <c r="S295" s="1850">
        <f>ROUND(S294-R295,2)</f>
        <v>0</v>
      </c>
      <c r="T295" s="1850">
        <f>ROUND(T294-(N295-Q295),2)</f>
        <v>0</v>
      </c>
      <c r="U295" s="1849"/>
      <c r="W295" s="1848"/>
      <c r="X295" s="1848"/>
      <c r="Y295" s="1848"/>
    </row>
    <row r="296" spans="2:25" hidden="1">
      <c r="B296" s="1815" t="b">
        <f>AND(I296=FALSE,N295=0,Q295=0,L295="")</f>
        <v>1</v>
      </c>
      <c r="C296" s="1844" t="str" cm="1">
        <f t="array" ref="C296">_xlfn.IFS(
    L296="", "",
    MONTH(L296) &lt;= End_of_Year_Month, YEAR(L296),
    TRUE, YEAR(L296) + 1
)</f>
        <v/>
      </c>
      <c r="F296" s="1857">
        <f>IF(L296="",0,L296)</f>
        <v>0</v>
      </c>
      <c r="G296" s="1856">
        <f>-(N296-Q296)</f>
        <v>0</v>
      </c>
      <c r="I296" s="1815" t="b">
        <f>K296&lt;=Number_Payments</f>
        <v>0</v>
      </c>
      <c r="J296" s="1855"/>
      <c r="K296" s="1351">
        <f>K295+1</f>
        <v>170</v>
      </c>
      <c r="L296" s="1854" t="str" cm="1">
        <f t="array" ref="L296">_xlfn.IFS(
    I295=FALSE, "",
    Payment_Frequency="Monthly", EDATE(L295, 1),
    Payment_Frequency="Weekly", DATE(YEAR(L295), MONTH(L295), DAY(L295) + 7),
    Payment_Frequency="Fortnightly", DATE(YEAR(L295), MONTH(L295), DAY(L295) + 14),
    Payment_Frequency="Quarterly", DATE(YEAR(L295), MONTH(L295) + 3, DAY(L295)),
    Payment_Frequency="Yearly", DATE(YEAR(L295) + 1, MONTH(L295), DAY(L295)),
    TRUE, ""
)</f>
        <v/>
      </c>
      <c r="M296" s="1853">
        <f>IF(ISERROR(L296-L295),0,L296-L295)</f>
        <v>0</v>
      </c>
      <c r="N296" s="1851" cm="1">
        <f t="array" ref="N296">_xlfn.IFS(
    AND(I296=TRUE, K296&lt;=No_Regular_Payments), Repay_Amt,
    AND(I296=TRUE, K296=No_Regular_Payments+1), Tm_Balloon_Amt,
   TRUE, 0
)</f>
        <v>0</v>
      </c>
      <c r="O296" s="1850" cm="1">
        <f t="array" ref="O296">_xlfn.IFS(
    M296=0,0,
   ABS(N296 - S295 - P296-Q296) &lt; 1, N296 - S295-Q296,
    TRUE, P296
)</f>
        <v>0</v>
      </c>
      <c r="P296" s="1852">
        <f>IF(M296=0,0,ROUND(S295*EXP(Int_Rate/365.25 * M296)-S295,2))</f>
        <v>0</v>
      </c>
      <c r="Q296" s="1851" cm="1">
        <f t="array" ref="Q296">_xlfn.IFS(
    AND(I296=TRUE, K296&lt;=No_Regular_Payments), Periodic_Admin_Charge,
   TRUE, 0
)</f>
        <v>0</v>
      </c>
      <c r="R296" s="1850">
        <f>N296-O296-Q296</f>
        <v>0</v>
      </c>
      <c r="S296" s="1850">
        <f>ROUND(S295-R296,2)</f>
        <v>0</v>
      </c>
      <c r="T296" s="1850">
        <f>ROUND(T295-(N296-Q296),2)</f>
        <v>0</v>
      </c>
      <c r="U296" s="1849"/>
      <c r="W296" s="1848"/>
      <c r="X296" s="1848"/>
      <c r="Y296" s="1848"/>
    </row>
    <row r="297" spans="2:25" hidden="1">
      <c r="B297" s="1815" t="b">
        <f>AND(I297=FALSE,N296=0,Q296=0,L296="")</f>
        <v>1</v>
      </c>
      <c r="C297" s="1844" t="str" cm="1">
        <f t="array" ref="C297">_xlfn.IFS(
    L297="", "",
    MONTH(L297) &lt;= End_of_Year_Month, YEAR(L297),
    TRUE, YEAR(L297) + 1
)</f>
        <v/>
      </c>
      <c r="F297" s="1857">
        <f>IF(L297="",0,L297)</f>
        <v>0</v>
      </c>
      <c r="G297" s="1856">
        <f>-(N297-Q297)</f>
        <v>0</v>
      </c>
      <c r="I297" s="1815" t="b">
        <f>K297&lt;=Number_Payments</f>
        <v>0</v>
      </c>
      <c r="J297" s="1855"/>
      <c r="K297" s="1351">
        <f>K296+1</f>
        <v>171</v>
      </c>
      <c r="L297" s="1854" t="str" cm="1">
        <f t="array" ref="L297">_xlfn.IFS(
    I296=FALSE, "",
    Payment_Frequency="Monthly", EDATE(L296, 1),
    Payment_Frequency="Weekly", DATE(YEAR(L296), MONTH(L296), DAY(L296) + 7),
    Payment_Frequency="Fortnightly", DATE(YEAR(L296), MONTH(L296), DAY(L296) + 14),
    Payment_Frequency="Quarterly", DATE(YEAR(L296), MONTH(L296) + 3, DAY(L296)),
    Payment_Frequency="Yearly", DATE(YEAR(L296) + 1, MONTH(L296), DAY(L296)),
    TRUE, ""
)</f>
        <v/>
      </c>
      <c r="M297" s="1853">
        <f>IF(ISERROR(L297-L296),0,L297-L296)</f>
        <v>0</v>
      </c>
      <c r="N297" s="1851" cm="1">
        <f t="array" ref="N297">_xlfn.IFS(
    AND(I297=TRUE, K297&lt;=No_Regular_Payments), Repay_Amt,
    AND(I297=TRUE, K297=No_Regular_Payments+1), Tm_Balloon_Amt,
   TRUE, 0
)</f>
        <v>0</v>
      </c>
      <c r="O297" s="1850" cm="1">
        <f t="array" ref="O297">_xlfn.IFS(
    M297=0,0,
   ABS(N297 - S296 - P297-Q297) &lt; 1, N297 - S296-Q297,
    TRUE, P297
)</f>
        <v>0</v>
      </c>
      <c r="P297" s="1852">
        <f>IF(M297=0,0,ROUND(S296*EXP(Int_Rate/365.25 * M297)-S296,2))</f>
        <v>0</v>
      </c>
      <c r="Q297" s="1851" cm="1">
        <f t="array" ref="Q297">_xlfn.IFS(
    AND(I297=TRUE, K297&lt;=No_Regular_Payments), Periodic_Admin_Charge,
   TRUE, 0
)</f>
        <v>0</v>
      </c>
      <c r="R297" s="1850">
        <f>N297-O297-Q297</f>
        <v>0</v>
      </c>
      <c r="S297" s="1850">
        <f>ROUND(S296-R297,2)</f>
        <v>0</v>
      </c>
      <c r="T297" s="1850">
        <f>ROUND(T296-(N297-Q297),2)</f>
        <v>0</v>
      </c>
      <c r="U297" s="1849"/>
      <c r="W297" s="1848"/>
      <c r="X297" s="1848"/>
      <c r="Y297" s="1848"/>
    </row>
    <row r="298" spans="2:25" hidden="1">
      <c r="B298" s="1815" t="b">
        <f>AND(I298=FALSE,N297=0,Q297=0,L297="")</f>
        <v>1</v>
      </c>
      <c r="C298" s="1844" t="str" cm="1">
        <f t="array" ref="C298">_xlfn.IFS(
    L298="", "",
    MONTH(L298) &lt;= End_of_Year_Month, YEAR(L298),
    TRUE, YEAR(L298) + 1
)</f>
        <v/>
      </c>
      <c r="F298" s="1857">
        <f>IF(L298="",0,L298)</f>
        <v>0</v>
      </c>
      <c r="G298" s="1856">
        <f>-(N298-Q298)</f>
        <v>0</v>
      </c>
      <c r="I298" s="1815" t="b">
        <f>K298&lt;=Number_Payments</f>
        <v>0</v>
      </c>
      <c r="J298" s="1855"/>
      <c r="K298" s="1351">
        <f>K297+1</f>
        <v>172</v>
      </c>
      <c r="L298" s="1854" t="str" cm="1">
        <f t="array" ref="L298">_xlfn.IFS(
    I297=FALSE, "",
    Payment_Frequency="Monthly", EDATE(L297, 1),
    Payment_Frequency="Weekly", DATE(YEAR(L297), MONTH(L297), DAY(L297) + 7),
    Payment_Frequency="Fortnightly", DATE(YEAR(L297), MONTH(L297), DAY(L297) + 14),
    Payment_Frequency="Quarterly", DATE(YEAR(L297), MONTH(L297) + 3, DAY(L297)),
    Payment_Frequency="Yearly", DATE(YEAR(L297) + 1, MONTH(L297), DAY(L297)),
    TRUE, ""
)</f>
        <v/>
      </c>
      <c r="M298" s="1853">
        <f>IF(ISERROR(L298-L297),0,L298-L297)</f>
        <v>0</v>
      </c>
      <c r="N298" s="1851" cm="1">
        <f t="array" ref="N298">_xlfn.IFS(
    AND(I298=TRUE, K298&lt;=No_Regular_Payments), Repay_Amt,
    AND(I298=TRUE, K298=No_Regular_Payments+1), Tm_Balloon_Amt,
   TRUE, 0
)</f>
        <v>0</v>
      </c>
      <c r="O298" s="1850" cm="1">
        <f t="array" ref="O298">_xlfn.IFS(
    M298=0,0,
   ABS(N298 - S297 - P298-Q298) &lt; 1, N298 - S297-Q298,
    TRUE, P298
)</f>
        <v>0</v>
      </c>
      <c r="P298" s="1852">
        <f>IF(M298=0,0,ROUND(S297*EXP(Int_Rate/365.25 * M298)-S297,2))</f>
        <v>0</v>
      </c>
      <c r="Q298" s="1851" cm="1">
        <f t="array" ref="Q298">_xlfn.IFS(
    AND(I298=TRUE, K298&lt;=No_Regular_Payments), Periodic_Admin_Charge,
   TRUE, 0
)</f>
        <v>0</v>
      </c>
      <c r="R298" s="1850">
        <f>N298-O298-Q298</f>
        <v>0</v>
      </c>
      <c r="S298" s="1850">
        <f>ROUND(S297-R298,2)</f>
        <v>0</v>
      </c>
      <c r="T298" s="1850">
        <f>ROUND(T297-(N298-Q298),2)</f>
        <v>0</v>
      </c>
      <c r="U298" s="1849"/>
      <c r="W298" s="1848"/>
      <c r="X298" s="1848"/>
      <c r="Y298" s="1848"/>
    </row>
    <row r="299" spans="2:25" hidden="1">
      <c r="B299" s="1815" t="b">
        <f>AND(I299=FALSE,N298=0,Q298=0,L298="")</f>
        <v>1</v>
      </c>
      <c r="C299" s="1844" t="str" cm="1">
        <f t="array" ref="C299">_xlfn.IFS(
    L299="", "",
    MONTH(L299) &lt;= End_of_Year_Month, YEAR(L299),
    TRUE, YEAR(L299) + 1
)</f>
        <v/>
      </c>
      <c r="F299" s="1857">
        <f>IF(L299="",0,L299)</f>
        <v>0</v>
      </c>
      <c r="G299" s="1856">
        <f>-(N299-Q299)</f>
        <v>0</v>
      </c>
      <c r="I299" s="1815" t="b">
        <f>K299&lt;=Number_Payments</f>
        <v>0</v>
      </c>
      <c r="J299" s="1855"/>
      <c r="K299" s="1351">
        <f>K298+1</f>
        <v>173</v>
      </c>
      <c r="L299" s="1854" t="str" cm="1">
        <f t="array" ref="L299">_xlfn.IFS(
    I298=FALSE, "",
    Payment_Frequency="Monthly", EDATE(L298, 1),
    Payment_Frequency="Weekly", DATE(YEAR(L298), MONTH(L298), DAY(L298) + 7),
    Payment_Frequency="Fortnightly", DATE(YEAR(L298), MONTH(L298), DAY(L298) + 14),
    Payment_Frequency="Quarterly", DATE(YEAR(L298), MONTH(L298) + 3, DAY(L298)),
    Payment_Frequency="Yearly", DATE(YEAR(L298) + 1, MONTH(L298), DAY(L298)),
    TRUE, ""
)</f>
        <v/>
      </c>
      <c r="M299" s="1853">
        <f>IF(ISERROR(L299-L298),0,L299-L298)</f>
        <v>0</v>
      </c>
      <c r="N299" s="1851" cm="1">
        <f t="array" ref="N299">_xlfn.IFS(
    AND(I299=TRUE, K299&lt;=No_Regular_Payments), Repay_Amt,
    AND(I299=TRUE, K299=No_Regular_Payments+1), Tm_Balloon_Amt,
   TRUE, 0
)</f>
        <v>0</v>
      </c>
      <c r="O299" s="1850" cm="1">
        <f t="array" ref="O299">_xlfn.IFS(
    M299=0,0,
   ABS(N299 - S298 - P299-Q299) &lt; 1, N299 - S298-Q299,
    TRUE, P299
)</f>
        <v>0</v>
      </c>
      <c r="P299" s="1852">
        <f>IF(M299=0,0,ROUND(S298*EXP(Int_Rate/365.25 * M299)-S298,2))</f>
        <v>0</v>
      </c>
      <c r="Q299" s="1851" cm="1">
        <f t="array" ref="Q299">_xlfn.IFS(
    AND(I299=TRUE, K299&lt;=No_Regular_Payments), Periodic_Admin_Charge,
   TRUE, 0
)</f>
        <v>0</v>
      </c>
      <c r="R299" s="1850">
        <f>N299-O299-Q299</f>
        <v>0</v>
      </c>
      <c r="S299" s="1850">
        <f>ROUND(S298-R299,2)</f>
        <v>0</v>
      </c>
      <c r="T299" s="1850">
        <f>ROUND(T298-(N299-Q299),2)</f>
        <v>0</v>
      </c>
      <c r="U299" s="1849"/>
      <c r="W299" s="1848"/>
      <c r="X299" s="1848"/>
      <c r="Y299" s="1848"/>
    </row>
    <row r="300" spans="2:25" hidden="1">
      <c r="B300" s="1815" t="b">
        <f>AND(I300=FALSE,N299=0,Q299=0,L299="")</f>
        <v>1</v>
      </c>
      <c r="C300" s="1844" t="str" cm="1">
        <f t="array" ref="C300">_xlfn.IFS(
    L300="", "",
    MONTH(L300) &lt;= End_of_Year_Month, YEAR(L300),
    TRUE, YEAR(L300) + 1
)</f>
        <v/>
      </c>
      <c r="F300" s="1857">
        <f>IF(L300="",0,L300)</f>
        <v>0</v>
      </c>
      <c r="G300" s="1856">
        <f>-(N300-Q300)</f>
        <v>0</v>
      </c>
      <c r="I300" s="1815" t="b">
        <f>K300&lt;=Number_Payments</f>
        <v>0</v>
      </c>
      <c r="J300" s="1855"/>
      <c r="K300" s="1351">
        <f>K299+1</f>
        <v>174</v>
      </c>
      <c r="L300" s="1854" t="str" cm="1">
        <f t="array" ref="L300">_xlfn.IFS(
    I299=FALSE, "",
    Payment_Frequency="Monthly", EDATE(L299, 1),
    Payment_Frequency="Weekly", DATE(YEAR(L299), MONTH(L299), DAY(L299) + 7),
    Payment_Frequency="Fortnightly", DATE(YEAR(L299), MONTH(L299), DAY(L299) + 14),
    Payment_Frequency="Quarterly", DATE(YEAR(L299), MONTH(L299) + 3, DAY(L299)),
    Payment_Frequency="Yearly", DATE(YEAR(L299) + 1, MONTH(L299), DAY(L299)),
    TRUE, ""
)</f>
        <v/>
      </c>
      <c r="M300" s="1853">
        <f>IF(ISERROR(L300-L299),0,L300-L299)</f>
        <v>0</v>
      </c>
      <c r="N300" s="1851" cm="1">
        <f t="array" ref="N300">_xlfn.IFS(
    AND(I300=TRUE, K300&lt;=No_Regular_Payments), Repay_Amt,
    AND(I300=TRUE, K300=No_Regular_Payments+1), Tm_Balloon_Amt,
   TRUE, 0
)</f>
        <v>0</v>
      </c>
      <c r="O300" s="1850" cm="1">
        <f t="array" ref="O300">_xlfn.IFS(
    M300=0,0,
   ABS(N300 - S299 - P300-Q300) &lt; 1, N300 - S299-Q300,
    TRUE, P300
)</f>
        <v>0</v>
      </c>
      <c r="P300" s="1852">
        <f>IF(M300=0,0,ROUND(S299*EXP(Int_Rate/365.25 * M300)-S299,2))</f>
        <v>0</v>
      </c>
      <c r="Q300" s="1851" cm="1">
        <f t="array" ref="Q300">_xlfn.IFS(
    AND(I300=TRUE, K300&lt;=No_Regular_Payments), Periodic_Admin_Charge,
   TRUE, 0
)</f>
        <v>0</v>
      </c>
      <c r="R300" s="1850">
        <f>N300-O300-Q300</f>
        <v>0</v>
      </c>
      <c r="S300" s="1850">
        <f>ROUND(S299-R300,2)</f>
        <v>0</v>
      </c>
      <c r="T300" s="1850">
        <f>ROUND(T299-(N300-Q300),2)</f>
        <v>0</v>
      </c>
      <c r="U300" s="1849"/>
      <c r="W300" s="1848"/>
      <c r="X300" s="1848"/>
      <c r="Y300" s="1848"/>
    </row>
    <row r="301" spans="2:25" hidden="1">
      <c r="B301" s="1815" t="b">
        <f>AND(I301=FALSE,N300=0,Q300=0,L300="")</f>
        <v>1</v>
      </c>
      <c r="C301" s="1844" t="str" cm="1">
        <f t="array" ref="C301">_xlfn.IFS(
    L301="", "",
    MONTH(L301) &lt;= End_of_Year_Month, YEAR(L301),
    TRUE, YEAR(L301) + 1
)</f>
        <v/>
      </c>
      <c r="F301" s="1857">
        <f>IF(L301="",0,L301)</f>
        <v>0</v>
      </c>
      <c r="G301" s="1856">
        <f>-(N301-Q301)</f>
        <v>0</v>
      </c>
      <c r="I301" s="1815" t="b">
        <f>K301&lt;=Number_Payments</f>
        <v>0</v>
      </c>
      <c r="J301" s="1855"/>
      <c r="K301" s="1351">
        <f>K300+1</f>
        <v>175</v>
      </c>
      <c r="L301" s="1854" t="str" cm="1">
        <f t="array" ref="L301">_xlfn.IFS(
    I300=FALSE, "",
    Payment_Frequency="Monthly", EDATE(L300, 1),
    Payment_Frequency="Weekly", DATE(YEAR(L300), MONTH(L300), DAY(L300) + 7),
    Payment_Frequency="Fortnightly", DATE(YEAR(L300), MONTH(L300), DAY(L300) + 14),
    Payment_Frequency="Quarterly", DATE(YEAR(L300), MONTH(L300) + 3, DAY(L300)),
    Payment_Frequency="Yearly", DATE(YEAR(L300) + 1, MONTH(L300), DAY(L300)),
    TRUE, ""
)</f>
        <v/>
      </c>
      <c r="M301" s="1853">
        <f>IF(ISERROR(L301-L300),0,L301-L300)</f>
        <v>0</v>
      </c>
      <c r="N301" s="1851" cm="1">
        <f t="array" ref="N301">_xlfn.IFS(
    AND(I301=TRUE, K301&lt;=No_Regular_Payments), Repay_Amt,
    AND(I301=TRUE, K301=No_Regular_Payments+1), Tm_Balloon_Amt,
   TRUE, 0
)</f>
        <v>0</v>
      </c>
      <c r="O301" s="1850" cm="1">
        <f t="array" ref="O301">_xlfn.IFS(
    M301=0,0,
   ABS(N301 - S300 - P301-Q301) &lt; 1, N301 - S300-Q301,
    TRUE, P301
)</f>
        <v>0</v>
      </c>
      <c r="P301" s="1852">
        <f>IF(M301=0,0,ROUND(S300*EXP(Int_Rate/365.25 * M301)-S300,2))</f>
        <v>0</v>
      </c>
      <c r="Q301" s="1851" cm="1">
        <f t="array" ref="Q301">_xlfn.IFS(
    AND(I301=TRUE, K301&lt;=No_Regular_Payments), Periodic_Admin_Charge,
   TRUE, 0
)</f>
        <v>0</v>
      </c>
      <c r="R301" s="1850">
        <f>N301-O301-Q301</f>
        <v>0</v>
      </c>
      <c r="S301" s="1850">
        <f>ROUND(S300-R301,2)</f>
        <v>0</v>
      </c>
      <c r="T301" s="1850">
        <f>ROUND(T300-(N301-Q301),2)</f>
        <v>0</v>
      </c>
      <c r="U301" s="1849"/>
      <c r="W301" s="1848"/>
      <c r="X301" s="1848"/>
      <c r="Y301" s="1848"/>
    </row>
    <row r="302" spans="2:25" hidden="1">
      <c r="B302" s="1815" t="b">
        <f>AND(I302=FALSE,N301=0,Q301=0,L301="")</f>
        <v>1</v>
      </c>
      <c r="C302" s="1844" t="str" cm="1">
        <f t="array" ref="C302">_xlfn.IFS(
    L302="", "",
    MONTH(L302) &lt;= End_of_Year_Month, YEAR(L302),
    TRUE, YEAR(L302) + 1
)</f>
        <v/>
      </c>
      <c r="F302" s="1857">
        <f>IF(L302="",0,L302)</f>
        <v>0</v>
      </c>
      <c r="G302" s="1856">
        <f>-(N302-Q302)</f>
        <v>0</v>
      </c>
      <c r="I302" s="1815" t="b">
        <f>K302&lt;=Number_Payments</f>
        <v>0</v>
      </c>
      <c r="J302" s="1855"/>
      <c r="K302" s="1351">
        <f>K301+1</f>
        <v>176</v>
      </c>
      <c r="L302" s="1854" t="str" cm="1">
        <f t="array" ref="L302">_xlfn.IFS(
    I301=FALSE, "",
    Payment_Frequency="Monthly", EDATE(L301, 1),
    Payment_Frequency="Weekly", DATE(YEAR(L301), MONTH(L301), DAY(L301) + 7),
    Payment_Frequency="Fortnightly", DATE(YEAR(L301), MONTH(L301), DAY(L301) + 14),
    Payment_Frequency="Quarterly", DATE(YEAR(L301), MONTH(L301) + 3, DAY(L301)),
    Payment_Frequency="Yearly", DATE(YEAR(L301) + 1, MONTH(L301), DAY(L301)),
    TRUE, ""
)</f>
        <v/>
      </c>
      <c r="M302" s="1853">
        <f>IF(ISERROR(L302-L301),0,L302-L301)</f>
        <v>0</v>
      </c>
      <c r="N302" s="1851" cm="1">
        <f t="array" ref="N302">_xlfn.IFS(
    AND(I302=TRUE, K302&lt;=No_Regular_Payments), Repay_Amt,
    AND(I302=TRUE, K302=No_Regular_Payments+1), Tm_Balloon_Amt,
   TRUE, 0
)</f>
        <v>0</v>
      </c>
      <c r="O302" s="1850" cm="1">
        <f t="array" ref="O302">_xlfn.IFS(
    M302=0,0,
   ABS(N302 - S301 - P302-Q302) &lt; 1, N302 - S301-Q302,
    TRUE, P302
)</f>
        <v>0</v>
      </c>
      <c r="P302" s="1852">
        <f>IF(M302=0,0,ROUND(S301*EXP(Int_Rate/365.25 * M302)-S301,2))</f>
        <v>0</v>
      </c>
      <c r="Q302" s="1851" cm="1">
        <f t="array" ref="Q302">_xlfn.IFS(
    AND(I302=TRUE, K302&lt;=No_Regular_Payments), Periodic_Admin_Charge,
   TRUE, 0
)</f>
        <v>0</v>
      </c>
      <c r="R302" s="1850">
        <f>N302-O302-Q302</f>
        <v>0</v>
      </c>
      <c r="S302" s="1850">
        <f>ROUND(S301-R302,2)</f>
        <v>0</v>
      </c>
      <c r="T302" s="1850">
        <f>ROUND(T301-(N302-Q302),2)</f>
        <v>0</v>
      </c>
      <c r="U302" s="1849"/>
      <c r="W302" s="1848"/>
      <c r="X302" s="1848"/>
      <c r="Y302" s="1848"/>
    </row>
    <row r="303" spans="2:25" hidden="1">
      <c r="B303" s="1815" t="b">
        <f>AND(I303=FALSE,N302=0,Q302=0,L302="")</f>
        <v>1</v>
      </c>
      <c r="C303" s="1844" t="str" cm="1">
        <f t="array" ref="C303">_xlfn.IFS(
    L303="", "",
    MONTH(L303) &lt;= End_of_Year_Month, YEAR(L303),
    TRUE, YEAR(L303) + 1
)</f>
        <v/>
      </c>
      <c r="F303" s="1857">
        <f>IF(L303="",0,L303)</f>
        <v>0</v>
      </c>
      <c r="G303" s="1856">
        <f>-(N303-Q303)</f>
        <v>0</v>
      </c>
      <c r="I303" s="1815" t="b">
        <f>K303&lt;=Number_Payments</f>
        <v>0</v>
      </c>
      <c r="J303" s="1855"/>
      <c r="K303" s="1351">
        <f>K302+1</f>
        <v>177</v>
      </c>
      <c r="L303" s="1854" t="str" cm="1">
        <f t="array" ref="L303">_xlfn.IFS(
    I302=FALSE, "",
    Payment_Frequency="Monthly", EDATE(L302, 1),
    Payment_Frequency="Weekly", DATE(YEAR(L302), MONTH(L302), DAY(L302) + 7),
    Payment_Frequency="Fortnightly", DATE(YEAR(L302), MONTH(L302), DAY(L302) + 14),
    Payment_Frequency="Quarterly", DATE(YEAR(L302), MONTH(L302) + 3, DAY(L302)),
    Payment_Frequency="Yearly", DATE(YEAR(L302) + 1, MONTH(L302), DAY(L302)),
    TRUE, ""
)</f>
        <v/>
      </c>
      <c r="M303" s="1853">
        <f>IF(ISERROR(L303-L302),0,L303-L302)</f>
        <v>0</v>
      </c>
      <c r="N303" s="1851" cm="1">
        <f t="array" ref="N303">_xlfn.IFS(
    AND(I303=TRUE, K303&lt;=No_Regular_Payments), Repay_Amt,
    AND(I303=TRUE, K303=No_Regular_Payments+1), Tm_Balloon_Amt,
   TRUE, 0
)</f>
        <v>0</v>
      </c>
      <c r="O303" s="1850" cm="1">
        <f t="array" ref="O303">_xlfn.IFS(
    M303=0,0,
   ABS(N303 - S302 - P303-Q303) &lt; 1, N303 - S302-Q303,
    TRUE, P303
)</f>
        <v>0</v>
      </c>
      <c r="P303" s="1852">
        <f>IF(M303=0,0,ROUND(S302*EXP(Int_Rate/365.25 * M303)-S302,2))</f>
        <v>0</v>
      </c>
      <c r="Q303" s="1851" cm="1">
        <f t="array" ref="Q303">_xlfn.IFS(
    AND(I303=TRUE, K303&lt;=No_Regular_Payments), Periodic_Admin_Charge,
   TRUE, 0
)</f>
        <v>0</v>
      </c>
      <c r="R303" s="1850">
        <f>N303-O303-Q303</f>
        <v>0</v>
      </c>
      <c r="S303" s="1850">
        <f>ROUND(S302-R303,2)</f>
        <v>0</v>
      </c>
      <c r="T303" s="1850">
        <f>ROUND(T302-(N303-Q303),2)</f>
        <v>0</v>
      </c>
      <c r="U303" s="1849"/>
      <c r="W303" s="1848"/>
      <c r="X303" s="1848"/>
      <c r="Y303" s="1848"/>
    </row>
    <row r="304" spans="2:25" hidden="1">
      <c r="B304" s="1815" t="b">
        <f>AND(I304=FALSE,N303=0,Q303=0,L303="")</f>
        <v>1</v>
      </c>
      <c r="C304" s="1844" t="str" cm="1">
        <f t="array" ref="C304">_xlfn.IFS(
    L304="", "",
    MONTH(L304) &lt;= End_of_Year_Month, YEAR(L304),
    TRUE, YEAR(L304) + 1
)</f>
        <v/>
      </c>
      <c r="F304" s="1857">
        <f>IF(L304="",0,L304)</f>
        <v>0</v>
      </c>
      <c r="G304" s="1856">
        <f>-(N304-Q304)</f>
        <v>0</v>
      </c>
      <c r="I304" s="1815" t="b">
        <f>K304&lt;=Number_Payments</f>
        <v>0</v>
      </c>
      <c r="J304" s="1855"/>
      <c r="K304" s="1351">
        <f>K303+1</f>
        <v>178</v>
      </c>
      <c r="L304" s="1854" t="str" cm="1">
        <f t="array" ref="L304">_xlfn.IFS(
    I303=FALSE, "",
    Payment_Frequency="Monthly", EDATE(L303, 1),
    Payment_Frequency="Weekly", DATE(YEAR(L303), MONTH(L303), DAY(L303) + 7),
    Payment_Frequency="Fortnightly", DATE(YEAR(L303), MONTH(L303), DAY(L303) + 14),
    Payment_Frequency="Quarterly", DATE(YEAR(L303), MONTH(L303) + 3, DAY(L303)),
    Payment_Frequency="Yearly", DATE(YEAR(L303) + 1, MONTH(L303), DAY(L303)),
    TRUE, ""
)</f>
        <v/>
      </c>
      <c r="M304" s="1853">
        <f>IF(ISERROR(L304-L303),0,L304-L303)</f>
        <v>0</v>
      </c>
      <c r="N304" s="1851" cm="1">
        <f t="array" ref="N304">_xlfn.IFS(
    AND(I304=TRUE, K304&lt;=No_Regular_Payments), Repay_Amt,
    AND(I304=TRUE, K304=No_Regular_Payments+1), Tm_Balloon_Amt,
   TRUE, 0
)</f>
        <v>0</v>
      </c>
      <c r="O304" s="1850" cm="1">
        <f t="array" ref="O304">_xlfn.IFS(
    M304=0,0,
   ABS(N304 - S303 - P304-Q304) &lt; 1, N304 - S303-Q304,
    TRUE, P304
)</f>
        <v>0</v>
      </c>
      <c r="P304" s="1852">
        <f>IF(M304=0,0,ROUND(S303*EXP(Int_Rate/365.25 * M304)-S303,2))</f>
        <v>0</v>
      </c>
      <c r="Q304" s="1851" cm="1">
        <f t="array" ref="Q304">_xlfn.IFS(
    AND(I304=TRUE, K304&lt;=No_Regular_Payments), Periodic_Admin_Charge,
   TRUE, 0
)</f>
        <v>0</v>
      </c>
      <c r="R304" s="1850">
        <f>N304-O304-Q304</f>
        <v>0</v>
      </c>
      <c r="S304" s="1850">
        <f>ROUND(S303-R304,2)</f>
        <v>0</v>
      </c>
      <c r="T304" s="1850">
        <f>ROUND(T303-(N304-Q304),2)</f>
        <v>0</v>
      </c>
      <c r="U304" s="1849"/>
      <c r="W304" s="1848"/>
      <c r="X304" s="1848"/>
      <c r="Y304" s="1848"/>
    </row>
    <row r="305" spans="2:25" hidden="1">
      <c r="B305" s="1815" t="b">
        <f>AND(I305=FALSE,N304=0,Q304=0,L304="")</f>
        <v>1</v>
      </c>
      <c r="C305" s="1844" t="str" cm="1">
        <f t="array" ref="C305">_xlfn.IFS(
    L305="", "",
    MONTH(L305) &lt;= End_of_Year_Month, YEAR(L305),
    TRUE, YEAR(L305) + 1
)</f>
        <v/>
      </c>
      <c r="F305" s="1857">
        <f>IF(L305="",0,L305)</f>
        <v>0</v>
      </c>
      <c r="G305" s="1856">
        <f>-(N305-Q305)</f>
        <v>0</v>
      </c>
      <c r="I305" s="1815" t="b">
        <f>K305&lt;=Number_Payments</f>
        <v>0</v>
      </c>
      <c r="J305" s="1855"/>
      <c r="K305" s="1351">
        <f>K304+1</f>
        <v>179</v>
      </c>
      <c r="L305" s="1854" t="str" cm="1">
        <f t="array" ref="L305">_xlfn.IFS(
    I304=FALSE, "",
    Payment_Frequency="Monthly", EDATE(L304, 1),
    Payment_Frequency="Weekly", DATE(YEAR(L304), MONTH(L304), DAY(L304) + 7),
    Payment_Frequency="Fortnightly", DATE(YEAR(L304), MONTH(L304), DAY(L304) + 14),
    Payment_Frequency="Quarterly", DATE(YEAR(L304), MONTH(L304) + 3, DAY(L304)),
    Payment_Frequency="Yearly", DATE(YEAR(L304) + 1, MONTH(L304), DAY(L304)),
    TRUE, ""
)</f>
        <v/>
      </c>
      <c r="M305" s="1853">
        <f>IF(ISERROR(L305-L304),0,L305-L304)</f>
        <v>0</v>
      </c>
      <c r="N305" s="1851" cm="1">
        <f t="array" ref="N305">_xlfn.IFS(
    AND(I305=TRUE, K305&lt;=No_Regular_Payments), Repay_Amt,
    AND(I305=TRUE, K305=No_Regular_Payments+1), Tm_Balloon_Amt,
   TRUE, 0
)</f>
        <v>0</v>
      </c>
      <c r="O305" s="1850" cm="1">
        <f t="array" ref="O305">_xlfn.IFS(
    M305=0,0,
   ABS(N305 - S304 - P305-Q305) &lt; 1, N305 - S304-Q305,
    TRUE, P305
)</f>
        <v>0</v>
      </c>
      <c r="P305" s="1852">
        <f>IF(M305=0,0,ROUND(S304*EXP(Int_Rate/365.25 * M305)-S304,2))</f>
        <v>0</v>
      </c>
      <c r="Q305" s="1851" cm="1">
        <f t="array" ref="Q305">_xlfn.IFS(
    AND(I305=TRUE, K305&lt;=No_Regular_Payments), Periodic_Admin_Charge,
   TRUE, 0
)</f>
        <v>0</v>
      </c>
      <c r="R305" s="1850">
        <f>N305-O305-Q305</f>
        <v>0</v>
      </c>
      <c r="S305" s="1850">
        <f>ROUND(S304-R305,2)</f>
        <v>0</v>
      </c>
      <c r="T305" s="1850">
        <f>ROUND(T304-(N305-Q305),2)</f>
        <v>0</v>
      </c>
      <c r="U305" s="1849"/>
      <c r="W305" s="1848"/>
      <c r="X305" s="1848"/>
      <c r="Y305" s="1848"/>
    </row>
    <row r="306" spans="2:25" hidden="1">
      <c r="B306" s="1815" t="b">
        <f>AND(I306=FALSE,N305=0,Q305=0,L305="")</f>
        <v>1</v>
      </c>
      <c r="C306" s="1844" t="str" cm="1">
        <f t="array" ref="C306">_xlfn.IFS(
    L306="", "",
    MONTH(L306) &lt;= End_of_Year_Month, YEAR(L306),
    TRUE, YEAR(L306) + 1
)</f>
        <v/>
      </c>
      <c r="F306" s="1857">
        <f>IF(L306="",0,L306)</f>
        <v>0</v>
      </c>
      <c r="G306" s="1856">
        <f>-(N306-Q306)</f>
        <v>0</v>
      </c>
      <c r="I306" s="1815" t="b">
        <f>K306&lt;=Number_Payments</f>
        <v>0</v>
      </c>
      <c r="J306" s="1855"/>
      <c r="K306" s="1351">
        <f>K305+1</f>
        <v>180</v>
      </c>
      <c r="L306" s="1854" t="str" cm="1">
        <f t="array" ref="L306">_xlfn.IFS(
    I305=FALSE, "",
    Payment_Frequency="Monthly", EDATE(L305, 1),
    Payment_Frequency="Weekly", DATE(YEAR(L305), MONTH(L305), DAY(L305) + 7),
    Payment_Frequency="Fortnightly", DATE(YEAR(L305), MONTH(L305), DAY(L305) + 14),
    Payment_Frequency="Quarterly", DATE(YEAR(L305), MONTH(L305) + 3, DAY(L305)),
    Payment_Frequency="Yearly", DATE(YEAR(L305) + 1, MONTH(L305), DAY(L305)),
    TRUE, ""
)</f>
        <v/>
      </c>
      <c r="M306" s="1853">
        <f>IF(ISERROR(L306-L305),0,L306-L305)</f>
        <v>0</v>
      </c>
      <c r="N306" s="1851" cm="1">
        <f t="array" ref="N306">_xlfn.IFS(
    AND(I306=TRUE, K306&lt;=No_Regular_Payments), Repay_Amt,
    AND(I306=TRUE, K306=No_Regular_Payments+1), Tm_Balloon_Amt,
   TRUE, 0
)</f>
        <v>0</v>
      </c>
      <c r="O306" s="1850" cm="1">
        <f t="array" ref="O306">_xlfn.IFS(
    M306=0,0,
   ABS(N306 - S305 - P306-Q306) &lt; 1, N306 - S305-Q306,
    TRUE, P306
)</f>
        <v>0</v>
      </c>
      <c r="P306" s="1852">
        <f>IF(M306=0,0,ROUND(S305*EXP(Int_Rate/365.25 * M306)-S305,2))</f>
        <v>0</v>
      </c>
      <c r="Q306" s="1851" cm="1">
        <f t="array" ref="Q306">_xlfn.IFS(
    AND(I306=TRUE, K306&lt;=No_Regular_Payments), Periodic_Admin_Charge,
   TRUE, 0
)</f>
        <v>0</v>
      </c>
      <c r="R306" s="1850">
        <f>N306-O306-Q306</f>
        <v>0</v>
      </c>
      <c r="S306" s="1850">
        <f>ROUND(S305-R306,2)</f>
        <v>0</v>
      </c>
      <c r="T306" s="1850">
        <f>ROUND(T305-(N306-Q306),2)</f>
        <v>0</v>
      </c>
      <c r="U306" s="1849"/>
      <c r="W306" s="1848"/>
      <c r="X306" s="1848"/>
      <c r="Y306" s="1848"/>
    </row>
    <row r="307" spans="2:25" hidden="1">
      <c r="B307" s="1815" t="b">
        <f>AND(I307=FALSE,N306=0,Q306=0,L306="")</f>
        <v>1</v>
      </c>
      <c r="C307" s="1844" t="str" cm="1">
        <f t="array" ref="C307">_xlfn.IFS(
    L307="", "",
    MONTH(L307) &lt;= End_of_Year_Month, YEAR(L307),
    TRUE, YEAR(L307) + 1
)</f>
        <v/>
      </c>
      <c r="F307" s="1857">
        <f>IF(L307="",0,L307)</f>
        <v>0</v>
      </c>
      <c r="G307" s="1856">
        <f>-(N307-Q307)</f>
        <v>0</v>
      </c>
      <c r="I307" s="1815" t="b">
        <f>K307&lt;=Number_Payments</f>
        <v>0</v>
      </c>
      <c r="J307" s="1855"/>
      <c r="K307" s="1351">
        <f>K306+1</f>
        <v>181</v>
      </c>
      <c r="L307" s="1854" t="str" cm="1">
        <f t="array" ref="L307">_xlfn.IFS(
    I306=FALSE, "",
    Payment_Frequency="Monthly", EDATE(L306, 1),
    Payment_Frequency="Weekly", DATE(YEAR(L306), MONTH(L306), DAY(L306) + 7),
    Payment_Frequency="Fortnightly", DATE(YEAR(L306), MONTH(L306), DAY(L306) + 14),
    Payment_Frequency="Quarterly", DATE(YEAR(L306), MONTH(L306) + 3, DAY(L306)),
    Payment_Frequency="Yearly", DATE(YEAR(L306) + 1, MONTH(L306), DAY(L306)),
    TRUE, ""
)</f>
        <v/>
      </c>
      <c r="M307" s="1853">
        <f>IF(ISERROR(L307-L306),0,L307-L306)</f>
        <v>0</v>
      </c>
      <c r="N307" s="1851" cm="1">
        <f t="array" ref="N307">_xlfn.IFS(
    AND(I307=TRUE, K307&lt;=No_Regular_Payments), Repay_Amt,
    AND(I307=TRUE, K307=No_Regular_Payments+1), Tm_Balloon_Amt,
   TRUE, 0
)</f>
        <v>0</v>
      </c>
      <c r="O307" s="1850" cm="1">
        <f t="array" ref="O307">_xlfn.IFS(
    M307=0,0,
   ABS(N307 - S306 - P307-Q307) &lt; 1, N307 - S306-Q307,
    TRUE, P307
)</f>
        <v>0</v>
      </c>
      <c r="P307" s="1852">
        <f>IF(M307=0,0,ROUND(S306*EXP(Int_Rate/365.25 * M307)-S306,2))</f>
        <v>0</v>
      </c>
      <c r="Q307" s="1851" cm="1">
        <f t="array" ref="Q307">_xlfn.IFS(
    AND(I307=TRUE, K307&lt;=No_Regular_Payments), Periodic_Admin_Charge,
   TRUE, 0
)</f>
        <v>0</v>
      </c>
      <c r="R307" s="1850">
        <f>N307-O307-Q307</f>
        <v>0</v>
      </c>
      <c r="S307" s="1850">
        <f>ROUND(S306-R307,2)</f>
        <v>0</v>
      </c>
      <c r="T307" s="1850">
        <f>ROUND(T306-(N307-Q307),2)</f>
        <v>0</v>
      </c>
      <c r="U307" s="1849"/>
      <c r="W307" s="1848"/>
      <c r="X307" s="1848"/>
      <c r="Y307" s="1848"/>
    </row>
    <row r="308" spans="2:25" hidden="1">
      <c r="B308" s="1815" t="b">
        <f>AND(I308=FALSE,N307=0,Q307=0,L307="")</f>
        <v>1</v>
      </c>
      <c r="C308" s="1844" t="str" cm="1">
        <f t="array" ref="C308">_xlfn.IFS(
    L308="", "",
    MONTH(L308) &lt;= End_of_Year_Month, YEAR(L308),
    TRUE, YEAR(L308) + 1
)</f>
        <v/>
      </c>
      <c r="F308" s="1857">
        <f>IF(L308="",0,L308)</f>
        <v>0</v>
      </c>
      <c r="G308" s="1856">
        <f>-(N308-Q308)</f>
        <v>0</v>
      </c>
      <c r="I308" s="1815" t="b">
        <f>K308&lt;=Number_Payments</f>
        <v>0</v>
      </c>
      <c r="J308" s="1855"/>
      <c r="K308" s="1351">
        <f>K307+1</f>
        <v>182</v>
      </c>
      <c r="L308" s="1854" t="str" cm="1">
        <f t="array" ref="L308">_xlfn.IFS(
    I307=FALSE, "",
    Payment_Frequency="Monthly", EDATE(L307, 1),
    Payment_Frequency="Weekly", DATE(YEAR(L307), MONTH(L307), DAY(L307) + 7),
    Payment_Frequency="Fortnightly", DATE(YEAR(L307), MONTH(L307), DAY(L307) + 14),
    Payment_Frequency="Quarterly", DATE(YEAR(L307), MONTH(L307) + 3, DAY(L307)),
    Payment_Frequency="Yearly", DATE(YEAR(L307) + 1, MONTH(L307), DAY(L307)),
    TRUE, ""
)</f>
        <v/>
      </c>
      <c r="M308" s="1853">
        <f>IF(ISERROR(L308-L307),0,L308-L307)</f>
        <v>0</v>
      </c>
      <c r="N308" s="1851" cm="1">
        <f t="array" ref="N308">_xlfn.IFS(
    AND(I308=TRUE, K308&lt;=No_Regular_Payments), Repay_Amt,
    AND(I308=TRUE, K308=No_Regular_Payments+1), Tm_Balloon_Amt,
   TRUE, 0
)</f>
        <v>0</v>
      </c>
      <c r="O308" s="1850" cm="1">
        <f t="array" ref="O308">_xlfn.IFS(
    M308=0,0,
   ABS(N308 - S307 - P308-Q308) &lt; 1, N308 - S307-Q308,
    TRUE, P308
)</f>
        <v>0</v>
      </c>
      <c r="P308" s="1852">
        <f>IF(M308=0,0,ROUND(S307*EXP(Int_Rate/365.25 * M308)-S307,2))</f>
        <v>0</v>
      </c>
      <c r="Q308" s="1851" cm="1">
        <f t="array" ref="Q308">_xlfn.IFS(
    AND(I308=TRUE, K308&lt;=No_Regular_Payments), Periodic_Admin_Charge,
   TRUE, 0
)</f>
        <v>0</v>
      </c>
      <c r="R308" s="1850">
        <f>N308-O308-Q308</f>
        <v>0</v>
      </c>
      <c r="S308" s="1850">
        <f>ROUND(S307-R308,2)</f>
        <v>0</v>
      </c>
      <c r="T308" s="1850">
        <f>ROUND(T307-(N308-Q308),2)</f>
        <v>0</v>
      </c>
      <c r="U308" s="1849"/>
      <c r="W308" s="1848"/>
      <c r="X308" s="1848"/>
      <c r="Y308" s="1848"/>
    </row>
    <row r="309" spans="2:25" hidden="1">
      <c r="B309" s="1815" t="b">
        <f>AND(I309=FALSE,N308=0,Q308=0,L308="")</f>
        <v>1</v>
      </c>
      <c r="C309" s="1844" t="str" cm="1">
        <f t="array" ref="C309">_xlfn.IFS(
    L309="", "",
    MONTH(L309) &lt;= End_of_Year_Month, YEAR(L309),
    TRUE, YEAR(L309) + 1
)</f>
        <v/>
      </c>
      <c r="F309" s="1857">
        <f>IF(L309="",0,L309)</f>
        <v>0</v>
      </c>
      <c r="G309" s="1856">
        <f>-(N309-Q309)</f>
        <v>0</v>
      </c>
      <c r="I309" s="1815" t="b">
        <f>K309&lt;=Number_Payments</f>
        <v>0</v>
      </c>
      <c r="J309" s="1855"/>
      <c r="K309" s="1351">
        <f>K308+1</f>
        <v>183</v>
      </c>
      <c r="L309" s="1854" t="str" cm="1">
        <f t="array" ref="L309">_xlfn.IFS(
    I308=FALSE, "",
    Payment_Frequency="Monthly", EDATE(L308, 1),
    Payment_Frequency="Weekly", DATE(YEAR(L308), MONTH(L308), DAY(L308) + 7),
    Payment_Frequency="Fortnightly", DATE(YEAR(L308), MONTH(L308), DAY(L308) + 14),
    Payment_Frequency="Quarterly", DATE(YEAR(L308), MONTH(L308) + 3, DAY(L308)),
    Payment_Frequency="Yearly", DATE(YEAR(L308) + 1, MONTH(L308), DAY(L308)),
    TRUE, ""
)</f>
        <v/>
      </c>
      <c r="M309" s="1853">
        <f>IF(ISERROR(L309-L308),0,L309-L308)</f>
        <v>0</v>
      </c>
      <c r="N309" s="1851" cm="1">
        <f t="array" ref="N309">_xlfn.IFS(
    AND(I309=TRUE, K309&lt;=No_Regular_Payments), Repay_Amt,
    AND(I309=TRUE, K309=No_Regular_Payments+1), Tm_Balloon_Amt,
   TRUE, 0
)</f>
        <v>0</v>
      </c>
      <c r="O309" s="1850" cm="1">
        <f t="array" ref="O309">_xlfn.IFS(
    M309=0,0,
   ABS(N309 - S308 - P309-Q309) &lt; 1, N309 - S308-Q309,
    TRUE, P309
)</f>
        <v>0</v>
      </c>
      <c r="P309" s="1852">
        <f>IF(M309=0,0,ROUND(S308*EXP(Int_Rate/365.25 * M309)-S308,2))</f>
        <v>0</v>
      </c>
      <c r="Q309" s="1851" cm="1">
        <f t="array" ref="Q309">_xlfn.IFS(
    AND(I309=TRUE, K309&lt;=No_Regular_Payments), Periodic_Admin_Charge,
   TRUE, 0
)</f>
        <v>0</v>
      </c>
      <c r="R309" s="1850">
        <f>N309-O309-Q309</f>
        <v>0</v>
      </c>
      <c r="S309" s="1850">
        <f>ROUND(S308-R309,2)</f>
        <v>0</v>
      </c>
      <c r="T309" s="1850">
        <f>ROUND(T308-(N309-Q309),2)</f>
        <v>0</v>
      </c>
      <c r="U309" s="1849"/>
      <c r="W309" s="1848"/>
      <c r="X309" s="1848"/>
      <c r="Y309" s="1848"/>
    </row>
    <row r="310" spans="2:25" hidden="1">
      <c r="B310" s="1815" t="b">
        <f>AND(I310=FALSE,N309=0,Q309=0,L309="")</f>
        <v>1</v>
      </c>
      <c r="C310" s="1844" t="str" cm="1">
        <f t="array" ref="C310">_xlfn.IFS(
    L310="", "",
    MONTH(L310) &lt;= End_of_Year_Month, YEAR(L310),
    TRUE, YEAR(L310) + 1
)</f>
        <v/>
      </c>
      <c r="F310" s="1857">
        <f>IF(L310="",0,L310)</f>
        <v>0</v>
      </c>
      <c r="G310" s="1856">
        <f>-(N310-Q310)</f>
        <v>0</v>
      </c>
      <c r="I310" s="1815" t="b">
        <f>K310&lt;=Number_Payments</f>
        <v>0</v>
      </c>
      <c r="J310" s="1855"/>
      <c r="K310" s="1351">
        <f>K309+1</f>
        <v>184</v>
      </c>
      <c r="L310" s="1854" t="str" cm="1">
        <f t="array" ref="L310">_xlfn.IFS(
    I309=FALSE, "",
    Payment_Frequency="Monthly", EDATE(L309, 1),
    Payment_Frequency="Weekly", DATE(YEAR(L309), MONTH(L309), DAY(L309) + 7),
    Payment_Frequency="Fortnightly", DATE(YEAR(L309), MONTH(L309), DAY(L309) + 14),
    Payment_Frequency="Quarterly", DATE(YEAR(L309), MONTH(L309) + 3, DAY(L309)),
    Payment_Frequency="Yearly", DATE(YEAR(L309) + 1, MONTH(L309), DAY(L309)),
    TRUE, ""
)</f>
        <v/>
      </c>
      <c r="M310" s="1853">
        <f>IF(ISERROR(L310-L309),0,L310-L309)</f>
        <v>0</v>
      </c>
      <c r="N310" s="1851" cm="1">
        <f t="array" ref="N310">_xlfn.IFS(
    AND(I310=TRUE, K310&lt;=No_Regular_Payments), Repay_Amt,
    AND(I310=TRUE, K310=No_Regular_Payments+1), Tm_Balloon_Amt,
   TRUE, 0
)</f>
        <v>0</v>
      </c>
      <c r="O310" s="1850" cm="1">
        <f t="array" ref="O310">_xlfn.IFS(
    M310=0,0,
   ABS(N310 - S309 - P310-Q310) &lt; 1, N310 - S309-Q310,
    TRUE, P310
)</f>
        <v>0</v>
      </c>
      <c r="P310" s="1852">
        <f>IF(M310=0,0,ROUND(S309*EXP(Int_Rate/365.25 * M310)-S309,2))</f>
        <v>0</v>
      </c>
      <c r="Q310" s="1851" cm="1">
        <f t="array" ref="Q310">_xlfn.IFS(
    AND(I310=TRUE, K310&lt;=No_Regular_Payments), Periodic_Admin_Charge,
   TRUE, 0
)</f>
        <v>0</v>
      </c>
      <c r="R310" s="1850">
        <f>N310-O310-Q310</f>
        <v>0</v>
      </c>
      <c r="S310" s="1850">
        <f>ROUND(S309-R310,2)</f>
        <v>0</v>
      </c>
      <c r="T310" s="1850">
        <f>ROUND(T309-(N310-Q310),2)</f>
        <v>0</v>
      </c>
      <c r="U310" s="1849"/>
      <c r="W310" s="1848"/>
      <c r="X310" s="1848"/>
      <c r="Y310" s="1848"/>
    </row>
    <row r="311" spans="2:25" hidden="1">
      <c r="B311" s="1815" t="b">
        <f>AND(I311=FALSE,N310=0,Q310=0,L310="")</f>
        <v>1</v>
      </c>
      <c r="C311" s="1844" t="str" cm="1">
        <f t="array" ref="C311">_xlfn.IFS(
    L311="", "",
    MONTH(L311) &lt;= End_of_Year_Month, YEAR(L311),
    TRUE, YEAR(L311) + 1
)</f>
        <v/>
      </c>
      <c r="F311" s="1857">
        <f>IF(L311="",0,L311)</f>
        <v>0</v>
      </c>
      <c r="G311" s="1856">
        <f>-(N311-Q311)</f>
        <v>0</v>
      </c>
      <c r="I311" s="1815" t="b">
        <f>K311&lt;=Number_Payments</f>
        <v>0</v>
      </c>
      <c r="J311" s="1855"/>
      <c r="K311" s="1351">
        <f>K310+1</f>
        <v>185</v>
      </c>
      <c r="L311" s="1854" t="str" cm="1">
        <f t="array" ref="L311">_xlfn.IFS(
    I310=FALSE, "",
    Payment_Frequency="Monthly", EDATE(L310, 1),
    Payment_Frequency="Weekly", DATE(YEAR(L310), MONTH(L310), DAY(L310) + 7),
    Payment_Frequency="Fortnightly", DATE(YEAR(L310), MONTH(L310), DAY(L310) + 14),
    Payment_Frequency="Quarterly", DATE(YEAR(L310), MONTH(L310) + 3, DAY(L310)),
    Payment_Frequency="Yearly", DATE(YEAR(L310) + 1, MONTH(L310), DAY(L310)),
    TRUE, ""
)</f>
        <v/>
      </c>
      <c r="M311" s="1853">
        <f>IF(ISERROR(L311-L310),0,L311-L310)</f>
        <v>0</v>
      </c>
      <c r="N311" s="1851" cm="1">
        <f t="array" ref="N311">_xlfn.IFS(
    AND(I311=TRUE, K311&lt;=No_Regular_Payments), Repay_Amt,
    AND(I311=TRUE, K311=No_Regular_Payments+1), Tm_Balloon_Amt,
   TRUE, 0
)</f>
        <v>0</v>
      </c>
      <c r="O311" s="1850" cm="1">
        <f t="array" ref="O311">_xlfn.IFS(
    M311=0,0,
   ABS(N311 - S310 - P311-Q311) &lt; 1, N311 - S310-Q311,
    TRUE, P311
)</f>
        <v>0</v>
      </c>
      <c r="P311" s="1852">
        <f>IF(M311=0,0,ROUND(S310*EXP(Int_Rate/365.25 * M311)-S310,2))</f>
        <v>0</v>
      </c>
      <c r="Q311" s="1851" cm="1">
        <f t="array" ref="Q311">_xlfn.IFS(
    AND(I311=TRUE, K311&lt;=No_Regular_Payments), Periodic_Admin_Charge,
   TRUE, 0
)</f>
        <v>0</v>
      </c>
      <c r="R311" s="1850">
        <f>N311-O311-Q311</f>
        <v>0</v>
      </c>
      <c r="S311" s="1850">
        <f>ROUND(S310-R311,2)</f>
        <v>0</v>
      </c>
      <c r="T311" s="1850">
        <f>ROUND(T310-(N311-Q311),2)</f>
        <v>0</v>
      </c>
      <c r="U311" s="1849"/>
      <c r="W311" s="1848"/>
      <c r="X311" s="1848"/>
      <c r="Y311" s="1848"/>
    </row>
    <row r="312" spans="2:25" hidden="1">
      <c r="B312" s="1815" t="b">
        <f>AND(I312=FALSE,N311=0,Q311=0,L311="")</f>
        <v>1</v>
      </c>
      <c r="C312" s="1844" t="str" cm="1">
        <f t="array" ref="C312">_xlfn.IFS(
    L312="", "",
    MONTH(L312) &lt;= End_of_Year_Month, YEAR(L312),
    TRUE, YEAR(L312) + 1
)</f>
        <v/>
      </c>
      <c r="F312" s="1857">
        <f>IF(L312="",0,L312)</f>
        <v>0</v>
      </c>
      <c r="G312" s="1856">
        <f>-(N312-Q312)</f>
        <v>0</v>
      </c>
      <c r="I312" s="1815" t="b">
        <f>K312&lt;=Number_Payments</f>
        <v>0</v>
      </c>
      <c r="J312" s="1855"/>
      <c r="K312" s="1351">
        <f>K311+1</f>
        <v>186</v>
      </c>
      <c r="L312" s="1854" t="str" cm="1">
        <f t="array" ref="L312">_xlfn.IFS(
    I311=FALSE, "",
    Payment_Frequency="Monthly", EDATE(L311, 1),
    Payment_Frequency="Weekly", DATE(YEAR(L311), MONTH(L311), DAY(L311) + 7),
    Payment_Frequency="Fortnightly", DATE(YEAR(L311), MONTH(L311), DAY(L311) + 14),
    Payment_Frequency="Quarterly", DATE(YEAR(L311), MONTH(L311) + 3, DAY(L311)),
    Payment_Frequency="Yearly", DATE(YEAR(L311) + 1, MONTH(L311), DAY(L311)),
    TRUE, ""
)</f>
        <v/>
      </c>
      <c r="M312" s="1853">
        <f>IF(ISERROR(L312-L311),0,L312-L311)</f>
        <v>0</v>
      </c>
      <c r="N312" s="1851" cm="1">
        <f t="array" ref="N312">_xlfn.IFS(
    AND(I312=TRUE, K312&lt;=No_Regular_Payments), Repay_Amt,
    AND(I312=TRUE, K312=No_Regular_Payments+1), Tm_Balloon_Amt,
   TRUE, 0
)</f>
        <v>0</v>
      </c>
      <c r="O312" s="1850" cm="1">
        <f t="array" ref="O312">_xlfn.IFS(
    M312=0,0,
   ABS(N312 - S311 - P312-Q312) &lt; 1, N312 - S311-Q312,
    TRUE, P312
)</f>
        <v>0</v>
      </c>
      <c r="P312" s="1852">
        <f>IF(M312=0,0,ROUND(S311*EXP(Int_Rate/365.25 * M312)-S311,2))</f>
        <v>0</v>
      </c>
      <c r="Q312" s="1851" cm="1">
        <f t="array" ref="Q312">_xlfn.IFS(
    AND(I312=TRUE, K312&lt;=No_Regular_Payments), Periodic_Admin_Charge,
   TRUE, 0
)</f>
        <v>0</v>
      </c>
      <c r="R312" s="1850">
        <f>N312-O312-Q312</f>
        <v>0</v>
      </c>
      <c r="S312" s="1850">
        <f>ROUND(S311-R312,2)</f>
        <v>0</v>
      </c>
      <c r="T312" s="1850">
        <f>ROUND(T311-(N312-Q312),2)</f>
        <v>0</v>
      </c>
      <c r="U312" s="1849"/>
      <c r="W312" s="1848"/>
      <c r="X312" s="1848"/>
      <c r="Y312" s="1848"/>
    </row>
    <row r="313" spans="2:25" hidden="1">
      <c r="B313" s="1815" t="b">
        <f>AND(I313=FALSE,N312=0,Q312=0,L312="")</f>
        <v>1</v>
      </c>
      <c r="C313" s="1844" t="str" cm="1">
        <f t="array" ref="C313">_xlfn.IFS(
    L313="", "",
    MONTH(L313) &lt;= End_of_Year_Month, YEAR(L313),
    TRUE, YEAR(L313) + 1
)</f>
        <v/>
      </c>
      <c r="F313" s="1857">
        <f>IF(L313="",0,L313)</f>
        <v>0</v>
      </c>
      <c r="G313" s="1856">
        <f>-(N313-Q313)</f>
        <v>0</v>
      </c>
      <c r="I313" s="1815" t="b">
        <f>K313&lt;=Number_Payments</f>
        <v>0</v>
      </c>
      <c r="J313" s="1855"/>
      <c r="K313" s="1351">
        <f>K312+1</f>
        <v>187</v>
      </c>
      <c r="L313" s="1854" t="str" cm="1">
        <f t="array" ref="L313">_xlfn.IFS(
    I312=FALSE, "",
    Payment_Frequency="Monthly", EDATE(L312, 1),
    Payment_Frequency="Weekly", DATE(YEAR(L312), MONTH(L312), DAY(L312) + 7),
    Payment_Frequency="Fortnightly", DATE(YEAR(L312), MONTH(L312), DAY(L312) + 14),
    Payment_Frequency="Quarterly", DATE(YEAR(L312), MONTH(L312) + 3, DAY(L312)),
    Payment_Frequency="Yearly", DATE(YEAR(L312) + 1, MONTH(L312), DAY(L312)),
    TRUE, ""
)</f>
        <v/>
      </c>
      <c r="M313" s="1853">
        <f>IF(ISERROR(L313-L312),0,L313-L312)</f>
        <v>0</v>
      </c>
      <c r="N313" s="1851" cm="1">
        <f t="array" ref="N313">_xlfn.IFS(
    AND(I313=TRUE, K313&lt;=No_Regular_Payments), Repay_Amt,
    AND(I313=TRUE, K313=No_Regular_Payments+1), Tm_Balloon_Amt,
   TRUE, 0
)</f>
        <v>0</v>
      </c>
      <c r="O313" s="1850" cm="1">
        <f t="array" ref="O313">_xlfn.IFS(
    M313=0,0,
   ABS(N313 - S312 - P313-Q313) &lt; 1, N313 - S312-Q313,
    TRUE, P313
)</f>
        <v>0</v>
      </c>
      <c r="P313" s="1852">
        <f>IF(M313=0,0,ROUND(S312*EXP(Int_Rate/365.25 * M313)-S312,2))</f>
        <v>0</v>
      </c>
      <c r="Q313" s="1851" cm="1">
        <f t="array" ref="Q313">_xlfn.IFS(
    AND(I313=TRUE, K313&lt;=No_Regular_Payments), Periodic_Admin_Charge,
   TRUE, 0
)</f>
        <v>0</v>
      </c>
      <c r="R313" s="1850">
        <f>N313-O313-Q313</f>
        <v>0</v>
      </c>
      <c r="S313" s="1850">
        <f>ROUND(S312-R313,2)</f>
        <v>0</v>
      </c>
      <c r="T313" s="1850">
        <f>ROUND(T312-(N313-Q313),2)</f>
        <v>0</v>
      </c>
      <c r="U313" s="1849"/>
      <c r="W313" s="1848"/>
      <c r="X313" s="1848"/>
      <c r="Y313" s="1848"/>
    </row>
    <row r="314" spans="2:25" hidden="1">
      <c r="B314" s="1815" t="b">
        <f>AND(I314=FALSE,N313=0,Q313=0,L313="")</f>
        <v>1</v>
      </c>
      <c r="C314" s="1844" t="str" cm="1">
        <f t="array" ref="C314">_xlfn.IFS(
    L314="", "",
    MONTH(L314) &lt;= End_of_Year_Month, YEAR(L314),
    TRUE, YEAR(L314) + 1
)</f>
        <v/>
      </c>
      <c r="F314" s="1857">
        <f>IF(L314="",0,L314)</f>
        <v>0</v>
      </c>
      <c r="G314" s="1856">
        <f>-(N314-Q314)</f>
        <v>0</v>
      </c>
      <c r="I314" s="1815" t="b">
        <f>K314&lt;=Number_Payments</f>
        <v>0</v>
      </c>
      <c r="J314" s="1855"/>
      <c r="K314" s="1351">
        <f>K313+1</f>
        <v>188</v>
      </c>
      <c r="L314" s="1854" t="str" cm="1">
        <f t="array" ref="L314">_xlfn.IFS(
    I313=FALSE, "",
    Payment_Frequency="Monthly", EDATE(L313, 1),
    Payment_Frequency="Weekly", DATE(YEAR(L313), MONTH(L313), DAY(L313) + 7),
    Payment_Frequency="Fortnightly", DATE(YEAR(L313), MONTH(L313), DAY(L313) + 14),
    Payment_Frequency="Quarterly", DATE(YEAR(L313), MONTH(L313) + 3, DAY(L313)),
    Payment_Frequency="Yearly", DATE(YEAR(L313) + 1, MONTH(L313), DAY(L313)),
    TRUE, ""
)</f>
        <v/>
      </c>
      <c r="M314" s="1853">
        <f>IF(ISERROR(L314-L313),0,L314-L313)</f>
        <v>0</v>
      </c>
      <c r="N314" s="1851" cm="1">
        <f t="array" ref="N314">_xlfn.IFS(
    AND(I314=TRUE, K314&lt;=No_Regular_Payments), Repay_Amt,
    AND(I314=TRUE, K314=No_Regular_Payments+1), Tm_Balloon_Amt,
   TRUE, 0
)</f>
        <v>0</v>
      </c>
      <c r="O314" s="1850" cm="1">
        <f t="array" ref="O314">_xlfn.IFS(
    M314=0,0,
   ABS(N314 - S313 - P314-Q314) &lt; 1, N314 - S313-Q314,
    TRUE, P314
)</f>
        <v>0</v>
      </c>
      <c r="P314" s="1852">
        <f>IF(M314=0,0,ROUND(S313*EXP(Int_Rate/365.25 * M314)-S313,2))</f>
        <v>0</v>
      </c>
      <c r="Q314" s="1851" cm="1">
        <f t="array" ref="Q314">_xlfn.IFS(
    AND(I314=TRUE, K314&lt;=No_Regular_Payments), Periodic_Admin_Charge,
   TRUE, 0
)</f>
        <v>0</v>
      </c>
      <c r="R314" s="1850">
        <f>N314-O314-Q314</f>
        <v>0</v>
      </c>
      <c r="S314" s="1850">
        <f>ROUND(S313-R314,2)</f>
        <v>0</v>
      </c>
      <c r="T314" s="1850">
        <f>ROUND(T313-(N314-Q314),2)</f>
        <v>0</v>
      </c>
      <c r="U314" s="1849"/>
      <c r="W314" s="1848"/>
      <c r="X314" s="1848"/>
      <c r="Y314" s="1848"/>
    </row>
    <row r="315" spans="2:25" hidden="1">
      <c r="B315" s="1815" t="b">
        <f>AND(I315=FALSE,N314=0,Q314=0,L314="")</f>
        <v>1</v>
      </c>
      <c r="C315" s="1844" t="str" cm="1">
        <f t="array" ref="C315">_xlfn.IFS(
    L315="", "",
    MONTH(L315) &lt;= End_of_Year_Month, YEAR(L315),
    TRUE, YEAR(L315) + 1
)</f>
        <v/>
      </c>
      <c r="F315" s="1857">
        <f>IF(L315="",0,L315)</f>
        <v>0</v>
      </c>
      <c r="G315" s="1856">
        <f>-(N315-Q315)</f>
        <v>0</v>
      </c>
      <c r="I315" s="1815" t="b">
        <f>K315&lt;=Number_Payments</f>
        <v>0</v>
      </c>
      <c r="J315" s="1855"/>
      <c r="K315" s="1351">
        <f>K314+1</f>
        <v>189</v>
      </c>
      <c r="L315" s="1854" t="str" cm="1">
        <f t="array" ref="L315">_xlfn.IFS(
    I314=FALSE, "",
    Payment_Frequency="Monthly", EDATE(L314, 1),
    Payment_Frequency="Weekly", DATE(YEAR(L314), MONTH(L314), DAY(L314) + 7),
    Payment_Frequency="Fortnightly", DATE(YEAR(L314), MONTH(L314), DAY(L314) + 14),
    Payment_Frequency="Quarterly", DATE(YEAR(L314), MONTH(L314) + 3, DAY(L314)),
    Payment_Frequency="Yearly", DATE(YEAR(L314) + 1, MONTH(L314), DAY(L314)),
    TRUE, ""
)</f>
        <v/>
      </c>
      <c r="M315" s="1853">
        <f>IF(ISERROR(L315-L314),0,L315-L314)</f>
        <v>0</v>
      </c>
      <c r="N315" s="1851" cm="1">
        <f t="array" ref="N315">_xlfn.IFS(
    AND(I315=TRUE, K315&lt;=No_Regular_Payments), Repay_Amt,
    AND(I315=TRUE, K315=No_Regular_Payments+1), Tm_Balloon_Amt,
   TRUE, 0
)</f>
        <v>0</v>
      </c>
      <c r="O315" s="1850" cm="1">
        <f t="array" ref="O315">_xlfn.IFS(
    M315=0,0,
   ABS(N315 - S314 - P315-Q315) &lt; 1, N315 - S314-Q315,
    TRUE, P315
)</f>
        <v>0</v>
      </c>
      <c r="P315" s="1852">
        <f>IF(M315=0,0,ROUND(S314*EXP(Int_Rate/365.25 * M315)-S314,2))</f>
        <v>0</v>
      </c>
      <c r="Q315" s="1851" cm="1">
        <f t="array" ref="Q315">_xlfn.IFS(
    AND(I315=TRUE, K315&lt;=No_Regular_Payments), Periodic_Admin_Charge,
   TRUE, 0
)</f>
        <v>0</v>
      </c>
      <c r="R315" s="1850">
        <f>N315-O315-Q315</f>
        <v>0</v>
      </c>
      <c r="S315" s="1850">
        <f>ROUND(S314-R315,2)</f>
        <v>0</v>
      </c>
      <c r="T315" s="1850">
        <f>ROUND(T314-(N315-Q315),2)</f>
        <v>0</v>
      </c>
      <c r="U315" s="1849"/>
      <c r="W315" s="1848"/>
      <c r="X315" s="1848"/>
      <c r="Y315" s="1848"/>
    </row>
    <row r="316" spans="2:25" hidden="1">
      <c r="B316" s="1815" t="b">
        <f>AND(I316=FALSE,N315=0,Q315=0,L315="")</f>
        <v>1</v>
      </c>
      <c r="C316" s="1844" t="str" cm="1">
        <f t="array" ref="C316">_xlfn.IFS(
    L316="", "",
    MONTH(L316) &lt;= End_of_Year_Month, YEAR(L316),
    TRUE, YEAR(L316) + 1
)</f>
        <v/>
      </c>
      <c r="F316" s="1857">
        <f>IF(L316="",0,L316)</f>
        <v>0</v>
      </c>
      <c r="G316" s="1856">
        <f>-(N316-Q316)</f>
        <v>0</v>
      </c>
      <c r="I316" s="1815" t="b">
        <f>K316&lt;=Number_Payments</f>
        <v>0</v>
      </c>
      <c r="J316" s="1855"/>
      <c r="K316" s="1351">
        <f>K315+1</f>
        <v>190</v>
      </c>
      <c r="L316" s="1854" t="str" cm="1">
        <f t="array" ref="L316">_xlfn.IFS(
    I315=FALSE, "",
    Payment_Frequency="Monthly", EDATE(L315, 1),
    Payment_Frequency="Weekly", DATE(YEAR(L315), MONTH(L315), DAY(L315) + 7),
    Payment_Frequency="Fortnightly", DATE(YEAR(L315), MONTH(L315), DAY(L315) + 14),
    Payment_Frequency="Quarterly", DATE(YEAR(L315), MONTH(L315) + 3, DAY(L315)),
    Payment_Frequency="Yearly", DATE(YEAR(L315) + 1, MONTH(L315), DAY(L315)),
    TRUE, ""
)</f>
        <v/>
      </c>
      <c r="M316" s="1853">
        <f>IF(ISERROR(L316-L315),0,L316-L315)</f>
        <v>0</v>
      </c>
      <c r="N316" s="1851" cm="1">
        <f t="array" ref="N316">_xlfn.IFS(
    AND(I316=TRUE, K316&lt;=No_Regular_Payments), Repay_Amt,
    AND(I316=TRUE, K316=No_Regular_Payments+1), Tm_Balloon_Amt,
   TRUE, 0
)</f>
        <v>0</v>
      </c>
      <c r="O316" s="1850" cm="1">
        <f t="array" ref="O316">_xlfn.IFS(
    M316=0,0,
   ABS(N316 - S315 - P316-Q316) &lt; 1, N316 - S315-Q316,
    TRUE, P316
)</f>
        <v>0</v>
      </c>
      <c r="P316" s="1852">
        <f>IF(M316=0,0,ROUND(S315*EXP(Int_Rate/365.25 * M316)-S315,2))</f>
        <v>0</v>
      </c>
      <c r="Q316" s="1851" cm="1">
        <f t="array" ref="Q316">_xlfn.IFS(
    AND(I316=TRUE, K316&lt;=No_Regular_Payments), Periodic_Admin_Charge,
   TRUE, 0
)</f>
        <v>0</v>
      </c>
      <c r="R316" s="1850">
        <f>N316-O316-Q316</f>
        <v>0</v>
      </c>
      <c r="S316" s="1850">
        <f>ROUND(S315-R316,2)</f>
        <v>0</v>
      </c>
      <c r="T316" s="1850">
        <f>ROUND(T315-(N316-Q316),2)</f>
        <v>0</v>
      </c>
      <c r="U316" s="1849"/>
      <c r="W316" s="1848"/>
      <c r="X316" s="1848"/>
      <c r="Y316" s="1848"/>
    </row>
    <row r="317" spans="2:25" hidden="1">
      <c r="B317" s="1815" t="b">
        <f>AND(I317=FALSE,N316=0,Q316=0,L316="")</f>
        <v>1</v>
      </c>
      <c r="C317" s="1844" t="str" cm="1">
        <f t="array" ref="C317">_xlfn.IFS(
    L317="", "",
    MONTH(L317) &lt;= End_of_Year_Month, YEAR(L317),
    TRUE, YEAR(L317) + 1
)</f>
        <v/>
      </c>
      <c r="F317" s="1857">
        <f>IF(L317="",0,L317)</f>
        <v>0</v>
      </c>
      <c r="G317" s="1856">
        <f>-(N317-Q317)</f>
        <v>0</v>
      </c>
      <c r="I317" s="1815" t="b">
        <f>K317&lt;=Number_Payments</f>
        <v>0</v>
      </c>
      <c r="J317" s="1855"/>
      <c r="K317" s="1351">
        <f>K316+1</f>
        <v>191</v>
      </c>
      <c r="L317" s="1854" t="str" cm="1">
        <f t="array" ref="L317">_xlfn.IFS(
    I316=FALSE, "",
    Payment_Frequency="Monthly", EDATE(L316, 1),
    Payment_Frequency="Weekly", DATE(YEAR(L316), MONTH(L316), DAY(L316) + 7),
    Payment_Frequency="Fortnightly", DATE(YEAR(L316), MONTH(L316), DAY(L316) + 14),
    Payment_Frequency="Quarterly", DATE(YEAR(L316), MONTH(L316) + 3, DAY(L316)),
    Payment_Frequency="Yearly", DATE(YEAR(L316) + 1, MONTH(L316), DAY(L316)),
    TRUE, ""
)</f>
        <v/>
      </c>
      <c r="M317" s="1853">
        <f>IF(ISERROR(L317-L316),0,L317-L316)</f>
        <v>0</v>
      </c>
      <c r="N317" s="1851" cm="1">
        <f t="array" ref="N317">_xlfn.IFS(
    AND(I317=TRUE, K317&lt;=No_Regular_Payments), Repay_Amt,
    AND(I317=TRUE, K317=No_Regular_Payments+1), Tm_Balloon_Amt,
   TRUE, 0
)</f>
        <v>0</v>
      </c>
      <c r="O317" s="1850" cm="1">
        <f t="array" ref="O317">_xlfn.IFS(
    M317=0,0,
   ABS(N317 - S316 - P317-Q317) &lt; 1, N317 - S316-Q317,
    TRUE, P317
)</f>
        <v>0</v>
      </c>
      <c r="P317" s="1852">
        <f>IF(M317=0,0,ROUND(S316*EXP(Int_Rate/365.25 * M317)-S316,2))</f>
        <v>0</v>
      </c>
      <c r="Q317" s="1851" cm="1">
        <f t="array" ref="Q317">_xlfn.IFS(
    AND(I317=TRUE, K317&lt;=No_Regular_Payments), Periodic_Admin_Charge,
   TRUE, 0
)</f>
        <v>0</v>
      </c>
      <c r="R317" s="1850">
        <f>N317-O317-Q317</f>
        <v>0</v>
      </c>
      <c r="S317" s="1850">
        <f>ROUND(S316-R317,2)</f>
        <v>0</v>
      </c>
      <c r="T317" s="1850">
        <f>ROUND(T316-(N317-Q317),2)</f>
        <v>0</v>
      </c>
      <c r="U317" s="1849"/>
      <c r="W317" s="1848"/>
      <c r="X317" s="1848"/>
      <c r="Y317" s="1848"/>
    </row>
    <row r="318" spans="2:25" hidden="1">
      <c r="B318" s="1815" t="b">
        <f>AND(I318=FALSE,N317=0,Q317=0,L317="")</f>
        <v>1</v>
      </c>
      <c r="C318" s="1844" t="str" cm="1">
        <f t="array" ref="C318">_xlfn.IFS(
    L318="", "",
    MONTH(L318) &lt;= End_of_Year_Month, YEAR(L318),
    TRUE, YEAR(L318) + 1
)</f>
        <v/>
      </c>
      <c r="F318" s="1857">
        <f>IF(L318="",0,L318)</f>
        <v>0</v>
      </c>
      <c r="G318" s="1856">
        <f>-(N318-Q318)</f>
        <v>0</v>
      </c>
      <c r="I318" s="1815" t="b">
        <f>K318&lt;=Number_Payments</f>
        <v>0</v>
      </c>
      <c r="J318" s="1855"/>
      <c r="K318" s="1351">
        <f>K317+1</f>
        <v>192</v>
      </c>
      <c r="L318" s="1854" t="str" cm="1">
        <f t="array" ref="L318">_xlfn.IFS(
    I317=FALSE, "",
    Payment_Frequency="Monthly", EDATE(L317, 1),
    Payment_Frequency="Weekly", DATE(YEAR(L317), MONTH(L317), DAY(L317) + 7),
    Payment_Frequency="Fortnightly", DATE(YEAR(L317), MONTH(L317), DAY(L317) + 14),
    Payment_Frequency="Quarterly", DATE(YEAR(L317), MONTH(L317) + 3, DAY(L317)),
    Payment_Frequency="Yearly", DATE(YEAR(L317) + 1, MONTH(L317), DAY(L317)),
    TRUE, ""
)</f>
        <v/>
      </c>
      <c r="M318" s="1853">
        <f>IF(ISERROR(L318-L317),0,L318-L317)</f>
        <v>0</v>
      </c>
      <c r="N318" s="1851" cm="1">
        <f t="array" ref="N318">_xlfn.IFS(
    AND(I318=TRUE, K318&lt;=No_Regular_Payments), Repay_Amt,
    AND(I318=TRUE, K318=No_Regular_Payments+1), Tm_Balloon_Amt,
   TRUE, 0
)</f>
        <v>0</v>
      </c>
      <c r="O318" s="1850" cm="1">
        <f t="array" ref="O318">_xlfn.IFS(
    M318=0,0,
   ABS(N318 - S317 - P318-Q318) &lt; 1, N318 - S317-Q318,
    TRUE, P318
)</f>
        <v>0</v>
      </c>
      <c r="P318" s="1852">
        <f>IF(M318=0,0,ROUND(S317*EXP(Int_Rate/365.25 * M318)-S317,2))</f>
        <v>0</v>
      </c>
      <c r="Q318" s="1851" cm="1">
        <f t="array" ref="Q318">_xlfn.IFS(
    AND(I318=TRUE, K318&lt;=No_Regular_Payments), Periodic_Admin_Charge,
   TRUE, 0
)</f>
        <v>0</v>
      </c>
      <c r="R318" s="1850">
        <f>N318-O318-Q318</f>
        <v>0</v>
      </c>
      <c r="S318" s="1850">
        <f>ROUND(S317-R318,2)</f>
        <v>0</v>
      </c>
      <c r="T318" s="1850">
        <f>ROUND(T317-(N318-Q318),2)</f>
        <v>0</v>
      </c>
      <c r="U318" s="1849"/>
      <c r="W318" s="1848"/>
      <c r="X318" s="1848"/>
      <c r="Y318" s="1848"/>
    </row>
    <row r="319" spans="2:25" hidden="1">
      <c r="B319" s="1815" t="b">
        <f>AND(I319=FALSE,N318=0,Q318=0,L318="")</f>
        <v>1</v>
      </c>
      <c r="C319" s="1844" t="str" cm="1">
        <f t="array" ref="C319">_xlfn.IFS(
    L319="", "",
    MONTH(L319) &lt;= End_of_Year_Month, YEAR(L319),
    TRUE, YEAR(L319) + 1
)</f>
        <v/>
      </c>
      <c r="F319" s="1857">
        <f>IF(L319="",0,L319)</f>
        <v>0</v>
      </c>
      <c r="G319" s="1856">
        <f>-(N319-Q319)</f>
        <v>0</v>
      </c>
      <c r="I319" s="1815" t="b">
        <f>K319&lt;=Number_Payments</f>
        <v>0</v>
      </c>
      <c r="J319" s="1855"/>
      <c r="K319" s="1351">
        <f>K318+1</f>
        <v>193</v>
      </c>
      <c r="L319" s="1854" t="str" cm="1">
        <f t="array" ref="L319">_xlfn.IFS(
    I318=FALSE, "",
    Payment_Frequency="Monthly", EDATE(L318, 1),
    Payment_Frequency="Weekly", DATE(YEAR(L318), MONTH(L318), DAY(L318) + 7),
    Payment_Frequency="Fortnightly", DATE(YEAR(L318), MONTH(L318), DAY(L318) + 14),
    Payment_Frequency="Quarterly", DATE(YEAR(L318), MONTH(L318) + 3, DAY(L318)),
    Payment_Frequency="Yearly", DATE(YEAR(L318) + 1, MONTH(L318), DAY(L318)),
    TRUE, ""
)</f>
        <v/>
      </c>
      <c r="M319" s="1853">
        <f>IF(ISERROR(L319-L318),0,L319-L318)</f>
        <v>0</v>
      </c>
      <c r="N319" s="1851" cm="1">
        <f t="array" ref="N319">_xlfn.IFS(
    AND(I319=TRUE, K319&lt;=No_Regular_Payments), Repay_Amt,
    AND(I319=TRUE, K319=No_Regular_Payments+1), Tm_Balloon_Amt,
   TRUE, 0
)</f>
        <v>0</v>
      </c>
      <c r="O319" s="1850" cm="1">
        <f t="array" ref="O319">_xlfn.IFS(
    M319=0,0,
   ABS(N319 - S318 - P319-Q319) &lt; 1, N319 - S318-Q319,
    TRUE, P319
)</f>
        <v>0</v>
      </c>
      <c r="P319" s="1852">
        <f>IF(M319=0,0,ROUND(S318*EXP(Int_Rate/365.25 * M319)-S318,2))</f>
        <v>0</v>
      </c>
      <c r="Q319" s="1851" cm="1">
        <f t="array" ref="Q319">_xlfn.IFS(
    AND(I319=TRUE, K319&lt;=No_Regular_Payments), Periodic_Admin_Charge,
   TRUE, 0
)</f>
        <v>0</v>
      </c>
      <c r="R319" s="1850">
        <f>N319-O319-Q319</f>
        <v>0</v>
      </c>
      <c r="S319" s="1850">
        <f>ROUND(S318-R319,2)</f>
        <v>0</v>
      </c>
      <c r="T319" s="1850">
        <f>ROUND(T318-(N319-Q319),2)</f>
        <v>0</v>
      </c>
      <c r="U319" s="1849"/>
      <c r="W319" s="1848"/>
      <c r="X319" s="1848"/>
      <c r="Y319" s="1848"/>
    </row>
    <row r="320" spans="2:25" hidden="1">
      <c r="B320" s="1815" t="b">
        <f>AND(I320=FALSE,N319=0,Q319=0,L319="")</f>
        <v>1</v>
      </c>
      <c r="C320" s="1844" t="str" cm="1">
        <f t="array" ref="C320">_xlfn.IFS(
    L320="", "",
    MONTH(L320) &lt;= End_of_Year_Month, YEAR(L320),
    TRUE, YEAR(L320) + 1
)</f>
        <v/>
      </c>
      <c r="F320" s="1857">
        <f>IF(L320="",0,L320)</f>
        <v>0</v>
      </c>
      <c r="G320" s="1856">
        <f>-(N320-Q320)</f>
        <v>0</v>
      </c>
      <c r="I320" s="1815" t="b">
        <f>K320&lt;=Number_Payments</f>
        <v>0</v>
      </c>
      <c r="J320" s="1855"/>
      <c r="K320" s="1351">
        <f>K319+1</f>
        <v>194</v>
      </c>
      <c r="L320" s="1854" t="str" cm="1">
        <f t="array" ref="L320">_xlfn.IFS(
    I319=FALSE, "",
    Payment_Frequency="Monthly", EDATE(L319, 1),
    Payment_Frequency="Weekly", DATE(YEAR(L319), MONTH(L319), DAY(L319) + 7),
    Payment_Frequency="Fortnightly", DATE(YEAR(L319), MONTH(L319), DAY(L319) + 14),
    Payment_Frequency="Quarterly", DATE(YEAR(L319), MONTH(L319) + 3, DAY(L319)),
    Payment_Frequency="Yearly", DATE(YEAR(L319) + 1, MONTH(L319), DAY(L319)),
    TRUE, ""
)</f>
        <v/>
      </c>
      <c r="M320" s="1853">
        <f>IF(ISERROR(L320-L319),0,L320-L319)</f>
        <v>0</v>
      </c>
      <c r="N320" s="1851" cm="1">
        <f t="array" ref="N320">_xlfn.IFS(
    AND(I320=TRUE, K320&lt;=No_Regular_Payments), Repay_Amt,
    AND(I320=TRUE, K320=No_Regular_Payments+1), Tm_Balloon_Amt,
   TRUE, 0
)</f>
        <v>0</v>
      </c>
      <c r="O320" s="1850" cm="1">
        <f t="array" ref="O320">_xlfn.IFS(
    M320=0,0,
   ABS(N320 - S319 - P320-Q320) &lt; 1, N320 - S319-Q320,
    TRUE, P320
)</f>
        <v>0</v>
      </c>
      <c r="P320" s="1852">
        <f>IF(M320=0,0,ROUND(S319*EXP(Int_Rate/365.25 * M320)-S319,2))</f>
        <v>0</v>
      </c>
      <c r="Q320" s="1851" cm="1">
        <f t="array" ref="Q320">_xlfn.IFS(
    AND(I320=TRUE, K320&lt;=No_Regular_Payments), Periodic_Admin_Charge,
   TRUE, 0
)</f>
        <v>0</v>
      </c>
      <c r="R320" s="1850">
        <f>N320-O320-Q320</f>
        <v>0</v>
      </c>
      <c r="S320" s="1850">
        <f>ROUND(S319-R320,2)</f>
        <v>0</v>
      </c>
      <c r="T320" s="1850">
        <f>ROUND(T319-(N320-Q320),2)</f>
        <v>0</v>
      </c>
      <c r="U320" s="1849"/>
      <c r="W320" s="1848"/>
      <c r="X320" s="1848"/>
      <c r="Y320" s="1848"/>
    </row>
    <row r="321" spans="2:25" hidden="1">
      <c r="B321" s="1815" t="b">
        <f>AND(I321=FALSE,N320=0,Q320=0,L320="")</f>
        <v>1</v>
      </c>
      <c r="C321" s="1844" t="str" cm="1">
        <f t="array" ref="C321">_xlfn.IFS(
    L321="", "",
    MONTH(L321) &lt;= End_of_Year_Month, YEAR(L321),
    TRUE, YEAR(L321) + 1
)</f>
        <v/>
      </c>
      <c r="F321" s="1857">
        <f>IF(L321="",0,L321)</f>
        <v>0</v>
      </c>
      <c r="G321" s="1856">
        <f>-(N321-Q321)</f>
        <v>0</v>
      </c>
      <c r="I321" s="1815" t="b">
        <f>K321&lt;=Number_Payments</f>
        <v>0</v>
      </c>
      <c r="J321" s="1855"/>
      <c r="K321" s="1351">
        <f>K320+1</f>
        <v>195</v>
      </c>
      <c r="L321" s="1854" t="str" cm="1">
        <f t="array" ref="L321">_xlfn.IFS(
    I320=FALSE, "",
    Payment_Frequency="Monthly", EDATE(L320, 1),
    Payment_Frequency="Weekly", DATE(YEAR(L320), MONTH(L320), DAY(L320) + 7),
    Payment_Frequency="Fortnightly", DATE(YEAR(L320), MONTH(L320), DAY(L320) + 14),
    Payment_Frequency="Quarterly", DATE(YEAR(L320), MONTH(L320) + 3, DAY(L320)),
    Payment_Frequency="Yearly", DATE(YEAR(L320) + 1, MONTH(L320), DAY(L320)),
    TRUE, ""
)</f>
        <v/>
      </c>
      <c r="M321" s="1853">
        <f>IF(ISERROR(L321-L320),0,L321-L320)</f>
        <v>0</v>
      </c>
      <c r="N321" s="1851" cm="1">
        <f t="array" ref="N321">_xlfn.IFS(
    AND(I321=TRUE, K321&lt;=No_Regular_Payments), Repay_Amt,
    AND(I321=TRUE, K321=No_Regular_Payments+1), Tm_Balloon_Amt,
   TRUE, 0
)</f>
        <v>0</v>
      </c>
      <c r="O321" s="1850" cm="1">
        <f t="array" ref="O321">_xlfn.IFS(
    M321=0,0,
   ABS(N321 - S320 - P321-Q321) &lt; 1, N321 - S320-Q321,
    TRUE, P321
)</f>
        <v>0</v>
      </c>
      <c r="P321" s="1852">
        <f>IF(M321=0,0,ROUND(S320*EXP(Int_Rate/365.25 * M321)-S320,2))</f>
        <v>0</v>
      </c>
      <c r="Q321" s="1851" cm="1">
        <f t="array" ref="Q321">_xlfn.IFS(
    AND(I321=TRUE, K321&lt;=No_Regular_Payments), Periodic_Admin_Charge,
   TRUE, 0
)</f>
        <v>0</v>
      </c>
      <c r="R321" s="1850">
        <f>N321-O321-Q321</f>
        <v>0</v>
      </c>
      <c r="S321" s="1850">
        <f>ROUND(S320-R321,2)</f>
        <v>0</v>
      </c>
      <c r="T321" s="1850">
        <f>ROUND(T320-(N321-Q321),2)</f>
        <v>0</v>
      </c>
      <c r="U321" s="1849"/>
      <c r="W321" s="1848"/>
      <c r="X321" s="1848"/>
      <c r="Y321" s="1848"/>
    </row>
    <row r="322" spans="2:25" hidden="1">
      <c r="B322" s="1815" t="b">
        <f>AND(I322=FALSE,N321=0,Q321=0,L321="")</f>
        <v>1</v>
      </c>
      <c r="C322" s="1844" t="str" cm="1">
        <f t="array" ref="C322">_xlfn.IFS(
    L322="", "",
    MONTH(L322) &lt;= End_of_Year_Month, YEAR(L322),
    TRUE, YEAR(L322) + 1
)</f>
        <v/>
      </c>
      <c r="F322" s="1857">
        <f>IF(L322="",0,L322)</f>
        <v>0</v>
      </c>
      <c r="G322" s="1856">
        <f>-(N322-Q322)</f>
        <v>0</v>
      </c>
      <c r="I322" s="1815" t="b">
        <f>K322&lt;=Number_Payments</f>
        <v>0</v>
      </c>
      <c r="J322" s="1855"/>
      <c r="K322" s="1351">
        <f>K321+1</f>
        <v>196</v>
      </c>
      <c r="L322" s="1854" t="str" cm="1">
        <f t="array" ref="L322">_xlfn.IFS(
    I321=FALSE, "",
    Payment_Frequency="Monthly", EDATE(L321, 1),
    Payment_Frequency="Weekly", DATE(YEAR(L321), MONTH(L321), DAY(L321) + 7),
    Payment_Frequency="Fortnightly", DATE(YEAR(L321), MONTH(L321), DAY(L321) + 14),
    Payment_Frequency="Quarterly", DATE(YEAR(L321), MONTH(L321) + 3, DAY(L321)),
    Payment_Frequency="Yearly", DATE(YEAR(L321) + 1, MONTH(L321), DAY(L321)),
    TRUE, ""
)</f>
        <v/>
      </c>
      <c r="M322" s="1853">
        <f>IF(ISERROR(L322-L321),0,L322-L321)</f>
        <v>0</v>
      </c>
      <c r="N322" s="1851" cm="1">
        <f t="array" ref="N322">_xlfn.IFS(
    AND(I322=TRUE, K322&lt;=No_Regular_Payments), Repay_Amt,
    AND(I322=TRUE, K322=No_Regular_Payments+1), Tm_Balloon_Amt,
   TRUE, 0
)</f>
        <v>0</v>
      </c>
      <c r="O322" s="1850" cm="1">
        <f t="array" ref="O322">_xlfn.IFS(
    M322=0,0,
   ABS(N322 - S321 - P322-Q322) &lt; 1, N322 - S321-Q322,
    TRUE, P322
)</f>
        <v>0</v>
      </c>
      <c r="P322" s="1852">
        <f>IF(M322=0,0,ROUND(S321*EXP(Int_Rate/365.25 * M322)-S321,2))</f>
        <v>0</v>
      </c>
      <c r="Q322" s="1851" cm="1">
        <f t="array" ref="Q322">_xlfn.IFS(
    AND(I322=TRUE, K322&lt;=No_Regular_Payments), Periodic_Admin_Charge,
   TRUE, 0
)</f>
        <v>0</v>
      </c>
      <c r="R322" s="1850">
        <f>N322-O322-Q322</f>
        <v>0</v>
      </c>
      <c r="S322" s="1850">
        <f>ROUND(S321-R322,2)</f>
        <v>0</v>
      </c>
      <c r="T322" s="1850">
        <f>ROUND(T321-(N322-Q322),2)</f>
        <v>0</v>
      </c>
      <c r="U322" s="1849"/>
      <c r="W322" s="1848"/>
      <c r="X322" s="1848"/>
      <c r="Y322" s="1848"/>
    </row>
    <row r="323" spans="2:25" hidden="1">
      <c r="B323" s="1815" t="b">
        <f>AND(I323=FALSE,N322=0,Q322=0,L322="")</f>
        <v>1</v>
      </c>
      <c r="C323" s="1844" t="str" cm="1">
        <f t="array" ref="C323">_xlfn.IFS(
    L323="", "",
    MONTH(L323) &lt;= End_of_Year_Month, YEAR(L323),
    TRUE, YEAR(L323) + 1
)</f>
        <v/>
      </c>
      <c r="F323" s="1857">
        <f>IF(L323="",0,L323)</f>
        <v>0</v>
      </c>
      <c r="G323" s="1856">
        <f>-(N323-Q323)</f>
        <v>0</v>
      </c>
      <c r="I323" s="1815" t="b">
        <f>K323&lt;=Number_Payments</f>
        <v>0</v>
      </c>
      <c r="J323" s="1855"/>
      <c r="K323" s="1351">
        <f>K322+1</f>
        <v>197</v>
      </c>
      <c r="L323" s="1854" t="str" cm="1">
        <f t="array" ref="L323">_xlfn.IFS(
    I322=FALSE, "",
    Payment_Frequency="Monthly", EDATE(L322, 1),
    Payment_Frequency="Weekly", DATE(YEAR(L322), MONTH(L322), DAY(L322) + 7),
    Payment_Frequency="Fortnightly", DATE(YEAR(L322), MONTH(L322), DAY(L322) + 14),
    Payment_Frequency="Quarterly", DATE(YEAR(L322), MONTH(L322) + 3, DAY(L322)),
    Payment_Frequency="Yearly", DATE(YEAR(L322) + 1, MONTH(L322), DAY(L322)),
    TRUE, ""
)</f>
        <v/>
      </c>
      <c r="M323" s="1853">
        <f>IF(ISERROR(L323-L322),0,L323-L322)</f>
        <v>0</v>
      </c>
      <c r="N323" s="1851" cm="1">
        <f t="array" ref="N323">_xlfn.IFS(
    AND(I323=TRUE, K323&lt;=No_Regular_Payments), Repay_Amt,
    AND(I323=TRUE, K323=No_Regular_Payments+1), Tm_Balloon_Amt,
   TRUE, 0
)</f>
        <v>0</v>
      </c>
      <c r="O323" s="1850" cm="1">
        <f t="array" ref="O323">_xlfn.IFS(
    M323=0,0,
   ABS(N323 - S322 - P323-Q323) &lt; 1, N323 - S322-Q323,
    TRUE, P323
)</f>
        <v>0</v>
      </c>
      <c r="P323" s="1852">
        <f>IF(M323=0,0,ROUND(S322*EXP(Int_Rate/365.25 * M323)-S322,2))</f>
        <v>0</v>
      </c>
      <c r="Q323" s="1851" cm="1">
        <f t="array" ref="Q323">_xlfn.IFS(
    AND(I323=TRUE, K323&lt;=No_Regular_Payments), Periodic_Admin_Charge,
   TRUE, 0
)</f>
        <v>0</v>
      </c>
      <c r="R323" s="1850">
        <f>N323-O323-Q323</f>
        <v>0</v>
      </c>
      <c r="S323" s="1850">
        <f>ROUND(S322-R323,2)</f>
        <v>0</v>
      </c>
      <c r="T323" s="1850">
        <f>ROUND(T322-(N323-Q323),2)</f>
        <v>0</v>
      </c>
      <c r="U323" s="1849"/>
      <c r="W323" s="1848"/>
      <c r="X323" s="1848"/>
      <c r="Y323" s="1848"/>
    </row>
    <row r="324" spans="2:25" hidden="1">
      <c r="B324" s="1815" t="b">
        <f>AND(I324=FALSE,N323=0,Q323=0,L323="")</f>
        <v>1</v>
      </c>
      <c r="C324" s="1844" t="str" cm="1">
        <f t="array" ref="C324">_xlfn.IFS(
    L324="", "",
    MONTH(L324) &lt;= End_of_Year_Month, YEAR(L324),
    TRUE, YEAR(L324) + 1
)</f>
        <v/>
      </c>
      <c r="F324" s="1857">
        <f>IF(L324="",0,L324)</f>
        <v>0</v>
      </c>
      <c r="G324" s="1856">
        <f>-(N324-Q324)</f>
        <v>0</v>
      </c>
      <c r="I324" s="1815" t="b">
        <f>K324&lt;=Number_Payments</f>
        <v>0</v>
      </c>
      <c r="J324" s="1855"/>
      <c r="K324" s="1351">
        <f>K323+1</f>
        <v>198</v>
      </c>
      <c r="L324" s="1854" t="str" cm="1">
        <f t="array" ref="L324">_xlfn.IFS(
    I323=FALSE, "",
    Payment_Frequency="Monthly", EDATE(L323, 1),
    Payment_Frequency="Weekly", DATE(YEAR(L323), MONTH(L323), DAY(L323) + 7),
    Payment_Frequency="Fortnightly", DATE(YEAR(L323), MONTH(L323), DAY(L323) + 14),
    Payment_Frequency="Quarterly", DATE(YEAR(L323), MONTH(L323) + 3, DAY(L323)),
    Payment_Frequency="Yearly", DATE(YEAR(L323) + 1, MONTH(L323), DAY(L323)),
    TRUE, ""
)</f>
        <v/>
      </c>
      <c r="M324" s="1853">
        <f>IF(ISERROR(L324-L323),0,L324-L323)</f>
        <v>0</v>
      </c>
      <c r="N324" s="1851" cm="1">
        <f t="array" ref="N324">_xlfn.IFS(
    AND(I324=TRUE, K324&lt;=No_Regular_Payments), Repay_Amt,
    AND(I324=TRUE, K324=No_Regular_Payments+1), Tm_Balloon_Amt,
   TRUE, 0
)</f>
        <v>0</v>
      </c>
      <c r="O324" s="1850" cm="1">
        <f t="array" ref="O324">_xlfn.IFS(
    M324=0,0,
   ABS(N324 - S323 - P324-Q324) &lt; 1, N324 - S323-Q324,
    TRUE, P324
)</f>
        <v>0</v>
      </c>
      <c r="P324" s="1852">
        <f>IF(M324=0,0,ROUND(S323*EXP(Int_Rate/365.25 * M324)-S323,2))</f>
        <v>0</v>
      </c>
      <c r="Q324" s="1851" cm="1">
        <f t="array" ref="Q324">_xlfn.IFS(
    AND(I324=TRUE, K324&lt;=No_Regular_Payments), Periodic_Admin_Charge,
   TRUE, 0
)</f>
        <v>0</v>
      </c>
      <c r="R324" s="1850">
        <f>N324-O324-Q324</f>
        <v>0</v>
      </c>
      <c r="S324" s="1850">
        <f>ROUND(S323-R324,2)</f>
        <v>0</v>
      </c>
      <c r="T324" s="1850">
        <f>ROUND(T323-(N324-Q324),2)</f>
        <v>0</v>
      </c>
      <c r="U324" s="1849"/>
      <c r="W324" s="1848"/>
      <c r="X324" s="1848"/>
      <c r="Y324" s="1848"/>
    </row>
    <row r="325" spans="2:25" hidden="1">
      <c r="B325" s="1815" t="b">
        <f>AND(I325=FALSE,N324=0,Q324=0,L324="")</f>
        <v>1</v>
      </c>
      <c r="C325" s="1844" t="str" cm="1">
        <f t="array" ref="C325">_xlfn.IFS(
    L325="", "",
    MONTH(L325) &lt;= End_of_Year_Month, YEAR(L325),
    TRUE, YEAR(L325) + 1
)</f>
        <v/>
      </c>
      <c r="F325" s="1857">
        <f>IF(L325="",0,L325)</f>
        <v>0</v>
      </c>
      <c r="G325" s="1856">
        <f>-(N325-Q325)</f>
        <v>0</v>
      </c>
      <c r="I325" s="1815" t="b">
        <f>K325&lt;=Number_Payments</f>
        <v>0</v>
      </c>
      <c r="J325" s="1855"/>
      <c r="K325" s="1351">
        <f>K324+1</f>
        <v>199</v>
      </c>
      <c r="L325" s="1854" t="str" cm="1">
        <f t="array" ref="L325">_xlfn.IFS(
    I324=FALSE, "",
    Payment_Frequency="Monthly", EDATE(L324, 1),
    Payment_Frequency="Weekly", DATE(YEAR(L324), MONTH(L324), DAY(L324) + 7),
    Payment_Frequency="Fortnightly", DATE(YEAR(L324), MONTH(L324), DAY(L324) + 14),
    Payment_Frequency="Quarterly", DATE(YEAR(L324), MONTH(L324) + 3, DAY(L324)),
    Payment_Frequency="Yearly", DATE(YEAR(L324) + 1, MONTH(L324), DAY(L324)),
    TRUE, ""
)</f>
        <v/>
      </c>
      <c r="M325" s="1853">
        <f>IF(ISERROR(L325-L324),0,L325-L324)</f>
        <v>0</v>
      </c>
      <c r="N325" s="1851" cm="1">
        <f t="array" ref="N325">_xlfn.IFS(
    AND(I325=TRUE, K325&lt;=No_Regular_Payments), Repay_Amt,
    AND(I325=TRUE, K325=No_Regular_Payments+1), Tm_Balloon_Amt,
   TRUE, 0
)</f>
        <v>0</v>
      </c>
      <c r="O325" s="1850" cm="1">
        <f t="array" ref="O325">_xlfn.IFS(
    M325=0,0,
   ABS(N325 - S324 - P325-Q325) &lt; 1, N325 - S324-Q325,
    TRUE, P325
)</f>
        <v>0</v>
      </c>
      <c r="P325" s="1852">
        <f>IF(M325=0,0,ROUND(S324*EXP(Int_Rate/365.25 * M325)-S324,2))</f>
        <v>0</v>
      </c>
      <c r="Q325" s="1851" cm="1">
        <f t="array" ref="Q325">_xlfn.IFS(
    AND(I325=TRUE, K325&lt;=No_Regular_Payments), Periodic_Admin_Charge,
   TRUE, 0
)</f>
        <v>0</v>
      </c>
      <c r="R325" s="1850">
        <f>N325-O325-Q325</f>
        <v>0</v>
      </c>
      <c r="S325" s="1850">
        <f>ROUND(S324-R325,2)</f>
        <v>0</v>
      </c>
      <c r="T325" s="1850">
        <f>ROUND(T324-(N325-Q325),2)</f>
        <v>0</v>
      </c>
      <c r="U325" s="1849"/>
      <c r="W325" s="1848"/>
      <c r="X325" s="1848"/>
      <c r="Y325" s="1848"/>
    </row>
    <row r="326" spans="2:25" hidden="1">
      <c r="B326" s="1815" t="b">
        <f>AND(I326=FALSE,N325=0,Q325=0,L325="")</f>
        <v>1</v>
      </c>
      <c r="C326" s="1844" t="str" cm="1">
        <f t="array" ref="C326">_xlfn.IFS(
    L326="", "",
    MONTH(L326) &lt;= End_of_Year_Month, YEAR(L326),
    TRUE, YEAR(L326) + 1
)</f>
        <v/>
      </c>
      <c r="F326" s="1857">
        <f>IF(L326="",0,L326)</f>
        <v>0</v>
      </c>
      <c r="G326" s="1856">
        <f>-(N326-Q326)</f>
        <v>0</v>
      </c>
      <c r="I326" s="1815" t="b">
        <f>K326&lt;=Number_Payments</f>
        <v>0</v>
      </c>
      <c r="J326" s="1855"/>
      <c r="K326" s="1351">
        <f>K325+1</f>
        <v>200</v>
      </c>
      <c r="L326" s="1854" t="str" cm="1">
        <f t="array" ref="L326">_xlfn.IFS(
    I325=FALSE, "",
    Payment_Frequency="Monthly", EDATE(L325, 1),
    Payment_Frequency="Weekly", DATE(YEAR(L325), MONTH(L325), DAY(L325) + 7),
    Payment_Frequency="Fortnightly", DATE(YEAR(L325), MONTH(L325), DAY(L325) + 14),
    Payment_Frequency="Quarterly", DATE(YEAR(L325), MONTH(L325) + 3, DAY(L325)),
    Payment_Frequency="Yearly", DATE(YEAR(L325) + 1, MONTH(L325), DAY(L325)),
    TRUE, ""
)</f>
        <v/>
      </c>
      <c r="M326" s="1853">
        <f>IF(ISERROR(L326-L325),0,L326-L325)</f>
        <v>0</v>
      </c>
      <c r="N326" s="1851" cm="1">
        <f t="array" ref="N326">_xlfn.IFS(
    AND(I326=TRUE, K326&lt;=No_Regular_Payments), Repay_Amt,
    AND(I326=TRUE, K326=No_Regular_Payments+1), Tm_Balloon_Amt,
   TRUE, 0
)</f>
        <v>0</v>
      </c>
      <c r="O326" s="1850" cm="1">
        <f t="array" ref="O326">_xlfn.IFS(
    M326=0,0,
   ABS(N326 - S325 - P326-Q326) &lt; 1, N326 - S325-Q326,
    TRUE, P326
)</f>
        <v>0</v>
      </c>
      <c r="P326" s="1852">
        <f>IF(M326=0,0,ROUND(S325*EXP(Int_Rate/365.25 * M326)-S325,2))</f>
        <v>0</v>
      </c>
      <c r="Q326" s="1851" cm="1">
        <f t="array" ref="Q326">_xlfn.IFS(
    AND(I326=TRUE, K326&lt;=No_Regular_Payments), Periodic_Admin_Charge,
   TRUE, 0
)</f>
        <v>0</v>
      </c>
      <c r="R326" s="1850">
        <f>N326-O326-Q326</f>
        <v>0</v>
      </c>
      <c r="S326" s="1850">
        <f>ROUND(S325-R326,2)</f>
        <v>0</v>
      </c>
      <c r="T326" s="1850">
        <f>ROUND(T325-(N326-Q326),2)</f>
        <v>0</v>
      </c>
      <c r="U326" s="1849"/>
      <c r="W326" s="1848"/>
      <c r="X326" s="1848"/>
      <c r="Y326" s="1848"/>
    </row>
    <row r="327" spans="2:25" hidden="1">
      <c r="B327" s="1815" t="b">
        <f>AND(I327=FALSE,N326=0,Q326=0,L326="")</f>
        <v>1</v>
      </c>
      <c r="C327" s="1844" t="str" cm="1">
        <f t="array" ref="C327">_xlfn.IFS(
    L327="", "",
    MONTH(L327) &lt;= End_of_Year_Month, YEAR(L327),
    TRUE, YEAR(L327) + 1
)</f>
        <v/>
      </c>
      <c r="F327" s="1857">
        <f>IF(L327="",0,L327)</f>
        <v>0</v>
      </c>
      <c r="G327" s="1856">
        <f>-(N327-Q327)</f>
        <v>0</v>
      </c>
      <c r="I327" s="1815" t="b">
        <f>K327&lt;=Number_Payments</f>
        <v>0</v>
      </c>
      <c r="J327" s="1855"/>
      <c r="K327" s="1351">
        <f>K326+1</f>
        <v>201</v>
      </c>
      <c r="L327" s="1854" t="str" cm="1">
        <f t="array" ref="L327">_xlfn.IFS(
    I326=FALSE, "",
    Payment_Frequency="Monthly", EDATE(L326, 1),
    Payment_Frequency="Weekly", DATE(YEAR(L326), MONTH(L326), DAY(L326) + 7),
    Payment_Frequency="Fortnightly", DATE(YEAR(L326), MONTH(L326), DAY(L326) + 14),
    Payment_Frequency="Quarterly", DATE(YEAR(L326), MONTH(L326) + 3, DAY(L326)),
    Payment_Frequency="Yearly", DATE(YEAR(L326) + 1, MONTH(L326), DAY(L326)),
    TRUE, ""
)</f>
        <v/>
      </c>
      <c r="M327" s="1853">
        <f>IF(ISERROR(L327-L326),0,L327-L326)</f>
        <v>0</v>
      </c>
      <c r="N327" s="1851" cm="1">
        <f t="array" ref="N327">_xlfn.IFS(
    AND(I327=TRUE, K327&lt;=No_Regular_Payments), Repay_Amt,
    AND(I327=TRUE, K327=No_Regular_Payments+1), Tm_Balloon_Amt,
   TRUE, 0
)</f>
        <v>0</v>
      </c>
      <c r="O327" s="1850" cm="1">
        <f t="array" ref="O327">_xlfn.IFS(
    M327=0,0,
   ABS(N327 - S326 - P327-Q327) &lt; 1, N327 - S326-Q327,
    TRUE, P327
)</f>
        <v>0</v>
      </c>
      <c r="P327" s="1852">
        <f>IF(M327=0,0,ROUND(S326*EXP(Int_Rate/365.25 * M327)-S326,2))</f>
        <v>0</v>
      </c>
      <c r="Q327" s="1851" cm="1">
        <f t="array" ref="Q327">_xlfn.IFS(
    AND(I327=TRUE, K327&lt;=No_Regular_Payments), Periodic_Admin_Charge,
   TRUE, 0
)</f>
        <v>0</v>
      </c>
      <c r="R327" s="1850">
        <f>N327-O327-Q327</f>
        <v>0</v>
      </c>
      <c r="S327" s="1850">
        <f>ROUND(S326-R327,2)</f>
        <v>0</v>
      </c>
      <c r="T327" s="1850">
        <f>ROUND(T326-(N327-Q327),2)</f>
        <v>0</v>
      </c>
      <c r="U327" s="1849"/>
      <c r="W327" s="1848"/>
      <c r="X327" s="1848"/>
      <c r="Y327" s="1848"/>
    </row>
    <row r="328" spans="2:25" hidden="1">
      <c r="B328" s="1815" t="b">
        <f>AND(I328=FALSE,N327=0,Q327=0,L327="")</f>
        <v>1</v>
      </c>
      <c r="C328" s="1844" t="str" cm="1">
        <f t="array" ref="C328">_xlfn.IFS(
    L328="", "",
    MONTH(L328) &lt;= End_of_Year_Month, YEAR(L328),
    TRUE, YEAR(L328) + 1
)</f>
        <v/>
      </c>
      <c r="F328" s="1857">
        <f>IF(L328="",0,L328)</f>
        <v>0</v>
      </c>
      <c r="G328" s="1856">
        <f>-(N328-Q328)</f>
        <v>0</v>
      </c>
      <c r="I328" s="1815" t="b">
        <f>K328&lt;=Number_Payments</f>
        <v>0</v>
      </c>
      <c r="J328" s="1855"/>
      <c r="K328" s="1351">
        <f>K327+1</f>
        <v>202</v>
      </c>
      <c r="L328" s="1854" t="str" cm="1">
        <f t="array" ref="L328">_xlfn.IFS(
    I327=FALSE, "",
    Payment_Frequency="Monthly", EDATE(L327, 1),
    Payment_Frequency="Weekly", DATE(YEAR(L327), MONTH(L327), DAY(L327) + 7),
    Payment_Frequency="Fortnightly", DATE(YEAR(L327), MONTH(L327), DAY(L327) + 14),
    Payment_Frequency="Quarterly", DATE(YEAR(L327), MONTH(L327) + 3, DAY(L327)),
    Payment_Frequency="Yearly", DATE(YEAR(L327) + 1, MONTH(L327), DAY(L327)),
    TRUE, ""
)</f>
        <v/>
      </c>
      <c r="M328" s="1853">
        <f>IF(ISERROR(L328-L327),0,L328-L327)</f>
        <v>0</v>
      </c>
      <c r="N328" s="1851" cm="1">
        <f t="array" ref="N328">_xlfn.IFS(
    AND(I328=TRUE, K328&lt;=No_Regular_Payments), Repay_Amt,
    AND(I328=TRUE, K328=No_Regular_Payments+1), Tm_Balloon_Amt,
   TRUE, 0
)</f>
        <v>0</v>
      </c>
      <c r="O328" s="1850" cm="1">
        <f t="array" ref="O328">_xlfn.IFS(
    M328=0,0,
   ABS(N328 - S327 - P328-Q328) &lt; 1, N328 - S327-Q328,
    TRUE, P328
)</f>
        <v>0</v>
      </c>
      <c r="P328" s="1852">
        <f>IF(M328=0,0,ROUND(S327*EXP(Int_Rate/365.25 * M328)-S327,2))</f>
        <v>0</v>
      </c>
      <c r="Q328" s="1851" cm="1">
        <f t="array" ref="Q328">_xlfn.IFS(
    AND(I328=TRUE, K328&lt;=No_Regular_Payments), Periodic_Admin_Charge,
   TRUE, 0
)</f>
        <v>0</v>
      </c>
      <c r="R328" s="1850">
        <f>N328-O328-Q328</f>
        <v>0</v>
      </c>
      <c r="S328" s="1850">
        <f>ROUND(S327-R328,2)</f>
        <v>0</v>
      </c>
      <c r="T328" s="1850">
        <f>ROUND(T327-(N328-Q328),2)</f>
        <v>0</v>
      </c>
      <c r="U328" s="1849"/>
      <c r="W328" s="1848"/>
      <c r="X328" s="1848"/>
      <c r="Y328" s="1848"/>
    </row>
    <row r="329" spans="2:25" hidden="1">
      <c r="B329" s="1815" t="b">
        <f>AND(I329=FALSE,N328=0,Q328=0,L328="")</f>
        <v>1</v>
      </c>
      <c r="C329" s="1844" t="str" cm="1">
        <f t="array" ref="C329">_xlfn.IFS(
    L329="", "",
    MONTH(L329) &lt;= End_of_Year_Month, YEAR(L329),
    TRUE, YEAR(L329) + 1
)</f>
        <v/>
      </c>
      <c r="F329" s="1857">
        <f>IF(L329="",0,L329)</f>
        <v>0</v>
      </c>
      <c r="G329" s="1856">
        <f>-(N329-Q329)</f>
        <v>0</v>
      </c>
      <c r="I329" s="1815" t="b">
        <f>K329&lt;=Number_Payments</f>
        <v>0</v>
      </c>
      <c r="J329" s="1855"/>
      <c r="K329" s="1351">
        <f>K328+1</f>
        <v>203</v>
      </c>
      <c r="L329" s="1854" t="str" cm="1">
        <f t="array" ref="L329">_xlfn.IFS(
    I328=FALSE, "",
    Payment_Frequency="Monthly", EDATE(L328, 1),
    Payment_Frequency="Weekly", DATE(YEAR(L328), MONTH(L328), DAY(L328) + 7),
    Payment_Frequency="Fortnightly", DATE(YEAR(L328), MONTH(L328), DAY(L328) + 14),
    Payment_Frequency="Quarterly", DATE(YEAR(L328), MONTH(L328) + 3, DAY(L328)),
    Payment_Frequency="Yearly", DATE(YEAR(L328) + 1, MONTH(L328), DAY(L328)),
    TRUE, ""
)</f>
        <v/>
      </c>
      <c r="M329" s="1853">
        <f>IF(ISERROR(L329-L328),0,L329-L328)</f>
        <v>0</v>
      </c>
      <c r="N329" s="1851" cm="1">
        <f t="array" ref="N329">_xlfn.IFS(
    AND(I329=TRUE, K329&lt;=No_Regular_Payments), Repay_Amt,
    AND(I329=TRUE, K329=No_Regular_Payments+1), Tm_Balloon_Amt,
   TRUE, 0
)</f>
        <v>0</v>
      </c>
      <c r="O329" s="1850" cm="1">
        <f t="array" ref="O329">_xlfn.IFS(
    M329=0,0,
   ABS(N329 - S328 - P329-Q329) &lt; 1, N329 - S328-Q329,
    TRUE, P329
)</f>
        <v>0</v>
      </c>
      <c r="P329" s="1852">
        <f>IF(M329=0,0,ROUND(S328*EXP(Int_Rate/365.25 * M329)-S328,2))</f>
        <v>0</v>
      </c>
      <c r="Q329" s="1851" cm="1">
        <f t="array" ref="Q329">_xlfn.IFS(
    AND(I329=TRUE, K329&lt;=No_Regular_Payments), Periodic_Admin_Charge,
   TRUE, 0
)</f>
        <v>0</v>
      </c>
      <c r="R329" s="1850">
        <f>N329-O329-Q329</f>
        <v>0</v>
      </c>
      <c r="S329" s="1850">
        <f>ROUND(S328-R329,2)</f>
        <v>0</v>
      </c>
      <c r="T329" s="1850">
        <f>ROUND(T328-(N329-Q329),2)</f>
        <v>0</v>
      </c>
      <c r="U329" s="1849"/>
      <c r="W329" s="1848"/>
      <c r="X329" s="1848"/>
      <c r="Y329" s="1848"/>
    </row>
    <row r="330" spans="2:25" hidden="1">
      <c r="B330" s="1815" t="b">
        <f>AND(I330=FALSE,N329=0,Q329=0,L329="")</f>
        <v>1</v>
      </c>
      <c r="C330" s="1844" t="str" cm="1">
        <f t="array" ref="C330">_xlfn.IFS(
    L330="", "",
    MONTH(L330) &lt;= End_of_Year_Month, YEAR(L330),
    TRUE, YEAR(L330) + 1
)</f>
        <v/>
      </c>
      <c r="F330" s="1857">
        <f>IF(L330="",0,L330)</f>
        <v>0</v>
      </c>
      <c r="G330" s="1856">
        <f>-(N330-Q330)</f>
        <v>0</v>
      </c>
      <c r="I330" s="1815" t="b">
        <f>K330&lt;=Number_Payments</f>
        <v>0</v>
      </c>
      <c r="J330" s="1855"/>
      <c r="K330" s="1351">
        <f>K329+1</f>
        <v>204</v>
      </c>
      <c r="L330" s="1854" t="str" cm="1">
        <f t="array" ref="L330">_xlfn.IFS(
    I329=FALSE, "",
    Payment_Frequency="Monthly", EDATE(L329, 1),
    Payment_Frequency="Weekly", DATE(YEAR(L329), MONTH(L329), DAY(L329) + 7),
    Payment_Frequency="Fortnightly", DATE(YEAR(L329), MONTH(L329), DAY(L329) + 14),
    Payment_Frequency="Quarterly", DATE(YEAR(L329), MONTH(L329) + 3, DAY(L329)),
    Payment_Frequency="Yearly", DATE(YEAR(L329) + 1, MONTH(L329), DAY(L329)),
    TRUE, ""
)</f>
        <v/>
      </c>
      <c r="M330" s="1853">
        <f>IF(ISERROR(L330-L329),0,L330-L329)</f>
        <v>0</v>
      </c>
      <c r="N330" s="1851" cm="1">
        <f t="array" ref="N330">_xlfn.IFS(
    AND(I330=TRUE, K330&lt;=No_Regular_Payments), Repay_Amt,
    AND(I330=TRUE, K330=No_Regular_Payments+1), Tm_Balloon_Amt,
   TRUE, 0
)</f>
        <v>0</v>
      </c>
      <c r="O330" s="1850" cm="1">
        <f t="array" ref="O330">_xlfn.IFS(
    M330=0,0,
   ABS(N330 - S329 - P330-Q330) &lt; 1, N330 - S329-Q330,
    TRUE, P330
)</f>
        <v>0</v>
      </c>
      <c r="P330" s="1852">
        <f>IF(M330=0,0,ROUND(S329*EXP(Int_Rate/365.25 * M330)-S329,2))</f>
        <v>0</v>
      </c>
      <c r="Q330" s="1851" cm="1">
        <f t="array" ref="Q330">_xlfn.IFS(
    AND(I330=TRUE, K330&lt;=No_Regular_Payments), Periodic_Admin_Charge,
   TRUE, 0
)</f>
        <v>0</v>
      </c>
      <c r="R330" s="1850">
        <f>N330-O330-Q330</f>
        <v>0</v>
      </c>
      <c r="S330" s="1850">
        <f>ROUND(S329-R330,2)</f>
        <v>0</v>
      </c>
      <c r="T330" s="1850">
        <f>ROUND(T329-(N330-Q330),2)</f>
        <v>0</v>
      </c>
      <c r="U330" s="1849"/>
      <c r="W330" s="1848"/>
      <c r="X330" s="1848"/>
      <c r="Y330" s="1848"/>
    </row>
    <row r="331" spans="2:25" hidden="1">
      <c r="B331" s="1815" t="b">
        <f>AND(I331=FALSE,N330=0,Q330=0,L330="")</f>
        <v>1</v>
      </c>
      <c r="C331" s="1844" t="str" cm="1">
        <f t="array" ref="C331">_xlfn.IFS(
    L331="", "",
    MONTH(L331) &lt;= End_of_Year_Month, YEAR(L331),
    TRUE, YEAR(L331) + 1
)</f>
        <v/>
      </c>
      <c r="F331" s="1857">
        <f>IF(L331="",0,L331)</f>
        <v>0</v>
      </c>
      <c r="G331" s="1856">
        <f>-(N331-Q331)</f>
        <v>0</v>
      </c>
      <c r="I331" s="1815" t="b">
        <f>K331&lt;=Number_Payments</f>
        <v>0</v>
      </c>
      <c r="J331" s="1855"/>
      <c r="K331" s="1351">
        <f>K330+1</f>
        <v>205</v>
      </c>
      <c r="L331" s="1854" t="str" cm="1">
        <f t="array" ref="L331">_xlfn.IFS(
    I330=FALSE, "",
    Payment_Frequency="Monthly", EDATE(L330, 1),
    Payment_Frequency="Weekly", DATE(YEAR(L330), MONTH(L330), DAY(L330) + 7),
    Payment_Frequency="Fortnightly", DATE(YEAR(L330), MONTH(L330), DAY(L330) + 14),
    Payment_Frequency="Quarterly", DATE(YEAR(L330), MONTH(L330) + 3, DAY(L330)),
    Payment_Frequency="Yearly", DATE(YEAR(L330) + 1, MONTH(L330), DAY(L330)),
    TRUE, ""
)</f>
        <v/>
      </c>
      <c r="M331" s="1853">
        <f>IF(ISERROR(L331-L330),0,L331-L330)</f>
        <v>0</v>
      </c>
      <c r="N331" s="1851" cm="1">
        <f t="array" ref="N331">_xlfn.IFS(
    AND(I331=TRUE, K331&lt;=No_Regular_Payments), Repay_Amt,
    AND(I331=TRUE, K331=No_Regular_Payments+1), Tm_Balloon_Amt,
   TRUE, 0
)</f>
        <v>0</v>
      </c>
      <c r="O331" s="1850" cm="1">
        <f t="array" ref="O331">_xlfn.IFS(
    M331=0,0,
   ABS(N331 - S330 - P331-Q331) &lt; 1, N331 - S330-Q331,
    TRUE, P331
)</f>
        <v>0</v>
      </c>
      <c r="P331" s="1852">
        <f>IF(M331=0,0,ROUND(S330*EXP(Int_Rate/365.25 * M331)-S330,2))</f>
        <v>0</v>
      </c>
      <c r="Q331" s="1851" cm="1">
        <f t="array" ref="Q331">_xlfn.IFS(
    AND(I331=TRUE, K331&lt;=No_Regular_Payments), Periodic_Admin_Charge,
   TRUE, 0
)</f>
        <v>0</v>
      </c>
      <c r="R331" s="1850">
        <f>N331-O331-Q331</f>
        <v>0</v>
      </c>
      <c r="S331" s="1850">
        <f>ROUND(S330-R331,2)</f>
        <v>0</v>
      </c>
      <c r="T331" s="1850">
        <f>ROUND(T330-(N331-Q331),2)</f>
        <v>0</v>
      </c>
      <c r="U331" s="1849"/>
      <c r="W331" s="1848"/>
      <c r="X331" s="1848"/>
      <c r="Y331" s="1848"/>
    </row>
    <row r="332" spans="2:25" hidden="1">
      <c r="B332" s="1815" t="b">
        <f>AND(I332=FALSE,N331=0,Q331=0,L331="")</f>
        <v>1</v>
      </c>
      <c r="C332" s="1844" t="str" cm="1">
        <f t="array" ref="C332">_xlfn.IFS(
    L332="", "",
    MONTH(L332) &lt;= End_of_Year_Month, YEAR(L332),
    TRUE, YEAR(L332) + 1
)</f>
        <v/>
      </c>
      <c r="F332" s="1857">
        <f>IF(L332="",0,L332)</f>
        <v>0</v>
      </c>
      <c r="G332" s="1856">
        <f>-(N332-Q332)</f>
        <v>0</v>
      </c>
      <c r="I332" s="1815" t="b">
        <f>K332&lt;=Number_Payments</f>
        <v>0</v>
      </c>
      <c r="J332" s="1855"/>
      <c r="K332" s="1351">
        <f>K331+1</f>
        <v>206</v>
      </c>
      <c r="L332" s="1854" t="str" cm="1">
        <f t="array" ref="L332">_xlfn.IFS(
    I331=FALSE, "",
    Payment_Frequency="Monthly", EDATE(L331, 1),
    Payment_Frequency="Weekly", DATE(YEAR(L331), MONTH(L331), DAY(L331) + 7),
    Payment_Frequency="Fortnightly", DATE(YEAR(L331), MONTH(L331), DAY(L331) + 14),
    Payment_Frequency="Quarterly", DATE(YEAR(L331), MONTH(L331) + 3, DAY(L331)),
    Payment_Frequency="Yearly", DATE(YEAR(L331) + 1, MONTH(L331), DAY(L331)),
    TRUE, ""
)</f>
        <v/>
      </c>
      <c r="M332" s="1853">
        <f>IF(ISERROR(L332-L331),0,L332-L331)</f>
        <v>0</v>
      </c>
      <c r="N332" s="1851" cm="1">
        <f t="array" ref="N332">_xlfn.IFS(
    AND(I332=TRUE, K332&lt;=No_Regular_Payments), Repay_Amt,
    AND(I332=TRUE, K332=No_Regular_Payments+1), Tm_Balloon_Amt,
   TRUE, 0
)</f>
        <v>0</v>
      </c>
      <c r="O332" s="1850" cm="1">
        <f t="array" ref="O332">_xlfn.IFS(
    M332=0,0,
   ABS(N332 - S331 - P332-Q332) &lt; 1, N332 - S331-Q332,
    TRUE, P332
)</f>
        <v>0</v>
      </c>
      <c r="P332" s="1852">
        <f>IF(M332=0,0,ROUND(S331*EXP(Int_Rate/365.25 * M332)-S331,2))</f>
        <v>0</v>
      </c>
      <c r="Q332" s="1851" cm="1">
        <f t="array" ref="Q332">_xlfn.IFS(
    AND(I332=TRUE, K332&lt;=No_Regular_Payments), Periodic_Admin_Charge,
   TRUE, 0
)</f>
        <v>0</v>
      </c>
      <c r="R332" s="1850">
        <f>N332-O332-Q332</f>
        <v>0</v>
      </c>
      <c r="S332" s="1850">
        <f>ROUND(S331-R332,2)</f>
        <v>0</v>
      </c>
      <c r="T332" s="1850">
        <f>ROUND(T331-(N332-Q332),2)</f>
        <v>0</v>
      </c>
      <c r="U332" s="1849"/>
      <c r="W332" s="1848"/>
      <c r="X332" s="1848"/>
      <c r="Y332" s="1848"/>
    </row>
    <row r="333" spans="2:25" hidden="1">
      <c r="B333" s="1815" t="b">
        <f>AND(I333=FALSE,N332=0,Q332=0,L332="")</f>
        <v>1</v>
      </c>
      <c r="C333" s="1844" t="str" cm="1">
        <f t="array" ref="C333">_xlfn.IFS(
    L333="", "",
    MONTH(L333) &lt;= End_of_Year_Month, YEAR(L333),
    TRUE, YEAR(L333) + 1
)</f>
        <v/>
      </c>
      <c r="F333" s="1857">
        <f>IF(L333="",0,L333)</f>
        <v>0</v>
      </c>
      <c r="G333" s="1856">
        <f>-(N333-Q333)</f>
        <v>0</v>
      </c>
      <c r="I333" s="1815" t="b">
        <f>K333&lt;=Number_Payments</f>
        <v>0</v>
      </c>
      <c r="J333" s="1855"/>
      <c r="K333" s="1351">
        <f>K332+1</f>
        <v>207</v>
      </c>
      <c r="L333" s="1854" t="str" cm="1">
        <f t="array" ref="L333">_xlfn.IFS(
    I332=FALSE, "",
    Payment_Frequency="Monthly", EDATE(L332, 1),
    Payment_Frequency="Weekly", DATE(YEAR(L332), MONTH(L332), DAY(L332) + 7),
    Payment_Frequency="Fortnightly", DATE(YEAR(L332), MONTH(L332), DAY(L332) + 14),
    Payment_Frequency="Quarterly", DATE(YEAR(L332), MONTH(L332) + 3, DAY(L332)),
    Payment_Frequency="Yearly", DATE(YEAR(L332) + 1, MONTH(L332), DAY(L332)),
    TRUE, ""
)</f>
        <v/>
      </c>
      <c r="M333" s="1853">
        <f>IF(ISERROR(L333-L332),0,L333-L332)</f>
        <v>0</v>
      </c>
      <c r="N333" s="1851" cm="1">
        <f t="array" ref="N333">_xlfn.IFS(
    AND(I333=TRUE, K333&lt;=No_Regular_Payments), Repay_Amt,
    AND(I333=TRUE, K333=No_Regular_Payments+1), Tm_Balloon_Amt,
   TRUE, 0
)</f>
        <v>0</v>
      </c>
      <c r="O333" s="1850" cm="1">
        <f t="array" ref="O333">_xlfn.IFS(
    M333=0,0,
   ABS(N333 - S332 - P333-Q333) &lt; 1, N333 - S332-Q333,
    TRUE, P333
)</f>
        <v>0</v>
      </c>
      <c r="P333" s="1852">
        <f>IF(M333=0,0,ROUND(S332*EXP(Int_Rate/365.25 * M333)-S332,2))</f>
        <v>0</v>
      </c>
      <c r="Q333" s="1851" cm="1">
        <f t="array" ref="Q333">_xlfn.IFS(
    AND(I333=TRUE, K333&lt;=No_Regular_Payments), Periodic_Admin_Charge,
   TRUE, 0
)</f>
        <v>0</v>
      </c>
      <c r="R333" s="1850">
        <f>N333-O333-Q333</f>
        <v>0</v>
      </c>
      <c r="S333" s="1850">
        <f>ROUND(S332-R333,2)</f>
        <v>0</v>
      </c>
      <c r="T333" s="1850">
        <f>ROUND(T332-(N333-Q333),2)</f>
        <v>0</v>
      </c>
      <c r="U333" s="1849"/>
      <c r="W333" s="1848"/>
      <c r="X333" s="1848"/>
      <c r="Y333" s="1848"/>
    </row>
    <row r="334" spans="2:25" hidden="1">
      <c r="B334" s="1815" t="b">
        <f>AND(I334=FALSE,N333=0,Q333=0,L333="")</f>
        <v>1</v>
      </c>
      <c r="C334" s="1844" t="str" cm="1">
        <f t="array" ref="C334">_xlfn.IFS(
    L334="", "",
    MONTH(L334) &lt;= End_of_Year_Month, YEAR(L334),
    TRUE, YEAR(L334) + 1
)</f>
        <v/>
      </c>
      <c r="F334" s="1857">
        <f>IF(L334="",0,L334)</f>
        <v>0</v>
      </c>
      <c r="G334" s="1856">
        <f>-(N334-Q334)</f>
        <v>0</v>
      </c>
      <c r="I334" s="1815" t="b">
        <f>K334&lt;=Number_Payments</f>
        <v>0</v>
      </c>
      <c r="J334" s="1855"/>
      <c r="K334" s="1351">
        <f>K333+1</f>
        <v>208</v>
      </c>
      <c r="L334" s="1854" t="str" cm="1">
        <f t="array" ref="L334">_xlfn.IFS(
    I333=FALSE, "",
    Payment_Frequency="Monthly", EDATE(L333, 1),
    Payment_Frequency="Weekly", DATE(YEAR(L333), MONTH(L333), DAY(L333) + 7),
    Payment_Frequency="Fortnightly", DATE(YEAR(L333), MONTH(L333), DAY(L333) + 14),
    Payment_Frequency="Quarterly", DATE(YEAR(L333), MONTH(L333) + 3, DAY(L333)),
    Payment_Frequency="Yearly", DATE(YEAR(L333) + 1, MONTH(L333), DAY(L333)),
    TRUE, ""
)</f>
        <v/>
      </c>
      <c r="M334" s="1853">
        <f>IF(ISERROR(L334-L333),0,L334-L333)</f>
        <v>0</v>
      </c>
      <c r="N334" s="1851" cm="1">
        <f t="array" ref="N334">_xlfn.IFS(
    AND(I334=TRUE, K334&lt;=No_Regular_Payments), Repay_Amt,
    AND(I334=TRUE, K334=No_Regular_Payments+1), Tm_Balloon_Amt,
   TRUE, 0
)</f>
        <v>0</v>
      </c>
      <c r="O334" s="1850" cm="1">
        <f t="array" ref="O334">_xlfn.IFS(
    M334=0,0,
   ABS(N334 - S333 - P334-Q334) &lt; 1, N334 - S333-Q334,
    TRUE, P334
)</f>
        <v>0</v>
      </c>
      <c r="P334" s="1852">
        <f>IF(M334=0,0,ROUND(S333*EXP(Int_Rate/365.25 * M334)-S333,2))</f>
        <v>0</v>
      </c>
      <c r="Q334" s="1851" cm="1">
        <f t="array" ref="Q334">_xlfn.IFS(
    AND(I334=TRUE, K334&lt;=No_Regular_Payments), Periodic_Admin_Charge,
   TRUE, 0
)</f>
        <v>0</v>
      </c>
      <c r="R334" s="1850">
        <f>N334-O334-Q334</f>
        <v>0</v>
      </c>
      <c r="S334" s="1850">
        <f>ROUND(S333-R334,2)</f>
        <v>0</v>
      </c>
      <c r="T334" s="1850">
        <f>ROUND(T333-(N334-Q334),2)</f>
        <v>0</v>
      </c>
      <c r="U334" s="1849"/>
      <c r="W334" s="1848"/>
      <c r="X334" s="1848"/>
      <c r="Y334" s="1848"/>
    </row>
    <row r="335" spans="2:25" hidden="1">
      <c r="B335" s="1815" t="b">
        <f>AND(I335=FALSE,N334=0,Q334=0,L334="")</f>
        <v>1</v>
      </c>
      <c r="C335" s="1844" t="str" cm="1">
        <f t="array" ref="C335">_xlfn.IFS(
    L335="", "",
    MONTH(L335) &lt;= End_of_Year_Month, YEAR(L335),
    TRUE, YEAR(L335) + 1
)</f>
        <v/>
      </c>
      <c r="F335" s="1857">
        <f>IF(L335="",0,L335)</f>
        <v>0</v>
      </c>
      <c r="G335" s="1856">
        <f>-(N335-Q335)</f>
        <v>0</v>
      </c>
      <c r="I335" s="1815" t="b">
        <f>K335&lt;=Number_Payments</f>
        <v>0</v>
      </c>
      <c r="J335" s="1855"/>
      <c r="K335" s="1351">
        <f>K334+1</f>
        <v>209</v>
      </c>
      <c r="L335" s="1854" t="str" cm="1">
        <f t="array" ref="L335">_xlfn.IFS(
    I334=FALSE, "",
    Payment_Frequency="Monthly", EDATE(L334, 1),
    Payment_Frequency="Weekly", DATE(YEAR(L334), MONTH(L334), DAY(L334) + 7),
    Payment_Frequency="Fortnightly", DATE(YEAR(L334), MONTH(L334), DAY(L334) + 14),
    Payment_Frequency="Quarterly", DATE(YEAR(L334), MONTH(L334) + 3, DAY(L334)),
    Payment_Frequency="Yearly", DATE(YEAR(L334) + 1, MONTH(L334), DAY(L334)),
    TRUE, ""
)</f>
        <v/>
      </c>
      <c r="M335" s="1853">
        <f>IF(ISERROR(L335-L334),0,L335-L334)</f>
        <v>0</v>
      </c>
      <c r="N335" s="1851" cm="1">
        <f t="array" ref="N335">_xlfn.IFS(
    AND(I335=TRUE, K335&lt;=No_Regular_Payments), Repay_Amt,
    AND(I335=TRUE, K335=No_Regular_Payments+1), Tm_Balloon_Amt,
   TRUE, 0
)</f>
        <v>0</v>
      </c>
      <c r="O335" s="1850" cm="1">
        <f t="array" ref="O335">_xlfn.IFS(
    M335=0,0,
   ABS(N335 - S334 - P335-Q335) &lt; 1, N335 - S334-Q335,
    TRUE, P335
)</f>
        <v>0</v>
      </c>
      <c r="P335" s="1852">
        <f>IF(M335=0,0,ROUND(S334*EXP(Int_Rate/365.25 * M335)-S334,2))</f>
        <v>0</v>
      </c>
      <c r="Q335" s="1851" cm="1">
        <f t="array" ref="Q335">_xlfn.IFS(
    AND(I335=TRUE, K335&lt;=No_Regular_Payments), Periodic_Admin_Charge,
   TRUE, 0
)</f>
        <v>0</v>
      </c>
      <c r="R335" s="1850">
        <f>N335-O335-Q335</f>
        <v>0</v>
      </c>
      <c r="S335" s="1850">
        <f>ROUND(S334-R335,2)</f>
        <v>0</v>
      </c>
      <c r="T335" s="1850">
        <f>ROUND(T334-(N335-Q335),2)</f>
        <v>0</v>
      </c>
      <c r="U335" s="1849"/>
      <c r="W335" s="1848"/>
      <c r="X335" s="1848"/>
      <c r="Y335" s="1848"/>
    </row>
    <row r="336" spans="2:25" hidden="1">
      <c r="B336" s="1815" t="b">
        <f>AND(I336=FALSE,N335=0,Q335=0,L335="")</f>
        <v>1</v>
      </c>
      <c r="C336" s="1844" t="str" cm="1">
        <f t="array" ref="C336">_xlfn.IFS(
    L336="", "",
    MONTH(L336) &lt;= End_of_Year_Month, YEAR(L336),
    TRUE, YEAR(L336) + 1
)</f>
        <v/>
      </c>
      <c r="F336" s="1857">
        <f>IF(L336="",0,L336)</f>
        <v>0</v>
      </c>
      <c r="G336" s="1856">
        <f>-(N336-Q336)</f>
        <v>0</v>
      </c>
      <c r="I336" s="1815" t="b">
        <f>K336&lt;=Number_Payments</f>
        <v>0</v>
      </c>
      <c r="J336" s="1855"/>
      <c r="K336" s="1351">
        <f>K335+1</f>
        <v>210</v>
      </c>
      <c r="L336" s="1854" t="str" cm="1">
        <f t="array" ref="L336">_xlfn.IFS(
    I335=FALSE, "",
    Payment_Frequency="Monthly", EDATE(L335, 1),
    Payment_Frequency="Weekly", DATE(YEAR(L335), MONTH(L335), DAY(L335) + 7),
    Payment_Frequency="Fortnightly", DATE(YEAR(L335), MONTH(L335), DAY(L335) + 14),
    Payment_Frequency="Quarterly", DATE(YEAR(L335), MONTH(L335) + 3, DAY(L335)),
    Payment_Frequency="Yearly", DATE(YEAR(L335) + 1, MONTH(L335), DAY(L335)),
    TRUE, ""
)</f>
        <v/>
      </c>
      <c r="M336" s="1853">
        <f>IF(ISERROR(L336-L335),0,L336-L335)</f>
        <v>0</v>
      </c>
      <c r="N336" s="1851" cm="1">
        <f t="array" ref="N336">_xlfn.IFS(
    AND(I336=TRUE, K336&lt;=No_Regular_Payments), Repay_Amt,
    AND(I336=TRUE, K336=No_Regular_Payments+1), Tm_Balloon_Amt,
   TRUE, 0
)</f>
        <v>0</v>
      </c>
      <c r="O336" s="1850" cm="1">
        <f t="array" ref="O336">_xlfn.IFS(
    M336=0,0,
   ABS(N336 - S335 - P336-Q336) &lt; 1, N336 - S335-Q336,
    TRUE, P336
)</f>
        <v>0</v>
      </c>
      <c r="P336" s="1852">
        <f>IF(M336=0,0,ROUND(S335*EXP(Int_Rate/365.25 * M336)-S335,2))</f>
        <v>0</v>
      </c>
      <c r="Q336" s="1851" cm="1">
        <f t="array" ref="Q336">_xlfn.IFS(
    AND(I336=TRUE, K336&lt;=No_Regular_Payments), Periodic_Admin_Charge,
   TRUE, 0
)</f>
        <v>0</v>
      </c>
      <c r="R336" s="1850">
        <f>N336-O336-Q336</f>
        <v>0</v>
      </c>
      <c r="S336" s="1850">
        <f>ROUND(S335-R336,2)</f>
        <v>0</v>
      </c>
      <c r="T336" s="1850">
        <f>ROUND(T335-(N336-Q336),2)</f>
        <v>0</v>
      </c>
      <c r="U336" s="1849"/>
      <c r="W336" s="1848"/>
      <c r="X336" s="1848"/>
      <c r="Y336" s="1848"/>
    </row>
    <row r="337" spans="2:25" hidden="1">
      <c r="B337" s="1815" t="b">
        <f>AND(I337=FALSE,N336=0,Q336=0,L336="")</f>
        <v>1</v>
      </c>
      <c r="C337" s="1844" t="str" cm="1">
        <f t="array" ref="C337">_xlfn.IFS(
    L337="", "",
    MONTH(L337) &lt;= End_of_Year_Month, YEAR(L337),
    TRUE, YEAR(L337) + 1
)</f>
        <v/>
      </c>
      <c r="F337" s="1857">
        <f>IF(L337="",0,L337)</f>
        <v>0</v>
      </c>
      <c r="G337" s="1856">
        <f>-(N337-Q337)</f>
        <v>0</v>
      </c>
      <c r="I337" s="1815" t="b">
        <f>K337&lt;=Number_Payments</f>
        <v>0</v>
      </c>
      <c r="J337" s="1855"/>
      <c r="K337" s="1351">
        <f>K336+1</f>
        <v>211</v>
      </c>
      <c r="L337" s="1854" t="str" cm="1">
        <f t="array" ref="L337">_xlfn.IFS(
    I336=FALSE, "",
    Payment_Frequency="Monthly", EDATE(L336, 1),
    Payment_Frequency="Weekly", DATE(YEAR(L336), MONTH(L336), DAY(L336) + 7),
    Payment_Frequency="Fortnightly", DATE(YEAR(L336), MONTH(L336), DAY(L336) + 14),
    Payment_Frequency="Quarterly", DATE(YEAR(L336), MONTH(L336) + 3, DAY(L336)),
    Payment_Frequency="Yearly", DATE(YEAR(L336) + 1, MONTH(L336), DAY(L336)),
    TRUE, ""
)</f>
        <v/>
      </c>
      <c r="M337" s="1853">
        <f>IF(ISERROR(L337-L336),0,L337-L336)</f>
        <v>0</v>
      </c>
      <c r="N337" s="1851" cm="1">
        <f t="array" ref="N337">_xlfn.IFS(
    AND(I337=TRUE, K337&lt;=No_Regular_Payments), Repay_Amt,
    AND(I337=TRUE, K337=No_Regular_Payments+1), Tm_Balloon_Amt,
   TRUE, 0
)</f>
        <v>0</v>
      </c>
      <c r="O337" s="1850" cm="1">
        <f t="array" ref="O337">_xlfn.IFS(
    M337=0,0,
   ABS(N337 - S336 - P337-Q337) &lt; 1, N337 - S336-Q337,
    TRUE, P337
)</f>
        <v>0</v>
      </c>
      <c r="P337" s="1852">
        <f>IF(M337=0,0,ROUND(S336*EXP(Int_Rate/365.25 * M337)-S336,2))</f>
        <v>0</v>
      </c>
      <c r="Q337" s="1851" cm="1">
        <f t="array" ref="Q337">_xlfn.IFS(
    AND(I337=TRUE, K337&lt;=No_Regular_Payments), Periodic_Admin_Charge,
   TRUE, 0
)</f>
        <v>0</v>
      </c>
      <c r="R337" s="1850">
        <f>N337-O337-Q337</f>
        <v>0</v>
      </c>
      <c r="S337" s="1850">
        <f>ROUND(S336-R337,2)</f>
        <v>0</v>
      </c>
      <c r="T337" s="1850">
        <f>ROUND(T336-(N337-Q337),2)</f>
        <v>0</v>
      </c>
      <c r="U337" s="1849"/>
      <c r="W337" s="1848"/>
      <c r="X337" s="1848"/>
      <c r="Y337" s="1848"/>
    </row>
    <row r="338" spans="2:25" hidden="1">
      <c r="B338" s="1815" t="b">
        <f>AND(I338=FALSE,N337=0,Q337=0,L337="")</f>
        <v>1</v>
      </c>
      <c r="C338" s="1844" t="str" cm="1">
        <f t="array" ref="C338">_xlfn.IFS(
    L338="", "",
    MONTH(L338) &lt;= End_of_Year_Month, YEAR(L338),
    TRUE, YEAR(L338) + 1
)</f>
        <v/>
      </c>
      <c r="F338" s="1857">
        <f>IF(L338="",0,L338)</f>
        <v>0</v>
      </c>
      <c r="G338" s="1856">
        <f>-(N338-Q338)</f>
        <v>0</v>
      </c>
      <c r="I338" s="1815" t="b">
        <f>K338&lt;=Number_Payments</f>
        <v>0</v>
      </c>
      <c r="J338" s="1855"/>
      <c r="K338" s="1351">
        <f>K337+1</f>
        <v>212</v>
      </c>
      <c r="L338" s="1854" t="str" cm="1">
        <f t="array" ref="L338">_xlfn.IFS(
    I337=FALSE, "",
    Payment_Frequency="Monthly", EDATE(L337, 1),
    Payment_Frequency="Weekly", DATE(YEAR(L337), MONTH(L337), DAY(L337) + 7),
    Payment_Frequency="Fortnightly", DATE(YEAR(L337), MONTH(L337), DAY(L337) + 14),
    Payment_Frequency="Quarterly", DATE(YEAR(L337), MONTH(L337) + 3, DAY(L337)),
    Payment_Frequency="Yearly", DATE(YEAR(L337) + 1, MONTH(L337), DAY(L337)),
    TRUE, ""
)</f>
        <v/>
      </c>
      <c r="M338" s="1853">
        <f>IF(ISERROR(L338-L337),0,L338-L337)</f>
        <v>0</v>
      </c>
      <c r="N338" s="1851" cm="1">
        <f t="array" ref="N338">_xlfn.IFS(
    AND(I338=TRUE, K338&lt;=No_Regular_Payments), Repay_Amt,
    AND(I338=TRUE, K338=No_Regular_Payments+1), Tm_Balloon_Amt,
   TRUE, 0
)</f>
        <v>0</v>
      </c>
      <c r="O338" s="1850" cm="1">
        <f t="array" ref="O338">_xlfn.IFS(
    M338=0,0,
   ABS(N338 - S337 - P338-Q338) &lt; 1, N338 - S337-Q338,
    TRUE, P338
)</f>
        <v>0</v>
      </c>
      <c r="P338" s="1852">
        <f>IF(M338=0,0,ROUND(S337*EXP(Int_Rate/365.25 * M338)-S337,2))</f>
        <v>0</v>
      </c>
      <c r="Q338" s="1851" cm="1">
        <f t="array" ref="Q338">_xlfn.IFS(
    AND(I338=TRUE, K338&lt;=No_Regular_Payments), Periodic_Admin_Charge,
   TRUE, 0
)</f>
        <v>0</v>
      </c>
      <c r="R338" s="1850">
        <f>N338-O338-Q338</f>
        <v>0</v>
      </c>
      <c r="S338" s="1850">
        <f>ROUND(S337-R338,2)</f>
        <v>0</v>
      </c>
      <c r="T338" s="1850">
        <f>ROUND(T337-(N338-Q338),2)</f>
        <v>0</v>
      </c>
      <c r="U338" s="1849"/>
      <c r="W338" s="1848"/>
      <c r="X338" s="1848"/>
      <c r="Y338" s="1848"/>
    </row>
    <row r="339" spans="2:25" hidden="1">
      <c r="B339" s="1815" t="b">
        <f>AND(I339=FALSE,N338=0,Q338=0,L338="")</f>
        <v>1</v>
      </c>
      <c r="C339" s="1844" t="str" cm="1">
        <f t="array" ref="C339">_xlfn.IFS(
    L339="", "",
    MONTH(L339) &lt;= End_of_Year_Month, YEAR(L339),
    TRUE, YEAR(L339) + 1
)</f>
        <v/>
      </c>
      <c r="F339" s="1857">
        <f>IF(L339="",0,L339)</f>
        <v>0</v>
      </c>
      <c r="G339" s="1856">
        <f>-(N339-Q339)</f>
        <v>0</v>
      </c>
      <c r="I339" s="1815" t="b">
        <f>K339&lt;=Number_Payments</f>
        <v>0</v>
      </c>
      <c r="J339" s="1855"/>
      <c r="K339" s="1351">
        <f>K338+1</f>
        <v>213</v>
      </c>
      <c r="L339" s="1854" t="str" cm="1">
        <f t="array" ref="L339">_xlfn.IFS(
    I338=FALSE, "",
    Payment_Frequency="Monthly", EDATE(L338, 1),
    Payment_Frequency="Weekly", DATE(YEAR(L338), MONTH(L338), DAY(L338) + 7),
    Payment_Frequency="Fortnightly", DATE(YEAR(L338), MONTH(L338), DAY(L338) + 14),
    Payment_Frequency="Quarterly", DATE(YEAR(L338), MONTH(L338) + 3, DAY(L338)),
    Payment_Frequency="Yearly", DATE(YEAR(L338) + 1, MONTH(L338), DAY(L338)),
    TRUE, ""
)</f>
        <v/>
      </c>
      <c r="M339" s="1853">
        <f>IF(ISERROR(L339-L338),0,L339-L338)</f>
        <v>0</v>
      </c>
      <c r="N339" s="1851" cm="1">
        <f t="array" ref="N339">_xlfn.IFS(
    AND(I339=TRUE, K339&lt;=No_Regular_Payments), Repay_Amt,
    AND(I339=TRUE, K339=No_Regular_Payments+1), Tm_Balloon_Amt,
   TRUE, 0
)</f>
        <v>0</v>
      </c>
      <c r="O339" s="1850" cm="1">
        <f t="array" ref="O339">_xlfn.IFS(
    M339=0,0,
   ABS(N339 - S338 - P339-Q339) &lt; 1, N339 - S338-Q339,
    TRUE, P339
)</f>
        <v>0</v>
      </c>
      <c r="P339" s="1852">
        <f>IF(M339=0,0,ROUND(S338*EXP(Int_Rate/365.25 * M339)-S338,2))</f>
        <v>0</v>
      </c>
      <c r="Q339" s="1851" cm="1">
        <f t="array" ref="Q339">_xlfn.IFS(
    AND(I339=TRUE, K339&lt;=No_Regular_Payments), Periodic_Admin_Charge,
   TRUE, 0
)</f>
        <v>0</v>
      </c>
      <c r="R339" s="1850">
        <f>N339-O339-Q339</f>
        <v>0</v>
      </c>
      <c r="S339" s="1850">
        <f>ROUND(S338-R339,2)</f>
        <v>0</v>
      </c>
      <c r="T339" s="1850">
        <f>ROUND(T338-(N339-Q339),2)</f>
        <v>0</v>
      </c>
      <c r="U339" s="1849"/>
      <c r="W339" s="1848"/>
      <c r="X339" s="1848"/>
      <c r="Y339" s="1848"/>
    </row>
    <row r="340" spans="2:25" hidden="1">
      <c r="B340" s="1815" t="b">
        <f>AND(I340=FALSE,N339=0,Q339=0,L339="")</f>
        <v>1</v>
      </c>
      <c r="C340" s="1844" t="str" cm="1">
        <f t="array" ref="C340">_xlfn.IFS(
    L340="", "",
    MONTH(L340) &lt;= End_of_Year_Month, YEAR(L340),
    TRUE, YEAR(L340) + 1
)</f>
        <v/>
      </c>
      <c r="F340" s="1857">
        <f>IF(L340="",0,L340)</f>
        <v>0</v>
      </c>
      <c r="G340" s="1856">
        <f>-(N340-Q340)</f>
        <v>0</v>
      </c>
      <c r="I340" s="1815" t="b">
        <f>K340&lt;=Number_Payments</f>
        <v>0</v>
      </c>
      <c r="J340" s="1855"/>
      <c r="K340" s="1351">
        <f>K339+1</f>
        <v>214</v>
      </c>
      <c r="L340" s="1854" t="str" cm="1">
        <f t="array" ref="L340">_xlfn.IFS(
    I339=FALSE, "",
    Payment_Frequency="Monthly", EDATE(L339, 1),
    Payment_Frequency="Weekly", DATE(YEAR(L339), MONTH(L339), DAY(L339) + 7),
    Payment_Frequency="Fortnightly", DATE(YEAR(L339), MONTH(L339), DAY(L339) + 14),
    Payment_Frequency="Quarterly", DATE(YEAR(L339), MONTH(L339) + 3, DAY(L339)),
    Payment_Frequency="Yearly", DATE(YEAR(L339) + 1, MONTH(L339), DAY(L339)),
    TRUE, ""
)</f>
        <v/>
      </c>
      <c r="M340" s="1853">
        <f>IF(ISERROR(L340-L339),0,L340-L339)</f>
        <v>0</v>
      </c>
      <c r="N340" s="1851" cm="1">
        <f t="array" ref="N340">_xlfn.IFS(
    AND(I340=TRUE, K340&lt;=No_Regular_Payments), Repay_Amt,
    AND(I340=TRUE, K340=No_Regular_Payments+1), Tm_Balloon_Amt,
   TRUE, 0
)</f>
        <v>0</v>
      </c>
      <c r="O340" s="1850" cm="1">
        <f t="array" ref="O340">_xlfn.IFS(
    M340=0,0,
   ABS(N340 - S339 - P340-Q340) &lt; 1, N340 - S339-Q340,
    TRUE, P340
)</f>
        <v>0</v>
      </c>
      <c r="P340" s="1852">
        <f>IF(M340=0,0,ROUND(S339*EXP(Int_Rate/365.25 * M340)-S339,2))</f>
        <v>0</v>
      </c>
      <c r="Q340" s="1851" cm="1">
        <f t="array" ref="Q340">_xlfn.IFS(
    AND(I340=TRUE, K340&lt;=No_Regular_Payments), Periodic_Admin_Charge,
   TRUE, 0
)</f>
        <v>0</v>
      </c>
      <c r="R340" s="1850">
        <f>N340-O340-Q340</f>
        <v>0</v>
      </c>
      <c r="S340" s="1850">
        <f>ROUND(S339-R340,2)</f>
        <v>0</v>
      </c>
      <c r="T340" s="1850">
        <f>ROUND(T339-(N340-Q340),2)</f>
        <v>0</v>
      </c>
      <c r="U340" s="1849"/>
      <c r="W340" s="1848"/>
      <c r="X340" s="1848"/>
      <c r="Y340" s="1848"/>
    </row>
    <row r="341" spans="2:25" hidden="1">
      <c r="B341" s="1815" t="b">
        <f>AND(I341=FALSE,N340=0,Q340=0,L340="")</f>
        <v>1</v>
      </c>
      <c r="C341" s="1844" t="str" cm="1">
        <f t="array" ref="C341">_xlfn.IFS(
    L341="", "",
    MONTH(L341) &lt;= End_of_Year_Month, YEAR(L341),
    TRUE, YEAR(L341) + 1
)</f>
        <v/>
      </c>
      <c r="F341" s="1857">
        <f>IF(L341="",0,L341)</f>
        <v>0</v>
      </c>
      <c r="G341" s="1856">
        <f>-(N341-Q341)</f>
        <v>0</v>
      </c>
      <c r="I341" s="1815" t="b">
        <f>K341&lt;=Number_Payments</f>
        <v>0</v>
      </c>
      <c r="J341" s="1855"/>
      <c r="K341" s="1351">
        <f>K340+1</f>
        <v>215</v>
      </c>
      <c r="L341" s="1854" t="str" cm="1">
        <f t="array" ref="L341">_xlfn.IFS(
    I340=FALSE, "",
    Payment_Frequency="Monthly", EDATE(L340, 1),
    Payment_Frequency="Weekly", DATE(YEAR(L340), MONTH(L340), DAY(L340) + 7),
    Payment_Frequency="Fortnightly", DATE(YEAR(L340), MONTH(L340), DAY(L340) + 14),
    Payment_Frequency="Quarterly", DATE(YEAR(L340), MONTH(L340) + 3, DAY(L340)),
    Payment_Frequency="Yearly", DATE(YEAR(L340) + 1, MONTH(L340), DAY(L340)),
    TRUE, ""
)</f>
        <v/>
      </c>
      <c r="M341" s="1853">
        <f>IF(ISERROR(L341-L340),0,L341-L340)</f>
        <v>0</v>
      </c>
      <c r="N341" s="1851" cm="1">
        <f t="array" ref="N341">_xlfn.IFS(
    AND(I341=TRUE, K341&lt;=No_Regular_Payments), Repay_Amt,
    AND(I341=TRUE, K341=No_Regular_Payments+1), Tm_Balloon_Amt,
   TRUE, 0
)</f>
        <v>0</v>
      </c>
      <c r="O341" s="1850" cm="1">
        <f t="array" ref="O341">_xlfn.IFS(
    M341=0,0,
   ABS(N341 - S340 - P341-Q341) &lt; 1, N341 - S340-Q341,
    TRUE, P341
)</f>
        <v>0</v>
      </c>
      <c r="P341" s="1852">
        <f>IF(M341=0,0,ROUND(S340*EXP(Int_Rate/365.25 * M341)-S340,2))</f>
        <v>0</v>
      </c>
      <c r="Q341" s="1851" cm="1">
        <f t="array" ref="Q341">_xlfn.IFS(
    AND(I341=TRUE, K341&lt;=No_Regular_Payments), Periodic_Admin_Charge,
   TRUE, 0
)</f>
        <v>0</v>
      </c>
      <c r="R341" s="1850">
        <f>N341-O341-Q341</f>
        <v>0</v>
      </c>
      <c r="S341" s="1850">
        <f>ROUND(S340-R341,2)</f>
        <v>0</v>
      </c>
      <c r="T341" s="1850">
        <f>ROUND(T340-(N341-Q341),2)</f>
        <v>0</v>
      </c>
      <c r="U341" s="1849"/>
      <c r="W341" s="1848"/>
      <c r="X341" s="1848"/>
      <c r="Y341" s="1848"/>
    </row>
    <row r="342" spans="2:25" hidden="1">
      <c r="B342" s="1815" t="b">
        <f>AND(I342=FALSE,N341=0,Q341=0,L341="")</f>
        <v>1</v>
      </c>
      <c r="C342" s="1844" t="str" cm="1">
        <f t="array" ref="C342">_xlfn.IFS(
    L342="", "",
    MONTH(L342) &lt;= End_of_Year_Month, YEAR(L342),
    TRUE, YEAR(L342) + 1
)</f>
        <v/>
      </c>
      <c r="F342" s="1857">
        <f>IF(L342="",0,L342)</f>
        <v>0</v>
      </c>
      <c r="G342" s="1856">
        <f>-(N342-Q342)</f>
        <v>0</v>
      </c>
      <c r="I342" s="1815" t="b">
        <f>K342&lt;=Number_Payments</f>
        <v>0</v>
      </c>
      <c r="J342" s="1855"/>
      <c r="K342" s="1351">
        <f>K341+1</f>
        <v>216</v>
      </c>
      <c r="L342" s="1854" t="str" cm="1">
        <f t="array" ref="L342">_xlfn.IFS(
    I341=FALSE, "",
    Payment_Frequency="Monthly", EDATE(L341, 1),
    Payment_Frequency="Weekly", DATE(YEAR(L341), MONTH(L341), DAY(L341) + 7),
    Payment_Frequency="Fortnightly", DATE(YEAR(L341), MONTH(L341), DAY(L341) + 14),
    Payment_Frequency="Quarterly", DATE(YEAR(L341), MONTH(L341) + 3, DAY(L341)),
    Payment_Frequency="Yearly", DATE(YEAR(L341) + 1, MONTH(L341), DAY(L341)),
    TRUE, ""
)</f>
        <v/>
      </c>
      <c r="M342" s="1853">
        <f>IF(ISERROR(L342-L341),0,L342-L341)</f>
        <v>0</v>
      </c>
      <c r="N342" s="1851" cm="1">
        <f t="array" ref="N342">_xlfn.IFS(
    AND(I342=TRUE, K342&lt;=No_Regular_Payments), Repay_Amt,
    AND(I342=TRUE, K342=No_Regular_Payments+1), Tm_Balloon_Amt,
   TRUE, 0
)</f>
        <v>0</v>
      </c>
      <c r="O342" s="1850" cm="1">
        <f t="array" ref="O342">_xlfn.IFS(
    M342=0,0,
   ABS(N342 - S341 - P342-Q342) &lt; 1, N342 - S341-Q342,
    TRUE, P342
)</f>
        <v>0</v>
      </c>
      <c r="P342" s="1852">
        <f>IF(M342=0,0,ROUND(S341*EXP(Int_Rate/365.25 * M342)-S341,2))</f>
        <v>0</v>
      </c>
      <c r="Q342" s="1851" cm="1">
        <f t="array" ref="Q342">_xlfn.IFS(
    AND(I342=TRUE, K342&lt;=No_Regular_Payments), Periodic_Admin_Charge,
   TRUE, 0
)</f>
        <v>0</v>
      </c>
      <c r="R342" s="1850">
        <f>N342-O342-Q342</f>
        <v>0</v>
      </c>
      <c r="S342" s="1850">
        <f>ROUND(S341-R342,2)</f>
        <v>0</v>
      </c>
      <c r="T342" s="1850">
        <f>ROUND(T341-(N342-Q342),2)</f>
        <v>0</v>
      </c>
      <c r="U342" s="1849"/>
      <c r="W342" s="1848"/>
      <c r="X342" s="1848"/>
      <c r="Y342" s="1848"/>
    </row>
    <row r="343" spans="2:25" hidden="1">
      <c r="B343" s="1815" t="b">
        <f>AND(I343=FALSE,N342=0,Q342=0,L342="")</f>
        <v>1</v>
      </c>
      <c r="C343" s="1844" t="str" cm="1">
        <f t="array" ref="C343">_xlfn.IFS(
    L343="", "",
    MONTH(L343) &lt;= End_of_Year_Month, YEAR(L343),
    TRUE, YEAR(L343) + 1
)</f>
        <v/>
      </c>
      <c r="F343" s="1857">
        <f>IF(L343="",0,L343)</f>
        <v>0</v>
      </c>
      <c r="G343" s="1856">
        <f>-(N343-Q343)</f>
        <v>0</v>
      </c>
      <c r="I343" s="1815" t="b">
        <f>K343&lt;=Number_Payments</f>
        <v>0</v>
      </c>
      <c r="J343" s="1855"/>
      <c r="K343" s="1351">
        <f>K342+1</f>
        <v>217</v>
      </c>
      <c r="L343" s="1854" t="str" cm="1">
        <f t="array" ref="L343">_xlfn.IFS(
    I342=FALSE, "",
    Payment_Frequency="Monthly", EDATE(L342, 1),
    Payment_Frequency="Weekly", DATE(YEAR(L342), MONTH(L342), DAY(L342) + 7),
    Payment_Frequency="Fortnightly", DATE(YEAR(L342), MONTH(L342), DAY(L342) + 14),
    Payment_Frequency="Quarterly", DATE(YEAR(L342), MONTH(L342) + 3, DAY(L342)),
    Payment_Frequency="Yearly", DATE(YEAR(L342) + 1, MONTH(L342), DAY(L342)),
    TRUE, ""
)</f>
        <v/>
      </c>
      <c r="M343" s="1853">
        <f>IF(ISERROR(L343-L342),0,L343-L342)</f>
        <v>0</v>
      </c>
      <c r="N343" s="1851" cm="1">
        <f t="array" ref="N343">_xlfn.IFS(
    AND(I343=TRUE, K343&lt;=No_Regular_Payments), Repay_Amt,
    AND(I343=TRUE, K343=No_Regular_Payments+1), Tm_Balloon_Amt,
   TRUE, 0
)</f>
        <v>0</v>
      </c>
      <c r="O343" s="1850" cm="1">
        <f t="array" ref="O343">_xlfn.IFS(
    M343=0,0,
   ABS(N343 - S342 - P343-Q343) &lt; 1, N343 - S342-Q343,
    TRUE, P343
)</f>
        <v>0</v>
      </c>
      <c r="P343" s="1852">
        <f>IF(M343=0,0,ROUND(S342*EXP(Int_Rate/365.25 * M343)-S342,2))</f>
        <v>0</v>
      </c>
      <c r="Q343" s="1851" cm="1">
        <f t="array" ref="Q343">_xlfn.IFS(
    AND(I343=TRUE, K343&lt;=No_Regular_Payments), Periodic_Admin_Charge,
   TRUE, 0
)</f>
        <v>0</v>
      </c>
      <c r="R343" s="1850">
        <f>N343-O343-Q343</f>
        <v>0</v>
      </c>
      <c r="S343" s="1850">
        <f>ROUND(S342-R343,2)</f>
        <v>0</v>
      </c>
      <c r="T343" s="1850">
        <f>ROUND(T342-(N343-Q343),2)</f>
        <v>0</v>
      </c>
      <c r="U343" s="1849"/>
      <c r="W343" s="1848"/>
      <c r="X343" s="1848"/>
      <c r="Y343" s="1848"/>
    </row>
    <row r="344" spans="2:25" hidden="1">
      <c r="B344" s="1815" t="b">
        <f>AND(I344=FALSE,N343=0,Q343=0,L343="")</f>
        <v>1</v>
      </c>
      <c r="C344" s="1844" t="str" cm="1">
        <f t="array" ref="C344">_xlfn.IFS(
    L344="", "",
    MONTH(L344) &lt;= End_of_Year_Month, YEAR(L344),
    TRUE, YEAR(L344) + 1
)</f>
        <v/>
      </c>
      <c r="F344" s="1857">
        <f>IF(L344="",0,L344)</f>
        <v>0</v>
      </c>
      <c r="G344" s="1856">
        <f>-(N344-Q344)</f>
        <v>0</v>
      </c>
      <c r="I344" s="1815" t="b">
        <f>K344&lt;=Number_Payments</f>
        <v>0</v>
      </c>
      <c r="J344" s="1855"/>
      <c r="K344" s="1351">
        <f>K343+1</f>
        <v>218</v>
      </c>
      <c r="L344" s="1854" t="str" cm="1">
        <f t="array" ref="L344">_xlfn.IFS(
    I343=FALSE, "",
    Payment_Frequency="Monthly", EDATE(L343, 1),
    Payment_Frequency="Weekly", DATE(YEAR(L343), MONTH(L343), DAY(L343) + 7),
    Payment_Frequency="Fortnightly", DATE(YEAR(L343), MONTH(L343), DAY(L343) + 14),
    Payment_Frequency="Quarterly", DATE(YEAR(L343), MONTH(L343) + 3, DAY(L343)),
    Payment_Frequency="Yearly", DATE(YEAR(L343) + 1, MONTH(L343), DAY(L343)),
    TRUE, ""
)</f>
        <v/>
      </c>
      <c r="M344" s="1853">
        <f>IF(ISERROR(L344-L343),0,L344-L343)</f>
        <v>0</v>
      </c>
      <c r="N344" s="1851" cm="1">
        <f t="array" ref="N344">_xlfn.IFS(
    AND(I344=TRUE, K344&lt;=No_Regular_Payments), Repay_Amt,
    AND(I344=TRUE, K344=No_Regular_Payments+1), Tm_Balloon_Amt,
   TRUE, 0
)</f>
        <v>0</v>
      </c>
      <c r="O344" s="1850" cm="1">
        <f t="array" ref="O344">_xlfn.IFS(
    M344=0,0,
   ABS(N344 - S343 - P344-Q344) &lt; 1, N344 - S343-Q344,
    TRUE, P344
)</f>
        <v>0</v>
      </c>
      <c r="P344" s="1852">
        <f>IF(M344=0,0,ROUND(S343*EXP(Int_Rate/365.25 * M344)-S343,2))</f>
        <v>0</v>
      </c>
      <c r="Q344" s="1851" cm="1">
        <f t="array" ref="Q344">_xlfn.IFS(
    AND(I344=TRUE, K344&lt;=No_Regular_Payments), Periodic_Admin_Charge,
   TRUE, 0
)</f>
        <v>0</v>
      </c>
      <c r="R344" s="1850">
        <f>N344-O344-Q344</f>
        <v>0</v>
      </c>
      <c r="S344" s="1850">
        <f>ROUND(S343-R344,2)</f>
        <v>0</v>
      </c>
      <c r="T344" s="1850">
        <f>ROUND(T343-(N344-Q344),2)</f>
        <v>0</v>
      </c>
      <c r="U344" s="1849"/>
      <c r="W344" s="1848"/>
      <c r="X344" s="1848"/>
      <c r="Y344" s="1848"/>
    </row>
    <row r="345" spans="2:25" hidden="1">
      <c r="B345" s="1815" t="b">
        <f>AND(I345=FALSE,N344=0,Q344=0,L344="")</f>
        <v>1</v>
      </c>
      <c r="C345" s="1844" t="str" cm="1">
        <f t="array" ref="C345">_xlfn.IFS(
    L345="", "",
    MONTH(L345) &lt;= End_of_Year_Month, YEAR(L345),
    TRUE, YEAR(L345) + 1
)</f>
        <v/>
      </c>
      <c r="F345" s="1857">
        <f>IF(L345="",0,L345)</f>
        <v>0</v>
      </c>
      <c r="G345" s="1856">
        <f>-(N345-Q345)</f>
        <v>0</v>
      </c>
      <c r="I345" s="1815" t="b">
        <f>K345&lt;=Number_Payments</f>
        <v>0</v>
      </c>
      <c r="J345" s="1855"/>
      <c r="K345" s="1351">
        <f>K344+1</f>
        <v>219</v>
      </c>
      <c r="L345" s="1854" t="str" cm="1">
        <f t="array" ref="L345">_xlfn.IFS(
    I344=FALSE, "",
    Payment_Frequency="Monthly", EDATE(L344, 1),
    Payment_Frequency="Weekly", DATE(YEAR(L344), MONTH(L344), DAY(L344) + 7),
    Payment_Frequency="Fortnightly", DATE(YEAR(L344), MONTH(L344), DAY(L344) + 14),
    Payment_Frequency="Quarterly", DATE(YEAR(L344), MONTH(L344) + 3, DAY(L344)),
    Payment_Frequency="Yearly", DATE(YEAR(L344) + 1, MONTH(L344), DAY(L344)),
    TRUE, ""
)</f>
        <v/>
      </c>
      <c r="M345" s="1853">
        <f>IF(ISERROR(L345-L344),0,L345-L344)</f>
        <v>0</v>
      </c>
      <c r="N345" s="1851" cm="1">
        <f t="array" ref="N345">_xlfn.IFS(
    AND(I345=TRUE, K345&lt;=No_Regular_Payments), Repay_Amt,
    AND(I345=TRUE, K345=No_Regular_Payments+1), Tm_Balloon_Amt,
   TRUE, 0
)</f>
        <v>0</v>
      </c>
      <c r="O345" s="1850" cm="1">
        <f t="array" ref="O345">_xlfn.IFS(
    M345=0,0,
   ABS(N345 - S344 - P345-Q345) &lt; 1, N345 - S344-Q345,
    TRUE, P345
)</f>
        <v>0</v>
      </c>
      <c r="P345" s="1852">
        <f>IF(M345=0,0,ROUND(S344*EXP(Int_Rate/365.25 * M345)-S344,2))</f>
        <v>0</v>
      </c>
      <c r="Q345" s="1851" cm="1">
        <f t="array" ref="Q345">_xlfn.IFS(
    AND(I345=TRUE, K345&lt;=No_Regular_Payments), Periodic_Admin_Charge,
   TRUE, 0
)</f>
        <v>0</v>
      </c>
      <c r="R345" s="1850">
        <f>N345-O345-Q345</f>
        <v>0</v>
      </c>
      <c r="S345" s="1850">
        <f>ROUND(S344-R345,2)</f>
        <v>0</v>
      </c>
      <c r="T345" s="1850">
        <f>ROUND(T344-(N345-Q345),2)</f>
        <v>0</v>
      </c>
      <c r="U345" s="1849"/>
      <c r="W345" s="1848"/>
      <c r="X345" s="1848"/>
      <c r="Y345" s="1848"/>
    </row>
    <row r="346" spans="2:25" hidden="1">
      <c r="B346" s="1815" t="b">
        <f>AND(I346=FALSE,N345=0,Q345=0,L345="")</f>
        <v>1</v>
      </c>
      <c r="C346" s="1844" t="str" cm="1">
        <f t="array" ref="C346">_xlfn.IFS(
    L346="", "",
    MONTH(L346) &lt;= End_of_Year_Month, YEAR(L346),
    TRUE, YEAR(L346) + 1
)</f>
        <v/>
      </c>
      <c r="F346" s="1857">
        <f>IF(L346="",0,L346)</f>
        <v>0</v>
      </c>
      <c r="G346" s="1856">
        <f>-(N346-Q346)</f>
        <v>0</v>
      </c>
      <c r="I346" s="1815" t="b">
        <f>K346&lt;=Number_Payments</f>
        <v>0</v>
      </c>
      <c r="J346" s="1855"/>
      <c r="K346" s="1351">
        <f>K345+1</f>
        <v>220</v>
      </c>
      <c r="L346" s="1854" t="str" cm="1">
        <f t="array" ref="L346">_xlfn.IFS(
    I345=FALSE, "",
    Payment_Frequency="Monthly", EDATE(L345, 1),
    Payment_Frequency="Weekly", DATE(YEAR(L345), MONTH(L345), DAY(L345) + 7),
    Payment_Frequency="Fortnightly", DATE(YEAR(L345), MONTH(L345), DAY(L345) + 14),
    Payment_Frequency="Quarterly", DATE(YEAR(L345), MONTH(L345) + 3, DAY(L345)),
    Payment_Frequency="Yearly", DATE(YEAR(L345) + 1, MONTH(L345), DAY(L345)),
    TRUE, ""
)</f>
        <v/>
      </c>
      <c r="M346" s="1853">
        <f>IF(ISERROR(L346-L345),0,L346-L345)</f>
        <v>0</v>
      </c>
      <c r="N346" s="1851" cm="1">
        <f t="array" ref="N346">_xlfn.IFS(
    AND(I346=TRUE, K346&lt;=No_Regular_Payments), Repay_Amt,
    AND(I346=TRUE, K346=No_Regular_Payments+1), Tm_Balloon_Amt,
   TRUE, 0
)</f>
        <v>0</v>
      </c>
      <c r="O346" s="1850" cm="1">
        <f t="array" ref="O346">_xlfn.IFS(
    M346=0,0,
   ABS(N346 - S345 - P346-Q346) &lt; 1, N346 - S345-Q346,
    TRUE, P346
)</f>
        <v>0</v>
      </c>
      <c r="P346" s="1852">
        <f>IF(M346=0,0,ROUND(S345*EXP(Int_Rate/365.25 * M346)-S345,2))</f>
        <v>0</v>
      </c>
      <c r="Q346" s="1851" cm="1">
        <f t="array" ref="Q346">_xlfn.IFS(
    AND(I346=TRUE, K346&lt;=No_Regular_Payments), Periodic_Admin_Charge,
   TRUE, 0
)</f>
        <v>0</v>
      </c>
      <c r="R346" s="1850">
        <f>N346-O346-Q346</f>
        <v>0</v>
      </c>
      <c r="S346" s="1850">
        <f>ROUND(S345-R346,2)</f>
        <v>0</v>
      </c>
      <c r="T346" s="1850">
        <f>ROUND(T345-(N346-Q346),2)</f>
        <v>0</v>
      </c>
      <c r="U346" s="1849"/>
      <c r="W346" s="1848"/>
      <c r="X346" s="1848"/>
      <c r="Y346" s="1848"/>
    </row>
    <row r="347" spans="2:25" hidden="1">
      <c r="B347" s="1815" t="b">
        <f>AND(I347=FALSE,N346=0,Q346=0,L346="")</f>
        <v>1</v>
      </c>
      <c r="C347" s="1844" t="str" cm="1">
        <f t="array" ref="C347">_xlfn.IFS(
    L347="", "",
    MONTH(L347) &lt;= End_of_Year_Month, YEAR(L347),
    TRUE, YEAR(L347) + 1
)</f>
        <v/>
      </c>
      <c r="F347" s="1857">
        <f>IF(L347="",0,L347)</f>
        <v>0</v>
      </c>
      <c r="G347" s="1856">
        <f>-(N347-Q347)</f>
        <v>0</v>
      </c>
      <c r="I347" s="1815" t="b">
        <f>K347&lt;=Number_Payments</f>
        <v>0</v>
      </c>
      <c r="J347" s="1855"/>
      <c r="K347" s="1351">
        <f>K346+1</f>
        <v>221</v>
      </c>
      <c r="L347" s="1854" t="str" cm="1">
        <f t="array" ref="L347">_xlfn.IFS(
    I346=FALSE, "",
    Payment_Frequency="Monthly", EDATE(L346, 1),
    Payment_Frequency="Weekly", DATE(YEAR(L346), MONTH(L346), DAY(L346) + 7),
    Payment_Frequency="Fortnightly", DATE(YEAR(L346), MONTH(L346), DAY(L346) + 14),
    Payment_Frequency="Quarterly", DATE(YEAR(L346), MONTH(L346) + 3, DAY(L346)),
    Payment_Frequency="Yearly", DATE(YEAR(L346) + 1, MONTH(L346), DAY(L346)),
    TRUE, ""
)</f>
        <v/>
      </c>
      <c r="M347" s="1853">
        <f>IF(ISERROR(L347-L346),0,L347-L346)</f>
        <v>0</v>
      </c>
      <c r="N347" s="1851" cm="1">
        <f t="array" ref="N347">_xlfn.IFS(
    AND(I347=TRUE, K347&lt;=No_Regular_Payments), Repay_Amt,
    AND(I347=TRUE, K347=No_Regular_Payments+1), Tm_Balloon_Amt,
   TRUE, 0
)</f>
        <v>0</v>
      </c>
      <c r="O347" s="1850" cm="1">
        <f t="array" ref="O347">_xlfn.IFS(
    M347=0,0,
   ABS(N347 - S346 - P347-Q347) &lt; 1, N347 - S346-Q347,
    TRUE, P347
)</f>
        <v>0</v>
      </c>
      <c r="P347" s="1852">
        <f>IF(M347=0,0,ROUND(S346*EXP(Int_Rate/365.25 * M347)-S346,2))</f>
        <v>0</v>
      </c>
      <c r="Q347" s="1851" cm="1">
        <f t="array" ref="Q347">_xlfn.IFS(
    AND(I347=TRUE, K347&lt;=No_Regular_Payments), Periodic_Admin_Charge,
   TRUE, 0
)</f>
        <v>0</v>
      </c>
      <c r="R347" s="1850">
        <f>N347-O347-Q347</f>
        <v>0</v>
      </c>
      <c r="S347" s="1850">
        <f>ROUND(S346-R347,2)</f>
        <v>0</v>
      </c>
      <c r="T347" s="1850">
        <f>ROUND(T346-(N347-Q347),2)</f>
        <v>0</v>
      </c>
      <c r="U347" s="1849"/>
      <c r="W347" s="1848"/>
      <c r="X347" s="1848"/>
      <c r="Y347" s="1848"/>
    </row>
    <row r="348" spans="2:25" hidden="1">
      <c r="B348" s="1815" t="b">
        <f>AND(I348=FALSE,N347=0,Q347=0,L347="")</f>
        <v>1</v>
      </c>
      <c r="C348" s="1844" t="str" cm="1">
        <f t="array" ref="C348">_xlfn.IFS(
    L348="", "",
    MONTH(L348) &lt;= End_of_Year_Month, YEAR(L348),
    TRUE, YEAR(L348) + 1
)</f>
        <v/>
      </c>
      <c r="F348" s="1857">
        <f>IF(L348="",0,L348)</f>
        <v>0</v>
      </c>
      <c r="G348" s="1856">
        <f>-(N348-Q348)</f>
        <v>0</v>
      </c>
      <c r="I348" s="1815" t="b">
        <f>K348&lt;=Number_Payments</f>
        <v>0</v>
      </c>
      <c r="J348" s="1855"/>
      <c r="K348" s="1351">
        <f>K347+1</f>
        <v>222</v>
      </c>
      <c r="L348" s="1854" t="str" cm="1">
        <f t="array" ref="L348">_xlfn.IFS(
    I347=FALSE, "",
    Payment_Frequency="Monthly", EDATE(L347, 1),
    Payment_Frequency="Weekly", DATE(YEAR(L347), MONTH(L347), DAY(L347) + 7),
    Payment_Frequency="Fortnightly", DATE(YEAR(L347), MONTH(L347), DAY(L347) + 14),
    Payment_Frequency="Quarterly", DATE(YEAR(L347), MONTH(L347) + 3, DAY(L347)),
    Payment_Frequency="Yearly", DATE(YEAR(L347) + 1, MONTH(L347), DAY(L347)),
    TRUE, ""
)</f>
        <v/>
      </c>
      <c r="M348" s="1853">
        <f>IF(ISERROR(L348-L347),0,L348-L347)</f>
        <v>0</v>
      </c>
      <c r="N348" s="1851" cm="1">
        <f t="array" ref="N348">_xlfn.IFS(
    AND(I348=TRUE, K348&lt;=No_Regular_Payments), Repay_Amt,
    AND(I348=TRUE, K348=No_Regular_Payments+1), Tm_Balloon_Amt,
   TRUE, 0
)</f>
        <v>0</v>
      </c>
      <c r="O348" s="1850" cm="1">
        <f t="array" ref="O348">_xlfn.IFS(
    M348=0,0,
   ABS(N348 - S347 - P348-Q348) &lt; 1, N348 - S347-Q348,
    TRUE, P348
)</f>
        <v>0</v>
      </c>
      <c r="P348" s="1852">
        <f>IF(M348=0,0,ROUND(S347*EXP(Int_Rate/365.25 * M348)-S347,2))</f>
        <v>0</v>
      </c>
      <c r="Q348" s="1851" cm="1">
        <f t="array" ref="Q348">_xlfn.IFS(
    AND(I348=TRUE, K348&lt;=No_Regular_Payments), Periodic_Admin_Charge,
   TRUE, 0
)</f>
        <v>0</v>
      </c>
      <c r="R348" s="1850">
        <f>N348-O348-Q348</f>
        <v>0</v>
      </c>
      <c r="S348" s="1850">
        <f>ROUND(S347-R348,2)</f>
        <v>0</v>
      </c>
      <c r="T348" s="1850">
        <f>ROUND(T347-(N348-Q348),2)</f>
        <v>0</v>
      </c>
      <c r="U348" s="1849"/>
      <c r="W348" s="1848"/>
      <c r="X348" s="1848"/>
      <c r="Y348" s="1848"/>
    </row>
    <row r="349" spans="2:25" hidden="1">
      <c r="B349" s="1815" t="b">
        <f>AND(I349=FALSE,N348=0,Q348=0,L348="")</f>
        <v>1</v>
      </c>
      <c r="C349" s="1844" t="str" cm="1">
        <f t="array" ref="C349">_xlfn.IFS(
    L349="", "",
    MONTH(L349) &lt;= End_of_Year_Month, YEAR(L349),
    TRUE, YEAR(L349) + 1
)</f>
        <v/>
      </c>
      <c r="F349" s="1857">
        <f>IF(L349="",0,L349)</f>
        <v>0</v>
      </c>
      <c r="G349" s="1856">
        <f>-(N349-Q349)</f>
        <v>0</v>
      </c>
      <c r="I349" s="1815" t="b">
        <f>K349&lt;=Number_Payments</f>
        <v>0</v>
      </c>
      <c r="J349" s="1855"/>
      <c r="K349" s="1351">
        <f>K348+1</f>
        <v>223</v>
      </c>
      <c r="L349" s="1854" t="str" cm="1">
        <f t="array" ref="L349">_xlfn.IFS(
    I348=FALSE, "",
    Payment_Frequency="Monthly", EDATE(L348, 1),
    Payment_Frequency="Weekly", DATE(YEAR(L348), MONTH(L348), DAY(L348) + 7),
    Payment_Frequency="Fortnightly", DATE(YEAR(L348), MONTH(L348), DAY(L348) + 14),
    Payment_Frequency="Quarterly", DATE(YEAR(L348), MONTH(L348) + 3, DAY(L348)),
    Payment_Frequency="Yearly", DATE(YEAR(L348) + 1, MONTH(L348), DAY(L348)),
    TRUE, ""
)</f>
        <v/>
      </c>
      <c r="M349" s="1853">
        <f>IF(ISERROR(L349-L348),0,L349-L348)</f>
        <v>0</v>
      </c>
      <c r="N349" s="1851" cm="1">
        <f t="array" ref="N349">_xlfn.IFS(
    AND(I349=TRUE, K349&lt;=No_Regular_Payments), Repay_Amt,
    AND(I349=TRUE, K349=No_Regular_Payments+1), Tm_Balloon_Amt,
   TRUE, 0
)</f>
        <v>0</v>
      </c>
      <c r="O349" s="1850" cm="1">
        <f t="array" ref="O349">_xlfn.IFS(
    M349=0,0,
   ABS(N349 - S348 - P349-Q349) &lt; 1, N349 - S348-Q349,
    TRUE, P349
)</f>
        <v>0</v>
      </c>
      <c r="P349" s="1852">
        <f>IF(M349=0,0,ROUND(S348*EXP(Int_Rate/365.25 * M349)-S348,2))</f>
        <v>0</v>
      </c>
      <c r="Q349" s="1851" cm="1">
        <f t="array" ref="Q349">_xlfn.IFS(
    AND(I349=TRUE, K349&lt;=No_Regular_Payments), Periodic_Admin_Charge,
   TRUE, 0
)</f>
        <v>0</v>
      </c>
      <c r="R349" s="1850">
        <f>N349-O349-Q349</f>
        <v>0</v>
      </c>
      <c r="S349" s="1850">
        <f>ROUND(S348-R349,2)</f>
        <v>0</v>
      </c>
      <c r="T349" s="1850">
        <f>ROUND(T348-(N349-Q349),2)</f>
        <v>0</v>
      </c>
      <c r="U349" s="1849"/>
      <c r="W349" s="1848"/>
      <c r="X349" s="1848"/>
      <c r="Y349" s="1848"/>
    </row>
    <row r="350" spans="2:25" hidden="1">
      <c r="B350" s="1815" t="b">
        <f>AND(I350=FALSE,N349=0,Q349=0,L349="")</f>
        <v>1</v>
      </c>
      <c r="C350" s="1844" t="str" cm="1">
        <f t="array" ref="C350">_xlfn.IFS(
    L350="", "",
    MONTH(L350) &lt;= End_of_Year_Month, YEAR(L350),
    TRUE, YEAR(L350) + 1
)</f>
        <v/>
      </c>
      <c r="F350" s="1857">
        <f>IF(L350="",0,L350)</f>
        <v>0</v>
      </c>
      <c r="G350" s="1856">
        <f>-(N350-Q350)</f>
        <v>0</v>
      </c>
      <c r="I350" s="1815" t="b">
        <f>K350&lt;=Number_Payments</f>
        <v>0</v>
      </c>
      <c r="J350" s="1855"/>
      <c r="K350" s="1351">
        <f>K349+1</f>
        <v>224</v>
      </c>
      <c r="L350" s="1854" t="str" cm="1">
        <f t="array" ref="L350">_xlfn.IFS(
    I349=FALSE, "",
    Payment_Frequency="Monthly", EDATE(L349, 1),
    Payment_Frequency="Weekly", DATE(YEAR(L349), MONTH(L349), DAY(L349) + 7),
    Payment_Frequency="Fortnightly", DATE(YEAR(L349), MONTH(L349), DAY(L349) + 14),
    Payment_Frequency="Quarterly", DATE(YEAR(L349), MONTH(L349) + 3, DAY(L349)),
    Payment_Frequency="Yearly", DATE(YEAR(L349) + 1, MONTH(L349), DAY(L349)),
    TRUE, ""
)</f>
        <v/>
      </c>
      <c r="M350" s="1853">
        <f>IF(ISERROR(L350-L349),0,L350-L349)</f>
        <v>0</v>
      </c>
      <c r="N350" s="1851" cm="1">
        <f t="array" ref="N350">_xlfn.IFS(
    AND(I350=TRUE, K350&lt;=No_Regular_Payments), Repay_Amt,
    AND(I350=TRUE, K350=No_Regular_Payments+1), Tm_Balloon_Amt,
   TRUE, 0
)</f>
        <v>0</v>
      </c>
      <c r="O350" s="1850" cm="1">
        <f t="array" ref="O350">_xlfn.IFS(
    M350=0,0,
   ABS(N350 - S349 - P350-Q350) &lt; 1, N350 - S349-Q350,
    TRUE, P350
)</f>
        <v>0</v>
      </c>
      <c r="P350" s="1852">
        <f>IF(M350=0,0,ROUND(S349*EXP(Int_Rate/365.25 * M350)-S349,2))</f>
        <v>0</v>
      </c>
      <c r="Q350" s="1851" cm="1">
        <f t="array" ref="Q350">_xlfn.IFS(
    AND(I350=TRUE, K350&lt;=No_Regular_Payments), Periodic_Admin_Charge,
   TRUE, 0
)</f>
        <v>0</v>
      </c>
      <c r="R350" s="1850">
        <f>N350-O350-Q350</f>
        <v>0</v>
      </c>
      <c r="S350" s="1850">
        <f>ROUND(S349-R350,2)</f>
        <v>0</v>
      </c>
      <c r="T350" s="1850">
        <f>ROUND(T349-(N350-Q350),2)</f>
        <v>0</v>
      </c>
      <c r="U350" s="1849"/>
      <c r="W350" s="1848"/>
      <c r="X350" s="1848"/>
      <c r="Y350" s="1848"/>
    </row>
    <row r="351" spans="2:25" hidden="1">
      <c r="B351" s="1815" t="b">
        <f>AND(I351=FALSE,N350=0,Q350=0,L350="")</f>
        <v>1</v>
      </c>
      <c r="C351" s="1844" t="str" cm="1">
        <f t="array" ref="C351">_xlfn.IFS(
    L351="", "",
    MONTH(L351) &lt;= End_of_Year_Month, YEAR(L351),
    TRUE, YEAR(L351) + 1
)</f>
        <v/>
      </c>
      <c r="F351" s="1857">
        <f>IF(L351="",0,L351)</f>
        <v>0</v>
      </c>
      <c r="G351" s="1856">
        <f>-(N351-Q351)</f>
        <v>0</v>
      </c>
      <c r="I351" s="1815" t="b">
        <f>K351&lt;=Number_Payments</f>
        <v>0</v>
      </c>
      <c r="J351" s="1855"/>
      <c r="K351" s="1351">
        <f>K350+1</f>
        <v>225</v>
      </c>
      <c r="L351" s="1854" t="str" cm="1">
        <f t="array" ref="L351">_xlfn.IFS(
    I350=FALSE, "",
    Payment_Frequency="Monthly", EDATE(L350, 1),
    Payment_Frequency="Weekly", DATE(YEAR(L350), MONTH(L350), DAY(L350) + 7),
    Payment_Frequency="Fortnightly", DATE(YEAR(L350), MONTH(L350), DAY(L350) + 14),
    Payment_Frequency="Quarterly", DATE(YEAR(L350), MONTH(L350) + 3, DAY(L350)),
    Payment_Frequency="Yearly", DATE(YEAR(L350) + 1, MONTH(L350), DAY(L350)),
    TRUE, ""
)</f>
        <v/>
      </c>
      <c r="M351" s="1853">
        <f>IF(ISERROR(L351-L350),0,L351-L350)</f>
        <v>0</v>
      </c>
      <c r="N351" s="1851" cm="1">
        <f t="array" ref="N351">_xlfn.IFS(
    AND(I351=TRUE, K351&lt;=No_Regular_Payments), Repay_Amt,
    AND(I351=TRUE, K351=No_Regular_Payments+1), Tm_Balloon_Amt,
   TRUE, 0
)</f>
        <v>0</v>
      </c>
      <c r="O351" s="1850" cm="1">
        <f t="array" ref="O351">_xlfn.IFS(
    M351=0,0,
   ABS(N351 - S350 - P351-Q351) &lt; 1, N351 - S350-Q351,
    TRUE, P351
)</f>
        <v>0</v>
      </c>
      <c r="P351" s="1852">
        <f>IF(M351=0,0,ROUND(S350*EXP(Int_Rate/365.25 * M351)-S350,2))</f>
        <v>0</v>
      </c>
      <c r="Q351" s="1851" cm="1">
        <f t="array" ref="Q351">_xlfn.IFS(
    AND(I351=TRUE, K351&lt;=No_Regular_Payments), Periodic_Admin_Charge,
   TRUE, 0
)</f>
        <v>0</v>
      </c>
      <c r="R351" s="1850">
        <f>N351-O351-Q351</f>
        <v>0</v>
      </c>
      <c r="S351" s="1850">
        <f>ROUND(S350-R351,2)</f>
        <v>0</v>
      </c>
      <c r="T351" s="1850">
        <f>ROUND(T350-(N351-Q351),2)</f>
        <v>0</v>
      </c>
      <c r="U351" s="1849"/>
      <c r="W351" s="1848"/>
      <c r="X351" s="1848"/>
      <c r="Y351" s="1848"/>
    </row>
    <row r="352" spans="2:25" hidden="1">
      <c r="B352" s="1815" t="b">
        <f>AND(I352=FALSE,N351=0,Q351=0,L351="")</f>
        <v>1</v>
      </c>
      <c r="C352" s="1844" t="str" cm="1">
        <f t="array" ref="C352">_xlfn.IFS(
    L352="", "",
    MONTH(L352) &lt;= End_of_Year_Month, YEAR(L352),
    TRUE, YEAR(L352) + 1
)</f>
        <v/>
      </c>
      <c r="F352" s="1857">
        <f>IF(L352="",0,L352)</f>
        <v>0</v>
      </c>
      <c r="G352" s="1856">
        <f>-(N352-Q352)</f>
        <v>0</v>
      </c>
      <c r="I352" s="1815" t="b">
        <f>K352&lt;=Number_Payments</f>
        <v>0</v>
      </c>
      <c r="J352" s="1855"/>
      <c r="K352" s="1351">
        <f>K351+1</f>
        <v>226</v>
      </c>
      <c r="L352" s="1854" t="str" cm="1">
        <f t="array" ref="L352">_xlfn.IFS(
    I351=FALSE, "",
    Payment_Frequency="Monthly", EDATE(L351, 1),
    Payment_Frequency="Weekly", DATE(YEAR(L351), MONTH(L351), DAY(L351) + 7),
    Payment_Frequency="Fortnightly", DATE(YEAR(L351), MONTH(L351), DAY(L351) + 14),
    Payment_Frequency="Quarterly", DATE(YEAR(L351), MONTH(L351) + 3, DAY(L351)),
    Payment_Frequency="Yearly", DATE(YEAR(L351) + 1, MONTH(L351), DAY(L351)),
    TRUE, ""
)</f>
        <v/>
      </c>
      <c r="M352" s="1853">
        <f>IF(ISERROR(L352-L351),0,L352-L351)</f>
        <v>0</v>
      </c>
      <c r="N352" s="1851" cm="1">
        <f t="array" ref="N352">_xlfn.IFS(
    AND(I352=TRUE, K352&lt;=No_Regular_Payments), Repay_Amt,
    AND(I352=TRUE, K352=No_Regular_Payments+1), Tm_Balloon_Amt,
   TRUE, 0
)</f>
        <v>0</v>
      </c>
      <c r="O352" s="1850" cm="1">
        <f t="array" ref="O352">_xlfn.IFS(
    M352=0,0,
   ABS(N352 - S351 - P352-Q352) &lt; 1, N352 - S351-Q352,
    TRUE, P352
)</f>
        <v>0</v>
      </c>
      <c r="P352" s="1852">
        <f>IF(M352=0,0,ROUND(S351*EXP(Int_Rate/365.25 * M352)-S351,2))</f>
        <v>0</v>
      </c>
      <c r="Q352" s="1851" cm="1">
        <f t="array" ref="Q352">_xlfn.IFS(
    AND(I352=TRUE, K352&lt;=No_Regular_Payments), Periodic_Admin_Charge,
   TRUE, 0
)</f>
        <v>0</v>
      </c>
      <c r="R352" s="1850">
        <f>N352-O352-Q352</f>
        <v>0</v>
      </c>
      <c r="S352" s="1850">
        <f>ROUND(S351-R352,2)</f>
        <v>0</v>
      </c>
      <c r="T352" s="1850">
        <f>ROUND(T351-(N352-Q352),2)</f>
        <v>0</v>
      </c>
      <c r="U352" s="1849"/>
      <c r="W352" s="1848"/>
      <c r="X352" s="1848"/>
      <c r="Y352" s="1848"/>
    </row>
    <row r="353" spans="2:25" hidden="1">
      <c r="B353" s="1815" t="b">
        <f>AND(I353=FALSE,N352=0,Q352=0,L352="")</f>
        <v>1</v>
      </c>
      <c r="C353" s="1844" t="str" cm="1">
        <f t="array" ref="C353">_xlfn.IFS(
    L353="", "",
    MONTH(L353) &lt;= End_of_Year_Month, YEAR(L353),
    TRUE, YEAR(L353) + 1
)</f>
        <v/>
      </c>
      <c r="F353" s="1857">
        <f>IF(L353="",0,L353)</f>
        <v>0</v>
      </c>
      <c r="G353" s="1856">
        <f>-(N353-Q353)</f>
        <v>0</v>
      </c>
      <c r="I353" s="1815" t="b">
        <f>K353&lt;=Number_Payments</f>
        <v>0</v>
      </c>
      <c r="J353" s="1855"/>
      <c r="K353" s="1351">
        <f>K352+1</f>
        <v>227</v>
      </c>
      <c r="L353" s="1854" t="str" cm="1">
        <f t="array" ref="L353">_xlfn.IFS(
    I352=FALSE, "",
    Payment_Frequency="Monthly", EDATE(L352, 1),
    Payment_Frequency="Weekly", DATE(YEAR(L352), MONTH(L352), DAY(L352) + 7),
    Payment_Frequency="Fortnightly", DATE(YEAR(L352), MONTH(L352), DAY(L352) + 14),
    Payment_Frequency="Quarterly", DATE(YEAR(L352), MONTH(L352) + 3, DAY(L352)),
    Payment_Frequency="Yearly", DATE(YEAR(L352) + 1, MONTH(L352), DAY(L352)),
    TRUE, ""
)</f>
        <v/>
      </c>
      <c r="M353" s="1853">
        <f>IF(ISERROR(L353-L352),0,L353-L352)</f>
        <v>0</v>
      </c>
      <c r="N353" s="1851" cm="1">
        <f t="array" ref="N353">_xlfn.IFS(
    AND(I353=TRUE, K353&lt;=No_Regular_Payments), Repay_Amt,
    AND(I353=TRUE, K353=No_Regular_Payments+1), Tm_Balloon_Amt,
   TRUE, 0
)</f>
        <v>0</v>
      </c>
      <c r="O353" s="1850" cm="1">
        <f t="array" ref="O353">_xlfn.IFS(
    M353=0,0,
   ABS(N353 - S352 - P353-Q353) &lt; 1, N353 - S352-Q353,
    TRUE, P353
)</f>
        <v>0</v>
      </c>
      <c r="P353" s="1852">
        <f>IF(M353=0,0,ROUND(S352*EXP(Int_Rate/365.25 * M353)-S352,2))</f>
        <v>0</v>
      </c>
      <c r="Q353" s="1851" cm="1">
        <f t="array" ref="Q353">_xlfn.IFS(
    AND(I353=TRUE, K353&lt;=No_Regular_Payments), Periodic_Admin_Charge,
   TRUE, 0
)</f>
        <v>0</v>
      </c>
      <c r="R353" s="1850">
        <f>N353-O353-Q353</f>
        <v>0</v>
      </c>
      <c r="S353" s="1850">
        <f>ROUND(S352-R353,2)</f>
        <v>0</v>
      </c>
      <c r="T353" s="1850">
        <f>ROUND(T352-(N353-Q353),2)</f>
        <v>0</v>
      </c>
      <c r="U353" s="1849"/>
      <c r="W353" s="1848"/>
      <c r="X353" s="1848"/>
      <c r="Y353" s="1848"/>
    </row>
    <row r="354" spans="2:25" hidden="1">
      <c r="B354" s="1815" t="b">
        <f>AND(I354=FALSE,N353=0,Q353=0,L353="")</f>
        <v>1</v>
      </c>
      <c r="C354" s="1844" t="str" cm="1">
        <f t="array" ref="C354">_xlfn.IFS(
    L354="", "",
    MONTH(L354) &lt;= End_of_Year_Month, YEAR(L354),
    TRUE, YEAR(L354) + 1
)</f>
        <v/>
      </c>
      <c r="F354" s="1857">
        <f>IF(L354="",0,L354)</f>
        <v>0</v>
      </c>
      <c r="G354" s="1856">
        <f>-(N354-Q354)</f>
        <v>0</v>
      </c>
      <c r="I354" s="1815" t="b">
        <f>K354&lt;=Number_Payments</f>
        <v>0</v>
      </c>
      <c r="J354" s="1855"/>
      <c r="K354" s="1351">
        <f>K353+1</f>
        <v>228</v>
      </c>
      <c r="L354" s="1854" t="str" cm="1">
        <f t="array" ref="L354">_xlfn.IFS(
    I353=FALSE, "",
    Payment_Frequency="Monthly", EDATE(L353, 1),
    Payment_Frequency="Weekly", DATE(YEAR(L353), MONTH(L353), DAY(L353) + 7),
    Payment_Frequency="Fortnightly", DATE(YEAR(L353), MONTH(L353), DAY(L353) + 14),
    Payment_Frequency="Quarterly", DATE(YEAR(L353), MONTH(L353) + 3, DAY(L353)),
    Payment_Frequency="Yearly", DATE(YEAR(L353) + 1, MONTH(L353), DAY(L353)),
    TRUE, ""
)</f>
        <v/>
      </c>
      <c r="M354" s="1853">
        <f>IF(ISERROR(L354-L353),0,L354-L353)</f>
        <v>0</v>
      </c>
      <c r="N354" s="1851" cm="1">
        <f t="array" ref="N354">_xlfn.IFS(
    AND(I354=TRUE, K354&lt;=No_Regular_Payments), Repay_Amt,
    AND(I354=TRUE, K354=No_Regular_Payments+1), Tm_Balloon_Amt,
   TRUE, 0
)</f>
        <v>0</v>
      </c>
      <c r="O354" s="1850" cm="1">
        <f t="array" ref="O354">_xlfn.IFS(
    M354=0,0,
   ABS(N354 - S353 - P354-Q354) &lt; 1, N354 - S353-Q354,
    TRUE, P354
)</f>
        <v>0</v>
      </c>
      <c r="P354" s="1852">
        <f>IF(M354=0,0,ROUND(S353*EXP(Int_Rate/365.25 * M354)-S353,2))</f>
        <v>0</v>
      </c>
      <c r="Q354" s="1851" cm="1">
        <f t="array" ref="Q354">_xlfn.IFS(
    AND(I354=TRUE, K354&lt;=No_Regular_Payments), Periodic_Admin_Charge,
   TRUE, 0
)</f>
        <v>0</v>
      </c>
      <c r="R354" s="1850">
        <f>N354-O354-Q354</f>
        <v>0</v>
      </c>
      <c r="S354" s="1850">
        <f>ROUND(S353-R354,2)</f>
        <v>0</v>
      </c>
      <c r="T354" s="1850">
        <f>ROUND(T353-(N354-Q354),2)</f>
        <v>0</v>
      </c>
      <c r="U354" s="1849"/>
      <c r="W354" s="1848"/>
      <c r="X354" s="1848"/>
      <c r="Y354" s="1848"/>
    </row>
    <row r="355" spans="2:25" hidden="1">
      <c r="B355" s="1815" t="b">
        <f>AND(I355=FALSE,N354=0,Q354=0,L354="")</f>
        <v>1</v>
      </c>
      <c r="C355" s="1844" t="str" cm="1">
        <f t="array" ref="C355">_xlfn.IFS(
    L355="", "",
    MONTH(L355) &lt;= End_of_Year_Month, YEAR(L355),
    TRUE, YEAR(L355) + 1
)</f>
        <v/>
      </c>
      <c r="F355" s="1857">
        <f>IF(L355="",0,L355)</f>
        <v>0</v>
      </c>
      <c r="G355" s="1856">
        <f>-(N355-Q355)</f>
        <v>0</v>
      </c>
      <c r="I355" s="1815" t="b">
        <f>K355&lt;=Number_Payments</f>
        <v>0</v>
      </c>
      <c r="J355" s="1855"/>
      <c r="K355" s="1351">
        <f>K354+1</f>
        <v>229</v>
      </c>
      <c r="L355" s="1854" t="str" cm="1">
        <f t="array" ref="L355">_xlfn.IFS(
    I354=FALSE, "",
    Payment_Frequency="Monthly", EDATE(L354, 1),
    Payment_Frequency="Weekly", DATE(YEAR(L354), MONTH(L354), DAY(L354) + 7),
    Payment_Frequency="Fortnightly", DATE(YEAR(L354), MONTH(L354), DAY(L354) + 14),
    Payment_Frequency="Quarterly", DATE(YEAR(L354), MONTH(L354) + 3, DAY(L354)),
    Payment_Frequency="Yearly", DATE(YEAR(L354) + 1, MONTH(L354), DAY(L354)),
    TRUE, ""
)</f>
        <v/>
      </c>
      <c r="M355" s="1853">
        <f>IF(ISERROR(L355-L354),0,L355-L354)</f>
        <v>0</v>
      </c>
      <c r="N355" s="1851" cm="1">
        <f t="array" ref="N355">_xlfn.IFS(
    AND(I355=TRUE, K355&lt;=No_Regular_Payments), Repay_Amt,
    AND(I355=TRUE, K355=No_Regular_Payments+1), Tm_Balloon_Amt,
   TRUE, 0
)</f>
        <v>0</v>
      </c>
      <c r="O355" s="1850" cm="1">
        <f t="array" ref="O355">_xlfn.IFS(
    M355=0,0,
   ABS(N355 - S354 - P355-Q355) &lt; 1, N355 - S354-Q355,
    TRUE, P355
)</f>
        <v>0</v>
      </c>
      <c r="P355" s="1852">
        <f>IF(M355=0,0,ROUND(S354*EXP(Int_Rate/365.25 * M355)-S354,2))</f>
        <v>0</v>
      </c>
      <c r="Q355" s="1851" cm="1">
        <f t="array" ref="Q355">_xlfn.IFS(
    AND(I355=TRUE, K355&lt;=No_Regular_Payments), Periodic_Admin_Charge,
   TRUE, 0
)</f>
        <v>0</v>
      </c>
      <c r="R355" s="1850">
        <f>N355-O355-Q355</f>
        <v>0</v>
      </c>
      <c r="S355" s="1850">
        <f>ROUND(S354-R355,2)</f>
        <v>0</v>
      </c>
      <c r="T355" s="1850">
        <f>ROUND(T354-(N355-Q355),2)</f>
        <v>0</v>
      </c>
      <c r="U355" s="1849"/>
      <c r="W355" s="1848"/>
      <c r="X355" s="1848"/>
      <c r="Y355" s="1848"/>
    </row>
    <row r="356" spans="2:25" hidden="1">
      <c r="B356" s="1815" t="b">
        <f>AND(I356=FALSE,N355=0,Q355=0,L355="")</f>
        <v>1</v>
      </c>
      <c r="C356" s="1844" t="str" cm="1">
        <f t="array" ref="C356">_xlfn.IFS(
    L356="", "",
    MONTH(L356) &lt;= End_of_Year_Month, YEAR(L356),
    TRUE, YEAR(L356) + 1
)</f>
        <v/>
      </c>
      <c r="F356" s="1857">
        <f>IF(L356="",0,L356)</f>
        <v>0</v>
      </c>
      <c r="G356" s="1856">
        <f>-(N356-Q356)</f>
        <v>0</v>
      </c>
      <c r="I356" s="1815" t="b">
        <f>K356&lt;=Number_Payments</f>
        <v>0</v>
      </c>
      <c r="J356" s="1855"/>
      <c r="K356" s="1351">
        <f>K355+1</f>
        <v>230</v>
      </c>
      <c r="L356" s="1854" t="str" cm="1">
        <f t="array" ref="L356">_xlfn.IFS(
    I355=FALSE, "",
    Payment_Frequency="Monthly", EDATE(L355, 1),
    Payment_Frequency="Weekly", DATE(YEAR(L355), MONTH(L355), DAY(L355) + 7),
    Payment_Frequency="Fortnightly", DATE(YEAR(L355), MONTH(L355), DAY(L355) + 14),
    Payment_Frequency="Quarterly", DATE(YEAR(L355), MONTH(L355) + 3, DAY(L355)),
    Payment_Frequency="Yearly", DATE(YEAR(L355) + 1, MONTH(L355), DAY(L355)),
    TRUE, ""
)</f>
        <v/>
      </c>
      <c r="M356" s="1853">
        <f>IF(ISERROR(L356-L355),0,L356-L355)</f>
        <v>0</v>
      </c>
      <c r="N356" s="1851" cm="1">
        <f t="array" ref="N356">_xlfn.IFS(
    AND(I356=TRUE, K356&lt;=No_Regular_Payments), Repay_Amt,
    AND(I356=TRUE, K356=No_Regular_Payments+1), Tm_Balloon_Amt,
   TRUE, 0
)</f>
        <v>0</v>
      </c>
      <c r="O356" s="1850" cm="1">
        <f t="array" ref="O356">_xlfn.IFS(
    M356=0,0,
   ABS(N356 - S355 - P356-Q356) &lt; 1, N356 - S355-Q356,
    TRUE, P356
)</f>
        <v>0</v>
      </c>
      <c r="P356" s="1852">
        <f>IF(M356=0,0,ROUND(S355*EXP(Int_Rate/365.25 * M356)-S355,2))</f>
        <v>0</v>
      </c>
      <c r="Q356" s="1851" cm="1">
        <f t="array" ref="Q356">_xlfn.IFS(
    AND(I356=TRUE, K356&lt;=No_Regular_Payments), Periodic_Admin_Charge,
   TRUE, 0
)</f>
        <v>0</v>
      </c>
      <c r="R356" s="1850">
        <f>N356-O356-Q356</f>
        <v>0</v>
      </c>
      <c r="S356" s="1850">
        <f>ROUND(S355-R356,2)</f>
        <v>0</v>
      </c>
      <c r="T356" s="1850">
        <f>ROUND(T355-(N356-Q356),2)</f>
        <v>0</v>
      </c>
      <c r="U356" s="1849"/>
      <c r="W356" s="1848"/>
      <c r="X356" s="1848"/>
      <c r="Y356" s="1848"/>
    </row>
    <row r="357" spans="2:25" hidden="1">
      <c r="B357" s="1815" t="b">
        <f>AND(I357=FALSE,N356=0,Q356=0,L356="")</f>
        <v>1</v>
      </c>
      <c r="C357" s="1844" t="str" cm="1">
        <f t="array" ref="C357">_xlfn.IFS(
    L357="", "",
    MONTH(L357) &lt;= End_of_Year_Month, YEAR(L357),
    TRUE, YEAR(L357) + 1
)</f>
        <v/>
      </c>
      <c r="F357" s="1857">
        <f>IF(L357="",0,L357)</f>
        <v>0</v>
      </c>
      <c r="G357" s="1856">
        <f>-(N357-Q357)</f>
        <v>0</v>
      </c>
      <c r="I357" s="1815" t="b">
        <f>K357&lt;=Number_Payments</f>
        <v>0</v>
      </c>
      <c r="J357" s="1855"/>
      <c r="K357" s="1351">
        <f>K356+1</f>
        <v>231</v>
      </c>
      <c r="L357" s="1854" t="str" cm="1">
        <f t="array" ref="L357">_xlfn.IFS(
    I356=FALSE, "",
    Payment_Frequency="Monthly", EDATE(L356, 1),
    Payment_Frequency="Weekly", DATE(YEAR(L356), MONTH(L356), DAY(L356) + 7),
    Payment_Frequency="Fortnightly", DATE(YEAR(L356), MONTH(L356), DAY(L356) + 14),
    Payment_Frequency="Quarterly", DATE(YEAR(L356), MONTH(L356) + 3, DAY(L356)),
    Payment_Frequency="Yearly", DATE(YEAR(L356) + 1, MONTH(L356), DAY(L356)),
    TRUE, ""
)</f>
        <v/>
      </c>
      <c r="M357" s="1853">
        <f>IF(ISERROR(L357-L356),0,L357-L356)</f>
        <v>0</v>
      </c>
      <c r="N357" s="1851" cm="1">
        <f t="array" ref="N357">_xlfn.IFS(
    AND(I357=TRUE, K357&lt;=No_Regular_Payments), Repay_Amt,
    AND(I357=TRUE, K357=No_Regular_Payments+1), Tm_Balloon_Amt,
   TRUE, 0
)</f>
        <v>0</v>
      </c>
      <c r="O357" s="1850" cm="1">
        <f t="array" ref="O357">_xlfn.IFS(
    M357=0,0,
   ABS(N357 - S356 - P357-Q357) &lt; 1, N357 - S356-Q357,
    TRUE, P357
)</f>
        <v>0</v>
      </c>
      <c r="P357" s="1852">
        <f>IF(M357=0,0,ROUND(S356*EXP(Int_Rate/365.25 * M357)-S356,2))</f>
        <v>0</v>
      </c>
      <c r="Q357" s="1851" cm="1">
        <f t="array" ref="Q357">_xlfn.IFS(
    AND(I357=TRUE, K357&lt;=No_Regular_Payments), Periodic_Admin_Charge,
   TRUE, 0
)</f>
        <v>0</v>
      </c>
      <c r="R357" s="1850">
        <f>N357-O357-Q357</f>
        <v>0</v>
      </c>
      <c r="S357" s="1850">
        <f>ROUND(S356-R357,2)</f>
        <v>0</v>
      </c>
      <c r="T357" s="1850">
        <f>ROUND(T356-(N357-Q357),2)</f>
        <v>0</v>
      </c>
      <c r="U357" s="1849"/>
      <c r="W357" s="1848"/>
      <c r="X357" s="1848"/>
      <c r="Y357" s="1848"/>
    </row>
    <row r="358" spans="2:25" hidden="1">
      <c r="B358" s="1815" t="b">
        <f>AND(I358=FALSE,N357=0,Q357=0,L357="")</f>
        <v>1</v>
      </c>
      <c r="C358" s="1844" t="str" cm="1">
        <f t="array" ref="C358">_xlfn.IFS(
    L358="", "",
    MONTH(L358) &lt;= End_of_Year_Month, YEAR(L358),
    TRUE, YEAR(L358) + 1
)</f>
        <v/>
      </c>
      <c r="F358" s="1857">
        <f>IF(L358="",0,L358)</f>
        <v>0</v>
      </c>
      <c r="G358" s="1856">
        <f>-(N358-Q358)</f>
        <v>0</v>
      </c>
      <c r="I358" s="1815" t="b">
        <f>K358&lt;=Number_Payments</f>
        <v>0</v>
      </c>
      <c r="J358" s="1855"/>
      <c r="K358" s="1351">
        <f>K357+1</f>
        <v>232</v>
      </c>
      <c r="L358" s="1854" t="str" cm="1">
        <f t="array" ref="L358">_xlfn.IFS(
    I357=FALSE, "",
    Payment_Frequency="Monthly", EDATE(L357, 1),
    Payment_Frequency="Weekly", DATE(YEAR(L357), MONTH(L357), DAY(L357) + 7),
    Payment_Frequency="Fortnightly", DATE(YEAR(L357), MONTH(L357), DAY(L357) + 14),
    Payment_Frequency="Quarterly", DATE(YEAR(L357), MONTH(L357) + 3, DAY(L357)),
    Payment_Frequency="Yearly", DATE(YEAR(L357) + 1, MONTH(L357), DAY(L357)),
    TRUE, ""
)</f>
        <v/>
      </c>
      <c r="M358" s="1853">
        <f>IF(ISERROR(L358-L357),0,L358-L357)</f>
        <v>0</v>
      </c>
      <c r="N358" s="1851" cm="1">
        <f t="array" ref="N358">_xlfn.IFS(
    AND(I358=TRUE, K358&lt;=No_Regular_Payments), Repay_Amt,
    AND(I358=TRUE, K358=No_Regular_Payments+1), Tm_Balloon_Amt,
   TRUE, 0
)</f>
        <v>0</v>
      </c>
      <c r="O358" s="1850" cm="1">
        <f t="array" ref="O358">_xlfn.IFS(
    M358=0,0,
   ABS(N358 - S357 - P358-Q358) &lt; 1, N358 - S357-Q358,
    TRUE, P358
)</f>
        <v>0</v>
      </c>
      <c r="P358" s="1852">
        <f>IF(M358=0,0,ROUND(S357*EXP(Int_Rate/365.25 * M358)-S357,2))</f>
        <v>0</v>
      </c>
      <c r="Q358" s="1851" cm="1">
        <f t="array" ref="Q358">_xlfn.IFS(
    AND(I358=TRUE, K358&lt;=No_Regular_Payments), Periodic_Admin_Charge,
   TRUE, 0
)</f>
        <v>0</v>
      </c>
      <c r="R358" s="1850">
        <f>N358-O358-Q358</f>
        <v>0</v>
      </c>
      <c r="S358" s="1850">
        <f>ROUND(S357-R358,2)</f>
        <v>0</v>
      </c>
      <c r="T358" s="1850">
        <f>ROUND(T357-(N358-Q358),2)</f>
        <v>0</v>
      </c>
      <c r="U358" s="1849"/>
      <c r="W358" s="1848"/>
      <c r="X358" s="1848"/>
      <c r="Y358" s="1848"/>
    </row>
    <row r="359" spans="2:25" hidden="1">
      <c r="B359" s="1815" t="b">
        <f>AND(I359=FALSE,N358=0,Q358=0,L358="")</f>
        <v>1</v>
      </c>
      <c r="C359" s="1844" t="str" cm="1">
        <f t="array" ref="C359">_xlfn.IFS(
    L359="", "",
    MONTH(L359) &lt;= End_of_Year_Month, YEAR(L359),
    TRUE, YEAR(L359) + 1
)</f>
        <v/>
      </c>
      <c r="F359" s="1857">
        <f>IF(L359="",0,L359)</f>
        <v>0</v>
      </c>
      <c r="G359" s="1856">
        <f>-(N359-Q359)</f>
        <v>0</v>
      </c>
      <c r="I359" s="1815" t="b">
        <f>K359&lt;=Number_Payments</f>
        <v>0</v>
      </c>
      <c r="J359" s="1855"/>
      <c r="K359" s="1351">
        <f>K358+1</f>
        <v>233</v>
      </c>
      <c r="L359" s="1854" t="str" cm="1">
        <f t="array" ref="L359">_xlfn.IFS(
    I358=FALSE, "",
    Payment_Frequency="Monthly", EDATE(L358, 1),
    Payment_Frequency="Weekly", DATE(YEAR(L358), MONTH(L358), DAY(L358) + 7),
    Payment_Frequency="Fortnightly", DATE(YEAR(L358), MONTH(L358), DAY(L358) + 14),
    Payment_Frequency="Quarterly", DATE(YEAR(L358), MONTH(L358) + 3, DAY(L358)),
    Payment_Frequency="Yearly", DATE(YEAR(L358) + 1, MONTH(L358), DAY(L358)),
    TRUE, ""
)</f>
        <v/>
      </c>
      <c r="M359" s="1853">
        <f>IF(ISERROR(L359-L358),0,L359-L358)</f>
        <v>0</v>
      </c>
      <c r="N359" s="1851" cm="1">
        <f t="array" ref="N359">_xlfn.IFS(
    AND(I359=TRUE, K359&lt;=No_Regular_Payments), Repay_Amt,
    AND(I359=TRUE, K359=No_Regular_Payments+1), Tm_Balloon_Amt,
   TRUE, 0
)</f>
        <v>0</v>
      </c>
      <c r="O359" s="1850" cm="1">
        <f t="array" ref="O359">_xlfn.IFS(
    M359=0,0,
   ABS(N359 - S358 - P359-Q359) &lt; 1, N359 - S358-Q359,
    TRUE, P359
)</f>
        <v>0</v>
      </c>
      <c r="P359" s="1852">
        <f>IF(M359=0,0,ROUND(S358*EXP(Int_Rate/365.25 * M359)-S358,2))</f>
        <v>0</v>
      </c>
      <c r="Q359" s="1851" cm="1">
        <f t="array" ref="Q359">_xlfn.IFS(
    AND(I359=TRUE, K359&lt;=No_Regular_Payments), Periodic_Admin_Charge,
   TRUE, 0
)</f>
        <v>0</v>
      </c>
      <c r="R359" s="1850">
        <f>N359-O359-Q359</f>
        <v>0</v>
      </c>
      <c r="S359" s="1850">
        <f>ROUND(S358-R359,2)</f>
        <v>0</v>
      </c>
      <c r="T359" s="1850">
        <f>ROUND(T358-(N359-Q359),2)</f>
        <v>0</v>
      </c>
      <c r="U359" s="1849"/>
      <c r="W359" s="1848"/>
      <c r="X359" s="1848"/>
      <c r="Y359" s="1848"/>
    </row>
    <row r="360" spans="2:25" hidden="1">
      <c r="B360" s="1815" t="b">
        <f>AND(I360=FALSE,N359=0,Q359=0,L359="")</f>
        <v>1</v>
      </c>
      <c r="C360" s="1844" t="str" cm="1">
        <f t="array" ref="C360">_xlfn.IFS(
    L360="", "",
    MONTH(L360) &lt;= End_of_Year_Month, YEAR(L360),
    TRUE, YEAR(L360) + 1
)</f>
        <v/>
      </c>
      <c r="F360" s="1857">
        <f>IF(L360="",0,L360)</f>
        <v>0</v>
      </c>
      <c r="G360" s="1856">
        <f>-(N360-Q360)</f>
        <v>0</v>
      </c>
      <c r="I360" s="1815" t="b">
        <f>K360&lt;=Number_Payments</f>
        <v>0</v>
      </c>
      <c r="J360" s="1855"/>
      <c r="K360" s="1351">
        <f>K359+1</f>
        <v>234</v>
      </c>
      <c r="L360" s="1854" t="str" cm="1">
        <f t="array" ref="L360">_xlfn.IFS(
    I359=FALSE, "",
    Payment_Frequency="Monthly", EDATE(L359, 1),
    Payment_Frequency="Weekly", DATE(YEAR(L359), MONTH(L359), DAY(L359) + 7),
    Payment_Frequency="Fortnightly", DATE(YEAR(L359), MONTH(L359), DAY(L359) + 14),
    Payment_Frequency="Quarterly", DATE(YEAR(L359), MONTH(L359) + 3, DAY(L359)),
    Payment_Frequency="Yearly", DATE(YEAR(L359) + 1, MONTH(L359), DAY(L359)),
    TRUE, ""
)</f>
        <v/>
      </c>
      <c r="M360" s="1853">
        <f>IF(ISERROR(L360-L359),0,L360-L359)</f>
        <v>0</v>
      </c>
      <c r="N360" s="1851" cm="1">
        <f t="array" ref="N360">_xlfn.IFS(
    AND(I360=TRUE, K360&lt;=No_Regular_Payments), Repay_Amt,
    AND(I360=TRUE, K360=No_Regular_Payments+1), Tm_Balloon_Amt,
   TRUE, 0
)</f>
        <v>0</v>
      </c>
      <c r="O360" s="1850" cm="1">
        <f t="array" ref="O360">_xlfn.IFS(
    M360=0,0,
   ABS(N360 - S359 - P360-Q360) &lt; 1, N360 - S359-Q360,
    TRUE, P360
)</f>
        <v>0</v>
      </c>
      <c r="P360" s="1852">
        <f>IF(M360=0,0,ROUND(S359*EXP(Int_Rate/365.25 * M360)-S359,2))</f>
        <v>0</v>
      </c>
      <c r="Q360" s="1851" cm="1">
        <f t="array" ref="Q360">_xlfn.IFS(
    AND(I360=TRUE, K360&lt;=No_Regular_Payments), Periodic_Admin_Charge,
   TRUE, 0
)</f>
        <v>0</v>
      </c>
      <c r="R360" s="1850">
        <f>N360-O360-Q360</f>
        <v>0</v>
      </c>
      <c r="S360" s="1850">
        <f>ROUND(S359-R360,2)</f>
        <v>0</v>
      </c>
      <c r="T360" s="1850">
        <f>ROUND(T359-(N360-Q360),2)</f>
        <v>0</v>
      </c>
      <c r="U360" s="1849"/>
      <c r="W360" s="1848"/>
      <c r="X360" s="1848"/>
      <c r="Y360" s="1848"/>
    </row>
    <row r="361" spans="2:25" hidden="1">
      <c r="B361" s="1815" t="b">
        <f>AND(I361=FALSE,N360=0,Q360=0,L360="")</f>
        <v>1</v>
      </c>
      <c r="C361" s="1844" t="str" cm="1">
        <f t="array" ref="C361">_xlfn.IFS(
    L361="", "",
    MONTH(L361) &lt;= End_of_Year_Month, YEAR(L361),
    TRUE, YEAR(L361) + 1
)</f>
        <v/>
      </c>
      <c r="F361" s="1857">
        <f>IF(L361="",0,L361)</f>
        <v>0</v>
      </c>
      <c r="G361" s="1856">
        <f>-(N361-Q361)</f>
        <v>0</v>
      </c>
      <c r="I361" s="1815" t="b">
        <f>K361&lt;=Number_Payments</f>
        <v>0</v>
      </c>
      <c r="J361" s="1855"/>
      <c r="K361" s="1351">
        <f>K360+1</f>
        <v>235</v>
      </c>
      <c r="L361" s="1854" t="str" cm="1">
        <f t="array" ref="L361">_xlfn.IFS(
    I360=FALSE, "",
    Payment_Frequency="Monthly", EDATE(L360, 1),
    Payment_Frequency="Weekly", DATE(YEAR(L360), MONTH(L360), DAY(L360) + 7),
    Payment_Frequency="Fortnightly", DATE(YEAR(L360), MONTH(L360), DAY(L360) + 14),
    Payment_Frequency="Quarterly", DATE(YEAR(L360), MONTH(L360) + 3, DAY(L360)),
    Payment_Frequency="Yearly", DATE(YEAR(L360) + 1, MONTH(L360), DAY(L360)),
    TRUE, ""
)</f>
        <v/>
      </c>
      <c r="M361" s="1853">
        <f>IF(ISERROR(L361-L360),0,L361-L360)</f>
        <v>0</v>
      </c>
      <c r="N361" s="1851" cm="1">
        <f t="array" ref="N361">_xlfn.IFS(
    AND(I361=TRUE, K361&lt;=No_Regular_Payments), Repay_Amt,
    AND(I361=TRUE, K361=No_Regular_Payments+1), Tm_Balloon_Amt,
   TRUE, 0
)</f>
        <v>0</v>
      </c>
      <c r="O361" s="1850" cm="1">
        <f t="array" ref="O361">_xlfn.IFS(
    M361=0,0,
   ABS(N361 - S360 - P361-Q361) &lt; 1, N361 - S360-Q361,
    TRUE, P361
)</f>
        <v>0</v>
      </c>
      <c r="P361" s="1852">
        <f>IF(M361=0,0,ROUND(S360*EXP(Int_Rate/365.25 * M361)-S360,2))</f>
        <v>0</v>
      </c>
      <c r="Q361" s="1851" cm="1">
        <f t="array" ref="Q361">_xlfn.IFS(
    AND(I361=TRUE, K361&lt;=No_Regular_Payments), Periodic_Admin_Charge,
   TRUE, 0
)</f>
        <v>0</v>
      </c>
      <c r="R361" s="1850">
        <f>N361-O361-Q361</f>
        <v>0</v>
      </c>
      <c r="S361" s="1850">
        <f>ROUND(S360-R361,2)</f>
        <v>0</v>
      </c>
      <c r="T361" s="1850">
        <f>ROUND(T360-(N361-Q361),2)</f>
        <v>0</v>
      </c>
      <c r="U361" s="1849"/>
      <c r="W361" s="1848"/>
      <c r="X361" s="1848"/>
      <c r="Y361" s="1848"/>
    </row>
    <row r="362" spans="2:25" hidden="1">
      <c r="B362" s="1815" t="b">
        <f>AND(I362=FALSE,N361=0,Q361=0,L361="")</f>
        <v>1</v>
      </c>
      <c r="C362" s="1844" t="str" cm="1">
        <f t="array" ref="C362">_xlfn.IFS(
    L362="", "",
    MONTH(L362) &lt;= End_of_Year_Month, YEAR(L362),
    TRUE, YEAR(L362) + 1
)</f>
        <v/>
      </c>
      <c r="F362" s="1857">
        <f>IF(L362="",0,L362)</f>
        <v>0</v>
      </c>
      <c r="G362" s="1856">
        <f>-(N362-Q362)</f>
        <v>0</v>
      </c>
      <c r="I362" s="1815" t="b">
        <f>K362&lt;=Number_Payments</f>
        <v>0</v>
      </c>
      <c r="J362" s="1855"/>
      <c r="K362" s="1351">
        <f>K361+1</f>
        <v>236</v>
      </c>
      <c r="L362" s="1854" t="str" cm="1">
        <f t="array" ref="L362">_xlfn.IFS(
    I361=FALSE, "",
    Payment_Frequency="Monthly", EDATE(L361, 1),
    Payment_Frequency="Weekly", DATE(YEAR(L361), MONTH(L361), DAY(L361) + 7),
    Payment_Frequency="Fortnightly", DATE(YEAR(L361), MONTH(L361), DAY(L361) + 14),
    Payment_Frequency="Quarterly", DATE(YEAR(L361), MONTH(L361) + 3, DAY(L361)),
    Payment_Frequency="Yearly", DATE(YEAR(L361) + 1, MONTH(L361), DAY(L361)),
    TRUE, ""
)</f>
        <v/>
      </c>
      <c r="M362" s="1853">
        <f>IF(ISERROR(L362-L361),0,L362-L361)</f>
        <v>0</v>
      </c>
      <c r="N362" s="1851" cm="1">
        <f t="array" ref="N362">_xlfn.IFS(
    AND(I362=TRUE, K362&lt;=No_Regular_Payments), Repay_Amt,
    AND(I362=TRUE, K362=No_Regular_Payments+1), Tm_Balloon_Amt,
   TRUE, 0
)</f>
        <v>0</v>
      </c>
      <c r="O362" s="1850" cm="1">
        <f t="array" ref="O362">_xlfn.IFS(
    M362=0,0,
   ABS(N362 - S361 - P362-Q362) &lt; 1, N362 - S361-Q362,
    TRUE, P362
)</f>
        <v>0</v>
      </c>
      <c r="P362" s="1852">
        <f>IF(M362=0,0,ROUND(S361*EXP(Int_Rate/365.25 * M362)-S361,2))</f>
        <v>0</v>
      </c>
      <c r="Q362" s="1851" cm="1">
        <f t="array" ref="Q362">_xlfn.IFS(
    AND(I362=TRUE, K362&lt;=No_Regular_Payments), Periodic_Admin_Charge,
   TRUE, 0
)</f>
        <v>0</v>
      </c>
      <c r="R362" s="1850">
        <f>N362-O362-Q362</f>
        <v>0</v>
      </c>
      <c r="S362" s="1850">
        <f>ROUND(S361-R362,2)</f>
        <v>0</v>
      </c>
      <c r="T362" s="1850">
        <f>ROUND(T361-(N362-Q362),2)</f>
        <v>0</v>
      </c>
      <c r="U362" s="1849"/>
      <c r="W362" s="1848"/>
      <c r="X362" s="1848"/>
      <c r="Y362" s="1848"/>
    </row>
    <row r="363" spans="2:25" hidden="1">
      <c r="B363" s="1815" t="b">
        <f>AND(I363=FALSE,N362=0,Q362=0,L362="")</f>
        <v>1</v>
      </c>
      <c r="C363" s="1844" t="str" cm="1">
        <f t="array" ref="C363">_xlfn.IFS(
    L363="", "",
    MONTH(L363) &lt;= End_of_Year_Month, YEAR(L363),
    TRUE, YEAR(L363) + 1
)</f>
        <v/>
      </c>
      <c r="F363" s="1857">
        <f>IF(L363="",0,L363)</f>
        <v>0</v>
      </c>
      <c r="G363" s="1856">
        <f>-(N363-Q363)</f>
        <v>0</v>
      </c>
      <c r="I363" s="1815" t="b">
        <f>K363&lt;=Number_Payments</f>
        <v>0</v>
      </c>
      <c r="J363" s="1855"/>
      <c r="K363" s="1351">
        <f>K362+1</f>
        <v>237</v>
      </c>
      <c r="L363" s="1854" t="str" cm="1">
        <f t="array" ref="L363">_xlfn.IFS(
    I362=FALSE, "",
    Payment_Frequency="Monthly", EDATE(L362, 1),
    Payment_Frequency="Weekly", DATE(YEAR(L362), MONTH(L362), DAY(L362) + 7),
    Payment_Frequency="Fortnightly", DATE(YEAR(L362), MONTH(L362), DAY(L362) + 14),
    Payment_Frequency="Quarterly", DATE(YEAR(L362), MONTH(L362) + 3, DAY(L362)),
    Payment_Frequency="Yearly", DATE(YEAR(L362) + 1, MONTH(L362), DAY(L362)),
    TRUE, ""
)</f>
        <v/>
      </c>
      <c r="M363" s="1853">
        <f>IF(ISERROR(L363-L362),0,L363-L362)</f>
        <v>0</v>
      </c>
      <c r="N363" s="1851" cm="1">
        <f t="array" ref="N363">_xlfn.IFS(
    AND(I363=TRUE, K363&lt;=No_Regular_Payments), Repay_Amt,
    AND(I363=TRUE, K363=No_Regular_Payments+1), Tm_Balloon_Amt,
   TRUE, 0
)</f>
        <v>0</v>
      </c>
      <c r="O363" s="1850" cm="1">
        <f t="array" ref="O363">_xlfn.IFS(
    M363=0,0,
   ABS(N363 - S362 - P363-Q363) &lt; 1, N363 - S362-Q363,
    TRUE, P363
)</f>
        <v>0</v>
      </c>
      <c r="P363" s="1852">
        <f>IF(M363=0,0,ROUND(S362*EXP(Int_Rate/365.25 * M363)-S362,2))</f>
        <v>0</v>
      </c>
      <c r="Q363" s="1851" cm="1">
        <f t="array" ref="Q363">_xlfn.IFS(
    AND(I363=TRUE, K363&lt;=No_Regular_Payments), Periodic_Admin_Charge,
   TRUE, 0
)</f>
        <v>0</v>
      </c>
      <c r="R363" s="1850">
        <f>N363-O363-Q363</f>
        <v>0</v>
      </c>
      <c r="S363" s="1850">
        <f>ROUND(S362-R363,2)</f>
        <v>0</v>
      </c>
      <c r="T363" s="1850">
        <f>ROUND(T362-(N363-Q363),2)</f>
        <v>0</v>
      </c>
      <c r="U363" s="1849"/>
      <c r="W363" s="1848"/>
      <c r="X363" s="1848"/>
      <c r="Y363" s="1848"/>
    </row>
    <row r="364" spans="2:25" hidden="1">
      <c r="B364" s="1815" t="b">
        <f>AND(I364=FALSE,N363=0,Q363=0,L363="")</f>
        <v>1</v>
      </c>
      <c r="C364" s="1844" t="str" cm="1">
        <f t="array" ref="C364">_xlfn.IFS(
    L364="", "",
    MONTH(L364) &lt;= End_of_Year_Month, YEAR(L364),
    TRUE, YEAR(L364) + 1
)</f>
        <v/>
      </c>
      <c r="F364" s="1857">
        <f>IF(L364="",0,L364)</f>
        <v>0</v>
      </c>
      <c r="G364" s="1856">
        <f>-(N364-Q364)</f>
        <v>0</v>
      </c>
      <c r="I364" s="1815" t="b">
        <f>K364&lt;=Number_Payments</f>
        <v>0</v>
      </c>
      <c r="J364" s="1855"/>
      <c r="K364" s="1351">
        <f>K363+1</f>
        <v>238</v>
      </c>
      <c r="L364" s="1854" t="str" cm="1">
        <f t="array" ref="L364">_xlfn.IFS(
    I363=FALSE, "",
    Payment_Frequency="Monthly", EDATE(L363, 1),
    Payment_Frequency="Weekly", DATE(YEAR(L363), MONTH(L363), DAY(L363) + 7),
    Payment_Frequency="Fortnightly", DATE(YEAR(L363), MONTH(L363), DAY(L363) + 14),
    Payment_Frequency="Quarterly", DATE(YEAR(L363), MONTH(L363) + 3, DAY(L363)),
    Payment_Frequency="Yearly", DATE(YEAR(L363) + 1, MONTH(L363), DAY(L363)),
    TRUE, ""
)</f>
        <v/>
      </c>
      <c r="M364" s="1853">
        <f>IF(ISERROR(L364-L363),0,L364-L363)</f>
        <v>0</v>
      </c>
      <c r="N364" s="1851" cm="1">
        <f t="array" ref="N364">_xlfn.IFS(
    AND(I364=TRUE, K364&lt;=No_Regular_Payments), Repay_Amt,
    AND(I364=TRUE, K364=No_Regular_Payments+1), Tm_Balloon_Amt,
   TRUE, 0
)</f>
        <v>0</v>
      </c>
      <c r="O364" s="1850" cm="1">
        <f t="array" ref="O364">_xlfn.IFS(
    M364=0,0,
   ABS(N364 - S363 - P364-Q364) &lt; 1, N364 - S363-Q364,
    TRUE, P364
)</f>
        <v>0</v>
      </c>
      <c r="P364" s="1852">
        <f>IF(M364=0,0,ROUND(S363*EXP(Int_Rate/365.25 * M364)-S363,2))</f>
        <v>0</v>
      </c>
      <c r="Q364" s="1851" cm="1">
        <f t="array" ref="Q364">_xlfn.IFS(
    AND(I364=TRUE, K364&lt;=No_Regular_Payments), Periodic_Admin_Charge,
   TRUE, 0
)</f>
        <v>0</v>
      </c>
      <c r="R364" s="1850">
        <f>N364-O364-Q364</f>
        <v>0</v>
      </c>
      <c r="S364" s="1850">
        <f>ROUND(S363-R364,2)</f>
        <v>0</v>
      </c>
      <c r="T364" s="1850">
        <f>ROUND(T363-(N364-Q364),2)</f>
        <v>0</v>
      </c>
      <c r="U364" s="1849"/>
      <c r="W364" s="1848"/>
      <c r="X364" s="1848"/>
      <c r="Y364" s="1848"/>
    </row>
    <row r="365" spans="2:25" hidden="1">
      <c r="B365" s="1815" t="b">
        <f>AND(I365=FALSE,N364=0,Q364=0,L364="")</f>
        <v>1</v>
      </c>
      <c r="C365" s="1844" t="str" cm="1">
        <f t="array" ref="C365">_xlfn.IFS(
    L365="", "",
    MONTH(L365) &lt;= End_of_Year_Month, YEAR(L365),
    TRUE, YEAR(L365) + 1
)</f>
        <v/>
      </c>
      <c r="F365" s="1857">
        <f>IF(L365="",0,L365)</f>
        <v>0</v>
      </c>
      <c r="G365" s="1856">
        <f>-(N365-Q365)</f>
        <v>0</v>
      </c>
      <c r="I365" s="1815" t="b">
        <f>K365&lt;=Number_Payments</f>
        <v>0</v>
      </c>
      <c r="J365" s="1855"/>
      <c r="K365" s="1351">
        <f>K364+1</f>
        <v>239</v>
      </c>
      <c r="L365" s="1854" t="str" cm="1">
        <f t="array" ref="L365">_xlfn.IFS(
    I364=FALSE, "",
    Payment_Frequency="Monthly", EDATE(L364, 1),
    Payment_Frequency="Weekly", DATE(YEAR(L364), MONTH(L364), DAY(L364) + 7),
    Payment_Frequency="Fortnightly", DATE(YEAR(L364), MONTH(L364), DAY(L364) + 14),
    Payment_Frequency="Quarterly", DATE(YEAR(L364), MONTH(L364) + 3, DAY(L364)),
    Payment_Frequency="Yearly", DATE(YEAR(L364) + 1, MONTH(L364), DAY(L364)),
    TRUE, ""
)</f>
        <v/>
      </c>
      <c r="M365" s="1853">
        <f>IF(ISERROR(L365-L364),0,L365-L364)</f>
        <v>0</v>
      </c>
      <c r="N365" s="1851" cm="1">
        <f t="array" ref="N365">_xlfn.IFS(
    AND(I365=TRUE, K365&lt;=No_Regular_Payments), Repay_Amt,
    AND(I365=TRUE, K365=No_Regular_Payments+1), Tm_Balloon_Amt,
   TRUE, 0
)</f>
        <v>0</v>
      </c>
      <c r="O365" s="1850" cm="1">
        <f t="array" ref="O365">_xlfn.IFS(
    M365=0,0,
   ABS(N365 - S364 - P365-Q365) &lt; 1, N365 - S364-Q365,
    TRUE, P365
)</f>
        <v>0</v>
      </c>
      <c r="P365" s="1852">
        <f>IF(M365=0,0,ROUND(S364*EXP(Int_Rate/365.25 * M365)-S364,2))</f>
        <v>0</v>
      </c>
      <c r="Q365" s="1851" cm="1">
        <f t="array" ref="Q365">_xlfn.IFS(
    AND(I365=TRUE, K365&lt;=No_Regular_Payments), Periodic_Admin_Charge,
   TRUE, 0
)</f>
        <v>0</v>
      </c>
      <c r="R365" s="1850">
        <f>N365-O365-Q365</f>
        <v>0</v>
      </c>
      <c r="S365" s="1850">
        <f>ROUND(S364-R365,2)</f>
        <v>0</v>
      </c>
      <c r="T365" s="1850">
        <f>ROUND(T364-(N365-Q365),2)</f>
        <v>0</v>
      </c>
      <c r="U365" s="1849"/>
      <c r="W365" s="1848"/>
      <c r="X365" s="1848"/>
      <c r="Y365" s="1848"/>
    </row>
    <row r="366" spans="2:25" hidden="1">
      <c r="B366" s="1815" t="b">
        <f>AND(I366=FALSE,N365=0,Q365=0,L365="")</f>
        <v>1</v>
      </c>
      <c r="C366" s="1844" t="str" cm="1">
        <f t="array" ref="C366">_xlfn.IFS(
    L366="", "",
    MONTH(L366) &lt;= End_of_Year_Month, YEAR(L366),
    TRUE, YEAR(L366) + 1
)</f>
        <v/>
      </c>
      <c r="F366" s="1857">
        <f>IF(L366="",0,L366)</f>
        <v>0</v>
      </c>
      <c r="G366" s="1856">
        <f>-(N366-Q366)</f>
        <v>0</v>
      </c>
      <c r="I366" s="1815" t="b">
        <f>K366&lt;=Number_Payments</f>
        <v>0</v>
      </c>
      <c r="J366" s="1855"/>
      <c r="K366" s="1351">
        <f>K365+1</f>
        <v>240</v>
      </c>
      <c r="L366" s="1854" t="str" cm="1">
        <f t="array" ref="L366">_xlfn.IFS(
    I365=FALSE, "",
    Payment_Frequency="Monthly", EDATE(L365, 1),
    Payment_Frequency="Weekly", DATE(YEAR(L365), MONTH(L365), DAY(L365) + 7),
    Payment_Frequency="Fortnightly", DATE(YEAR(L365), MONTH(L365), DAY(L365) + 14),
    Payment_Frequency="Quarterly", DATE(YEAR(L365), MONTH(L365) + 3, DAY(L365)),
    Payment_Frequency="Yearly", DATE(YEAR(L365) + 1, MONTH(L365), DAY(L365)),
    TRUE, ""
)</f>
        <v/>
      </c>
      <c r="M366" s="1853">
        <f>IF(ISERROR(L366-L365),0,L366-L365)</f>
        <v>0</v>
      </c>
      <c r="N366" s="1851" cm="1">
        <f t="array" ref="N366">_xlfn.IFS(
    AND(I366=TRUE, K366&lt;=No_Regular_Payments), Repay_Amt,
    AND(I366=TRUE, K366=No_Regular_Payments+1), Tm_Balloon_Amt,
   TRUE, 0
)</f>
        <v>0</v>
      </c>
      <c r="O366" s="1850" cm="1">
        <f t="array" ref="O366">_xlfn.IFS(
    M366=0,0,
   ABS(N366 - S365 - P366-Q366) &lt; 1, N366 - S365-Q366,
    TRUE, P366
)</f>
        <v>0</v>
      </c>
      <c r="P366" s="1852">
        <f>IF(M366=0,0,ROUND(S365*EXP(Int_Rate/365.25 * M366)-S365,2))</f>
        <v>0</v>
      </c>
      <c r="Q366" s="1851" cm="1">
        <f t="array" ref="Q366">_xlfn.IFS(
    AND(I366=TRUE, K366&lt;=No_Regular_Payments), Periodic_Admin_Charge,
   TRUE, 0
)</f>
        <v>0</v>
      </c>
      <c r="R366" s="1850">
        <f>N366-O366-Q366</f>
        <v>0</v>
      </c>
      <c r="S366" s="1850">
        <f>ROUND(S365-R366,2)</f>
        <v>0</v>
      </c>
      <c r="T366" s="1850">
        <f>ROUND(T365-(N366-Q366),2)</f>
        <v>0</v>
      </c>
      <c r="U366" s="1849"/>
      <c r="W366" s="1848"/>
      <c r="X366" s="1848"/>
      <c r="Y366" s="1848"/>
    </row>
    <row r="367" spans="2:25" hidden="1">
      <c r="B367" s="1815" t="b">
        <f>AND(I367=FALSE,N366=0,Q366=0,L366="")</f>
        <v>1</v>
      </c>
      <c r="C367" s="1844" t="str" cm="1">
        <f t="array" ref="C367">_xlfn.IFS(
    L367="", "",
    MONTH(L367) &lt;= End_of_Year_Month, YEAR(L367),
    TRUE, YEAR(L367) + 1
)</f>
        <v/>
      </c>
      <c r="F367" s="1857">
        <f>IF(L367="",0,L367)</f>
        <v>0</v>
      </c>
      <c r="G367" s="1856">
        <f>-(N367-Q367)</f>
        <v>0</v>
      </c>
      <c r="I367" s="1815" t="b">
        <f>K367&lt;=Number_Payments</f>
        <v>0</v>
      </c>
      <c r="J367" s="1855"/>
      <c r="K367" s="1351">
        <f>K366+1</f>
        <v>241</v>
      </c>
      <c r="L367" s="1854" t="str" cm="1">
        <f t="array" ref="L367">_xlfn.IFS(
    I366=FALSE, "",
    Payment_Frequency="Monthly", EDATE(L366, 1),
    Payment_Frequency="Weekly", DATE(YEAR(L366), MONTH(L366), DAY(L366) + 7),
    Payment_Frequency="Fortnightly", DATE(YEAR(L366), MONTH(L366), DAY(L366) + 14),
    Payment_Frequency="Quarterly", DATE(YEAR(L366), MONTH(L366) + 3, DAY(L366)),
    Payment_Frequency="Yearly", DATE(YEAR(L366) + 1, MONTH(L366), DAY(L366)),
    TRUE, ""
)</f>
        <v/>
      </c>
      <c r="M367" s="1853">
        <f>IF(ISERROR(L367-L366),0,L367-L366)</f>
        <v>0</v>
      </c>
      <c r="N367" s="1851" cm="1">
        <f t="array" ref="N367">_xlfn.IFS(
    AND(I367=TRUE, K367&lt;=No_Regular_Payments), Repay_Amt,
    AND(I367=TRUE, K367=No_Regular_Payments+1), Tm_Balloon_Amt,
   TRUE, 0
)</f>
        <v>0</v>
      </c>
      <c r="O367" s="1850" cm="1">
        <f t="array" ref="O367">_xlfn.IFS(
    M367=0,0,
   ABS(N367 - S366 - P367-Q367) &lt; 1, N367 - S366-Q367,
    TRUE, P367
)</f>
        <v>0</v>
      </c>
      <c r="P367" s="1852">
        <f>IF(M367=0,0,ROUND(S366*EXP(Int_Rate/365.25 * M367)-S366,2))</f>
        <v>0</v>
      </c>
      <c r="Q367" s="1851" cm="1">
        <f t="array" ref="Q367">_xlfn.IFS(
    AND(I367=TRUE, K367&lt;=No_Regular_Payments), Periodic_Admin_Charge,
   TRUE, 0
)</f>
        <v>0</v>
      </c>
      <c r="R367" s="1850">
        <f>N367-O367-Q367</f>
        <v>0</v>
      </c>
      <c r="S367" s="1850">
        <f>ROUND(S366-R367,2)</f>
        <v>0</v>
      </c>
      <c r="T367" s="1850">
        <f>ROUND(T366-(N367-Q367),2)</f>
        <v>0</v>
      </c>
      <c r="U367" s="1849"/>
      <c r="W367" s="1848"/>
      <c r="X367" s="1848"/>
      <c r="Y367" s="1848"/>
    </row>
    <row r="368" spans="2:25" hidden="1">
      <c r="B368" s="1815" t="b">
        <f>AND(I368=FALSE,N367=0,Q367=0,L367="")</f>
        <v>1</v>
      </c>
      <c r="C368" s="1844" t="str" cm="1">
        <f t="array" ref="C368">_xlfn.IFS(
    L368="", "",
    MONTH(L368) &lt;= End_of_Year_Month, YEAR(L368),
    TRUE, YEAR(L368) + 1
)</f>
        <v/>
      </c>
      <c r="F368" s="1857">
        <f>IF(L368="",0,L368)</f>
        <v>0</v>
      </c>
      <c r="G368" s="1856">
        <f>-(N368-Q368)</f>
        <v>0</v>
      </c>
      <c r="I368" s="1815" t="b">
        <f>K368&lt;=Number_Payments</f>
        <v>0</v>
      </c>
      <c r="J368" s="1855"/>
      <c r="K368" s="1351">
        <f>K367+1</f>
        <v>242</v>
      </c>
      <c r="L368" s="1854" t="str" cm="1">
        <f t="array" ref="L368">_xlfn.IFS(
    I367=FALSE, "",
    Payment_Frequency="Monthly", EDATE(L367, 1),
    Payment_Frequency="Weekly", DATE(YEAR(L367), MONTH(L367), DAY(L367) + 7),
    Payment_Frequency="Fortnightly", DATE(YEAR(L367), MONTH(L367), DAY(L367) + 14),
    Payment_Frequency="Quarterly", DATE(YEAR(L367), MONTH(L367) + 3, DAY(L367)),
    Payment_Frequency="Yearly", DATE(YEAR(L367) + 1, MONTH(L367), DAY(L367)),
    TRUE, ""
)</f>
        <v/>
      </c>
      <c r="M368" s="1853">
        <f>IF(ISERROR(L368-L367),0,L368-L367)</f>
        <v>0</v>
      </c>
      <c r="N368" s="1851" cm="1">
        <f t="array" ref="N368">_xlfn.IFS(
    AND(I368=TRUE, K368&lt;=No_Regular_Payments), Repay_Amt,
    AND(I368=TRUE, K368=No_Regular_Payments+1), Tm_Balloon_Amt,
   TRUE, 0
)</f>
        <v>0</v>
      </c>
      <c r="O368" s="1850" cm="1">
        <f t="array" ref="O368">_xlfn.IFS(
    M368=0,0,
   ABS(N368 - S367 - P368-Q368) &lt; 1, N368 - S367-Q368,
    TRUE, P368
)</f>
        <v>0</v>
      </c>
      <c r="P368" s="1852">
        <f>IF(M368=0,0,ROUND(S367*EXP(Int_Rate/365.25 * M368)-S367,2))</f>
        <v>0</v>
      </c>
      <c r="Q368" s="1851" cm="1">
        <f t="array" ref="Q368">_xlfn.IFS(
    AND(I368=TRUE, K368&lt;=No_Regular_Payments), Periodic_Admin_Charge,
   TRUE, 0
)</f>
        <v>0</v>
      </c>
      <c r="R368" s="1850">
        <f>N368-O368-Q368</f>
        <v>0</v>
      </c>
      <c r="S368" s="1850">
        <f>ROUND(S367-R368,2)</f>
        <v>0</v>
      </c>
      <c r="T368" s="1850">
        <f>ROUND(T367-(N368-Q368),2)</f>
        <v>0</v>
      </c>
      <c r="U368" s="1849"/>
      <c r="W368" s="1848"/>
      <c r="X368" s="1848"/>
      <c r="Y368" s="1848"/>
    </row>
    <row r="369" spans="2:25" hidden="1">
      <c r="B369" s="1815" t="b">
        <f>AND(I369=FALSE,N368=0,Q368=0,L368="")</f>
        <v>1</v>
      </c>
      <c r="C369" s="1844" t="str" cm="1">
        <f t="array" ref="C369">_xlfn.IFS(
    L369="", "",
    MONTH(L369) &lt;= End_of_Year_Month, YEAR(L369),
    TRUE, YEAR(L369) + 1
)</f>
        <v/>
      </c>
      <c r="F369" s="1857">
        <f>IF(L369="",0,L369)</f>
        <v>0</v>
      </c>
      <c r="G369" s="1856">
        <f>-(N369-Q369)</f>
        <v>0</v>
      </c>
      <c r="I369" s="1815" t="b">
        <f>K369&lt;=Number_Payments</f>
        <v>0</v>
      </c>
      <c r="J369" s="1855"/>
      <c r="K369" s="1351">
        <f>K368+1</f>
        <v>243</v>
      </c>
      <c r="L369" s="1854" t="str" cm="1">
        <f t="array" ref="L369">_xlfn.IFS(
    I368=FALSE, "",
    Payment_Frequency="Monthly", EDATE(L368, 1),
    Payment_Frequency="Weekly", DATE(YEAR(L368), MONTH(L368), DAY(L368) + 7),
    Payment_Frequency="Fortnightly", DATE(YEAR(L368), MONTH(L368), DAY(L368) + 14),
    Payment_Frequency="Quarterly", DATE(YEAR(L368), MONTH(L368) + 3, DAY(L368)),
    Payment_Frequency="Yearly", DATE(YEAR(L368) + 1, MONTH(L368), DAY(L368)),
    TRUE, ""
)</f>
        <v/>
      </c>
      <c r="M369" s="1853">
        <f>IF(ISERROR(L369-L368),0,L369-L368)</f>
        <v>0</v>
      </c>
      <c r="N369" s="1851" cm="1">
        <f t="array" ref="N369">_xlfn.IFS(
    AND(I369=TRUE, K369&lt;=No_Regular_Payments), Repay_Amt,
    AND(I369=TRUE, K369=No_Regular_Payments+1), Tm_Balloon_Amt,
   TRUE, 0
)</f>
        <v>0</v>
      </c>
      <c r="O369" s="1850" cm="1">
        <f t="array" ref="O369">_xlfn.IFS(
    M369=0,0,
   ABS(N369 - S368 - P369-Q369) &lt; 1, N369 - S368-Q369,
    TRUE, P369
)</f>
        <v>0</v>
      </c>
      <c r="P369" s="1852">
        <f>IF(M369=0,0,ROUND(S368*EXP(Int_Rate/365.25 * M369)-S368,2))</f>
        <v>0</v>
      </c>
      <c r="Q369" s="1851" cm="1">
        <f t="array" ref="Q369">_xlfn.IFS(
    AND(I369=TRUE, K369&lt;=No_Regular_Payments), Periodic_Admin_Charge,
   TRUE, 0
)</f>
        <v>0</v>
      </c>
      <c r="R369" s="1850">
        <f>N369-O369-Q369</f>
        <v>0</v>
      </c>
      <c r="S369" s="1850">
        <f>ROUND(S368-R369,2)</f>
        <v>0</v>
      </c>
      <c r="T369" s="1850">
        <f>ROUND(T368-(N369-Q369),2)</f>
        <v>0</v>
      </c>
      <c r="U369" s="1849"/>
      <c r="W369" s="1848"/>
      <c r="X369" s="1848"/>
      <c r="Y369" s="1848"/>
    </row>
    <row r="370" spans="2:25" hidden="1">
      <c r="B370" s="1815" t="b">
        <f>AND(I370=FALSE,N369=0,Q369=0,L369="")</f>
        <v>1</v>
      </c>
      <c r="C370" s="1844" t="str" cm="1">
        <f t="array" ref="C370">_xlfn.IFS(
    L370="", "",
    MONTH(L370) &lt;= End_of_Year_Month, YEAR(L370),
    TRUE, YEAR(L370) + 1
)</f>
        <v/>
      </c>
      <c r="F370" s="1857">
        <f>IF(L370="",0,L370)</f>
        <v>0</v>
      </c>
      <c r="G370" s="1856">
        <f>-(N370-Q370)</f>
        <v>0</v>
      </c>
      <c r="I370" s="1815" t="b">
        <f>K370&lt;=Number_Payments</f>
        <v>0</v>
      </c>
      <c r="J370" s="1855"/>
      <c r="K370" s="1351">
        <f>K369+1</f>
        <v>244</v>
      </c>
      <c r="L370" s="1854" t="str" cm="1">
        <f t="array" ref="L370">_xlfn.IFS(
    I369=FALSE, "",
    Payment_Frequency="Monthly", EDATE(L369, 1),
    Payment_Frequency="Weekly", DATE(YEAR(L369), MONTH(L369), DAY(L369) + 7),
    Payment_Frequency="Fortnightly", DATE(YEAR(L369), MONTH(L369), DAY(L369) + 14),
    Payment_Frequency="Quarterly", DATE(YEAR(L369), MONTH(L369) + 3, DAY(L369)),
    Payment_Frequency="Yearly", DATE(YEAR(L369) + 1, MONTH(L369), DAY(L369)),
    TRUE, ""
)</f>
        <v/>
      </c>
      <c r="M370" s="1853">
        <f>IF(ISERROR(L370-L369),0,L370-L369)</f>
        <v>0</v>
      </c>
      <c r="N370" s="1851" cm="1">
        <f t="array" ref="N370">_xlfn.IFS(
    AND(I370=TRUE, K370&lt;=No_Regular_Payments), Repay_Amt,
    AND(I370=TRUE, K370=No_Regular_Payments+1), Tm_Balloon_Amt,
   TRUE, 0
)</f>
        <v>0</v>
      </c>
      <c r="O370" s="1850" cm="1">
        <f t="array" ref="O370">_xlfn.IFS(
    M370=0,0,
   ABS(N370 - S369 - P370-Q370) &lt; 1, N370 - S369-Q370,
    TRUE, P370
)</f>
        <v>0</v>
      </c>
      <c r="P370" s="1852">
        <f>IF(M370=0,0,ROUND(S369*EXP(Int_Rate/365.25 * M370)-S369,2))</f>
        <v>0</v>
      </c>
      <c r="Q370" s="1851" cm="1">
        <f t="array" ref="Q370">_xlfn.IFS(
    AND(I370=TRUE, K370&lt;=No_Regular_Payments), Periodic_Admin_Charge,
   TRUE, 0
)</f>
        <v>0</v>
      </c>
      <c r="R370" s="1850">
        <f>N370-O370-Q370</f>
        <v>0</v>
      </c>
      <c r="S370" s="1850">
        <f>ROUND(S369-R370,2)</f>
        <v>0</v>
      </c>
      <c r="T370" s="1850">
        <f>ROUND(T369-(N370-Q370),2)</f>
        <v>0</v>
      </c>
      <c r="U370" s="1849"/>
      <c r="W370" s="1848"/>
      <c r="X370" s="1848"/>
      <c r="Y370" s="1848"/>
    </row>
    <row r="371" spans="2:25" hidden="1">
      <c r="B371" s="1815" t="b">
        <f>AND(I371=FALSE,N370=0,Q370=0,L370="")</f>
        <v>1</v>
      </c>
      <c r="C371" s="1844" t="str" cm="1">
        <f t="array" ref="C371">_xlfn.IFS(
    L371="", "",
    MONTH(L371) &lt;= End_of_Year_Month, YEAR(L371),
    TRUE, YEAR(L371) + 1
)</f>
        <v/>
      </c>
      <c r="F371" s="1857">
        <f>IF(L371="",0,L371)</f>
        <v>0</v>
      </c>
      <c r="G371" s="1856">
        <f>-(N371-Q371)</f>
        <v>0</v>
      </c>
      <c r="I371" s="1815" t="b">
        <f>K371&lt;=Number_Payments</f>
        <v>0</v>
      </c>
      <c r="J371" s="1855"/>
      <c r="K371" s="1351">
        <f>K370+1</f>
        <v>245</v>
      </c>
      <c r="L371" s="1854" t="str" cm="1">
        <f t="array" ref="L371">_xlfn.IFS(
    I370=FALSE, "",
    Payment_Frequency="Monthly", EDATE(L370, 1),
    Payment_Frequency="Weekly", DATE(YEAR(L370), MONTH(L370), DAY(L370) + 7),
    Payment_Frequency="Fortnightly", DATE(YEAR(L370), MONTH(L370), DAY(L370) + 14),
    Payment_Frequency="Quarterly", DATE(YEAR(L370), MONTH(L370) + 3, DAY(L370)),
    Payment_Frequency="Yearly", DATE(YEAR(L370) + 1, MONTH(L370), DAY(L370)),
    TRUE, ""
)</f>
        <v/>
      </c>
      <c r="M371" s="1853">
        <f>IF(ISERROR(L371-L370),0,L371-L370)</f>
        <v>0</v>
      </c>
      <c r="N371" s="1851" cm="1">
        <f t="array" ref="N371">_xlfn.IFS(
    AND(I371=TRUE, K371&lt;=No_Regular_Payments), Repay_Amt,
    AND(I371=TRUE, K371=No_Regular_Payments+1), Tm_Balloon_Amt,
   TRUE, 0
)</f>
        <v>0</v>
      </c>
      <c r="O371" s="1850" cm="1">
        <f t="array" ref="O371">_xlfn.IFS(
    M371=0,0,
   ABS(N371 - S370 - P371-Q371) &lt; 1, N371 - S370-Q371,
    TRUE, P371
)</f>
        <v>0</v>
      </c>
      <c r="P371" s="1852">
        <f>IF(M371=0,0,ROUND(S370*EXP(Int_Rate/365.25 * M371)-S370,2))</f>
        <v>0</v>
      </c>
      <c r="Q371" s="1851" cm="1">
        <f t="array" ref="Q371">_xlfn.IFS(
    AND(I371=TRUE, K371&lt;=No_Regular_Payments), Periodic_Admin_Charge,
   TRUE, 0
)</f>
        <v>0</v>
      </c>
      <c r="R371" s="1850">
        <f>N371-O371-Q371</f>
        <v>0</v>
      </c>
      <c r="S371" s="1850">
        <f>ROUND(S370-R371,2)</f>
        <v>0</v>
      </c>
      <c r="T371" s="1850">
        <f>ROUND(T370-(N371-Q371),2)</f>
        <v>0</v>
      </c>
      <c r="U371" s="1849"/>
      <c r="W371" s="1848"/>
      <c r="X371" s="1848"/>
      <c r="Y371" s="1848"/>
    </row>
    <row r="372" spans="2:25" hidden="1">
      <c r="B372" s="1815" t="b">
        <f>AND(I372=FALSE,N371=0,Q371=0,L371="")</f>
        <v>1</v>
      </c>
      <c r="C372" s="1844" t="str" cm="1">
        <f t="array" ref="C372">_xlfn.IFS(
    L372="", "",
    MONTH(L372) &lt;= End_of_Year_Month, YEAR(L372),
    TRUE, YEAR(L372) + 1
)</f>
        <v/>
      </c>
      <c r="F372" s="1857">
        <f>IF(L372="",0,L372)</f>
        <v>0</v>
      </c>
      <c r="G372" s="1856">
        <f>-(N372-Q372)</f>
        <v>0</v>
      </c>
      <c r="I372" s="1815" t="b">
        <f>K372&lt;=Number_Payments</f>
        <v>0</v>
      </c>
      <c r="J372" s="1855"/>
      <c r="K372" s="1351">
        <f>K371+1</f>
        <v>246</v>
      </c>
      <c r="L372" s="1854" t="str" cm="1">
        <f t="array" ref="L372">_xlfn.IFS(
    I371=FALSE, "",
    Payment_Frequency="Monthly", EDATE(L371, 1),
    Payment_Frequency="Weekly", DATE(YEAR(L371), MONTH(L371), DAY(L371) + 7),
    Payment_Frequency="Fortnightly", DATE(YEAR(L371), MONTH(L371), DAY(L371) + 14),
    Payment_Frequency="Quarterly", DATE(YEAR(L371), MONTH(L371) + 3, DAY(L371)),
    Payment_Frequency="Yearly", DATE(YEAR(L371) + 1, MONTH(L371), DAY(L371)),
    TRUE, ""
)</f>
        <v/>
      </c>
      <c r="M372" s="1853">
        <f>IF(ISERROR(L372-L371),0,L372-L371)</f>
        <v>0</v>
      </c>
      <c r="N372" s="1851" cm="1">
        <f t="array" ref="N372">_xlfn.IFS(
    AND(I372=TRUE, K372&lt;=No_Regular_Payments), Repay_Amt,
    AND(I372=TRUE, K372=No_Regular_Payments+1), Tm_Balloon_Amt,
   TRUE, 0
)</f>
        <v>0</v>
      </c>
      <c r="O372" s="1850" cm="1">
        <f t="array" ref="O372">_xlfn.IFS(
    M372=0,0,
   ABS(N372 - S371 - P372-Q372) &lt; 1, N372 - S371-Q372,
    TRUE, P372
)</f>
        <v>0</v>
      </c>
      <c r="P372" s="1852">
        <f>IF(M372=0,0,ROUND(S371*EXP(Int_Rate/365.25 * M372)-S371,2))</f>
        <v>0</v>
      </c>
      <c r="Q372" s="1851" cm="1">
        <f t="array" ref="Q372">_xlfn.IFS(
    AND(I372=TRUE, K372&lt;=No_Regular_Payments), Periodic_Admin_Charge,
   TRUE, 0
)</f>
        <v>0</v>
      </c>
      <c r="R372" s="1850">
        <f>N372-O372-Q372</f>
        <v>0</v>
      </c>
      <c r="S372" s="1850">
        <f>ROUND(S371-R372,2)</f>
        <v>0</v>
      </c>
      <c r="T372" s="1850">
        <f>ROUND(T371-(N372-Q372),2)</f>
        <v>0</v>
      </c>
      <c r="U372" s="1849"/>
      <c r="W372" s="1848"/>
      <c r="X372" s="1848"/>
      <c r="Y372" s="1848"/>
    </row>
    <row r="373" spans="2:25" hidden="1">
      <c r="B373" s="1815" t="b">
        <f>AND(I373=FALSE,N372=0,Q372=0,L372="")</f>
        <v>1</v>
      </c>
      <c r="C373" s="1844" t="str" cm="1">
        <f t="array" ref="C373">_xlfn.IFS(
    L373="", "",
    MONTH(L373) &lt;= End_of_Year_Month, YEAR(L373),
    TRUE, YEAR(L373) + 1
)</f>
        <v/>
      </c>
      <c r="F373" s="1857">
        <f>IF(L373="",0,L373)</f>
        <v>0</v>
      </c>
      <c r="G373" s="1856">
        <f>-(N373-Q373)</f>
        <v>0</v>
      </c>
      <c r="I373" s="1815" t="b">
        <f>K373&lt;=Number_Payments</f>
        <v>0</v>
      </c>
      <c r="J373" s="1855"/>
      <c r="K373" s="1351">
        <f>K372+1</f>
        <v>247</v>
      </c>
      <c r="L373" s="1854" t="str" cm="1">
        <f t="array" ref="L373">_xlfn.IFS(
    I372=FALSE, "",
    Payment_Frequency="Monthly", EDATE(L372, 1),
    Payment_Frequency="Weekly", DATE(YEAR(L372), MONTH(L372), DAY(L372) + 7),
    Payment_Frequency="Fortnightly", DATE(YEAR(L372), MONTH(L372), DAY(L372) + 14),
    Payment_Frequency="Quarterly", DATE(YEAR(L372), MONTH(L372) + 3, DAY(L372)),
    Payment_Frequency="Yearly", DATE(YEAR(L372) + 1, MONTH(L372), DAY(L372)),
    TRUE, ""
)</f>
        <v/>
      </c>
      <c r="M373" s="1853">
        <f>IF(ISERROR(L373-L372),0,L373-L372)</f>
        <v>0</v>
      </c>
      <c r="N373" s="1851" cm="1">
        <f t="array" ref="N373">_xlfn.IFS(
    AND(I373=TRUE, K373&lt;=No_Regular_Payments), Repay_Amt,
    AND(I373=TRUE, K373=No_Regular_Payments+1), Tm_Balloon_Amt,
   TRUE, 0
)</f>
        <v>0</v>
      </c>
      <c r="O373" s="1850" cm="1">
        <f t="array" ref="O373">_xlfn.IFS(
    M373=0,0,
   ABS(N373 - S372 - P373-Q373) &lt; 1, N373 - S372-Q373,
    TRUE, P373
)</f>
        <v>0</v>
      </c>
      <c r="P373" s="1852">
        <f>IF(M373=0,0,ROUND(S372*EXP(Int_Rate/365.25 * M373)-S372,2))</f>
        <v>0</v>
      </c>
      <c r="Q373" s="1851" cm="1">
        <f t="array" ref="Q373">_xlfn.IFS(
    AND(I373=TRUE, K373&lt;=No_Regular_Payments), Periodic_Admin_Charge,
   TRUE, 0
)</f>
        <v>0</v>
      </c>
      <c r="R373" s="1850">
        <f>N373-O373-Q373</f>
        <v>0</v>
      </c>
      <c r="S373" s="1850">
        <f>ROUND(S372-R373,2)</f>
        <v>0</v>
      </c>
      <c r="T373" s="1850">
        <f>ROUND(T372-(N373-Q373),2)</f>
        <v>0</v>
      </c>
      <c r="U373" s="1849"/>
      <c r="W373" s="1848"/>
      <c r="X373" s="1848"/>
      <c r="Y373" s="1848"/>
    </row>
    <row r="374" spans="2:25" hidden="1">
      <c r="B374" s="1815" t="b">
        <f>AND(I374=FALSE,N373=0,Q373=0,L373="")</f>
        <v>1</v>
      </c>
      <c r="C374" s="1844" t="str" cm="1">
        <f t="array" ref="C374">_xlfn.IFS(
    L374="", "",
    MONTH(L374) &lt;= End_of_Year_Month, YEAR(L374),
    TRUE, YEAR(L374) + 1
)</f>
        <v/>
      </c>
      <c r="F374" s="1857">
        <f>IF(L374="",0,L374)</f>
        <v>0</v>
      </c>
      <c r="G374" s="1856">
        <f>-(N374-Q374)</f>
        <v>0</v>
      </c>
      <c r="I374" s="1815" t="b">
        <f>K374&lt;=Number_Payments</f>
        <v>0</v>
      </c>
      <c r="J374" s="1855"/>
      <c r="K374" s="1351">
        <f>K373+1</f>
        <v>248</v>
      </c>
      <c r="L374" s="1854" t="str" cm="1">
        <f t="array" ref="L374">_xlfn.IFS(
    I373=FALSE, "",
    Payment_Frequency="Monthly", EDATE(L373, 1),
    Payment_Frequency="Weekly", DATE(YEAR(L373), MONTH(L373), DAY(L373) + 7),
    Payment_Frequency="Fortnightly", DATE(YEAR(L373), MONTH(L373), DAY(L373) + 14),
    Payment_Frequency="Quarterly", DATE(YEAR(L373), MONTH(L373) + 3, DAY(L373)),
    Payment_Frequency="Yearly", DATE(YEAR(L373) + 1, MONTH(L373), DAY(L373)),
    TRUE, ""
)</f>
        <v/>
      </c>
      <c r="M374" s="1853">
        <f>IF(ISERROR(L374-L373),0,L374-L373)</f>
        <v>0</v>
      </c>
      <c r="N374" s="1851" cm="1">
        <f t="array" ref="N374">_xlfn.IFS(
    AND(I374=TRUE, K374&lt;=No_Regular_Payments), Repay_Amt,
    AND(I374=TRUE, K374=No_Regular_Payments+1), Tm_Balloon_Amt,
   TRUE, 0
)</f>
        <v>0</v>
      </c>
      <c r="O374" s="1850" cm="1">
        <f t="array" ref="O374">_xlfn.IFS(
    M374=0,0,
   ABS(N374 - S373 - P374-Q374) &lt; 1, N374 - S373-Q374,
    TRUE, P374
)</f>
        <v>0</v>
      </c>
      <c r="P374" s="1852">
        <f>IF(M374=0,0,ROUND(S373*EXP(Int_Rate/365.25 * M374)-S373,2))</f>
        <v>0</v>
      </c>
      <c r="Q374" s="1851" cm="1">
        <f t="array" ref="Q374">_xlfn.IFS(
    AND(I374=TRUE, K374&lt;=No_Regular_Payments), Periodic_Admin_Charge,
   TRUE, 0
)</f>
        <v>0</v>
      </c>
      <c r="R374" s="1850">
        <f>N374-O374-Q374</f>
        <v>0</v>
      </c>
      <c r="S374" s="1850">
        <f>ROUND(S373-R374,2)</f>
        <v>0</v>
      </c>
      <c r="T374" s="1850">
        <f>ROUND(T373-(N374-Q374),2)</f>
        <v>0</v>
      </c>
      <c r="U374" s="1849"/>
      <c r="W374" s="1848"/>
      <c r="X374" s="1848"/>
      <c r="Y374" s="1848"/>
    </row>
    <row r="375" spans="2:25" hidden="1">
      <c r="B375" s="1815" t="b">
        <f>AND(I375=FALSE,N374=0,Q374=0,L374="")</f>
        <v>1</v>
      </c>
      <c r="C375" s="1844" t="str" cm="1">
        <f t="array" ref="C375">_xlfn.IFS(
    L375="", "",
    MONTH(L375) &lt;= End_of_Year_Month, YEAR(L375),
    TRUE, YEAR(L375) + 1
)</f>
        <v/>
      </c>
      <c r="F375" s="1857">
        <f>IF(L375="",0,L375)</f>
        <v>0</v>
      </c>
      <c r="G375" s="1856">
        <f>-(N375-Q375)</f>
        <v>0</v>
      </c>
      <c r="I375" s="1815" t="b">
        <f>K375&lt;=Number_Payments</f>
        <v>0</v>
      </c>
      <c r="J375" s="1855"/>
      <c r="K375" s="1351">
        <f>K374+1</f>
        <v>249</v>
      </c>
      <c r="L375" s="1854" t="str" cm="1">
        <f t="array" ref="L375">_xlfn.IFS(
    I374=FALSE, "",
    Payment_Frequency="Monthly", EDATE(L374, 1),
    Payment_Frequency="Weekly", DATE(YEAR(L374), MONTH(L374), DAY(L374) + 7),
    Payment_Frequency="Fortnightly", DATE(YEAR(L374), MONTH(L374), DAY(L374) + 14),
    Payment_Frequency="Quarterly", DATE(YEAR(L374), MONTH(L374) + 3, DAY(L374)),
    Payment_Frequency="Yearly", DATE(YEAR(L374) + 1, MONTH(L374), DAY(L374)),
    TRUE, ""
)</f>
        <v/>
      </c>
      <c r="M375" s="1853">
        <f>IF(ISERROR(L375-L374),0,L375-L374)</f>
        <v>0</v>
      </c>
      <c r="N375" s="1851" cm="1">
        <f t="array" ref="N375">_xlfn.IFS(
    AND(I375=TRUE, K375&lt;=No_Regular_Payments), Repay_Amt,
    AND(I375=TRUE, K375=No_Regular_Payments+1), Tm_Balloon_Amt,
   TRUE, 0
)</f>
        <v>0</v>
      </c>
      <c r="O375" s="1850" cm="1">
        <f t="array" ref="O375">_xlfn.IFS(
    M375=0,0,
   ABS(N375 - S374 - P375-Q375) &lt; 1, N375 - S374-Q375,
    TRUE, P375
)</f>
        <v>0</v>
      </c>
      <c r="P375" s="1852">
        <f>IF(M375=0,0,ROUND(S374*EXP(Int_Rate/365.25 * M375)-S374,2))</f>
        <v>0</v>
      </c>
      <c r="Q375" s="1851" cm="1">
        <f t="array" ref="Q375">_xlfn.IFS(
    AND(I375=TRUE, K375&lt;=No_Regular_Payments), Periodic_Admin_Charge,
   TRUE, 0
)</f>
        <v>0</v>
      </c>
      <c r="R375" s="1850">
        <f>N375-O375-Q375</f>
        <v>0</v>
      </c>
      <c r="S375" s="1850">
        <f>ROUND(S374-R375,2)</f>
        <v>0</v>
      </c>
      <c r="T375" s="1850">
        <f>ROUND(T374-(N375-Q375),2)</f>
        <v>0</v>
      </c>
      <c r="U375" s="1849"/>
      <c r="W375" s="1848"/>
      <c r="X375" s="1848"/>
      <c r="Y375" s="1848"/>
    </row>
    <row r="376" spans="2:25" hidden="1">
      <c r="B376" s="1815" t="b">
        <f>AND(I376=FALSE,N375=0,Q375=0,L375="")</f>
        <v>1</v>
      </c>
      <c r="C376" s="1844" t="str" cm="1">
        <f t="array" ref="C376">_xlfn.IFS(
    L376="", "",
    MONTH(L376) &lt;= End_of_Year_Month, YEAR(L376),
    TRUE, YEAR(L376) + 1
)</f>
        <v/>
      </c>
      <c r="F376" s="1857">
        <f>IF(L376="",0,L376)</f>
        <v>0</v>
      </c>
      <c r="G376" s="1856">
        <f>-(N376-Q376)</f>
        <v>0</v>
      </c>
      <c r="I376" s="1815" t="b">
        <f>K376&lt;=Number_Payments</f>
        <v>0</v>
      </c>
      <c r="J376" s="1855"/>
      <c r="K376" s="1351">
        <f>K375+1</f>
        <v>250</v>
      </c>
      <c r="L376" s="1854" t="str" cm="1">
        <f t="array" ref="L376">_xlfn.IFS(
    I375=FALSE, "",
    Payment_Frequency="Monthly", EDATE(L375, 1),
    Payment_Frequency="Weekly", DATE(YEAR(L375), MONTH(L375), DAY(L375) + 7),
    Payment_Frequency="Fortnightly", DATE(YEAR(L375), MONTH(L375), DAY(L375) + 14),
    Payment_Frequency="Quarterly", DATE(YEAR(L375), MONTH(L375) + 3, DAY(L375)),
    Payment_Frequency="Yearly", DATE(YEAR(L375) + 1, MONTH(L375), DAY(L375)),
    TRUE, ""
)</f>
        <v/>
      </c>
      <c r="M376" s="1853">
        <f>IF(ISERROR(L376-L375),0,L376-L375)</f>
        <v>0</v>
      </c>
      <c r="N376" s="1851" cm="1">
        <f t="array" ref="N376">_xlfn.IFS(
    AND(I376=TRUE, K376&lt;=No_Regular_Payments), Repay_Amt,
    AND(I376=TRUE, K376=No_Regular_Payments+1), Tm_Balloon_Amt,
   TRUE, 0
)</f>
        <v>0</v>
      </c>
      <c r="O376" s="1850" cm="1">
        <f t="array" ref="O376">_xlfn.IFS(
    M376=0,0,
   ABS(N376 - S375 - P376-Q376) &lt; 1, N376 - S375-Q376,
    TRUE, P376
)</f>
        <v>0</v>
      </c>
      <c r="P376" s="1852">
        <f>IF(M376=0,0,ROUND(S375*EXP(Int_Rate/365.25 * M376)-S375,2))</f>
        <v>0</v>
      </c>
      <c r="Q376" s="1851" cm="1">
        <f t="array" ref="Q376">_xlfn.IFS(
    AND(I376=TRUE, K376&lt;=No_Regular_Payments), Periodic_Admin_Charge,
   TRUE, 0
)</f>
        <v>0</v>
      </c>
      <c r="R376" s="1850">
        <f>N376-O376-Q376</f>
        <v>0</v>
      </c>
      <c r="S376" s="1850">
        <f>ROUND(S375-R376,2)</f>
        <v>0</v>
      </c>
      <c r="T376" s="1850">
        <f>ROUND(T375-(N376-Q376),2)</f>
        <v>0</v>
      </c>
      <c r="U376" s="1849"/>
      <c r="W376" s="1848"/>
      <c r="X376" s="1848"/>
      <c r="Y376" s="1848"/>
    </row>
    <row r="377" spans="2:25" hidden="1">
      <c r="B377" s="1815" t="b">
        <f>AND(I377=FALSE,N376=0,Q376=0,L376="")</f>
        <v>1</v>
      </c>
      <c r="C377" s="1844" t="str" cm="1">
        <f t="array" ref="C377">_xlfn.IFS(
    L377="", "",
    MONTH(L377) &lt;= End_of_Year_Month, YEAR(L377),
    TRUE, YEAR(L377) + 1
)</f>
        <v/>
      </c>
      <c r="F377" s="1857">
        <f>IF(L377="",0,L377)</f>
        <v>0</v>
      </c>
      <c r="G377" s="1856">
        <f>-(N377-Q377)</f>
        <v>0</v>
      </c>
      <c r="I377" s="1815" t="b">
        <f>K377&lt;=Number_Payments</f>
        <v>0</v>
      </c>
      <c r="J377" s="1855"/>
      <c r="K377" s="1351">
        <f>K376+1</f>
        <v>251</v>
      </c>
      <c r="L377" s="1854" t="str" cm="1">
        <f t="array" ref="L377">_xlfn.IFS(
    I376=FALSE, "",
    Payment_Frequency="Monthly", EDATE(L376, 1),
    Payment_Frequency="Weekly", DATE(YEAR(L376), MONTH(L376), DAY(L376) + 7),
    Payment_Frequency="Fortnightly", DATE(YEAR(L376), MONTH(L376), DAY(L376) + 14),
    Payment_Frequency="Quarterly", DATE(YEAR(L376), MONTH(L376) + 3, DAY(L376)),
    Payment_Frequency="Yearly", DATE(YEAR(L376) + 1, MONTH(L376), DAY(L376)),
    TRUE, ""
)</f>
        <v/>
      </c>
      <c r="M377" s="1853">
        <f>IF(ISERROR(L377-L376),0,L377-L376)</f>
        <v>0</v>
      </c>
      <c r="N377" s="1851" cm="1">
        <f t="array" ref="N377">_xlfn.IFS(
    AND(I377=TRUE, K377&lt;=No_Regular_Payments), Repay_Amt,
    AND(I377=TRUE, K377=No_Regular_Payments+1), Tm_Balloon_Amt,
   TRUE, 0
)</f>
        <v>0</v>
      </c>
      <c r="O377" s="1850" cm="1">
        <f t="array" ref="O377">_xlfn.IFS(
    M377=0,0,
   ABS(N377 - S376 - P377-Q377) &lt; 1, N377 - S376-Q377,
    TRUE, P377
)</f>
        <v>0</v>
      </c>
      <c r="P377" s="1852">
        <f>IF(M377=0,0,ROUND(S376*EXP(Int_Rate/365.25 * M377)-S376,2))</f>
        <v>0</v>
      </c>
      <c r="Q377" s="1851" cm="1">
        <f t="array" ref="Q377">_xlfn.IFS(
    AND(I377=TRUE, K377&lt;=No_Regular_Payments), Periodic_Admin_Charge,
   TRUE, 0
)</f>
        <v>0</v>
      </c>
      <c r="R377" s="1850">
        <f>N377-O377-Q377</f>
        <v>0</v>
      </c>
      <c r="S377" s="1850">
        <f>ROUND(S376-R377,2)</f>
        <v>0</v>
      </c>
      <c r="T377" s="1850">
        <f>ROUND(T376-(N377-Q377),2)</f>
        <v>0</v>
      </c>
      <c r="U377" s="1849"/>
      <c r="W377" s="1848"/>
      <c r="X377" s="1848"/>
      <c r="Y377" s="1848"/>
    </row>
    <row r="378" spans="2:25" hidden="1">
      <c r="B378" s="1815" t="b">
        <f>AND(I378=FALSE,N377=0,Q377=0,L377="")</f>
        <v>1</v>
      </c>
      <c r="C378" s="1844" t="str" cm="1">
        <f t="array" ref="C378">_xlfn.IFS(
    L378="", "",
    MONTH(L378) &lt;= End_of_Year_Month, YEAR(L378),
    TRUE, YEAR(L378) + 1
)</f>
        <v/>
      </c>
      <c r="F378" s="1857">
        <f>IF(L378="",0,L378)</f>
        <v>0</v>
      </c>
      <c r="G378" s="1856">
        <f>-(N378-Q378)</f>
        <v>0</v>
      </c>
      <c r="I378" s="1815" t="b">
        <f>K378&lt;=Number_Payments</f>
        <v>0</v>
      </c>
      <c r="J378" s="1855"/>
      <c r="K378" s="1351">
        <f>K377+1</f>
        <v>252</v>
      </c>
      <c r="L378" s="1854" t="str" cm="1">
        <f t="array" ref="L378">_xlfn.IFS(
    I377=FALSE, "",
    Payment_Frequency="Monthly", EDATE(L377, 1),
    Payment_Frequency="Weekly", DATE(YEAR(L377), MONTH(L377), DAY(L377) + 7),
    Payment_Frequency="Fortnightly", DATE(YEAR(L377), MONTH(L377), DAY(L377) + 14),
    Payment_Frequency="Quarterly", DATE(YEAR(L377), MONTH(L377) + 3, DAY(L377)),
    Payment_Frequency="Yearly", DATE(YEAR(L377) + 1, MONTH(L377), DAY(L377)),
    TRUE, ""
)</f>
        <v/>
      </c>
      <c r="M378" s="1853">
        <f>IF(ISERROR(L378-L377),0,L378-L377)</f>
        <v>0</v>
      </c>
      <c r="N378" s="1851" cm="1">
        <f t="array" ref="N378">_xlfn.IFS(
    AND(I378=TRUE, K378&lt;=No_Regular_Payments), Repay_Amt,
    AND(I378=TRUE, K378=No_Regular_Payments+1), Tm_Balloon_Amt,
   TRUE, 0
)</f>
        <v>0</v>
      </c>
      <c r="O378" s="1850" cm="1">
        <f t="array" ref="O378">_xlfn.IFS(
    M378=0,0,
   ABS(N378 - S377 - P378-Q378) &lt; 1, N378 - S377-Q378,
    TRUE, P378
)</f>
        <v>0</v>
      </c>
      <c r="P378" s="1852">
        <f>IF(M378=0,0,ROUND(S377*EXP(Int_Rate/365.25 * M378)-S377,2))</f>
        <v>0</v>
      </c>
      <c r="Q378" s="1851" cm="1">
        <f t="array" ref="Q378">_xlfn.IFS(
    AND(I378=TRUE, K378&lt;=No_Regular_Payments), Periodic_Admin_Charge,
   TRUE, 0
)</f>
        <v>0</v>
      </c>
      <c r="R378" s="1850">
        <f>N378-O378-Q378</f>
        <v>0</v>
      </c>
      <c r="S378" s="1850">
        <f>ROUND(S377-R378,2)</f>
        <v>0</v>
      </c>
      <c r="T378" s="1850">
        <f>ROUND(T377-(N378-Q378),2)</f>
        <v>0</v>
      </c>
      <c r="U378" s="1849"/>
      <c r="W378" s="1848"/>
      <c r="X378" s="1848"/>
      <c r="Y378" s="1848"/>
    </row>
    <row r="379" spans="2:25" hidden="1">
      <c r="B379" s="1815" t="b">
        <f>AND(I379=FALSE,N378=0,Q378=0,L378="")</f>
        <v>1</v>
      </c>
      <c r="C379" s="1844" t="str" cm="1">
        <f t="array" ref="C379">_xlfn.IFS(
    L379="", "",
    MONTH(L379) &lt;= End_of_Year_Month, YEAR(L379),
    TRUE, YEAR(L379) + 1
)</f>
        <v/>
      </c>
      <c r="F379" s="1857">
        <f>IF(L379="",0,L379)</f>
        <v>0</v>
      </c>
      <c r="G379" s="1856">
        <f>-(N379-Q379)</f>
        <v>0</v>
      </c>
      <c r="I379" s="1815" t="b">
        <f>K379&lt;=Number_Payments</f>
        <v>0</v>
      </c>
      <c r="J379" s="1855"/>
      <c r="K379" s="1351">
        <f>K378+1</f>
        <v>253</v>
      </c>
      <c r="L379" s="1854" t="str" cm="1">
        <f t="array" ref="L379">_xlfn.IFS(
    I378=FALSE, "",
    Payment_Frequency="Monthly", EDATE(L378, 1),
    Payment_Frequency="Weekly", DATE(YEAR(L378), MONTH(L378), DAY(L378) + 7),
    Payment_Frequency="Fortnightly", DATE(YEAR(L378), MONTH(L378), DAY(L378) + 14),
    Payment_Frequency="Quarterly", DATE(YEAR(L378), MONTH(L378) + 3, DAY(L378)),
    Payment_Frequency="Yearly", DATE(YEAR(L378) + 1, MONTH(L378), DAY(L378)),
    TRUE, ""
)</f>
        <v/>
      </c>
      <c r="M379" s="1853">
        <f>IF(ISERROR(L379-L378),0,L379-L378)</f>
        <v>0</v>
      </c>
      <c r="N379" s="1851" cm="1">
        <f t="array" ref="N379">_xlfn.IFS(
    AND(I379=TRUE, K379&lt;=No_Regular_Payments), Repay_Amt,
    AND(I379=TRUE, K379=No_Regular_Payments+1), Tm_Balloon_Amt,
   TRUE, 0
)</f>
        <v>0</v>
      </c>
      <c r="O379" s="1850" cm="1">
        <f t="array" ref="O379">_xlfn.IFS(
    M379=0,0,
   ABS(N379 - S378 - P379-Q379) &lt; 1, N379 - S378-Q379,
    TRUE, P379
)</f>
        <v>0</v>
      </c>
      <c r="P379" s="1852">
        <f>IF(M379=0,0,ROUND(S378*EXP(Int_Rate/365.25 * M379)-S378,2))</f>
        <v>0</v>
      </c>
      <c r="Q379" s="1851" cm="1">
        <f t="array" ref="Q379">_xlfn.IFS(
    AND(I379=TRUE, K379&lt;=No_Regular_Payments), Periodic_Admin_Charge,
   TRUE, 0
)</f>
        <v>0</v>
      </c>
      <c r="R379" s="1850">
        <f>N379-O379-Q379</f>
        <v>0</v>
      </c>
      <c r="S379" s="1850">
        <f>ROUND(S378-R379,2)</f>
        <v>0</v>
      </c>
      <c r="T379" s="1850">
        <f>ROUND(T378-(N379-Q379),2)</f>
        <v>0</v>
      </c>
      <c r="U379" s="1849"/>
      <c r="W379" s="1848"/>
      <c r="X379" s="1848"/>
      <c r="Y379" s="1848"/>
    </row>
    <row r="380" spans="2:25" hidden="1">
      <c r="B380" s="1815" t="b">
        <f>AND(I380=FALSE,N379=0,Q379=0,L379="")</f>
        <v>1</v>
      </c>
      <c r="C380" s="1844" t="str" cm="1">
        <f t="array" ref="C380">_xlfn.IFS(
    L380="", "",
    MONTH(L380) &lt;= End_of_Year_Month, YEAR(L380),
    TRUE, YEAR(L380) + 1
)</f>
        <v/>
      </c>
      <c r="F380" s="1857">
        <f>IF(L380="",0,L380)</f>
        <v>0</v>
      </c>
      <c r="G380" s="1856">
        <f>-(N380-Q380)</f>
        <v>0</v>
      </c>
      <c r="I380" s="1815" t="b">
        <f>K380&lt;=Number_Payments</f>
        <v>0</v>
      </c>
      <c r="J380" s="1855"/>
      <c r="K380" s="1351">
        <f>K379+1</f>
        <v>254</v>
      </c>
      <c r="L380" s="1854" t="str" cm="1">
        <f t="array" ref="L380">_xlfn.IFS(
    I379=FALSE, "",
    Payment_Frequency="Monthly", EDATE(L379, 1),
    Payment_Frequency="Weekly", DATE(YEAR(L379), MONTH(L379), DAY(L379) + 7),
    Payment_Frequency="Fortnightly", DATE(YEAR(L379), MONTH(L379), DAY(L379) + 14),
    Payment_Frequency="Quarterly", DATE(YEAR(L379), MONTH(L379) + 3, DAY(L379)),
    Payment_Frequency="Yearly", DATE(YEAR(L379) + 1, MONTH(L379), DAY(L379)),
    TRUE, ""
)</f>
        <v/>
      </c>
      <c r="M380" s="1853">
        <f>IF(ISERROR(L380-L379),0,L380-L379)</f>
        <v>0</v>
      </c>
      <c r="N380" s="1851" cm="1">
        <f t="array" ref="N380">_xlfn.IFS(
    AND(I380=TRUE, K380&lt;=No_Regular_Payments), Repay_Amt,
    AND(I380=TRUE, K380=No_Regular_Payments+1), Tm_Balloon_Amt,
   TRUE, 0
)</f>
        <v>0</v>
      </c>
      <c r="O380" s="1850" cm="1">
        <f t="array" ref="O380">_xlfn.IFS(
    M380=0,0,
   ABS(N380 - S379 - P380-Q380) &lt; 1, N380 - S379-Q380,
    TRUE, P380
)</f>
        <v>0</v>
      </c>
      <c r="P380" s="1852">
        <f>IF(M380=0,0,ROUND(S379*EXP(Int_Rate/365.25 * M380)-S379,2))</f>
        <v>0</v>
      </c>
      <c r="Q380" s="1851" cm="1">
        <f t="array" ref="Q380">_xlfn.IFS(
    AND(I380=TRUE, K380&lt;=No_Regular_Payments), Periodic_Admin_Charge,
   TRUE, 0
)</f>
        <v>0</v>
      </c>
      <c r="R380" s="1850">
        <f>N380-O380-Q380</f>
        <v>0</v>
      </c>
      <c r="S380" s="1850">
        <f>ROUND(S379-R380,2)</f>
        <v>0</v>
      </c>
      <c r="T380" s="1850">
        <f>ROUND(T379-(N380-Q380),2)</f>
        <v>0</v>
      </c>
      <c r="U380" s="1849"/>
      <c r="W380" s="1848"/>
      <c r="X380" s="1848"/>
      <c r="Y380" s="1848"/>
    </row>
    <row r="381" spans="2:25" hidden="1">
      <c r="B381" s="1815" t="b">
        <f>AND(I381=FALSE,N380=0,Q380=0,L380="")</f>
        <v>1</v>
      </c>
      <c r="C381" s="1844" t="str" cm="1">
        <f t="array" ref="C381">_xlfn.IFS(
    L381="", "",
    MONTH(L381) &lt;= End_of_Year_Month, YEAR(L381),
    TRUE, YEAR(L381) + 1
)</f>
        <v/>
      </c>
      <c r="F381" s="1857">
        <f>IF(L381="",0,L381)</f>
        <v>0</v>
      </c>
      <c r="G381" s="1856">
        <f>-(N381-Q381)</f>
        <v>0</v>
      </c>
      <c r="I381" s="1815" t="b">
        <f>K381&lt;=Number_Payments</f>
        <v>0</v>
      </c>
      <c r="J381" s="1855"/>
      <c r="K381" s="1351">
        <f>K380+1</f>
        <v>255</v>
      </c>
      <c r="L381" s="1854" t="str" cm="1">
        <f t="array" ref="L381">_xlfn.IFS(
    I380=FALSE, "",
    Payment_Frequency="Monthly", EDATE(L380, 1),
    Payment_Frequency="Weekly", DATE(YEAR(L380), MONTH(L380), DAY(L380) + 7),
    Payment_Frequency="Fortnightly", DATE(YEAR(L380), MONTH(L380), DAY(L380) + 14),
    Payment_Frequency="Quarterly", DATE(YEAR(L380), MONTH(L380) + 3, DAY(L380)),
    Payment_Frequency="Yearly", DATE(YEAR(L380) + 1, MONTH(L380), DAY(L380)),
    TRUE, ""
)</f>
        <v/>
      </c>
      <c r="M381" s="1853">
        <f>IF(ISERROR(L381-L380),0,L381-L380)</f>
        <v>0</v>
      </c>
      <c r="N381" s="1851" cm="1">
        <f t="array" ref="N381">_xlfn.IFS(
    AND(I381=TRUE, K381&lt;=No_Regular_Payments), Repay_Amt,
    AND(I381=TRUE, K381=No_Regular_Payments+1), Tm_Balloon_Amt,
   TRUE, 0
)</f>
        <v>0</v>
      </c>
      <c r="O381" s="1850" cm="1">
        <f t="array" ref="O381">_xlfn.IFS(
    M381=0,0,
   ABS(N381 - S380 - P381-Q381) &lt; 1, N381 - S380-Q381,
    TRUE, P381
)</f>
        <v>0</v>
      </c>
      <c r="P381" s="1852">
        <f>IF(M381=0,0,ROUND(S380*EXP(Int_Rate/365.25 * M381)-S380,2))</f>
        <v>0</v>
      </c>
      <c r="Q381" s="1851" cm="1">
        <f t="array" ref="Q381">_xlfn.IFS(
    AND(I381=TRUE, K381&lt;=No_Regular_Payments), Periodic_Admin_Charge,
   TRUE, 0
)</f>
        <v>0</v>
      </c>
      <c r="R381" s="1850">
        <f>N381-O381-Q381</f>
        <v>0</v>
      </c>
      <c r="S381" s="1850">
        <f>ROUND(S380-R381,2)</f>
        <v>0</v>
      </c>
      <c r="T381" s="1850">
        <f>ROUND(T380-(N381-Q381),2)</f>
        <v>0</v>
      </c>
      <c r="U381" s="1849"/>
      <c r="W381" s="1848"/>
      <c r="X381" s="1848"/>
      <c r="Y381" s="1848"/>
    </row>
    <row r="382" spans="2:25" hidden="1">
      <c r="B382" s="1815" t="b">
        <f>AND(I382=FALSE,N381=0,Q381=0,L381="")</f>
        <v>1</v>
      </c>
      <c r="C382" s="1844" t="str" cm="1">
        <f t="array" ref="C382">_xlfn.IFS(
    L382="", "",
    MONTH(L382) &lt;= End_of_Year_Month, YEAR(L382),
    TRUE, YEAR(L382) + 1
)</f>
        <v/>
      </c>
      <c r="F382" s="1857">
        <f>IF(L382="",0,L382)</f>
        <v>0</v>
      </c>
      <c r="G382" s="1856">
        <f>-(N382-Q382)</f>
        <v>0</v>
      </c>
      <c r="I382" s="1815" t="b">
        <f>K382&lt;=Number_Payments</f>
        <v>0</v>
      </c>
      <c r="J382" s="1855"/>
      <c r="K382" s="1351">
        <f>K381+1</f>
        <v>256</v>
      </c>
      <c r="L382" s="1854" t="str" cm="1">
        <f t="array" ref="L382">_xlfn.IFS(
    I381=FALSE, "",
    Payment_Frequency="Monthly", EDATE(L381, 1),
    Payment_Frequency="Weekly", DATE(YEAR(L381), MONTH(L381), DAY(L381) + 7),
    Payment_Frequency="Fortnightly", DATE(YEAR(L381), MONTH(L381), DAY(L381) + 14),
    Payment_Frequency="Quarterly", DATE(YEAR(L381), MONTH(L381) + 3, DAY(L381)),
    Payment_Frequency="Yearly", DATE(YEAR(L381) + 1, MONTH(L381), DAY(L381)),
    TRUE, ""
)</f>
        <v/>
      </c>
      <c r="M382" s="1853">
        <f>IF(ISERROR(L382-L381),0,L382-L381)</f>
        <v>0</v>
      </c>
      <c r="N382" s="1851" cm="1">
        <f t="array" ref="N382">_xlfn.IFS(
    AND(I382=TRUE, K382&lt;=No_Regular_Payments), Repay_Amt,
    AND(I382=TRUE, K382=No_Regular_Payments+1), Tm_Balloon_Amt,
   TRUE, 0
)</f>
        <v>0</v>
      </c>
      <c r="O382" s="1850" cm="1">
        <f t="array" ref="O382">_xlfn.IFS(
    M382=0,0,
   ABS(N382 - S381 - P382-Q382) &lt; 1, N382 - S381-Q382,
    TRUE, P382
)</f>
        <v>0</v>
      </c>
      <c r="P382" s="1852">
        <f>IF(M382=0,0,ROUND(S381*EXP(Int_Rate/365.25 * M382)-S381,2))</f>
        <v>0</v>
      </c>
      <c r="Q382" s="1851" cm="1">
        <f t="array" ref="Q382">_xlfn.IFS(
    AND(I382=TRUE, K382&lt;=No_Regular_Payments), Periodic_Admin_Charge,
   TRUE, 0
)</f>
        <v>0</v>
      </c>
      <c r="R382" s="1850">
        <f>N382-O382-Q382</f>
        <v>0</v>
      </c>
      <c r="S382" s="1850">
        <f>ROUND(S381-R382,2)</f>
        <v>0</v>
      </c>
      <c r="T382" s="1850">
        <f>ROUND(T381-(N382-Q382),2)</f>
        <v>0</v>
      </c>
      <c r="U382" s="1849"/>
      <c r="W382" s="1848"/>
      <c r="X382" s="1848"/>
      <c r="Y382" s="1848"/>
    </row>
    <row r="383" spans="2:25" hidden="1">
      <c r="B383" s="1815" t="b">
        <f>AND(I383=FALSE,N382=0,Q382=0,L382="")</f>
        <v>1</v>
      </c>
      <c r="C383" s="1844" t="str" cm="1">
        <f t="array" ref="C383">_xlfn.IFS(
    L383="", "",
    MONTH(L383) &lt;= End_of_Year_Month, YEAR(L383),
    TRUE, YEAR(L383) + 1
)</f>
        <v/>
      </c>
      <c r="F383" s="1857">
        <f>IF(L383="",0,L383)</f>
        <v>0</v>
      </c>
      <c r="G383" s="1856">
        <f>-(N383-Q383)</f>
        <v>0</v>
      </c>
      <c r="I383" s="1815" t="b">
        <f>K383&lt;=Number_Payments</f>
        <v>0</v>
      </c>
      <c r="J383" s="1855"/>
      <c r="K383" s="1351">
        <f>K382+1</f>
        <v>257</v>
      </c>
      <c r="L383" s="1854" t="str" cm="1">
        <f t="array" ref="L383">_xlfn.IFS(
    I382=FALSE, "",
    Payment_Frequency="Monthly", EDATE(L382, 1),
    Payment_Frequency="Weekly", DATE(YEAR(L382), MONTH(L382), DAY(L382) + 7),
    Payment_Frequency="Fortnightly", DATE(YEAR(L382), MONTH(L382), DAY(L382) + 14),
    Payment_Frequency="Quarterly", DATE(YEAR(L382), MONTH(L382) + 3, DAY(L382)),
    Payment_Frequency="Yearly", DATE(YEAR(L382) + 1, MONTH(L382), DAY(L382)),
    TRUE, ""
)</f>
        <v/>
      </c>
      <c r="M383" s="1853">
        <f>IF(ISERROR(L383-L382),0,L383-L382)</f>
        <v>0</v>
      </c>
      <c r="N383" s="1851" cm="1">
        <f t="array" ref="N383">_xlfn.IFS(
    AND(I383=TRUE, K383&lt;=No_Regular_Payments), Repay_Amt,
    AND(I383=TRUE, K383=No_Regular_Payments+1), Tm_Balloon_Amt,
   TRUE, 0
)</f>
        <v>0</v>
      </c>
      <c r="O383" s="1850" cm="1">
        <f t="array" ref="O383">_xlfn.IFS(
    M383=0,0,
   ABS(N383 - S382 - P383-Q383) &lt; 1, N383 - S382-Q383,
    TRUE, P383
)</f>
        <v>0</v>
      </c>
      <c r="P383" s="1852">
        <f>IF(M383=0,0,ROUND(S382*EXP(Int_Rate/365.25 * M383)-S382,2))</f>
        <v>0</v>
      </c>
      <c r="Q383" s="1851" cm="1">
        <f t="array" ref="Q383">_xlfn.IFS(
    AND(I383=TRUE, K383&lt;=No_Regular_Payments), Periodic_Admin_Charge,
   TRUE, 0
)</f>
        <v>0</v>
      </c>
      <c r="R383" s="1850">
        <f>N383-O383-Q383</f>
        <v>0</v>
      </c>
      <c r="S383" s="1850">
        <f>ROUND(S382-R383,2)</f>
        <v>0</v>
      </c>
      <c r="T383" s="1850">
        <f>ROUND(T382-(N383-Q383),2)</f>
        <v>0</v>
      </c>
      <c r="U383" s="1849"/>
      <c r="W383" s="1848"/>
      <c r="X383" s="1848"/>
      <c r="Y383" s="1848"/>
    </row>
    <row r="384" spans="2:25" hidden="1">
      <c r="B384" s="1815" t="b">
        <f>AND(I384=FALSE,N383=0,Q383=0,L383="")</f>
        <v>1</v>
      </c>
      <c r="C384" s="1844" t="str" cm="1">
        <f t="array" ref="C384">_xlfn.IFS(
    L384="", "",
    MONTH(L384) &lt;= End_of_Year_Month, YEAR(L384),
    TRUE, YEAR(L384) + 1
)</f>
        <v/>
      </c>
      <c r="F384" s="1857">
        <f>IF(L384="",0,L384)</f>
        <v>0</v>
      </c>
      <c r="G384" s="1856">
        <f>-(N384-Q384)</f>
        <v>0</v>
      </c>
      <c r="I384" s="1815" t="b">
        <f>K384&lt;=Number_Payments</f>
        <v>0</v>
      </c>
      <c r="J384" s="1855"/>
      <c r="K384" s="1351">
        <f>K383+1</f>
        <v>258</v>
      </c>
      <c r="L384" s="1854" t="str" cm="1">
        <f t="array" ref="L384">_xlfn.IFS(
    I383=FALSE, "",
    Payment_Frequency="Monthly", EDATE(L383, 1),
    Payment_Frequency="Weekly", DATE(YEAR(L383), MONTH(L383), DAY(L383) + 7),
    Payment_Frequency="Fortnightly", DATE(YEAR(L383), MONTH(L383), DAY(L383) + 14),
    Payment_Frequency="Quarterly", DATE(YEAR(L383), MONTH(L383) + 3, DAY(L383)),
    Payment_Frequency="Yearly", DATE(YEAR(L383) + 1, MONTH(L383), DAY(L383)),
    TRUE, ""
)</f>
        <v/>
      </c>
      <c r="M384" s="1853">
        <f>IF(ISERROR(L384-L383),0,L384-L383)</f>
        <v>0</v>
      </c>
      <c r="N384" s="1851" cm="1">
        <f t="array" ref="N384">_xlfn.IFS(
    AND(I384=TRUE, K384&lt;=No_Regular_Payments), Repay_Amt,
    AND(I384=TRUE, K384=No_Regular_Payments+1), Tm_Balloon_Amt,
   TRUE, 0
)</f>
        <v>0</v>
      </c>
      <c r="O384" s="1850" cm="1">
        <f t="array" ref="O384">_xlfn.IFS(
    M384=0,0,
   ABS(N384 - S383 - P384-Q384) &lt; 1, N384 - S383-Q384,
    TRUE, P384
)</f>
        <v>0</v>
      </c>
      <c r="P384" s="1852">
        <f>IF(M384=0,0,ROUND(S383*EXP(Int_Rate/365.25 * M384)-S383,2))</f>
        <v>0</v>
      </c>
      <c r="Q384" s="1851" cm="1">
        <f t="array" ref="Q384">_xlfn.IFS(
    AND(I384=TRUE, K384&lt;=No_Regular_Payments), Periodic_Admin_Charge,
   TRUE, 0
)</f>
        <v>0</v>
      </c>
      <c r="R384" s="1850">
        <f>N384-O384-Q384</f>
        <v>0</v>
      </c>
      <c r="S384" s="1850">
        <f>ROUND(S383-R384,2)</f>
        <v>0</v>
      </c>
      <c r="T384" s="1850">
        <f>ROUND(T383-(N384-Q384),2)</f>
        <v>0</v>
      </c>
      <c r="U384" s="1849"/>
      <c r="W384" s="1848"/>
      <c r="X384" s="1848"/>
      <c r="Y384" s="1848"/>
    </row>
    <row r="385" spans="2:25" hidden="1">
      <c r="B385" s="1815" t="b">
        <f>AND(I385=FALSE,N384=0,Q384=0,L384="")</f>
        <v>1</v>
      </c>
      <c r="C385" s="1844" t="str" cm="1">
        <f t="array" ref="C385">_xlfn.IFS(
    L385="", "",
    MONTH(L385) &lt;= End_of_Year_Month, YEAR(L385),
    TRUE, YEAR(L385) + 1
)</f>
        <v/>
      </c>
      <c r="F385" s="1857">
        <f>IF(L385="",0,L385)</f>
        <v>0</v>
      </c>
      <c r="G385" s="1856">
        <f>-(N385-Q385)</f>
        <v>0</v>
      </c>
      <c r="I385" s="1815" t="b">
        <f>K385&lt;=Number_Payments</f>
        <v>0</v>
      </c>
      <c r="J385" s="1855"/>
      <c r="K385" s="1351">
        <f>K384+1</f>
        <v>259</v>
      </c>
      <c r="L385" s="1854" t="str" cm="1">
        <f t="array" ref="L385">_xlfn.IFS(
    I384=FALSE, "",
    Payment_Frequency="Monthly", EDATE(L384, 1),
    Payment_Frequency="Weekly", DATE(YEAR(L384), MONTH(L384), DAY(L384) + 7),
    Payment_Frequency="Fortnightly", DATE(YEAR(L384), MONTH(L384), DAY(L384) + 14),
    Payment_Frequency="Quarterly", DATE(YEAR(L384), MONTH(L384) + 3, DAY(L384)),
    Payment_Frequency="Yearly", DATE(YEAR(L384) + 1, MONTH(L384), DAY(L384)),
    TRUE, ""
)</f>
        <v/>
      </c>
      <c r="M385" s="1853">
        <f>IF(ISERROR(L385-L384),0,L385-L384)</f>
        <v>0</v>
      </c>
      <c r="N385" s="1851" cm="1">
        <f t="array" ref="N385">_xlfn.IFS(
    AND(I385=TRUE, K385&lt;=No_Regular_Payments), Repay_Amt,
    AND(I385=TRUE, K385=No_Regular_Payments+1), Tm_Balloon_Amt,
   TRUE, 0
)</f>
        <v>0</v>
      </c>
      <c r="O385" s="1850" cm="1">
        <f t="array" ref="O385">_xlfn.IFS(
    M385=0,0,
   ABS(N385 - S384 - P385-Q385) &lt; 1, N385 - S384-Q385,
    TRUE, P385
)</f>
        <v>0</v>
      </c>
      <c r="P385" s="1852">
        <f>IF(M385=0,0,ROUND(S384*EXP(Int_Rate/365.25 * M385)-S384,2))</f>
        <v>0</v>
      </c>
      <c r="Q385" s="1851" cm="1">
        <f t="array" ref="Q385">_xlfn.IFS(
    AND(I385=TRUE, K385&lt;=No_Regular_Payments), Periodic_Admin_Charge,
   TRUE, 0
)</f>
        <v>0</v>
      </c>
      <c r="R385" s="1850">
        <f>N385-O385-Q385</f>
        <v>0</v>
      </c>
      <c r="S385" s="1850">
        <f>ROUND(S384-R385,2)</f>
        <v>0</v>
      </c>
      <c r="T385" s="1850">
        <f>ROUND(T384-(N385-Q385),2)</f>
        <v>0</v>
      </c>
      <c r="U385" s="1849"/>
      <c r="W385" s="1848"/>
      <c r="X385" s="1848"/>
      <c r="Y385" s="1848"/>
    </row>
    <row r="386" spans="2:25" hidden="1">
      <c r="B386" s="1815" t="b">
        <f>AND(I386=FALSE,N385=0,Q385=0,L385="")</f>
        <v>1</v>
      </c>
      <c r="C386" s="1844" t="str" cm="1">
        <f t="array" ref="C386">_xlfn.IFS(
    L386="", "",
    MONTH(L386) &lt;= End_of_Year_Month, YEAR(L386),
    TRUE, YEAR(L386) + 1
)</f>
        <v/>
      </c>
      <c r="F386" s="1857">
        <f>IF(L386="",0,L386)</f>
        <v>0</v>
      </c>
      <c r="G386" s="1856">
        <f>-(N386-Q386)</f>
        <v>0</v>
      </c>
      <c r="I386" s="1815" t="b">
        <f>K386&lt;=Number_Payments</f>
        <v>0</v>
      </c>
      <c r="J386" s="1855"/>
      <c r="K386" s="1351">
        <f>K385+1</f>
        <v>260</v>
      </c>
      <c r="L386" s="1854" t="str" cm="1">
        <f t="array" ref="L386">_xlfn.IFS(
    I385=FALSE, "",
    Payment_Frequency="Monthly", EDATE(L385, 1),
    Payment_Frequency="Weekly", DATE(YEAR(L385), MONTH(L385), DAY(L385) + 7),
    Payment_Frequency="Fortnightly", DATE(YEAR(L385), MONTH(L385), DAY(L385) + 14),
    Payment_Frequency="Quarterly", DATE(YEAR(L385), MONTH(L385) + 3, DAY(L385)),
    Payment_Frequency="Yearly", DATE(YEAR(L385) + 1, MONTH(L385), DAY(L385)),
    TRUE, ""
)</f>
        <v/>
      </c>
      <c r="M386" s="1853">
        <f>IF(ISERROR(L386-L385),0,L386-L385)</f>
        <v>0</v>
      </c>
      <c r="N386" s="1851" cm="1">
        <f t="array" ref="N386">_xlfn.IFS(
    AND(I386=TRUE, K386&lt;=No_Regular_Payments), Repay_Amt,
    AND(I386=TRUE, K386=No_Regular_Payments+1), Tm_Balloon_Amt,
   TRUE, 0
)</f>
        <v>0</v>
      </c>
      <c r="O386" s="1850" cm="1">
        <f t="array" ref="O386">_xlfn.IFS(
    M386=0,0,
   ABS(N386 - S385 - P386-Q386) &lt; 1, N386 - S385-Q386,
    TRUE, P386
)</f>
        <v>0</v>
      </c>
      <c r="P386" s="1852">
        <f>IF(M386=0,0,ROUND(S385*EXP(Int_Rate/365.25 * M386)-S385,2))</f>
        <v>0</v>
      </c>
      <c r="Q386" s="1851" cm="1">
        <f t="array" ref="Q386">_xlfn.IFS(
    AND(I386=TRUE, K386&lt;=No_Regular_Payments), Periodic_Admin_Charge,
   TRUE, 0
)</f>
        <v>0</v>
      </c>
      <c r="R386" s="1850">
        <f>N386-O386-Q386</f>
        <v>0</v>
      </c>
      <c r="S386" s="1850">
        <f>ROUND(S385-R386,2)</f>
        <v>0</v>
      </c>
      <c r="T386" s="1850">
        <f>ROUND(T385-(N386-Q386),2)</f>
        <v>0</v>
      </c>
      <c r="U386" s="1849"/>
      <c r="W386" s="1848"/>
      <c r="X386" s="1848"/>
      <c r="Y386" s="1848"/>
    </row>
    <row r="387" spans="2:25" hidden="1">
      <c r="B387" s="1815" t="b">
        <f>AND(I387=FALSE,N386=0,Q386=0,L386="")</f>
        <v>1</v>
      </c>
      <c r="C387" s="1844" t="str" cm="1">
        <f t="array" ref="C387">_xlfn.IFS(
    L387="", "",
    MONTH(L387) &lt;= End_of_Year_Month, YEAR(L387),
    TRUE, YEAR(L387) + 1
)</f>
        <v/>
      </c>
      <c r="F387" s="1857">
        <f>IF(L387="",0,L387)</f>
        <v>0</v>
      </c>
      <c r="G387" s="1856">
        <f>-(N387-Q387)</f>
        <v>0</v>
      </c>
      <c r="I387" s="1815" t="b">
        <f>K387&lt;=Number_Payments</f>
        <v>0</v>
      </c>
      <c r="J387" s="1855"/>
      <c r="K387" s="1351">
        <f>K386+1</f>
        <v>261</v>
      </c>
      <c r="L387" s="1854" t="str" cm="1">
        <f t="array" ref="L387">_xlfn.IFS(
    I386=FALSE, "",
    Payment_Frequency="Monthly", EDATE(L386, 1),
    Payment_Frequency="Weekly", DATE(YEAR(L386), MONTH(L386), DAY(L386) + 7),
    Payment_Frequency="Fortnightly", DATE(YEAR(L386), MONTH(L386), DAY(L386) + 14),
    Payment_Frequency="Quarterly", DATE(YEAR(L386), MONTH(L386) + 3, DAY(L386)),
    Payment_Frequency="Yearly", DATE(YEAR(L386) + 1, MONTH(L386), DAY(L386)),
    TRUE, ""
)</f>
        <v/>
      </c>
      <c r="M387" s="1853">
        <f>IF(ISERROR(L387-L386),0,L387-L386)</f>
        <v>0</v>
      </c>
      <c r="N387" s="1851" cm="1">
        <f t="array" ref="N387">_xlfn.IFS(
    AND(I387=TRUE, K387&lt;=No_Regular_Payments), Repay_Amt,
    AND(I387=TRUE, K387=No_Regular_Payments+1), Tm_Balloon_Amt,
   TRUE, 0
)</f>
        <v>0</v>
      </c>
      <c r="O387" s="1850" cm="1">
        <f t="array" ref="O387">_xlfn.IFS(
    M387=0,0,
   ABS(N387 - S386 - P387-Q387) &lt; 1, N387 - S386-Q387,
    TRUE, P387
)</f>
        <v>0</v>
      </c>
      <c r="P387" s="1852">
        <f>IF(M387=0,0,ROUND(S386*EXP(Int_Rate/365.25 * M387)-S386,2))</f>
        <v>0</v>
      </c>
      <c r="Q387" s="1851" cm="1">
        <f t="array" ref="Q387">_xlfn.IFS(
    AND(I387=TRUE, K387&lt;=No_Regular_Payments), Periodic_Admin_Charge,
   TRUE, 0
)</f>
        <v>0</v>
      </c>
      <c r="R387" s="1850">
        <f>N387-O387-Q387</f>
        <v>0</v>
      </c>
      <c r="S387" s="1850">
        <f>ROUND(S386-R387,2)</f>
        <v>0</v>
      </c>
      <c r="T387" s="1850">
        <f>ROUND(T386-(N387-Q387),2)</f>
        <v>0</v>
      </c>
      <c r="U387" s="1849"/>
      <c r="W387" s="1848"/>
      <c r="X387" s="1848"/>
      <c r="Y387" s="1848"/>
    </row>
    <row r="388" spans="2:25" hidden="1">
      <c r="B388" s="1815" t="b">
        <f>AND(I388=FALSE,N387=0,Q387=0,L387="")</f>
        <v>1</v>
      </c>
      <c r="C388" s="1844" t="str" cm="1">
        <f t="array" ref="C388">_xlfn.IFS(
    L388="", "",
    MONTH(L388) &lt;= End_of_Year_Month, YEAR(L388),
    TRUE, YEAR(L388) + 1
)</f>
        <v/>
      </c>
      <c r="F388" s="1857">
        <f>IF(L388="",0,L388)</f>
        <v>0</v>
      </c>
      <c r="G388" s="1856">
        <f>-(N388-Q388)</f>
        <v>0</v>
      </c>
      <c r="I388" s="1815" t="b">
        <f>K388&lt;=Number_Payments</f>
        <v>0</v>
      </c>
      <c r="J388" s="1855"/>
      <c r="K388" s="1351">
        <f>K387+1</f>
        <v>262</v>
      </c>
      <c r="L388" s="1854" t="str" cm="1">
        <f t="array" ref="L388">_xlfn.IFS(
    I387=FALSE, "",
    Payment_Frequency="Monthly", EDATE(L387, 1),
    Payment_Frequency="Weekly", DATE(YEAR(L387), MONTH(L387), DAY(L387) + 7),
    Payment_Frequency="Fortnightly", DATE(YEAR(L387), MONTH(L387), DAY(L387) + 14),
    Payment_Frequency="Quarterly", DATE(YEAR(L387), MONTH(L387) + 3, DAY(L387)),
    Payment_Frequency="Yearly", DATE(YEAR(L387) + 1, MONTH(L387), DAY(L387)),
    TRUE, ""
)</f>
        <v/>
      </c>
      <c r="M388" s="1853">
        <f>IF(ISERROR(L388-L387),0,L388-L387)</f>
        <v>0</v>
      </c>
      <c r="N388" s="1851" cm="1">
        <f t="array" ref="N388">_xlfn.IFS(
    AND(I388=TRUE, K388&lt;=No_Regular_Payments), Repay_Amt,
    AND(I388=TRUE, K388=No_Regular_Payments+1), Tm_Balloon_Amt,
   TRUE, 0
)</f>
        <v>0</v>
      </c>
      <c r="O388" s="1850" cm="1">
        <f t="array" ref="O388">_xlfn.IFS(
    M388=0,0,
   ABS(N388 - S387 - P388-Q388) &lt; 1, N388 - S387-Q388,
    TRUE, P388
)</f>
        <v>0</v>
      </c>
      <c r="P388" s="1852">
        <f>IF(M388=0,0,ROUND(S387*EXP(Int_Rate/365.25 * M388)-S387,2))</f>
        <v>0</v>
      </c>
      <c r="Q388" s="1851" cm="1">
        <f t="array" ref="Q388">_xlfn.IFS(
    AND(I388=TRUE, K388&lt;=No_Regular_Payments), Periodic_Admin_Charge,
   TRUE, 0
)</f>
        <v>0</v>
      </c>
      <c r="R388" s="1850">
        <f>N388-O388-Q388</f>
        <v>0</v>
      </c>
      <c r="S388" s="1850">
        <f>ROUND(S387-R388,2)</f>
        <v>0</v>
      </c>
      <c r="T388" s="1850">
        <f>ROUND(T387-(N388-Q388),2)</f>
        <v>0</v>
      </c>
      <c r="U388" s="1849"/>
      <c r="W388" s="1848"/>
      <c r="X388" s="1848"/>
      <c r="Y388" s="1848"/>
    </row>
    <row r="389" spans="2:25" hidden="1">
      <c r="B389" s="1815" t="b">
        <f>AND(I389=FALSE,N388=0,Q388=0,L388="")</f>
        <v>1</v>
      </c>
      <c r="C389" s="1844" t="str" cm="1">
        <f t="array" ref="C389">_xlfn.IFS(
    L389="", "",
    MONTH(L389) &lt;= End_of_Year_Month, YEAR(L389),
    TRUE, YEAR(L389) + 1
)</f>
        <v/>
      </c>
      <c r="F389" s="1857">
        <f>IF(L389="",0,L389)</f>
        <v>0</v>
      </c>
      <c r="G389" s="1856">
        <f>-(N389-Q389)</f>
        <v>0</v>
      </c>
      <c r="I389" s="1815" t="b">
        <f>K389&lt;=Number_Payments</f>
        <v>0</v>
      </c>
      <c r="J389" s="1855"/>
      <c r="K389" s="1351">
        <f>K388+1</f>
        <v>263</v>
      </c>
      <c r="L389" s="1854" t="str" cm="1">
        <f t="array" ref="L389">_xlfn.IFS(
    I388=FALSE, "",
    Payment_Frequency="Monthly", EDATE(L388, 1),
    Payment_Frequency="Weekly", DATE(YEAR(L388), MONTH(L388), DAY(L388) + 7),
    Payment_Frequency="Fortnightly", DATE(YEAR(L388), MONTH(L388), DAY(L388) + 14),
    Payment_Frequency="Quarterly", DATE(YEAR(L388), MONTH(L388) + 3, DAY(L388)),
    Payment_Frequency="Yearly", DATE(YEAR(L388) + 1, MONTH(L388), DAY(L388)),
    TRUE, ""
)</f>
        <v/>
      </c>
      <c r="M389" s="1853">
        <f>IF(ISERROR(L389-L388),0,L389-L388)</f>
        <v>0</v>
      </c>
      <c r="N389" s="1851" cm="1">
        <f t="array" ref="N389">_xlfn.IFS(
    AND(I389=TRUE, K389&lt;=No_Regular_Payments), Repay_Amt,
    AND(I389=TRUE, K389=No_Regular_Payments+1), Tm_Balloon_Amt,
   TRUE, 0
)</f>
        <v>0</v>
      </c>
      <c r="O389" s="1850" cm="1">
        <f t="array" ref="O389">_xlfn.IFS(
    M389=0,0,
   ABS(N389 - S388 - P389-Q389) &lt; 1, N389 - S388-Q389,
    TRUE, P389
)</f>
        <v>0</v>
      </c>
      <c r="P389" s="1852">
        <f>IF(M389=0,0,ROUND(S388*EXP(Int_Rate/365.25 * M389)-S388,2))</f>
        <v>0</v>
      </c>
      <c r="Q389" s="1851" cm="1">
        <f t="array" ref="Q389">_xlfn.IFS(
    AND(I389=TRUE, K389&lt;=No_Regular_Payments), Periodic_Admin_Charge,
   TRUE, 0
)</f>
        <v>0</v>
      </c>
      <c r="R389" s="1850">
        <f>N389-O389-Q389</f>
        <v>0</v>
      </c>
      <c r="S389" s="1850">
        <f>ROUND(S388-R389,2)</f>
        <v>0</v>
      </c>
      <c r="T389" s="1850">
        <f>ROUND(T388-(N389-Q389),2)</f>
        <v>0</v>
      </c>
      <c r="U389" s="1849"/>
      <c r="W389" s="1848"/>
      <c r="X389" s="1848"/>
      <c r="Y389" s="1848"/>
    </row>
    <row r="390" spans="2:25" hidden="1">
      <c r="B390" s="1815" t="b">
        <f>AND(I390=FALSE,N389=0,Q389=0,L389="")</f>
        <v>1</v>
      </c>
      <c r="C390" s="1844" t="str" cm="1">
        <f t="array" ref="C390">_xlfn.IFS(
    L390="", "",
    MONTH(L390) &lt;= End_of_Year_Month, YEAR(L390),
    TRUE, YEAR(L390) + 1
)</f>
        <v/>
      </c>
      <c r="F390" s="1857">
        <f>IF(L390="",0,L390)</f>
        <v>0</v>
      </c>
      <c r="G390" s="1856">
        <f>-(N390-Q390)</f>
        <v>0</v>
      </c>
      <c r="I390" s="1815" t="b">
        <f>K390&lt;=Number_Payments</f>
        <v>0</v>
      </c>
      <c r="J390" s="1855"/>
      <c r="K390" s="1351">
        <f>K389+1</f>
        <v>264</v>
      </c>
      <c r="L390" s="1854" t="str" cm="1">
        <f t="array" ref="L390">_xlfn.IFS(
    I389=FALSE, "",
    Payment_Frequency="Monthly", EDATE(L389, 1),
    Payment_Frequency="Weekly", DATE(YEAR(L389), MONTH(L389), DAY(L389) + 7),
    Payment_Frequency="Fortnightly", DATE(YEAR(L389), MONTH(L389), DAY(L389) + 14),
    Payment_Frequency="Quarterly", DATE(YEAR(L389), MONTH(L389) + 3, DAY(L389)),
    Payment_Frequency="Yearly", DATE(YEAR(L389) + 1, MONTH(L389), DAY(L389)),
    TRUE, ""
)</f>
        <v/>
      </c>
      <c r="M390" s="1853">
        <f>IF(ISERROR(L390-L389),0,L390-L389)</f>
        <v>0</v>
      </c>
      <c r="N390" s="1851" cm="1">
        <f t="array" ref="N390">_xlfn.IFS(
    AND(I390=TRUE, K390&lt;=No_Regular_Payments), Repay_Amt,
    AND(I390=TRUE, K390=No_Regular_Payments+1), Tm_Balloon_Amt,
   TRUE, 0
)</f>
        <v>0</v>
      </c>
      <c r="O390" s="1850" cm="1">
        <f t="array" ref="O390">_xlfn.IFS(
    M390=0,0,
   ABS(N390 - S389 - P390-Q390) &lt; 1, N390 - S389-Q390,
    TRUE, P390
)</f>
        <v>0</v>
      </c>
      <c r="P390" s="1852">
        <f>IF(M390=0,0,ROUND(S389*EXP(Int_Rate/365.25 * M390)-S389,2))</f>
        <v>0</v>
      </c>
      <c r="Q390" s="1851" cm="1">
        <f t="array" ref="Q390">_xlfn.IFS(
    AND(I390=TRUE, K390&lt;=No_Regular_Payments), Periodic_Admin_Charge,
   TRUE, 0
)</f>
        <v>0</v>
      </c>
      <c r="R390" s="1850">
        <f>N390-O390-Q390</f>
        <v>0</v>
      </c>
      <c r="S390" s="1850">
        <f>ROUND(S389-R390,2)</f>
        <v>0</v>
      </c>
      <c r="T390" s="1850">
        <f>ROUND(T389-(N390-Q390),2)</f>
        <v>0</v>
      </c>
      <c r="U390" s="1849"/>
      <c r="W390" s="1848"/>
      <c r="X390" s="1848"/>
      <c r="Y390" s="1848"/>
    </row>
    <row r="391" spans="2:25" hidden="1">
      <c r="B391" s="1815" t="b">
        <f>AND(I391=FALSE,N390=0,Q390=0,L390="")</f>
        <v>1</v>
      </c>
      <c r="C391" s="1844" t="str" cm="1">
        <f t="array" ref="C391">_xlfn.IFS(
    L391="", "",
    MONTH(L391) &lt;= End_of_Year_Month, YEAR(L391),
    TRUE, YEAR(L391) + 1
)</f>
        <v/>
      </c>
      <c r="F391" s="1857">
        <f>IF(L391="",0,L391)</f>
        <v>0</v>
      </c>
      <c r="G391" s="1856">
        <f>-(N391-Q391)</f>
        <v>0</v>
      </c>
      <c r="I391" s="1815" t="b">
        <f>K391&lt;=Number_Payments</f>
        <v>0</v>
      </c>
      <c r="J391" s="1855"/>
      <c r="K391" s="1351">
        <f>K390+1</f>
        <v>265</v>
      </c>
      <c r="L391" s="1854" t="str" cm="1">
        <f t="array" ref="L391">_xlfn.IFS(
    I390=FALSE, "",
    Payment_Frequency="Monthly", EDATE(L390, 1),
    Payment_Frequency="Weekly", DATE(YEAR(L390), MONTH(L390), DAY(L390) + 7),
    Payment_Frequency="Fortnightly", DATE(YEAR(L390), MONTH(L390), DAY(L390) + 14),
    Payment_Frequency="Quarterly", DATE(YEAR(L390), MONTH(L390) + 3, DAY(L390)),
    Payment_Frequency="Yearly", DATE(YEAR(L390) + 1, MONTH(L390), DAY(L390)),
    TRUE, ""
)</f>
        <v/>
      </c>
      <c r="M391" s="1853">
        <f>IF(ISERROR(L391-L390),0,L391-L390)</f>
        <v>0</v>
      </c>
      <c r="N391" s="1851" cm="1">
        <f t="array" ref="N391">_xlfn.IFS(
    AND(I391=TRUE, K391&lt;=No_Regular_Payments), Repay_Amt,
    AND(I391=TRUE, K391=No_Regular_Payments+1), Tm_Balloon_Amt,
   TRUE, 0
)</f>
        <v>0</v>
      </c>
      <c r="O391" s="1850" cm="1">
        <f t="array" ref="O391">_xlfn.IFS(
    M391=0,0,
   ABS(N391 - S390 - P391-Q391) &lt; 1, N391 - S390-Q391,
    TRUE, P391
)</f>
        <v>0</v>
      </c>
      <c r="P391" s="1852">
        <f>IF(M391=0,0,ROUND(S390*EXP(Int_Rate/365.25 * M391)-S390,2))</f>
        <v>0</v>
      </c>
      <c r="Q391" s="1851" cm="1">
        <f t="array" ref="Q391">_xlfn.IFS(
    AND(I391=TRUE, K391&lt;=No_Regular_Payments), Periodic_Admin_Charge,
   TRUE, 0
)</f>
        <v>0</v>
      </c>
      <c r="R391" s="1850">
        <f>N391-O391-Q391</f>
        <v>0</v>
      </c>
      <c r="S391" s="1850">
        <f>ROUND(S390-R391,2)</f>
        <v>0</v>
      </c>
      <c r="T391" s="1850">
        <f>ROUND(T390-(N391-Q391),2)</f>
        <v>0</v>
      </c>
      <c r="U391" s="1849"/>
      <c r="W391" s="1848"/>
      <c r="X391" s="1848"/>
      <c r="Y391" s="1848"/>
    </row>
    <row r="392" spans="2:25" hidden="1">
      <c r="B392" s="1815" t="b">
        <f>AND(I392=FALSE,N391=0,Q391=0,L391="")</f>
        <v>1</v>
      </c>
      <c r="C392" s="1844" t="str" cm="1">
        <f t="array" ref="C392">_xlfn.IFS(
    L392="", "",
    MONTH(L392) &lt;= End_of_Year_Month, YEAR(L392),
    TRUE, YEAR(L392) + 1
)</f>
        <v/>
      </c>
      <c r="F392" s="1857">
        <f>IF(L392="",0,L392)</f>
        <v>0</v>
      </c>
      <c r="G392" s="1856">
        <f>-(N392-Q392)</f>
        <v>0</v>
      </c>
      <c r="I392" s="1815" t="b">
        <f>K392&lt;=Number_Payments</f>
        <v>0</v>
      </c>
      <c r="J392" s="1855"/>
      <c r="K392" s="1351">
        <f>K391+1</f>
        <v>266</v>
      </c>
      <c r="L392" s="1854" t="str" cm="1">
        <f t="array" ref="L392">_xlfn.IFS(
    I391=FALSE, "",
    Payment_Frequency="Monthly", EDATE(L391, 1),
    Payment_Frequency="Weekly", DATE(YEAR(L391), MONTH(L391), DAY(L391) + 7),
    Payment_Frequency="Fortnightly", DATE(YEAR(L391), MONTH(L391), DAY(L391) + 14),
    Payment_Frequency="Quarterly", DATE(YEAR(L391), MONTH(L391) + 3, DAY(L391)),
    Payment_Frequency="Yearly", DATE(YEAR(L391) + 1, MONTH(L391), DAY(L391)),
    TRUE, ""
)</f>
        <v/>
      </c>
      <c r="M392" s="1853">
        <f>IF(ISERROR(L392-L391),0,L392-L391)</f>
        <v>0</v>
      </c>
      <c r="N392" s="1851" cm="1">
        <f t="array" ref="N392">_xlfn.IFS(
    AND(I392=TRUE, K392&lt;=No_Regular_Payments), Repay_Amt,
    AND(I392=TRUE, K392=No_Regular_Payments+1), Tm_Balloon_Amt,
   TRUE, 0
)</f>
        <v>0</v>
      </c>
      <c r="O392" s="1850" cm="1">
        <f t="array" ref="O392">_xlfn.IFS(
    M392=0,0,
   ABS(N392 - S391 - P392-Q392) &lt; 1, N392 - S391-Q392,
    TRUE, P392
)</f>
        <v>0</v>
      </c>
      <c r="P392" s="1852">
        <f>IF(M392=0,0,ROUND(S391*EXP(Int_Rate/365.25 * M392)-S391,2))</f>
        <v>0</v>
      </c>
      <c r="Q392" s="1851" cm="1">
        <f t="array" ref="Q392">_xlfn.IFS(
    AND(I392=TRUE, K392&lt;=No_Regular_Payments), Periodic_Admin_Charge,
   TRUE, 0
)</f>
        <v>0</v>
      </c>
      <c r="R392" s="1850">
        <f>N392-O392-Q392</f>
        <v>0</v>
      </c>
      <c r="S392" s="1850">
        <f>ROUND(S391-R392,2)</f>
        <v>0</v>
      </c>
      <c r="T392" s="1850">
        <f>ROUND(T391-(N392-Q392),2)</f>
        <v>0</v>
      </c>
      <c r="U392" s="1849"/>
      <c r="W392" s="1848"/>
      <c r="X392" s="1848"/>
      <c r="Y392" s="1848"/>
    </row>
    <row r="393" spans="2:25" hidden="1">
      <c r="B393" s="1815" t="b">
        <f>AND(I393=FALSE,N392=0,Q392=0,L392="")</f>
        <v>1</v>
      </c>
      <c r="C393" s="1844" t="str" cm="1">
        <f t="array" ref="C393">_xlfn.IFS(
    L393="", "",
    MONTH(L393) &lt;= End_of_Year_Month, YEAR(L393),
    TRUE, YEAR(L393) + 1
)</f>
        <v/>
      </c>
      <c r="F393" s="1857">
        <f>IF(L393="",0,L393)</f>
        <v>0</v>
      </c>
      <c r="G393" s="1856">
        <f>-(N393-Q393)</f>
        <v>0</v>
      </c>
      <c r="I393" s="1815" t="b">
        <f>K393&lt;=Number_Payments</f>
        <v>0</v>
      </c>
      <c r="J393" s="1855"/>
      <c r="K393" s="1351">
        <f>K392+1</f>
        <v>267</v>
      </c>
      <c r="L393" s="1854" t="str" cm="1">
        <f t="array" ref="L393">_xlfn.IFS(
    I392=FALSE, "",
    Payment_Frequency="Monthly", EDATE(L392, 1),
    Payment_Frequency="Weekly", DATE(YEAR(L392), MONTH(L392), DAY(L392) + 7),
    Payment_Frequency="Fortnightly", DATE(YEAR(L392), MONTH(L392), DAY(L392) + 14),
    Payment_Frequency="Quarterly", DATE(YEAR(L392), MONTH(L392) + 3, DAY(L392)),
    Payment_Frequency="Yearly", DATE(YEAR(L392) + 1, MONTH(L392), DAY(L392)),
    TRUE, ""
)</f>
        <v/>
      </c>
      <c r="M393" s="1853">
        <f>IF(ISERROR(L393-L392),0,L393-L392)</f>
        <v>0</v>
      </c>
      <c r="N393" s="1851" cm="1">
        <f t="array" ref="N393">_xlfn.IFS(
    AND(I393=TRUE, K393&lt;=No_Regular_Payments), Repay_Amt,
    AND(I393=TRUE, K393=No_Regular_Payments+1), Tm_Balloon_Amt,
   TRUE, 0
)</f>
        <v>0</v>
      </c>
      <c r="O393" s="1850" cm="1">
        <f t="array" ref="O393">_xlfn.IFS(
    M393=0,0,
   ABS(N393 - S392 - P393-Q393) &lt; 1, N393 - S392-Q393,
    TRUE, P393
)</f>
        <v>0</v>
      </c>
      <c r="P393" s="1852">
        <f>IF(M393=0,0,ROUND(S392*EXP(Int_Rate/365.25 * M393)-S392,2))</f>
        <v>0</v>
      </c>
      <c r="Q393" s="1851" cm="1">
        <f t="array" ref="Q393">_xlfn.IFS(
    AND(I393=TRUE, K393&lt;=No_Regular_Payments), Periodic_Admin_Charge,
   TRUE, 0
)</f>
        <v>0</v>
      </c>
      <c r="R393" s="1850">
        <f>N393-O393-Q393</f>
        <v>0</v>
      </c>
      <c r="S393" s="1850">
        <f>ROUND(S392-R393,2)</f>
        <v>0</v>
      </c>
      <c r="T393" s="1850">
        <f>ROUND(T392-(N393-Q393),2)</f>
        <v>0</v>
      </c>
      <c r="U393" s="1849"/>
      <c r="W393" s="1848"/>
      <c r="X393" s="1848"/>
      <c r="Y393" s="1848"/>
    </row>
    <row r="394" spans="2:25" hidden="1">
      <c r="B394" s="1815" t="b">
        <f>AND(I394=FALSE,N393=0,Q393=0,L393="")</f>
        <v>1</v>
      </c>
      <c r="C394" s="1844" t="str" cm="1">
        <f t="array" ref="C394">_xlfn.IFS(
    L394="", "",
    MONTH(L394) &lt;= End_of_Year_Month, YEAR(L394),
    TRUE, YEAR(L394) + 1
)</f>
        <v/>
      </c>
      <c r="F394" s="1857">
        <f>IF(L394="",0,L394)</f>
        <v>0</v>
      </c>
      <c r="G394" s="1856">
        <f>-(N394-Q394)</f>
        <v>0</v>
      </c>
      <c r="I394" s="1815" t="b">
        <f>K394&lt;=Number_Payments</f>
        <v>0</v>
      </c>
      <c r="J394" s="1855"/>
      <c r="K394" s="1351">
        <f>K393+1</f>
        <v>268</v>
      </c>
      <c r="L394" s="1854" t="str" cm="1">
        <f t="array" ref="L394">_xlfn.IFS(
    I393=FALSE, "",
    Payment_Frequency="Monthly", EDATE(L393, 1),
    Payment_Frequency="Weekly", DATE(YEAR(L393), MONTH(L393), DAY(L393) + 7),
    Payment_Frequency="Fortnightly", DATE(YEAR(L393), MONTH(L393), DAY(L393) + 14),
    Payment_Frequency="Quarterly", DATE(YEAR(L393), MONTH(L393) + 3, DAY(L393)),
    Payment_Frequency="Yearly", DATE(YEAR(L393) + 1, MONTH(L393), DAY(L393)),
    TRUE, ""
)</f>
        <v/>
      </c>
      <c r="M394" s="1853">
        <f>IF(ISERROR(L394-L393),0,L394-L393)</f>
        <v>0</v>
      </c>
      <c r="N394" s="1851" cm="1">
        <f t="array" ref="N394">_xlfn.IFS(
    AND(I394=TRUE, K394&lt;=No_Regular_Payments), Repay_Amt,
    AND(I394=TRUE, K394=No_Regular_Payments+1), Tm_Balloon_Amt,
   TRUE, 0
)</f>
        <v>0</v>
      </c>
      <c r="O394" s="1850" cm="1">
        <f t="array" ref="O394">_xlfn.IFS(
    M394=0,0,
   ABS(N394 - S393 - P394-Q394) &lt; 1, N394 - S393-Q394,
    TRUE, P394
)</f>
        <v>0</v>
      </c>
      <c r="P394" s="1852">
        <f>IF(M394=0,0,ROUND(S393*EXP(Int_Rate/365.25 * M394)-S393,2))</f>
        <v>0</v>
      </c>
      <c r="Q394" s="1851" cm="1">
        <f t="array" ref="Q394">_xlfn.IFS(
    AND(I394=TRUE, K394&lt;=No_Regular_Payments), Periodic_Admin_Charge,
   TRUE, 0
)</f>
        <v>0</v>
      </c>
      <c r="R394" s="1850">
        <f>N394-O394-Q394</f>
        <v>0</v>
      </c>
      <c r="S394" s="1850">
        <f>ROUND(S393-R394,2)</f>
        <v>0</v>
      </c>
      <c r="T394" s="1850">
        <f>ROUND(T393-(N394-Q394),2)</f>
        <v>0</v>
      </c>
      <c r="U394" s="1849"/>
      <c r="W394" s="1848"/>
      <c r="X394" s="1848"/>
      <c r="Y394" s="1848"/>
    </row>
    <row r="395" spans="2:25" hidden="1">
      <c r="B395" s="1815" t="b">
        <f>AND(I395=FALSE,N394=0,Q394=0,L394="")</f>
        <v>1</v>
      </c>
      <c r="C395" s="1844" t="str" cm="1">
        <f t="array" ref="C395">_xlfn.IFS(
    L395="", "",
    MONTH(L395) &lt;= End_of_Year_Month, YEAR(L395),
    TRUE, YEAR(L395) + 1
)</f>
        <v/>
      </c>
      <c r="F395" s="1857">
        <f>IF(L395="",0,L395)</f>
        <v>0</v>
      </c>
      <c r="G395" s="1856">
        <f>-(N395-Q395)</f>
        <v>0</v>
      </c>
      <c r="I395" s="1815" t="b">
        <f>K395&lt;=Number_Payments</f>
        <v>0</v>
      </c>
      <c r="J395" s="1855"/>
      <c r="K395" s="1351">
        <f>K394+1</f>
        <v>269</v>
      </c>
      <c r="L395" s="1854" t="str" cm="1">
        <f t="array" ref="L395">_xlfn.IFS(
    I394=FALSE, "",
    Payment_Frequency="Monthly", EDATE(L394, 1),
    Payment_Frequency="Weekly", DATE(YEAR(L394), MONTH(L394), DAY(L394) + 7),
    Payment_Frequency="Fortnightly", DATE(YEAR(L394), MONTH(L394), DAY(L394) + 14),
    Payment_Frequency="Quarterly", DATE(YEAR(L394), MONTH(L394) + 3, DAY(L394)),
    Payment_Frequency="Yearly", DATE(YEAR(L394) + 1, MONTH(L394), DAY(L394)),
    TRUE, ""
)</f>
        <v/>
      </c>
      <c r="M395" s="1853">
        <f>IF(ISERROR(L395-L394),0,L395-L394)</f>
        <v>0</v>
      </c>
      <c r="N395" s="1851" cm="1">
        <f t="array" ref="N395">_xlfn.IFS(
    AND(I395=TRUE, K395&lt;=No_Regular_Payments), Repay_Amt,
    AND(I395=TRUE, K395=No_Regular_Payments+1), Tm_Balloon_Amt,
   TRUE, 0
)</f>
        <v>0</v>
      </c>
      <c r="O395" s="1850" cm="1">
        <f t="array" ref="O395">_xlfn.IFS(
    M395=0,0,
   ABS(N395 - S394 - P395-Q395) &lt; 1, N395 - S394-Q395,
    TRUE, P395
)</f>
        <v>0</v>
      </c>
      <c r="P395" s="1852">
        <f>IF(M395=0,0,ROUND(S394*EXP(Int_Rate/365.25 * M395)-S394,2))</f>
        <v>0</v>
      </c>
      <c r="Q395" s="1851" cm="1">
        <f t="array" ref="Q395">_xlfn.IFS(
    AND(I395=TRUE, K395&lt;=No_Regular_Payments), Periodic_Admin_Charge,
   TRUE, 0
)</f>
        <v>0</v>
      </c>
      <c r="R395" s="1850">
        <f>N395-O395-Q395</f>
        <v>0</v>
      </c>
      <c r="S395" s="1850">
        <f>ROUND(S394-R395,2)</f>
        <v>0</v>
      </c>
      <c r="T395" s="1850">
        <f>ROUND(T394-(N395-Q395),2)</f>
        <v>0</v>
      </c>
      <c r="U395" s="1849"/>
      <c r="W395" s="1848"/>
      <c r="X395" s="1848"/>
      <c r="Y395" s="1848"/>
    </row>
    <row r="396" spans="2:25" hidden="1">
      <c r="B396" s="1815" t="b">
        <f>AND(I396=FALSE,N395=0,Q395=0,L395="")</f>
        <v>1</v>
      </c>
      <c r="C396" s="1844" t="str" cm="1">
        <f t="array" ref="C396">_xlfn.IFS(
    L396="", "",
    MONTH(L396) &lt;= End_of_Year_Month, YEAR(L396),
    TRUE, YEAR(L396) + 1
)</f>
        <v/>
      </c>
      <c r="F396" s="1857">
        <f>IF(L396="",0,L396)</f>
        <v>0</v>
      </c>
      <c r="G396" s="1856">
        <f>-(N396-Q396)</f>
        <v>0</v>
      </c>
      <c r="I396" s="1815" t="b">
        <f>K396&lt;=Number_Payments</f>
        <v>0</v>
      </c>
      <c r="J396" s="1855"/>
      <c r="K396" s="1351">
        <f>K395+1</f>
        <v>270</v>
      </c>
      <c r="L396" s="1854" t="str" cm="1">
        <f t="array" ref="L396">_xlfn.IFS(
    I395=FALSE, "",
    Payment_Frequency="Monthly", EDATE(L395, 1),
    Payment_Frequency="Weekly", DATE(YEAR(L395), MONTH(L395), DAY(L395) + 7),
    Payment_Frequency="Fortnightly", DATE(YEAR(L395), MONTH(L395), DAY(L395) + 14),
    Payment_Frequency="Quarterly", DATE(YEAR(L395), MONTH(L395) + 3, DAY(L395)),
    Payment_Frequency="Yearly", DATE(YEAR(L395) + 1, MONTH(L395), DAY(L395)),
    TRUE, ""
)</f>
        <v/>
      </c>
      <c r="M396" s="1853">
        <f>IF(ISERROR(L396-L395),0,L396-L395)</f>
        <v>0</v>
      </c>
      <c r="N396" s="1851" cm="1">
        <f t="array" ref="N396">_xlfn.IFS(
    AND(I396=TRUE, K396&lt;=No_Regular_Payments), Repay_Amt,
    AND(I396=TRUE, K396=No_Regular_Payments+1), Tm_Balloon_Amt,
   TRUE, 0
)</f>
        <v>0</v>
      </c>
      <c r="O396" s="1850" cm="1">
        <f t="array" ref="O396">_xlfn.IFS(
    M396=0,0,
   ABS(N396 - S395 - P396-Q396) &lt; 1, N396 - S395-Q396,
    TRUE, P396
)</f>
        <v>0</v>
      </c>
      <c r="P396" s="1852">
        <f>IF(M396=0,0,ROUND(S395*EXP(Int_Rate/365.25 * M396)-S395,2))</f>
        <v>0</v>
      </c>
      <c r="Q396" s="1851" cm="1">
        <f t="array" ref="Q396">_xlfn.IFS(
    AND(I396=TRUE, K396&lt;=No_Regular_Payments), Periodic_Admin_Charge,
   TRUE, 0
)</f>
        <v>0</v>
      </c>
      <c r="R396" s="1850">
        <f>N396-O396-Q396</f>
        <v>0</v>
      </c>
      <c r="S396" s="1850">
        <f>ROUND(S395-R396,2)</f>
        <v>0</v>
      </c>
      <c r="T396" s="1850">
        <f>ROUND(T395-(N396-Q396),2)</f>
        <v>0</v>
      </c>
      <c r="U396" s="1849"/>
      <c r="W396" s="1848"/>
      <c r="X396" s="1848"/>
      <c r="Y396" s="1848"/>
    </row>
    <row r="397" spans="2:25" hidden="1">
      <c r="B397" s="1815" t="b">
        <f>AND(I397=FALSE,N396=0,Q396=0,L396="")</f>
        <v>1</v>
      </c>
      <c r="C397" s="1844" t="str" cm="1">
        <f t="array" ref="C397">_xlfn.IFS(
    L397="", "",
    MONTH(L397) &lt;= End_of_Year_Month, YEAR(L397),
    TRUE, YEAR(L397) + 1
)</f>
        <v/>
      </c>
      <c r="F397" s="1857">
        <f>IF(L397="",0,L397)</f>
        <v>0</v>
      </c>
      <c r="G397" s="1856">
        <f>-(N397-Q397)</f>
        <v>0</v>
      </c>
      <c r="I397" s="1815" t="b">
        <f>K397&lt;=Number_Payments</f>
        <v>0</v>
      </c>
      <c r="J397" s="1855"/>
      <c r="K397" s="1351">
        <f>K396+1</f>
        <v>271</v>
      </c>
      <c r="L397" s="1854" t="str" cm="1">
        <f t="array" ref="L397">_xlfn.IFS(
    I396=FALSE, "",
    Payment_Frequency="Monthly", EDATE(L396, 1),
    Payment_Frequency="Weekly", DATE(YEAR(L396), MONTH(L396), DAY(L396) + 7),
    Payment_Frequency="Fortnightly", DATE(YEAR(L396), MONTH(L396), DAY(L396) + 14),
    Payment_Frequency="Quarterly", DATE(YEAR(L396), MONTH(L396) + 3, DAY(L396)),
    Payment_Frequency="Yearly", DATE(YEAR(L396) + 1, MONTH(L396), DAY(L396)),
    TRUE, ""
)</f>
        <v/>
      </c>
      <c r="M397" s="1853">
        <f>IF(ISERROR(L397-L396),0,L397-L396)</f>
        <v>0</v>
      </c>
      <c r="N397" s="1851" cm="1">
        <f t="array" ref="N397">_xlfn.IFS(
    AND(I397=TRUE, K397&lt;=No_Regular_Payments), Repay_Amt,
    AND(I397=TRUE, K397=No_Regular_Payments+1), Tm_Balloon_Amt,
   TRUE, 0
)</f>
        <v>0</v>
      </c>
      <c r="O397" s="1850" cm="1">
        <f t="array" ref="O397">_xlfn.IFS(
    M397=0,0,
   ABS(N397 - S396 - P397-Q397) &lt; 1, N397 - S396-Q397,
    TRUE, P397
)</f>
        <v>0</v>
      </c>
      <c r="P397" s="1852">
        <f>IF(M397=0,0,ROUND(S396*EXP(Int_Rate/365.25 * M397)-S396,2))</f>
        <v>0</v>
      </c>
      <c r="Q397" s="1851" cm="1">
        <f t="array" ref="Q397">_xlfn.IFS(
    AND(I397=TRUE, K397&lt;=No_Regular_Payments), Periodic_Admin_Charge,
   TRUE, 0
)</f>
        <v>0</v>
      </c>
      <c r="R397" s="1850">
        <f>N397-O397-Q397</f>
        <v>0</v>
      </c>
      <c r="S397" s="1850">
        <f>ROUND(S396-R397,2)</f>
        <v>0</v>
      </c>
      <c r="T397" s="1850">
        <f>ROUND(T396-(N397-Q397),2)</f>
        <v>0</v>
      </c>
      <c r="U397" s="1849"/>
      <c r="W397" s="1848"/>
      <c r="X397" s="1848"/>
      <c r="Y397" s="1848"/>
    </row>
    <row r="398" spans="2:25" hidden="1">
      <c r="B398" s="1815" t="b">
        <f>AND(I398=FALSE,N397=0,Q397=0,L397="")</f>
        <v>1</v>
      </c>
      <c r="C398" s="1844" t="str" cm="1">
        <f t="array" ref="C398">_xlfn.IFS(
    L398="", "",
    MONTH(L398) &lt;= End_of_Year_Month, YEAR(L398),
    TRUE, YEAR(L398) + 1
)</f>
        <v/>
      </c>
      <c r="F398" s="1857">
        <f>IF(L398="",0,L398)</f>
        <v>0</v>
      </c>
      <c r="G398" s="1856">
        <f>-(N398-Q398)</f>
        <v>0</v>
      </c>
      <c r="I398" s="1815" t="b">
        <f>K398&lt;=Number_Payments</f>
        <v>0</v>
      </c>
      <c r="J398" s="1855"/>
      <c r="K398" s="1351">
        <f>K397+1</f>
        <v>272</v>
      </c>
      <c r="L398" s="1854" t="str" cm="1">
        <f t="array" ref="L398">_xlfn.IFS(
    I397=FALSE, "",
    Payment_Frequency="Monthly", EDATE(L397, 1),
    Payment_Frequency="Weekly", DATE(YEAR(L397), MONTH(L397), DAY(L397) + 7),
    Payment_Frequency="Fortnightly", DATE(YEAR(L397), MONTH(L397), DAY(L397) + 14),
    Payment_Frequency="Quarterly", DATE(YEAR(L397), MONTH(L397) + 3, DAY(L397)),
    Payment_Frequency="Yearly", DATE(YEAR(L397) + 1, MONTH(L397), DAY(L397)),
    TRUE, ""
)</f>
        <v/>
      </c>
      <c r="M398" s="1853">
        <f>IF(ISERROR(L398-L397),0,L398-L397)</f>
        <v>0</v>
      </c>
      <c r="N398" s="1851" cm="1">
        <f t="array" ref="N398">_xlfn.IFS(
    AND(I398=TRUE, K398&lt;=No_Regular_Payments), Repay_Amt,
    AND(I398=TRUE, K398=No_Regular_Payments+1), Tm_Balloon_Amt,
   TRUE, 0
)</f>
        <v>0</v>
      </c>
      <c r="O398" s="1850" cm="1">
        <f t="array" ref="O398">_xlfn.IFS(
    M398=0,0,
   ABS(N398 - S397 - P398-Q398) &lt; 1, N398 - S397-Q398,
    TRUE, P398
)</f>
        <v>0</v>
      </c>
      <c r="P398" s="1852">
        <f>IF(M398=0,0,ROUND(S397*EXP(Int_Rate/365.25 * M398)-S397,2))</f>
        <v>0</v>
      </c>
      <c r="Q398" s="1851" cm="1">
        <f t="array" ref="Q398">_xlfn.IFS(
    AND(I398=TRUE, K398&lt;=No_Regular_Payments), Periodic_Admin_Charge,
   TRUE, 0
)</f>
        <v>0</v>
      </c>
      <c r="R398" s="1850">
        <f>N398-O398-Q398</f>
        <v>0</v>
      </c>
      <c r="S398" s="1850">
        <f>ROUND(S397-R398,2)</f>
        <v>0</v>
      </c>
      <c r="T398" s="1850">
        <f>ROUND(T397-(N398-Q398),2)</f>
        <v>0</v>
      </c>
      <c r="U398" s="1849"/>
      <c r="W398" s="1848"/>
      <c r="X398" s="1848"/>
      <c r="Y398" s="1848"/>
    </row>
    <row r="399" spans="2:25" hidden="1">
      <c r="B399" s="1815" t="b">
        <f>AND(I399=FALSE,N398=0,Q398=0,L398="")</f>
        <v>1</v>
      </c>
      <c r="C399" s="1844" t="str" cm="1">
        <f t="array" ref="C399">_xlfn.IFS(
    L399="", "",
    MONTH(L399) &lt;= End_of_Year_Month, YEAR(L399),
    TRUE, YEAR(L399) + 1
)</f>
        <v/>
      </c>
      <c r="F399" s="1857">
        <f>IF(L399="",0,L399)</f>
        <v>0</v>
      </c>
      <c r="G399" s="1856">
        <f>-(N399-Q399)</f>
        <v>0</v>
      </c>
      <c r="I399" s="1815" t="b">
        <f>K399&lt;=Number_Payments</f>
        <v>0</v>
      </c>
      <c r="J399" s="1855"/>
      <c r="K399" s="1351">
        <f>K398+1</f>
        <v>273</v>
      </c>
      <c r="L399" s="1854" t="str" cm="1">
        <f t="array" ref="L399">_xlfn.IFS(
    I398=FALSE, "",
    Payment_Frequency="Monthly", EDATE(L398, 1),
    Payment_Frequency="Weekly", DATE(YEAR(L398), MONTH(L398), DAY(L398) + 7),
    Payment_Frequency="Fortnightly", DATE(YEAR(L398), MONTH(L398), DAY(L398) + 14),
    Payment_Frequency="Quarterly", DATE(YEAR(L398), MONTH(L398) + 3, DAY(L398)),
    Payment_Frequency="Yearly", DATE(YEAR(L398) + 1, MONTH(L398), DAY(L398)),
    TRUE, ""
)</f>
        <v/>
      </c>
      <c r="M399" s="1853">
        <f>IF(ISERROR(L399-L398),0,L399-L398)</f>
        <v>0</v>
      </c>
      <c r="N399" s="1851" cm="1">
        <f t="array" ref="N399">_xlfn.IFS(
    AND(I399=TRUE, K399&lt;=No_Regular_Payments), Repay_Amt,
    AND(I399=TRUE, K399=No_Regular_Payments+1), Tm_Balloon_Amt,
   TRUE, 0
)</f>
        <v>0</v>
      </c>
      <c r="O399" s="1850" cm="1">
        <f t="array" ref="O399">_xlfn.IFS(
    M399=0,0,
   ABS(N399 - S398 - P399-Q399) &lt; 1, N399 - S398-Q399,
    TRUE, P399
)</f>
        <v>0</v>
      </c>
      <c r="P399" s="1852">
        <f>IF(M399=0,0,ROUND(S398*EXP(Int_Rate/365.25 * M399)-S398,2))</f>
        <v>0</v>
      </c>
      <c r="Q399" s="1851" cm="1">
        <f t="array" ref="Q399">_xlfn.IFS(
    AND(I399=TRUE, K399&lt;=No_Regular_Payments), Periodic_Admin_Charge,
   TRUE, 0
)</f>
        <v>0</v>
      </c>
      <c r="R399" s="1850">
        <f>N399-O399-Q399</f>
        <v>0</v>
      </c>
      <c r="S399" s="1850">
        <f>ROUND(S398-R399,2)</f>
        <v>0</v>
      </c>
      <c r="T399" s="1850">
        <f>ROUND(T398-(N399-Q399),2)</f>
        <v>0</v>
      </c>
      <c r="U399" s="1849"/>
      <c r="W399" s="1848"/>
      <c r="X399" s="1848"/>
      <c r="Y399" s="1848"/>
    </row>
    <row r="400" spans="2:25" hidden="1">
      <c r="B400" s="1815" t="b">
        <f>AND(I400=FALSE,N399=0,Q399=0,L399="")</f>
        <v>1</v>
      </c>
      <c r="C400" s="1844" t="str" cm="1">
        <f t="array" ref="C400">_xlfn.IFS(
    L400="", "",
    MONTH(L400) &lt;= End_of_Year_Month, YEAR(L400),
    TRUE, YEAR(L400) + 1
)</f>
        <v/>
      </c>
      <c r="F400" s="1857">
        <f>IF(L400="",0,L400)</f>
        <v>0</v>
      </c>
      <c r="G400" s="1856">
        <f>-(N400-Q400)</f>
        <v>0</v>
      </c>
      <c r="I400" s="1815" t="b">
        <f>K400&lt;=Number_Payments</f>
        <v>0</v>
      </c>
      <c r="J400" s="1855"/>
      <c r="K400" s="1351">
        <f>K399+1</f>
        <v>274</v>
      </c>
      <c r="L400" s="1854" t="str" cm="1">
        <f t="array" ref="L400">_xlfn.IFS(
    I399=FALSE, "",
    Payment_Frequency="Monthly", EDATE(L399, 1),
    Payment_Frequency="Weekly", DATE(YEAR(L399), MONTH(L399), DAY(L399) + 7),
    Payment_Frequency="Fortnightly", DATE(YEAR(L399), MONTH(L399), DAY(L399) + 14),
    Payment_Frequency="Quarterly", DATE(YEAR(L399), MONTH(L399) + 3, DAY(L399)),
    Payment_Frequency="Yearly", DATE(YEAR(L399) + 1, MONTH(L399), DAY(L399)),
    TRUE, ""
)</f>
        <v/>
      </c>
      <c r="M400" s="1853">
        <f>IF(ISERROR(L400-L399),0,L400-L399)</f>
        <v>0</v>
      </c>
      <c r="N400" s="1851" cm="1">
        <f t="array" ref="N400">_xlfn.IFS(
    AND(I400=TRUE, K400&lt;=No_Regular_Payments), Repay_Amt,
    AND(I400=TRUE, K400=No_Regular_Payments+1), Tm_Balloon_Amt,
   TRUE, 0
)</f>
        <v>0</v>
      </c>
      <c r="O400" s="1850" cm="1">
        <f t="array" ref="O400">_xlfn.IFS(
    M400=0,0,
   ABS(N400 - S399 - P400-Q400) &lt; 1, N400 - S399-Q400,
    TRUE, P400
)</f>
        <v>0</v>
      </c>
      <c r="P400" s="1852">
        <f>IF(M400=0,0,ROUND(S399*EXP(Int_Rate/365.25 * M400)-S399,2))</f>
        <v>0</v>
      </c>
      <c r="Q400" s="1851" cm="1">
        <f t="array" ref="Q400">_xlfn.IFS(
    AND(I400=TRUE, K400&lt;=No_Regular_Payments), Periodic_Admin_Charge,
   TRUE, 0
)</f>
        <v>0</v>
      </c>
      <c r="R400" s="1850">
        <f>N400-O400-Q400</f>
        <v>0</v>
      </c>
      <c r="S400" s="1850">
        <f>ROUND(S399-R400,2)</f>
        <v>0</v>
      </c>
      <c r="T400" s="1850">
        <f>ROUND(T399-(N400-Q400),2)</f>
        <v>0</v>
      </c>
      <c r="U400" s="1849"/>
      <c r="W400" s="1848"/>
      <c r="X400" s="1848"/>
      <c r="Y400" s="1848"/>
    </row>
    <row r="401" spans="2:25" hidden="1">
      <c r="B401" s="1815" t="b">
        <f>AND(I401=FALSE,N400=0,Q400=0,L400="")</f>
        <v>1</v>
      </c>
      <c r="C401" s="1844" t="str" cm="1">
        <f t="array" ref="C401">_xlfn.IFS(
    L401="", "",
    MONTH(L401) &lt;= End_of_Year_Month, YEAR(L401),
    TRUE, YEAR(L401) + 1
)</f>
        <v/>
      </c>
      <c r="F401" s="1857">
        <f>IF(L401="",0,L401)</f>
        <v>0</v>
      </c>
      <c r="G401" s="1856">
        <f>-(N401-Q401)</f>
        <v>0</v>
      </c>
      <c r="I401" s="1815" t="b">
        <f>K401&lt;=Number_Payments</f>
        <v>0</v>
      </c>
      <c r="J401" s="1855"/>
      <c r="K401" s="1351">
        <f>K400+1</f>
        <v>275</v>
      </c>
      <c r="L401" s="1854" t="str" cm="1">
        <f t="array" ref="L401">_xlfn.IFS(
    I400=FALSE, "",
    Payment_Frequency="Monthly", EDATE(L400, 1),
    Payment_Frequency="Weekly", DATE(YEAR(L400), MONTH(L400), DAY(L400) + 7),
    Payment_Frequency="Fortnightly", DATE(YEAR(L400), MONTH(L400), DAY(L400) + 14),
    Payment_Frequency="Quarterly", DATE(YEAR(L400), MONTH(L400) + 3, DAY(L400)),
    Payment_Frequency="Yearly", DATE(YEAR(L400) + 1, MONTH(L400), DAY(L400)),
    TRUE, ""
)</f>
        <v/>
      </c>
      <c r="M401" s="1853">
        <f>IF(ISERROR(L401-L400),0,L401-L400)</f>
        <v>0</v>
      </c>
      <c r="N401" s="1851" cm="1">
        <f t="array" ref="N401">_xlfn.IFS(
    AND(I401=TRUE, K401&lt;=No_Regular_Payments), Repay_Amt,
    AND(I401=TRUE, K401=No_Regular_Payments+1), Tm_Balloon_Amt,
   TRUE, 0
)</f>
        <v>0</v>
      </c>
      <c r="O401" s="1850" cm="1">
        <f t="array" ref="O401">_xlfn.IFS(
    M401=0,0,
   ABS(N401 - S400 - P401-Q401) &lt; 1, N401 - S400-Q401,
    TRUE, P401
)</f>
        <v>0</v>
      </c>
      <c r="P401" s="1852">
        <f>IF(M401=0,0,ROUND(S400*EXP(Int_Rate/365.25 * M401)-S400,2))</f>
        <v>0</v>
      </c>
      <c r="Q401" s="1851" cm="1">
        <f t="array" ref="Q401">_xlfn.IFS(
    AND(I401=TRUE, K401&lt;=No_Regular_Payments), Periodic_Admin_Charge,
   TRUE, 0
)</f>
        <v>0</v>
      </c>
      <c r="R401" s="1850">
        <f>N401-O401-Q401</f>
        <v>0</v>
      </c>
      <c r="S401" s="1850">
        <f>ROUND(S400-R401,2)</f>
        <v>0</v>
      </c>
      <c r="T401" s="1850">
        <f>ROUND(T400-(N401-Q401),2)</f>
        <v>0</v>
      </c>
      <c r="U401" s="1849"/>
      <c r="W401" s="1848"/>
      <c r="X401" s="1848"/>
      <c r="Y401" s="1848"/>
    </row>
    <row r="402" spans="2:25" hidden="1">
      <c r="B402" s="1815" t="b">
        <f>AND(I402=FALSE,N401=0,Q401=0,L401="")</f>
        <v>1</v>
      </c>
      <c r="C402" s="1844" t="str" cm="1">
        <f t="array" ref="C402">_xlfn.IFS(
    L402="", "",
    MONTH(L402) &lt;= End_of_Year_Month, YEAR(L402),
    TRUE, YEAR(L402) + 1
)</f>
        <v/>
      </c>
      <c r="F402" s="1857">
        <f>IF(L402="",0,L402)</f>
        <v>0</v>
      </c>
      <c r="G402" s="1856">
        <f>-(N402-Q402)</f>
        <v>0</v>
      </c>
      <c r="I402" s="1815" t="b">
        <f>K402&lt;=Number_Payments</f>
        <v>0</v>
      </c>
      <c r="J402" s="1855"/>
      <c r="K402" s="1351">
        <f>K401+1</f>
        <v>276</v>
      </c>
      <c r="L402" s="1854" t="str" cm="1">
        <f t="array" ref="L402">_xlfn.IFS(
    I401=FALSE, "",
    Payment_Frequency="Monthly", EDATE(L401, 1),
    Payment_Frequency="Weekly", DATE(YEAR(L401), MONTH(L401), DAY(L401) + 7),
    Payment_Frequency="Fortnightly", DATE(YEAR(L401), MONTH(L401), DAY(L401) + 14),
    Payment_Frequency="Quarterly", DATE(YEAR(L401), MONTH(L401) + 3, DAY(L401)),
    Payment_Frequency="Yearly", DATE(YEAR(L401) + 1, MONTH(L401), DAY(L401)),
    TRUE, ""
)</f>
        <v/>
      </c>
      <c r="M402" s="1853">
        <f>IF(ISERROR(L402-L401),0,L402-L401)</f>
        <v>0</v>
      </c>
      <c r="N402" s="1851" cm="1">
        <f t="array" ref="N402">_xlfn.IFS(
    AND(I402=TRUE, K402&lt;=No_Regular_Payments), Repay_Amt,
    AND(I402=TRUE, K402=No_Regular_Payments+1), Tm_Balloon_Amt,
   TRUE, 0
)</f>
        <v>0</v>
      </c>
      <c r="O402" s="1850" cm="1">
        <f t="array" ref="O402">_xlfn.IFS(
    M402=0,0,
   ABS(N402 - S401 - P402-Q402) &lt; 1, N402 - S401-Q402,
    TRUE, P402
)</f>
        <v>0</v>
      </c>
      <c r="P402" s="1852">
        <f>IF(M402=0,0,ROUND(S401*EXP(Int_Rate/365.25 * M402)-S401,2))</f>
        <v>0</v>
      </c>
      <c r="Q402" s="1851" cm="1">
        <f t="array" ref="Q402">_xlfn.IFS(
    AND(I402=TRUE, K402&lt;=No_Regular_Payments), Periodic_Admin_Charge,
   TRUE, 0
)</f>
        <v>0</v>
      </c>
      <c r="R402" s="1850">
        <f>N402-O402-Q402</f>
        <v>0</v>
      </c>
      <c r="S402" s="1850">
        <f>ROUND(S401-R402,2)</f>
        <v>0</v>
      </c>
      <c r="T402" s="1850">
        <f>ROUND(T401-(N402-Q402),2)</f>
        <v>0</v>
      </c>
      <c r="U402" s="1849"/>
      <c r="W402" s="1848"/>
      <c r="X402" s="1848"/>
      <c r="Y402" s="1848"/>
    </row>
    <row r="403" spans="2:25" hidden="1">
      <c r="B403" s="1815" t="b">
        <f>AND(I403=FALSE,N402=0,Q402=0,L402="")</f>
        <v>1</v>
      </c>
      <c r="C403" s="1844" t="str" cm="1">
        <f t="array" ref="C403">_xlfn.IFS(
    L403="", "",
    MONTH(L403) &lt;= End_of_Year_Month, YEAR(L403),
    TRUE, YEAR(L403) + 1
)</f>
        <v/>
      </c>
      <c r="F403" s="1857">
        <f>IF(L403="",0,L403)</f>
        <v>0</v>
      </c>
      <c r="G403" s="1856">
        <f>-(N403-Q403)</f>
        <v>0</v>
      </c>
      <c r="I403" s="1815" t="b">
        <f>K403&lt;=Number_Payments</f>
        <v>0</v>
      </c>
      <c r="J403" s="1855"/>
      <c r="K403" s="1351">
        <f>K402+1</f>
        <v>277</v>
      </c>
      <c r="L403" s="1854" t="str" cm="1">
        <f t="array" ref="L403">_xlfn.IFS(
    I402=FALSE, "",
    Payment_Frequency="Monthly", EDATE(L402, 1),
    Payment_Frequency="Weekly", DATE(YEAR(L402), MONTH(L402), DAY(L402) + 7),
    Payment_Frequency="Fortnightly", DATE(YEAR(L402), MONTH(L402), DAY(L402) + 14),
    Payment_Frequency="Quarterly", DATE(YEAR(L402), MONTH(L402) + 3, DAY(L402)),
    Payment_Frequency="Yearly", DATE(YEAR(L402) + 1, MONTH(L402), DAY(L402)),
    TRUE, ""
)</f>
        <v/>
      </c>
      <c r="M403" s="1853">
        <f>IF(ISERROR(L403-L402),0,L403-L402)</f>
        <v>0</v>
      </c>
      <c r="N403" s="1851" cm="1">
        <f t="array" ref="N403">_xlfn.IFS(
    AND(I403=TRUE, K403&lt;=No_Regular_Payments), Repay_Amt,
    AND(I403=TRUE, K403=No_Regular_Payments+1), Tm_Balloon_Amt,
   TRUE, 0
)</f>
        <v>0</v>
      </c>
      <c r="O403" s="1850" cm="1">
        <f t="array" ref="O403">_xlfn.IFS(
    M403=0,0,
   ABS(N403 - S402 - P403-Q403) &lt; 1, N403 - S402-Q403,
    TRUE, P403
)</f>
        <v>0</v>
      </c>
      <c r="P403" s="1852">
        <f>IF(M403=0,0,ROUND(S402*EXP(Int_Rate/365.25 * M403)-S402,2))</f>
        <v>0</v>
      </c>
      <c r="Q403" s="1851" cm="1">
        <f t="array" ref="Q403">_xlfn.IFS(
    AND(I403=TRUE, K403&lt;=No_Regular_Payments), Periodic_Admin_Charge,
   TRUE, 0
)</f>
        <v>0</v>
      </c>
      <c r="R403" s="1850">
        <f>N403-O403-Q403</f>
        <v>0</v>
      </c>
      <c r="S403" s="1850">
        <f>ROUND(S402-R403,2)</f>
        <v>0</v>
      </c>
      <c r="T403" s="1850">
        <f>ROUND(T402-(N403-Q403),2)</f>
        <v>0</v>
      </c>
      <c r="U403" s="1849"/>
      <c r="W403" s="1848"/>
      <c r="X403" s="1848"/>
      <c r="Y403" s="1848"/>
    </row>
    <row r="404" spans="2:25" hidden="1">
      <c r="B404" s="1815" t="b">
        <f>AND(I404=FALSE,N403=0,Q403=0,L403="")</f>
        <v>1</v>
      </c>
      <c r="C404" s="1844" t="str" cm="1">
        <f t="array" ref="C404">_xlfn.IFS(
    L404="", "",
    MONTH(L404) &lt;= End_of_Year_Month, YEAR(L404),
    TRUE, YEAR(L404) + 1
)</f>
        <v/>
      </c>
      <c r="F404" s="1857">
        <f>IF(L404="",0,L404)</f>
        <v>0</v>
      </c>
      <c r="G404" s="1856">
        <f>-(N404-Q404)</f>
        <v>0</v>
      </c>
      <c r="I404" s="1815" t="b">
        <f>K404&lt;=Number_Payments</f>
        <v>0</v>
      </c>
      <c r="J404" s="1855"/>
      <c r="K404" s="1351">
        <f>K403+1</f>
        <v>278</v>
      </c>
      <c r="L404" s="1854" t="str" cm="1">
        <f t="array" ref="L404">_xlfn.IFS(
    I403=FALSE, "",
    Payment_Frequency="Monthly", EDATE(L403, 1),
    Payment_Frequency="Weekly", DATE(YEAR(L403), MONTH(L403), DAY(L403) + 7),
    Payment_Frequency="Fortnightly", DATE(YEAR(L403), MONTH(L403), DAY(L403) + 14),
    Payment_Frequency="Quarterly", DATE(YEAR(L403), MONTH(L403) + 3, DAY(L403)),
    Payment_Frequency="Yearly", DATE(YEAR(L403) + 1, MONTH(L403), DAY(L403)),
    TRUE, ""
)</f>
        <v/>
      </c>
      <c r="M404" s="1853">
        <f>IF(ISERROR(L404-L403),0,L404-L403)</f>
        <v>0</v>
      </c>
      <c r="N404" s="1851" cm="1">
        <f t="array" ref="N404">_xlfn.IFS(
    AND(I404=TRUE, K404&lt;=No_Regular_Payments), Repay_Amt,
    AND(I404=TRUE, K404=No_Regular_Payments+1), Tm_Balloon_Amt,
   TRUE, 0
)</f>
        <v>0</v>
      </c>
      <c r="O404" s="1850" cm="1">
        <f t="array" ref="O404">_xlfn.IFS(
    M404=0,0,
   ABS(N404 - S403 - P404-Q404) &lt; 1, N404 - S403-Q404,
    TRUE, P404
)</f>
        <v>0</v>
      </c>
      <c r="P404" s="1852">
        <f>IF(M404=0,0,ROUND(S403*EXP(Int_Rate/365.25 * M404)-S403,2))</f>
        <v>0</v>
      </c>
      <c r="Q404" s="1851" cm="1">
        <f t="array" ref="Q404">_xlfn.IFS(
    AND(I404=TRUE, K404&lt;=No_Regular_Payments), Periodic_Admin_Charge,
   TRUE, 0
)</f>
        <v>0</v>
      </c>
      <c r="R404" s="1850">
        <f>N404-O404-Q404</f>
        <v>0</v>
      </c>
      <c r="S404" s="1850">
        <f>ROUND(S403-R404,2)</f>
        <v>0</v>
      </c>
      <c r="T404" s="1850">
        <f>ROUND(T403-(N404-Q404),2)</f>
        <v>0</v>
      </c>
      <c r="U404" s="1849"/>
      <c r="W404" s="1848"/>
      <c r="X404" s="1848"/>
      <c r="Y404" s="1848"/>
    </row>
    <row r="405" spans="2:25" hidden="1">
      <c r="B405" s="1815" t="b">
        <f>AND(I405=FALSE,N404=0,Q404=0,L404="")</f>
        <v>1</v>
      </c>
      <c r="C405" s="1844" t="str" cm="1">
        <f t="array" ref="C405">_xlfn.IFS(
    L405="", "",
    MONTH(L405) &lt;= End_of_Year_Month, YEAR(L405),
    TRUE, YEAR(L405) + 1
)</f>
        <v/>
      </c>
      <c r="F405" s="1857">
        <f>IF(L405="",0,L405)</f>
        <v>0</v>
      </c>
      <c r="G405" s="1856">
        <f>-(N405-Q405)</f>
        <v>0</v>
      </c>
      <c r="I405" s="1815" t="b">
        <f>K405&lt;=Number_Payments</f>
        <v>0</v>
      </c>
      <c r="J405" s="1855"/>
      <c r="K405" s="1351">
        <f>K404+1</f>
        <v>279</v>
      </c>
      <c r="L405" s="1854" t="str" cm="1">
        <f t="array" ref="L405">_xlfn.IFS(
    I404=FALSE, "",
    Payment_Frequency="Monthly", EDATE(L404, 1),
    Payment_Frequency="Weekly", DATE(YEAR(L404), MONTH(L404), DAY(L404) + 7),
    Payment_Frequency="Fortnightly", DATE(YEAR(L404), MONTH(L404), DAY(L404) + 14),
    Payment_Frequency="Quarterly", DATE(YEAR(L404), MONTH(L404) + 3, DAY(L404)),
    Payment_Frequency="Yearly", DATE(YEAR(L404) + 1, MONTH(L404), DAY(L404)),
    TRUE, ""
)</f>
        <v/>
      </c>
      <c r="M405" s="1853">
        <f>IF(ISERROR(L405-L404),0,L405-L404)</f>
        <v>0</v>
      </c>
      <c r="N405" s="1851" cm="1">
        <f t="array" ref="N405">_xlfn.IFS(
    AND(I405=TRUE, K405&lt;=No_Regular_Payments), Repay_Amt,
    AND(I405=TRUE, K405=No_Regular_Payments+1), Tm_Balloon_Amt,
   TRUE, 0
)</f>
        <v>0</v>
      </c>
      <c r="O405" s="1850" cm="1">
        <f t="array" ref="O405">_xlfn.IFS(
    M405=0,0,
   ABS(N405 - S404 - P405-Q405) &lt; 1, N405 - S404-Q405,
    TRUE, P405
)</f>
        <v>0</v>
      </c>
      <c r="P405" s="1852">
        <f>IF(M405=0,0,ROUND(S404*EXP(Int_Rate/365.25 * M405)-S404,2))</f>
        <v>0</v>
      </c>
      <c r="Q405" s="1851" cm="1">
        <f t="array" ref="Q405">_xlfn.IFS(
    AND(I405=TRUE, K405&lt;=No_Regular_Payments), Periodic_Admin_Charge,
   TRUE, 0
)</f>
        <v>0</v>
      </c>
      <c r="R405" s="1850">
        <f>N405-O405-Q405</f>
        <v>0</v>
      </c>
      <c r="S405" s="1850">
        <f>ROUND(S404-R405,2)</f>
        <v>0</v>
      </c>
      <c r="T405" s="1850">
        <f>ROUND(T404-(N405-Q405),2)</f>
        <v>0</v>
      </c>
      <c r="U405" s="1849"/>
      <c r="W405" s="1848"/>
      <c r="X405" s="1848"/>
      <c r="Y405" s="1848"/>
    </row>
    <row r="406" spans="2:25" hidden="1">
      <c r="B406" s="1815" t="b">
        <f>AND(I406=FALSE,N405=0,Q405=0,L405="")</f>
        <v>1</v>
      </c>
      <c r="C406" s="1844" t="str" cm="1">
        <f t="array" ref="C406">_xlfn.IFS(
    L406="", "",
    MONTH(L406) &lt;= End_of_Year_Month, YEAR(L406),
    TRUE, YEAR(L406) + 1
)</f>
        <v/>
      </c>
      <c r="F406" s="1857">
        <f>IF(L406="",0,L406)</f>
        <v>0</v>
      </c>
      <c r="G406" s="1856">
        <f>-(N406-Q406)</f>
        <v>0</v>
      </c>
      <c r="I406" s="1815" t="b">
        <f>K406&lt;=Number_Payments</f>
        <v>0</v>
      </c>
      <c r="J406" s="1855"/>
      <c r="K406" s="1351">
        <f>K405+1</f>
        <v>280</v>
      </c>
      <c r="L406" s="1854" t="str" cm="1">
        <f t="array" ref="L406">_xlfn.IFS(
    I405=FALSE, "",
    Payment_Frequency="Monthly", EDATE(L405, 1),
    Payment_Frequency="Weekly", DATE(YEAR(L405), MONTH(L405), DAY(L405) + 7),
    Payment_Frequency="Fortnightly", DATE(YEAR(L405), MONTH(L405), DAY(L405) + 14),
    Payment_Frequency="Quarterly", DATE(YEAR(L405), MONTH(L405) + 3, DAY(L405)),
    Payment_Frequency="Yearly", DATE(YEAR(L405) + 1, MONTH(L405), DAY(L405)),
    TRUE, ""
)</f>
        <v/>
      </c>
      <c r="M406" s="1853">
        <f>IF(ISERROR(L406-L405),0,L406-L405)</f>
        <v>0</v>
      </c>
      <c r="N406" s="1851" cm="1">
        <f t="array" ref="N406">_xlfn.IFS(
    AND(I406=TRUE, K406&lt;=No_Regular_Payments), Repay_Amt,
    AND(I406=TRUE, K406=No_Regular_Payments+1), Tm_Balloon_Amt,
   TRUE, 0
)</f>
        <v>0</v>
      </c>
      <c r="O406" s="1850" cm="1">
        <f t="array" ref="O406">_xlfn.IFS(
    M406=0,0,
   ABS(N406 - S405 - P406-Q406) &lt; 1, N406 - S405-Q406,
    TRUE, P406
)</f>
        <v>0</v>
      </c>
      <c r="P406" s="1852">
        <f>IF(M406=0,0,ROUND(S405*EXP(Int_Rate/365.25 * M406)-S405,2))</f>
        <v>0</v>
      </c>
      <c r="Q406" s="1851" cm="1">
        <f t="array" ref="Q406">_xlfn.IFS(
    AND(I406=TRUE, K406&lt;=No_Regular_Payments), Periodic_Admin_Charge,
   TRUE, 0
)</f>
        <v>0</v>
      </c>
      <c r="R406" s="1850">
        <f>N406-O406-Q406</f>
        <v>0</v>
      </c>
      <c r="S406" s="1850">
        <f>ROUND(S405-R406,2)</f>
        <v>0</v>
      </c>
      <c r="T406" s="1850">
        <f>ROUND(T405-(N406-Q406),2)</f>
        <v>0</v>
      </c>
      <c r="U406" s="1849"/>
      <c r="W406" s="1848"/>
      <c r="X406" s="1848"/>
      <c r="Y406" s="1848"/>
    </row>
    <row r="407" spans="2:25" hidden="1">
      <c r="B407" s="1815" t="b">
        <f>AND(I407=FALSE,N406=0,Q406=0,L406="")</f>
        <v>1</v>
      </c>
      <c r="C407" s="1844" t="str" cm="1">
        <f t="array" ref="C407">_xlfn.IFS(
    L407="", "",
    MONTH(L407) &lt;= End_of_Year_Month, YEAR(L407),
    TRUE, YEAR(L407) + 1
)</f>
        <v/>
      </c>
      <c r="F407" s="1857">
        <f>IF(L407="",0,L407)</f>
        <v>0</v>
      </c>
      <c r="G407" s="1856">
        <f>-(N407-Q407)</f>
        <v>0</v>
      </c>
      <c r="I407" s="1815" t="b">
        <f>K407&lt;=Number_Payments</f>
        <v>0</v>
      </c>
      <c r="J407" s="1855"/>
      <c r="K407" s="1351">
        <f>K406+1</f>
        <v>281</v>
      </c>
      <c r="L407" s="1854" t="str" cm="1">
        <f t="array" ref="L407">_xlfn.IFS(
    I406=FALSE, "",
    Payment_Frequency="Monthly", EDATE(L406, 1),
    Payment_Frequency="Weekly", DATE(YEAR(L406), MONTH(L406), DAY(L406) + 7),
    Payment_Frequency="Fortnightly", DATE(YEAR(L406), MONTH(L406), DAY(L406) + 14),
    Payment_Frequency="Quarterly", DATE(YEAR(L406), MONTH(L406) + 3, DAY(L406)),
    Payment_Frequency="Yearly", DATE(YEAR(L406) + 1, MONTH(L406), DAY(L406)),
    TRUE, ""
)</f>
        <v/>
      </c>
      <c r="M407" s="1853">
        <f>IF(ISERROR(L407-L406),0,L407-L406)</f>
        <v>0</v>
      </c>
      <c r="N407" s="1851" cm="1">
        <f t="array" ref="N407">_xlfn.IFS(
    AND(I407=TRUE, K407&lt;=No_Regular_Payments), Repay_Amt,
    AND(I407=TRUE, K407=No_Regular_Payments+1), Tm_Balloon_Amt,
   TRUE, 0
)</f>
        <v>0</v>
      </c>
      <c r="O407" s="1850" cm="1">
        <f t="array" ref="O407">_xlfn.IFS(
    M407=0,0,
   ABS(N407 - S406 - P407-Q407) &lt; 1, N407 - S406-Q407,
    TRUE, P407
)</f>
        <v>0</v>
      </c>
      <c r="P407" s="1852">
        <f>IF(M407=0,0,ROUND(S406*EXP(Int_Rate/365.25 * M407)-S406,2))</f>
        <v>0</v>
      </c>
      <c r="Q407" s="1851" cm="1">
        <f t="array" ref="Q407">_xlfn.IFS(
    AND(I407=TRUE, K407&lt;=No_Regular_Payments), Periodic_Admin_Charge,
   TRUE, 0
)</f>
        <v>0</v>
      </c>
      <c r="R407" s="1850">
        <f>N407-O407-Q407</f>
        <v>0</v>
      </c>
      <c r="S407" s="1850">
        <f>ROUND(S406-R407,2)</f>
        <v>0</v>
      </c>
      <c r="T407" s="1850">
        <f>ROUND(T406-(N407-Q407),2)</f>
        <v>0</v>
      </c>
      <c r="U407" s="1849"/>
      <c r="W407" s="1848"/>
      <c r="X407" s="1848"/>
      <c r="Y407" s="1848"/>
    </row>
    <row r="408" spans="2:25" hidden="1">
      <c r="B408" s="1815" t="b">
        <f>AND(I408=FALSE,N407=0,Q407=0,L407="")</f>
        <v>1</v>
      </c>
      <c r="C408" s="1844" t="str" cm="1">
        <f t="array" ref="C408">_xlfn.IFS(
    L408="", "",
    MONTH(L408) &lt;= End_of_Year_Month, YEAR(L408),
    TRUE, YEAR(L408) + 1
)</f>
        <v/>
      </c>
      <c r="F408" s="1857">
        <f>IF(L408="",0,L408)</f>
        <v>0</v>
      </c>
      <c r="G408" s="1856">
        <f>-(N408-Q408)</f>
        <v>0</v>
      </c>
      <c r="I408" s="1815" t="b">
        <f>K408&lt;=Number_Payments</f>
        <v>0</v>
      </c>
      <c r="J408" s="1855"/>
      <c r="K408" s="1351">
        <f>K407+1</f>
        <v>282</v>
      </c>
      <c r="L408" s="1854" t="str" cm="1">
        <f t="array" ref="L408">_xlfn.IFS(
    I407=FALSE, "",
    Payment_Frequency="Monthly", EDATE(L407, 1),
    Payment_Frequency="Weekly", DATE(YEAR(L407), MONTH(L407), DAY(L407) + 7),
    Payment_Frequency="Fortnightly", DATE(YEAR(L407), MONTH(L407), DAY(L407) + 14),
    Payment_Frequency="Quarterly", DATE(YEAR(L407), MONTH(L407) + 3, DAY(L407)),
    Payment_Frequency="Yearly", DATE(YEAR(L407) + 1, MONTH(L407), DAY(L407)),
    TRUE, ""
)</f>
        <v/>
      </c>
      <c r="M408" s="1853">
        <f>IF(ISERROR(L408-L407),0,L408-L407)</f>
        <v>0</v>
      </c>
      <c r="N408" s="1851" cm="1">
        <f t="array" ref="N408">_xlfn.IFS(
    AND(I408=TRUE, K408&lt;=No_Regular_Payments), Repay_Amt,
    AND(I408=TRUE, K408=No_Regular_Payments+1), Tm_Balloon_Amt,
   TRUE, 0
)</f>
        <v>0</v>
      </c>
      <c r="O408" s="1850" cm="1">
        <f t="array" ref="O408">_xlfn.IFS(
    M408=0,0,
   ABS(N408 - S407 - P408-Q408) &lt; 1, N408 - S407-Q408,
    TRUE, P408
)</f>
        <v>0</v>
      </c>
      <c r="P408" s="1852">
        <f>IF(M408=0,0,ROUND(S407*EXP(Int_Rate/365.25 * M408)-S407,2))</f>
        <v>0</v>
      </c>
      <c r="Q408" s="1851" cm="1">
        <f t="array" ref="Q408">_xlfn.IFS(
    AND(I408=TRUE, K408&lt;=No_Regular_Payments), Periodic_Admin_Charge,
   TRUE, 0
)</f>
        <v>0</v>
      </c>
      <c r="R408" s="1850">
        <f>N408-O408-Q408</f>
        <v>0</v>
      </c>
      <c r="S408" s="1850">
        <f>ROUND(S407-R408,2)</f>
        <v>0</v>
      </c>
      <c r="T408" s="1850">
        <f>ROUND(T407-(N408-Q408),2)</f>
        <v>0</v>
      </c>
      <c r="U408" s="1849"/>
      <c r="W408" s="1848"/>
      <c r="X408" s="1848"/>
      <c r="Y408" s="1848"/>
    </row>
    <row r="409" spans="2:25" hidden="1">
      <c r="B409" s="1815" t="b">
        <f>AND(I409=FALSE,N408=0,Q408=0,L408="")</f>
        <v>1</v>
      </c>
      <c r="C409" s="1844" t="str" cm="1">
        <f t="array" ref="C409">_xlfn.IFS(
    L409="", "",
    MONTH(L409) &lt;= End_of_Year_Month, YEAR(L409),
    TRUE, YEAR(L409) + 1
)</f>
        <v/>
      </c>
      <c r="F409" s="1857">
        <f>IF(L409="",0,L409)</f>
        <v>0</v>
      </c>
      <c r="G409" s="1856">
        <f>-(N409-Q409)</f>
        <v>0</v>
      </c>
      <c r="I409" s="1815" t="b">
        <f>K409&lt;=Number_Payments</f>
        <v>0</v>
      </c>
      <c r="J409" s="1855"/>
      <c r="K409" s="1351">
        <f>K408+1</f>
        <v>283</v>
      </c>
      <c r="L409" s="1854" t="str" cm="1">
        <f t="array" ref="L409">_xlfn.IFS(
    I408=FALSE, "",
    Payment_Frequency="Monthly", EDATE(L408, 1),
    Payment_Frequency="Weekly", DATE(YEAR(L408), MONTH(L408), DAY(L408) + 7),
    Payment_Frequency="Fortnightly", DATE(YEAR(L408), MONTH(L408), DAY(L408) + 14),
    Payment_Frequency="Quarterly", DATE(YEAR(L408), MONTH(L408) + 3, DAY(L408)),
    Payment_Frequency="Yearly", DATE(YEAR(L408) + 1, MONTH(L408), DAY(L408)),
    TRUE, ""
)</f>
        <v/>
      </c>
      <c r="M409" s="1853">
        <f>IF(ISERROR(L409-L408),0,L409-L408)</f>
        <v>0</v>
      </c>
      <c r="N409" s="1851" cm="1">
        <f t="array" ref="N409">_xlfn.IFS(
    AND(I409=TRUE, K409&lt;=No_Regular_Payments), Repay_Amt,
    AND(I409=TRUE, K409=No_Regular_Payments+1), Tm_Balloon_Amt,
   TRUE, 0
)</f>
        <v>0</v>
      </c>
      <c r="O409" s="1850" cm="1">
        <f t="array" ref="O409">_xlfn.IFS(
    M409=0,0,
   ABS(N409 - S408 - P409-Q409) &lt; 1, N409 - S408-Q409,
    TRUE, P409
)</f>
        <v>0</v>
      </c>
      <c r="P409" s="1852">
        <f>IF(M409=0,0,ROUND(S408*EXP(Int_Rate/365.25 * M409)-S408,2))</f>
        <v>0</v>
      </c>
      <c r="Q409" s="1851" cm="1">
        <f t="array" ref="Q409">_xlfn.IFS(
    AND(I409=TRUE, K409&lt;=No_Regular_Payments), Periodic_Admin_Charge,
   TRUE, 0
)</f>
        <v>0</v>
      </c>
      <c r="R409" s="1850">
        <f>N409-O409-Q409</f>
        <v>0</v>
      </c>
      <c r="S409" s="1850">
        <f>ROUND(S408-R409,2)</f>
        <v>0</v>
      </c>
      <c r="T409" s="1850">
        <f>ROUND(T408-(N409-Q409),2)</f>
        <v>0</v>
      </c>
      <c r="U409" s="1849"/>
      <c r="W409" s="1848"/>
      <c r="X409" s="1848"/>
      <c r="Y409" s="1848"/>
    </row>
    <row r="410" spans="2:25" hidden="1">
      <c r="B410" s="1815" t="b">
        <f>AND(I410=FALSE,N409=0,Q409=0,L409="")</f>
        <v>1</v>
      </c>
      <c r="C410" s="1844" t="str" cm="1">
        <f t="array" ref="C410">_xlfn.IFS(
    L410="", "",
    MONTH(L410) &lt;= End_of_Year_Month, YEAR(L410),
    TRUE, YEAR(L410) + 1
)</f>
        <v/>
      </c>
      <c r="F410" s="1857">
        <f>IF(L410="",0,L410)</f>
        <v>0</v>
      </c>
      <c r="G410" s="1856">
        <f>-(N410-Q410)</f>
        <v>0</v>
      </c>
      <c r="I410" s="1815" t="b">
        <f>K410&lt;=Number_Payments</f>
        <v>0</v>
      </c>
      <c r="J410" s="1855"/>
      <c r="K410" s="1351">
        <f>K409+1</f>
        <v>284</v>
      </c>
      <c r="L410" s="1854" t="str" cm="1">
        <f t="array" ref="L410">_xlfn.IFS(
    I409=FALSE, "",
    Payment_Frequency="Monthly", EDATE(L409, 1),
    Payment_Frequency="Weekly", DATE(YEAR(L409), MONTH(L409), DAY(L409) + 7),
    Payment_Frequency="Fortnightly", DATE(YEAR(L409), MONTH(L409), DAY(L409) + 14),
    Payment_Frequency="Quarterly", DATE(YEAR(L409), MONTH(L409) + 3, DAY(L409)),
    Payment_Frequency="Yearly", DATE(YEAR(L409) + 1, MONTH(L409), DAY(L409)),
    TRUE, ""
)</f>
        <v/>
      </c>
      <c r="M410" s="1853">
        <f>IF(ISERROR(L410-L409),0,L410-L409)</f>
        <v>0</v>
      </c>
      <c r="N410" s="1851" cm="1">
        <f t="array" ref="N410">_xlfn.IFS(
    AND(I410=TRUE, K410&lt;=No_Regular_Payments), Repay_Amt,
    AND(I410=TRUE, K410=No_Regular_Payments+1), Tm_Balloon_Amt,
   TRUE, 0
)</f>
        <v>0</v>
      </c>
      <c r="O410" s="1850" cm="1">
        <f t="array" ref="O410">_xlfn.IFS(
    M410=0,0,
   ABS(N410 - S409 - P410-Q410) &lt; 1, N410 - S409-Q410,
    TRUE, P410
)</f>
        <v>0</v>
      </c>
      <c r="P410" s="1852">
        <f>IF(M410=0,0,ROUND(S409*EXP(Int_Rate/365.25 * M410)-S409,2))</f>
        <v>0</v>
      </c>
      <c r="Q410" s="1851" cm="1">
        <f t="array" ref="Q410">_xlfn.IFS(
    AND(I410=TRUE, K410&lt;=No_Regular_Payments), Periodic_Admin_Charge,
   TRUE, 0
)</f>
        <v>0</v>
      </c>
      <c r="R410" s="1850">
        <f>N410-O410-Q410</f>
        <v>0</v>
      </c>
      <c r="S410" s="1850">
        <f>ROUND(S409-R410,2)</f>
        <v>0</v>
      </c>
      <c r="T410" s="1850">
        <f>ROUND(T409-(N410-Q410),2)</f>
        <v>0</v>
      </c>
      <c r="U410" s="1849"/>
      <c r="W410" s="1848"/>
      <c r="X410" s="1848"/>
      <c r="Y410" s="1848"/>
    </row>
    <row r="411" spans="2:25" hidden="1">
      <c r="B411" s="1815" t="b">
        <f>AND(I411=FALSE,N410=0,Q410=0,L410="")</f>
        <v>1</v>
      </c>
      <c r="C411" s="1844" t="str" cm="1">
        <f t="array" ref="C411">_xlfn.IFS(
    L411="", "",
    MONTH(L411) &lt;= End_of_Year_Month, YEAR(L411),
    TRUE, YEAR(L411) + 1
)</f>
        <v/>
      </c>
      <c r="F411" s="1857">
        <f>IF(L411="",0,L411)</f>
        <v>0</v>
      </c>
      <c r="G411" s="1856">
        <f>-(N411-Q411)</f>
        <v>0</v>
      </c>
      <c r="I411" s="1815" t="b">
        <f>K411&lt;=Number_Payments</f>
        <v>0</v>
      </c>
      <c r="J411" s="1855"/>
      <c r="K411" s="1351">
        <f>K410+1</f>
        <v>285</v>
      </c>
      <c r="L411" s="1854" t="str" cm="1">
        <f t="array" ref="L411">_xlfn.IFS(
    I410=FALSE, "",
    Payment_Frequency="Monthly", EDATE(L410, 1),
    Payment_Frequency="Weekly", DATE(YEAR(L410), MONTH(L410), DAY(L410) + 7),
    Payment_Frequency="Fortnightly", DATE(YEAR(L410), MONTH(L410), DAY(L410) + 14),
    Payment_Frequency="Quarterly", DATE(YEAR(L410), MONTH(L410) + 3, DAY(L410)),
    Payment_Frequency="Yearly", DATE(YEAR(L410) + 1, MONTH(L410), DAY(L410)),
    TRUE, ""
)</f>
        <v/>
      </c>
      <c r="M411" s="1853">
        <f>IF(ISERROR(L411-L410),0,L411-L410)</f>
        <v>0</v>
      </c>
      <c r="N411" s="1851" cm="1">
        <f t="array" ref="N411">_xlfn.IFS(
    AND(I411=TRUE, K411&lt;=No_Regular_Payments), Repay_Amt,
    AND(I411=TRUE, K411=No_Regular_Payments+1), Tm_Balloon_Amt,
   TRUE, 0
)</f>
        <v>0</v>
      </c>
      <c r="O411" s="1850" cm="1">
        <f t="array" ref="O411">_xlfn.IFS(
    M411=0,0,
   ABS(N411 - S410 - P411-Q411) &lt; 1, N411 - S410-Q411,
    TRUE, P411
)</f>
        <v>0</v>
      </c>
      <c r="P411" s="1852">
        <f>IF(M411=0,0,ROUND(S410*EXP(Int_Rate/365.25 * M411)-S410,2))</f>
        <v>0</v>
      </c>
      <c r="Q411" s="1851" cm="1">
        <f t="array" ref="Q411">_xlfn.IFS(
    AND(I411=TRUE, K411&lt;=No_Regular_Payments), Periodic_Admin_Charge,
   TRUE, 0
)</f>
        <v>0</v>
      </c>
      <c r="R411" s="1850">
        <f>N411-O411-Q411</f>
        <v>0</v>
      </c>
      <c r="S411" s="1850">
        <f>ROUND(S410-R411,2)</f>
        <v>0</v>
      </c>
      <c r="T411" s="1850">
        <f>ROUND(T410-(N411-Q411),2)</f>
        <v>0</v>
      </c>
      <c r="U411" s="1849"/>
      <c r="W411" s="1848"/>
      <c r="X411" s="1848"/>
      <c r="Y411" s="1848"/>
    </row>
    <row r="412" spans="2:25" hidden="1">
      <c r="B412" s="1815" t="b">
        <f>AND(I412=FALSE,N411=0,Q411=0,L411="")</f>
        <v>1</v>
      </c>
      <c r="C412" s="1844" t="str" cm="1">
        <f t="array" ref="C412">_xlfn.IFS(
    L412="", "",
    MONTH(L412) &lt;= End_of_Year_Month, YEAR(L412),
    TRUE, YEAR(L412) + 1
)</f>
        <v/>
      </c>
      <c r="F412" s="1857">
        <f>IF(L412="",0,L412)</f>
        <v>0</v>
      </c>
      <c r="G412" s="1856">
        <f>-(N412-Q412)</f>
        <v>0</v>
      </c>
      <c r="I412" s="1815" t="b">
        <f>K412&lt;=Number_Payments</f>
        <v>0</v>
      </c>
      <c r="J412" s="1855"/>
      <c r="K412" s="1351">
        <f>K411+1</f>
        <v>286</v>
      </c>
      <c r="L412" s="1854" t="str" cm="1">
        <f t="array" ref="L412">_xlfn.IFS(
    I411=FALSE, "",
    Payment_Frequency="Monthly", EDATE(L411, 1),
    Payment_Frequency="Weekly", DATE(YEAR(L411), MONTH(L411), DAY(L411) + 7),
    Payment_Frequency="Fortnightly", DATE(YEAR(L411), MONTH(L411), DAY(L411) + 14),
    Payment_Frequency="Quarterly", DATE(YEAR(L411), MONTH(L411) + 3, DAY(L411)),
    Payment_Frequency="Yearly", DATE(YEAR(L411) + 1, MONTH(L411), DAY(L411)),
    TRUE, ""
)</f>
        <v/>
      </c>
      <c r="M412" s="1853">
        <f>IF(ISERROR(L412-L411),0,L412-L411)</f>
        <v>0</v>
      </c>
      <c r="N412" s="1851" cm="1">
        <f t="array" ref="N412">_xlfn.IFS(
    AND(I412=TRUE, K412&lt;=No_Regular_Payments), Repay_Amt,
    AND(I412=TRUE, K412=No_Regular_Payments+1), Tm_Balloon_Amt,
   TRUE, 0
)</f>
        <v>0</v>
      </c>
      <c r="O412" s="1850" cm="1">
        <f t="array" ref="O412">_xlfn.IFS(
    M412=0,0,
   ABS(N412 - S411 - P412-Q412) &lt; 1, N412 - S411-Q412,
    TRUE, P412
)</f>
        <v>0</v>
      </c>
      <c r="P412" s="1852">
        <f>IF(M412=0,0,ROUND(S411*EXP(Int_Rate/365.25 * M412)-S411,2))</f>
        <v>0</v>
      </c>
      <c r="Q412" s="1851" cm="1">
        <f t="array" ref="Q412">_xlfn.IFS(
    AND(I412=TRUE, K412&lt;=No_Regular_Payments), Periodic_Admin_Charge,
   TRUE, 0
)</f>
        <v>0</v>
      </c>
      <c r="R412" s="1850">
        <f>N412-O412-Q412</f>
        <v>0</v>
      </c>
      <c r="S412" s="1850">
        <f>ROUND(S411-R412,2)</f>
        <v>0</v>
      </c>
      <c r="T412" s="1850">
        <f>ROUND(T411-(N412-Q412),2)</f>
        <v>0</v>
      </c>
      <c r="U412" s="1849"/>
      <c r="W412" s="1848"/>
      <c r="X412" s="1848"/>
      <c r="Y412" s="1848"/>
    </row>
    <row r="413" spans="2:25" hidden="1">
      <c r="B413" s="1815" t="b">
        <f>AND(I413=FALSE,N412=0,Q412=0,L412="")</f>
        <v>1</v>
      </c>
      <c r="C413" s="1844" t="str" cm="1">
        <f t="array" ref="C413">_xlfn.IFS(
    L413="", "",
    MONTH(L413) &lt;= End_of_Year_Month, YEAR(L413),
    TRUE, YEAR(L413) + 1
)</f>
        <v/>
      </c>
      <c r="F413" s="1857">
        <f>IF(L413="",0,L413)</f>
        <v>0</v>
      </c>
      <c r="G413" s="1856">
        <f>-(N413-Q413)</f>
        <v>0</v>
      </c>
      <c r="I413" s="1815" t="b">
        <f>K413&lt;=Number_Payments</f>
        <v>0</v>
      </c>
      <c r="J413" s="1855"/>
      <c r="K413" s="1351">
        <f>K412+1</f>
        <v>287</v>
      </c>
      <c r="L413" s="1854" t="str" cm="1">
        <f t="array" ref="L413">_xlfn.IFS(
    I412=FALSE, "",
    Payment_Frequency="Monthly", EDATE(L412, 1),
    Payment_Frequency="Weekly", DATE(YEAR(L412), MONTH(L412), DAY(L412) + 7),
    Payment_Frequency="Fortnightly", DATE(YEAR(L412), MONTH(L412), DAY(L412) + 14),
    Payment_Frequency="Quarterly", DATE(YEAR(L412), MONTH(L412) + 3, DAY(L412)),
    Payment_Frequency="Yearly", DATE(YEAR(L412) + 1, MONTH(L412), DAY(L412)),
    TRUE, ""
)</f>
        <v/>
      </c>
      <c r="M413" s="1853">
        <f>IF(ISERROR(L413-L412),0,L413-L412)</f>
        <v>0</v>
      </c>
      <c r="N413" s="1851" cm="1">
        <f t="array" ref="N413">_xlfn.IFS(
    AND(I413=TRUE, K413&lt;=No_Regular_Payments), Repay_Amt,
    AND(I413=TRUE, K413=No_Regular_Payments+1), Tm_Balloon_Amt,
   TRUE, 0
)</f>
        <v>0</v>
      </c>
      <c r="O413" s="1850" cm="1">
        <f t="array" ref="O413">_xlfn.IFS(
    M413=0,0,
   ABS(N413 - S412 - P413-Q413) &lt; 1, N413 - S412-Q413,
    TRUE, P413
)</f>
        <v>0</v>
      </c>
      <c r="P413" s="1852">
        <f>IF(M413=0,0,ROUND(S412*EXP(Int_Rate/365.25 * M413)-S412,2))</f>
        <v>0</v>
      </c>
      <c r="Q413" s="1851" cm="1">
        <f t="array" ref="Q413">_xlfn.IFS(
    AND(I413=TRUE, K413&lt;=No_Regular_Payments), Periodic_Admin_Charge,
   TRUE, 0
)</f>
        <v>0</v>
      </c>
      <c r="R413" s="1850">
        <f>N413-O413-Q413</f>
        <v>0</v>
      </c>
      <c r="S413" s="1850">
        <f>ROUND(S412-R413,2)</f>
        <v>0</v>
      </c>
      <c r="T413" s="1850">
        <f>ROUND(T412-(N413-Q413),2)</f>
        <v>0</v>
      </c>
      <c r="U413" s="1849"/>
      <c r="W413" s="1848"/>
      <c r="X413" s="1848"/>
      <c r="Y413" s="1848"/>
    </row>
    <row r="414" spans="2:25" hidden="1">
      <c r="B414" s="1815" t="b">
        <f>AND(I414=FALSE,N413=0,Q413=0,L413="")</f>
        <v>1</v>
      </c>
      <c r="C414" s="1844" t="str" cm="1">
        <f t="array" ref="C414">_xlfn.IFS(
    L414="", "",
    MONTH(L414) &lt;= End_of_Year_Month, YEAR(L414),
    TRUE, YEAR(L414) + 1
)</f>
        <v/>
      </c>
      <c r="F414" s="1857">
        <f>IF(L414="",0,L414)</f>
        <v>0</v>
      </c>
      <c r="G414" s="1856">
        <f>-(N414-Q414)</f>
        <v>0</v>
      </c>
      <c r="I414" s="1815" t="b">
        <f>K414&lt;=Number_Payments</f>
        <v>0</v>
      </c>
      <c r="J414" s="1855"/>
      <c r="K414" s="1351">
        <f>K413+1</f>
        <v>288</v>
      </c>
      <c r="L414" s="1854" t="str" cm="1">
        <f t="array" ref="L414">_xlfn.IFS(
    I413=FALSE, "",
    Payment_Frequency="Monthly", EDATE(L413, 1),
    Payment_Frequency="Weekly", DATE(YEAR(L413), MONTH(L413), DAY(L413) + 7),
    Payment_Frequency="Fortnightly", DATE(YEAR(L413), MONTH(L413), DAY(L413) + 14),
    Payment_Frequency="Quarterly", DATE(YEAR(L413), MONTH(L413) + 3, DAY(L413)),
    Payment_Frequency="Yearly", DATE(YEAR(L413) + 1, MONTH(L413), DAY(L413)),
    TRUE, ""
)</f>
        <v/>
      </c>
      <c r="M414" s="1853">
        <f>IF(ISERROR(L414-L413),0,L414-L413)</f>
        <v>0</v>
      </c>
      <c r="N414" s="1851" cm="1">
        <f t="array" ref="N414">_xlfn.IFS(
    AND(I414=TRUE, K414&lt;=No_Regular_Payments), Repay_Amt,
    AND(I414=TRUE, K414=No_Regular_Payments+1), Tm_Balloon_Amt,
   TRUE, 0
)</f>
        <v>0</v>
      </c>
      <c r="O414" s="1850" cm="1">
        <f t="array" ref="O414">_xlfn.IFS(
    M414=0,0,
   ABS(N414 - S413 - P414-Q414) &lt; 1, N414 - S413-Q414,
    TRUE, P414
)</f>
        <v>0</v>
      </c>
      <c r="P414" s="1852">
        <f>IF(M414=0,0,ROUND(S413*EXP(Int_Rate/365.25 * M414)-S413,2))</f>
        <v>0</v>
      </c>
      <c r="Q414" s="1851" cm="1">
        <f t="array" ref="Q414">_xlfn.IFS(
    AND(I414=TRUE, K414&lt;=No_Regular_Payments), Periodic_Admin_Charge,
   TRUE, 0
)</f>
        <v>0</v>
      </c>
      <c r="R414" s="1850">
        <f>N414-O414-Q414</f>
        <v>0</v>
      </c>
      <c r="S414" s="1850">
        <f>ROUND(S413-R414,2)</f>
        <v>0</v>
      </c>
      <c r="T414" s="1850">
        <f>ROUND(T413-(N414-Q414),2)</f>
        <v>0</v>
      </c>
      <c r="U414" s="1849"/>
      <c r="W414" s="1848"/>
      <c r="X414" s="1848"/>
      <c r="Y414" s="1848"/>
    </row>
    <row r="415" spans="2:25" hidden="1">
      <c r="B415" s="1815" t="b">
        <f>AND(I415=FALSE,N414=0,Q414=0,L414="")</f>
        <v>1</v>
      </c>
      <c r="C415" s="1844" t="str" cm="1">
        <f t="array" ref="C415">_xlfn.IFS(
    L415="", "",
    MONTH(L415) &lt;= End_of_Year_Month, YEAR(L415),
    TRUE, YEAR(L415) + 1
)</f>
        <v/>
      </c>
      <c r="F415" s="1857">
        <f>IF(L415="",0,L415)</f>
        <v>0</v>
      </c>
      <c r="G415" s="1856">
        <f>-(N415-Q415)</f>
        <v>0</v>
      </c>
      <c r="I415" s="1815" t="b">
        <f>K415&lt;=Number_Payments</f>
        <v>0</v>
      </c>
      <c r="J415" s="1855"/>
      <c r="K415" s="1351">
        <f>K414+1</f>
        <v>289</v>
      </c>
      <c r="L415" s="1854" t="str" cm="1">
        <f t="array" ref="L415">_xlfn.IFS(
    I414=FALSE, "",
    Payment_Frequency="Monthly", EDATE(L414, 1),
    Payment_Frequency="Weekly", DATE(YEAR(L414), MONTH(L414), DAY(L414) + 7),
    Payment_Frequency="Fortnightly", DATE(YEAR(L414), MONTH(L414), DAY(L414) + 14),
    Payment_Frequency="Quarterly", DATE(YEAR(L414), MONTH(L414) + 3, DAY(L414)),
    Payment_Frequency="Yearly", DATE(YEAR(L414) + 1, MONTH(L414), DAY(L414)),
    TRUE, ""
)</f>
        <v/>
      </c>
      <c r="M415" s="1853">
        <f>IF(ISERROR(L415-L414),0,L415-L414)</f>
        <v>0</v>
      </c>
      <c r="N415" s="1851" cm="1">
        <f t="array" ref="N415">_xlfn.IFS(
    AND(I415=TRUE, K415&lt;=No_Regular_Payments), Repay_Amt,
    AND(I415=TRUE, K415=No_Regular_Payments+1), Tm_Balloon_Amt,
   TRUE, 0
)</f>
        <v>0</v>
      </c>
      <c r="O415" s="1850" cm="1">
        <f t="array" ref="O415">_xlfn.IFS(
    M415=0,0,
   ABS(N415 - S414 - P415-Q415) &lt; 1, N415 - S414-Q415,
    TRUE, P415
)</f>
        <v>0</v>
      </c>
      <c r="P415" s="1852">
        <f>IF(M415=0,0,ROUND(S414*EXP(Int_Rate/365.25 * M415)-S414,2))</f>
        <v>0</v>
      </c>
      <c r="Q415" s="1851" cm="1">
        <f t="array" ref="Q415">_xlfn.IFS(
    AND(I415=TRUE, K415&lt;=No_Regular_Payments), Periodic_Admin_Charge,
   TRUE, 0
)</f>
        <v>0</v>
      </c>
      <c r="R415" s="1850">
        <f>N415-O415-Q415</f>
        <v>0</v>
      </c>
      <c r="S415" s="1850">
        <f>ROUND(S414-R415,2)</f>
        <v>0</v>
      </c>
      <c r="T415" s="1850">
        <f>ROUND(T414-(N415-Q415),2)</f>
        <v>0</v>
      </c>
      <c r="U415" s="1849"/>
      <c r="W415" s="1848"/>
      <c r="X415" s="1848"/>
      <c r="Y415" s="1848"/>
    </row>
    <row r="416" spans="2:25" hidden="1">
      <c r="B416" s="1815" t="b">
        <f>AND(I416=FALSE,N415=0,Q415=0,L415="")</f>
        <v>1</v>
      </c>
      <c r="C416" s="1844" t="str" cm="1">
        <f t="array" ref="C416">_xlfn.IFS(
    L416="", "",
    MONTH(L416) &lt;= End_of_Year_Month, YEAR(L416),
    TRUE, YEAR(L416) + 1
)</f>
        <v/>
      </c>
      <c r="F416" s="1857">
        <f>IF(L416="",0,L416)</f>
        <v>0</v>
      </c>
      <c r="G416" s="1856">
        <f>-(N416-Q416)</f>
        <v>0</v>
      </c>
      <c r="I416" s="1815" t="b">
        <f>K416&lt;=Number_Payments</f>
        <v>0</v>
      </c>
      <c r="J416" s="1855"/>
      <c r="K416" s="1351">
        <f>K415+1</f>
        <v>290</v>
      </c>
      <c r="L416" s="1854" t="str" cm="1">
        <f t="array" ref="L416">_xlfn.IFS(
    I415=FALSE, "",
    Payment_Frequency="Monthly", EDATE(L415, 1),
    Payment_Frequency="Weekly", DATE(YEAR(L415), MONTH(L415), DAY(L415) + 7),
    Payment_Frequency="Fortnightly", DATE(YEAR(L415), MONTH(L415), DAY(L415) + 14),
    Payment_Frequency="Quarterly", DATE(YEAR(L415), MONTH(L415) + 3, DAY(L415)),
    Payment_Frequency="Yearly", DATE(YEAR(L415) + 1, MONTH(L415), DAY(L415)),
    TRUE, ""
)</f>
        <v/>
      </c>
      <c r="M416" s="1853">
        <f>IF(ISERROR(L416-L415),0,L416-L415)</f>
        <v>0</v>
      </c>
      <c r="N416" s="1851" cm="1">
        <f t="array" ref="N416">_xlfn.IFS(
    AND(I416=TRUE, K416&lt;=No_Regular_Payments), Repay_Amt,
    AND(I416=TRUE, K416=No_Regular_Payments+1), Tm_Balloon_Amt,
   TRUE, 0
)</f>
        <v>0</v>
      </c>
      <c r="O416" s="1850" cm="1">
        <f t="array" ref="O416">_xlfn.IFS(
    M416=0,0,
   ABS(N416 - S415 - P416-Q416) &lt; 1, N416 - S415-Q416,
    TRUE, P416
)</f>
        <v>0</v>
      </c>
      <c r="P416" s="1852">
        <f>IF(M416=0,0,ROUND(S415*EXP(Int_Rate/365.25 * M416)-S415,2))</f>
        <v>0</v>
      </c>
      <c r="Q416" s="1851" cm="1">
        <f t="array" ref="Q416">_xlfn.IFS(
    AND(I416=TRUE, K416&lt;=No_Regular_Payments), Periodic_Admin_Charge,
   TRUE, 0
)</f>
        <v>0</v>
      </c>
      <c r="R416" s="1850">
        <f>N416-O416-Q416</f>
        <v>0</v>
      </c>
      <c r="S416" s="1850">
        <f>ROUND(S415-R416,2)</f>
        <v>0</v>
      </c>
      <c r="T416" s="1850">
        <f>ROUND(T415-(N416-Q416),2)</f>
        <v>0</v>
      </c>
      <c r="U416" s="1849"/>
      <c r="W416" s="1848"/>
      <c r="X416" s="1848"/>
      <c r="Y416" s="1848"/>
    </row>
    <row r="417" spans="2:25" hidden="1">
      <c r="B417" s="1815" t="b">
        <f>AND(I417=FALSE,N416=0,Q416=0,L416="")</f>
        <v>1</v>
      </c>
      <c r="C417" s="1844" t="str" cm="1">
        <f t="array" ref="C417">_xlfn.IFS(
    L417="", "",
    MONTH(L417) &lt;= End_of_Year_Month, YEAR(L417),
    TRUE, YEAR(L417) + 1
)</f>
        <v/>
      </c>
      <c r="F417" s="1857">
        <f>IF(L417="",0,L417)</f>
        <v>0</v>
      </c>
      <c r="G417" s="1856">
        <f>-(N417-Q417)</f>
        <v>0</v>
      </c>
      <c r="I417" s="1815" t="b">
        <f>K417&lt;=Number_Payments</f>
        <v>0</v>
      </c>
      <c r="J417" s="1855"/>
      <c r="K417" s="1351">
        <f>K416+1</f>
        <v>291</v>
      </c>
      <c r="L417" s="1854" t="str" cm="1">
        <f t="array" ref="L417">_xlfn.IFS(
    I416=FALSE, "",
    Payment_Frequency="Monthly", EDATE(L416, 1),
    Payment_Frequency="Weekly", DATE(YEAR(L416), MONTH(L416), DAY(L416) + 7),
    Payment_Frequency="Fortnightly", DATE(YEAR(L416), MONTH(L416), DAY(L416) + 14),
    Payment_Frequency="Quarterly", DATE(YEAR(L416), MONTH(L416) + 3, DAY(L416)),
    Payment_Frequency="Yearly", DATE(YEAR(L416) + 1, MONTH(L416), DAY(L416)),
    TRUE, ""
)</f>
        <v/>
      </c>
      <c r="M417" s="1853">
        <f>IF(ISERROR(L417-L416),0,L417-L416)</f>
        <v>0</v>
      </c>
      <c r="N417" s="1851" cm="1">
        <f t="array" ref="N417">_xlfn.IFS(
    AND(I417=TRUE, K417&lt;=No_Regular_Payments), Repay_Amt,
    AND(I417=TRUE, K417=No_Regular_Payments+1), Tm_Balloon_Amt,
   TRUE, 0
)</f>
        <v>0</v>
      </c>
      <c r="O417" s="1850" cm="1">
        <f t="array" ref="O417">_xlfn.IFS(
    M417=0,0,
   ABS(N417 - S416 - P417-Q417) &lt; 1, N417 - S416-Q417,
    TRUE, P417
)</f>
        <v>0</v>
      </c>
      <c r="P417" s="1852">
        <f>IF(M417=0,0,ROUND(S416*EXP(Int_Rate/365.25 * M417)-S416,2))</f>
        <v>0</v>
      </c>
      <c r="Q417" s="1851" cm="1">
        <f t="array" ref="Q417">_xlfn.IFS(
    AND(I417=TRUE, K417&lt;=No_Regular_Payments), Periodic_Admin_Charge,
   TRUE, 0
)</f>
        <v>0</v>
      </c>
      <c r="R417" s="1850">
        <f>N417-O417-Q417</f>
        <v>0</v>
      </c>
      <c r="S417" s="1850">
        <f>ROUND(S416-R417,2)</f>
        <v>0</v>
      </c>
      <c r="T417" s="1850">
        <f>ROUND(T416-(N417-Q417),2)</f>
        <v>0</v>
      </c>
      <c r="U417" s="1849"/>
      <c r="W417" s="1848"/>
      <c r="X417" s="1848"/>
      <c r="Y417" s="1848"/>
    </row>
    <row r="418" spans="2:25" hidden="1">
      <c r="B418" s="1815" t="b">
        <f>AND(I418=FALSE,N417=0,Q417=0,L417="")</f>
        <v>1</v>
      </c>
      <c r="C418" s="1844" t="str" cm="1">
        <f t="array" ref="C418">_xlfn.IFS(
    L418="", "",
    MONTH(L418) &lt;= End_of_Year_Month, YEAR(L418),
    TRUE, YEAR(L418) + 1
)</f>
        <v/>
      </c>
      <c r="F418" s="1857">
        <f>IF(L418="",0,L418)</f>
        <v>0</v>
      </c>
      <c r="G418" s="1856">
        <f>-(N418-Q418)</f>
        <v>0</v>
      </c>
      <c r="I418" s="1815" t="b">
        <f>K418&lt;=Number_Payments</f>
        <v>0</v>
      </c>
      <c r="J418" s="1855"/>
      <c r="K418" s="1351">
        <f>K417+1</f>
        <v>292</v>
      </c>
      <c r="L418" s="1854" t="str" cm="1">
        <f t="array" ref="L418">_xlfn.IFS(
    I417=FALSE, "",
    Payment_Frequency="Monthly", EDATE(L417, 1),
    Payment_Frequency="Weekly", DATE(YEAR(L417), MONTH(L417), DAY(L417) + 7),
    Payment_Frequency="Fortnightly", DATE(YEAR(L417), MONTH(L417), DAY(L417) + 14),
    Payment_Frequency="Quarterly", DATE(YEAR(L417), MONTH(L417) + 3, DAY(L417)),
    Payment_Frequency="Yearly", DATE(YEAR(L417) + 1, MONTH(L417), DAY(L417)),
    TRUE, ""
)</f>
        <v/>
      </c>
      <c r="M418" s="1853">
        <f>IF(ISERROR(L418-L417),0,L418-L417)</f>
        <v>0</v>
      </c>
      <c r="N418" s="1851" cm="1">
        <f t="array" ref="N418">_xlfn.IFS(
    AND(I418=TRUE, K418&lt;=No_Regular_Payments), Repay_Amt,
    AND(I418=TRUE, K418=No_Regular_Payments+1), Tm_Balloon_Amt,
   TRUE, 0
)</f>
        <v>0</v>
      </c>
      <c r="O418" s="1850" cm="1">
        <f t="array" ref="O418">_xlfn.IFS(
    M418=0,0,
   ABS(N418 - S417 - P418-Q418) &lt; 1, N418 - S417-Q418,
    TRUE, P418
)</f>
        <v>0</v>
      </c>
      <c r="P418" s="1852">
        <f>IF(M418=0,0,ROUND(S417*EXP(Int_Rate/365.25 * M418)-S417,2))</f>
        <v>0</v>
      </c>
      <c r="Q418" s="1851" cm="1">
        <f t="array" ref="Q418">_xlfn.IFS(
    AND(I418=TRUE, K418&lt;=No_Regular_Payments), Periodic_Admin_Charge,
   TRUE, 0
)</f>
        <v>0</v>
      </c>
      <c r="R418" s="1850">
        <f>N418-O418-Q418</f>
        <v>0</v>
      </c>
      <c r="S418" s="1850">
        <f>ROUND(S417-R418,2)</f>
        <v>0</v>
      </c>
      <c r="T418" s="1850">
        <f>ROUND(T417-(N418-Q418),2)</f>
        <v>0</v>
      </c>
      <c r="U418" s="1849"/>
      <c r="W418" s="1848"/>
      <c r="X418" s="1848"/>
      <c r="Y418" s="1848"/>
    </row>
    <row r="419" spans="2:25" hidden="1">
      <c r="B419" s="1815" t="b">
        <f>AND(I419=FALSE,N418=0,Q418=0,L418="")</f>
        <v>1</v>
      </c>
      <c r="C419" s="1844" t="str" cm="1">
        <f t="array" ref="C419">_xlfn.IFS(
    L419="", "",
    MONTH(L419) &lt;= End_of_Year_Month, YEAR(L419),
    TRUE, YEAR(L419) + 1
)</f>
        <v/>
      </c>
      <c r="F419" s="1857">
        <f>IF(L419="",0,L419)</f>
        <v>0</v>
      </c>
      <c r="G419" s="1856">
        <f>-(N419-Q419)</f>
        <v>0</v>
      </c>
      <c r="I419" s="1815" t="b">
        <f>K419&lt;=Number_Payments</f>
        <v>0</v>
      </c>
      <c r="J419" s="1855"/>
      <c r="K419" s="1351">
        <f>K418+1</f>
        <v>293</v>
      </c>
      <c r="L419" s="1854" t="str" cm="1">
        <f t="array" ref="L419">_xlfn.IFS(
    I418=FALSE, "",
    Payment_Frequency="Monthly", EDATE(L418, 1),
    Payment_Frequency="Weekly", DATE(YEAR(L418), MONTH(L418), DAY(L418) + 7),
    Payment_Frequency="Fortnightly", DATE(YEAR(L418), MONTH(L418), DAY(L418) + 14),
    Payment_Frequency="Quarterly", DATE(YEAR(L418), MONTH(L418) + 3, DAY(L418)),
    Payment_Frequency="Yearly", DATE(YEAR(L418) + 1, MONTH(L418), DAY(L418)),
    TRUE, ""
)</f>
        <v/>
      </c>
      <c r="M419" s="1853">
        <f>IF(ISERROR(L419-L418),0,L419-L418)</f>
        <v>0</v>
      </c>
      <c r="N419" s="1851" cm="1">
        <f t="array" ref="N419">_xlfn.IFS(
    AND(I419=TRUE, K419&lt;=No_Regular_Payments), Repay_Amt,
    AND(I419=TRUE, K419=No_Regular_Payments+1), Tm_Balloon_Amt,
   TRUE, 0
)</f>
        <v>0</v>
      </c>
      <c r="O419" s="1850" cm="1">
        <f t="array" ref="O419">_xlfn.IFS(
    M419=0,0,
   ABS(N419 - S418 - P419-Q419) &lt; 1, N419 - S418-Q419,
    TRUE, P419
)</f>
        <v>0</v>
      </c>
      <c r="P419" s="1852">
        <f>IF(M419=0,0,ROUND(S418*EXP(Int_Rate/365.25 * M419)-S418,2))</f>
        <v>0</v>
      </c>
      <c r="Q419" s="1851" cm="1">
        <f t="array" ref="Q419">_xlfn.IFS(
    AND(I419=TRUE, K419&lt;=No_Regular_Payments), Periodic_Admin_Charge,
   TRUE, 0
)</f>
        <v>0</v>
      </c>
      <c r="R419" s="1850">
        <f>N419-O419-Q419</f>
        <v>0</v>
      </c>
      <c r="S419" s="1850">
        <f>ROUND(S418-R419,2)</f>
        <v>0</v>
      </c>
      <c r="T419" s="1850">
        <f>ROUND(T418-(N419-Q419),2)</f>
        <v>0</v>
      </c>
      <c r="U419" s="1849"/>
      <c r="W419" s="1848"/>
      <c r="X419" s="1848"/>
      <c r="Y419" s="1848"/>
    </row>
    <row r="420" spans="2:25" hidden="1">
      <c r="B420" s="1815" t="b">
        <f>AND(I420=FALSE,N419=0,Q419=0,L419="")</f>
        <v>1</v>
      </c>
      <c r="C420" s="1844" t="str" cm="1">
        <f t="array" ref="C420">_xlfn.IFS(
    L420="", "",
    MONTH(L420) &lt;= End_of_Year_Month, YEAR(L420),
    TRUE, YEAR(L420) + 1
)</f>
        <v/>
      </c>
      <c r="F420" s="1857">
        <f>IF(L420="",0,L420)</f>
        <v>0</v>
      </c>
      <c r="G420" s="1856">
        <f>-(N420-Q420)</f>
        <v>0</v>
      </c>
      <c r="I420" s="1815" t="b">
        <f>K420&lt;=Number_Payments</f>
        <v>0</v>
      </c>
      <c r="J420" s="1855"/>
      <c r="K420" s="1351">
        <f>K419+1</f>
        <v>294</v>
      </c>
      <c r="L420" s="1854" t="str" cm="1">
        <f t="array" ref="L420">_xlfn.IFS(
    I419=FALSE, "",
    Payment_Frequency="Monthly", EDATE(L419, 1),
    Payment_Frequency="Weekly", DATE(YEAR(L419), MONTH(L419), DAY(L419) + 7),
    Payment_Frequency="Fortnightly", DATE(YEAR(L419), MONTH(L419), DAY(L419) + 14),
    Payment_Frequency="Quarterly", DATE(YEAR(L419), MONTH(L419) + 3, DAY(L419)),
    Payment_Frequency="Yearly", DATE(YEAR(L419) + 1, MONTH(L419), DAY(L419)),
    TRUE, ""
)</f>
        <v/>
      </c>
      <c r="M420" s="1853">
        <f>IF(ISERROR(L420-L419),0,L420-L419)</f>
        <v>0</v>
      </c>
      <c r="N420" s="1851" cm="1">
        <f t="array" ref="N420">_xlfn.IFS(
    AND(I420=TRUE, K420&lt;=No_Regular_Payments), Repay_Amt,
    AND(I420=TRUE, K420=No_Regular_Payments+1), Tm_Balloon_Amt,
   TRUE, 0
)</f>
        <v>0</v>
      </c>
      <c r="O420" s="1850" cm="1">
        <f t="array" ref="O420">_xlfn.IFS(
    M420=0,0,
   ABS(N420 - S419 - P420-Q420) &lt; 1, N420 - S419-Q420,
    TRUE, P420
)</f>
        <v>0</v>
      </c>
      <c r="P420" s="1852">
        <f>IF(M420=0,0,ROUND(S419*EXP(Int_Rate/365.25 * M420)-S419,2))</f>
        <v>0</v>
      </c>
      <c r="Q420" s="1851" cm="1">
        <f t="array" ref="Q420">_xlfn.IFS(
    AND(I420=TRUE, K420&lt;=No_Regular_Payments), Periodic_Admin_Charge,
   TRUE, 0
)</f>
        <v>0</v>
      </c>
      <c r="R420" s="1850">
        <f>N420-O420-Q420</f>
        <v>0</v>
      </c>
      <c r="S420" s="1850">
        <f>ROUND(S419-R420,2)</f>
        <v>0</v>
      </c>
      <c r="T420" s="1850">
        <f>ROUND(T419-(N420-Q420),2)</f>
        <v>0</v>
      </c>
      <c r="U420" s="1849"/>
      <c r="W420" s="1848"/>
      <c r="X420" s="1848"/>
      <c r="Y420" s="1848"/>
    </row>
    <row r="421" spans="2:25" hidden="1">
      <c r="B421" s="1815" t="b">
        <f>AND(I421=FALSE,N420=0,Q420=0,L420="")</f>
        <v>1</v>
      </c>
      <c r="C421" s="1844" t="str" cm="1">
        <f t="array" ref="C421">_xlfn.IFS(
    L421="", "",
    MONTH(L421) &lt;= End_of_Year_Month, YEAR(L421),
    TRUE, YEAR(L421) + 1
)</f>
        <v/>
      </c>
      <c r="F421" s="1857">
        <f>IF(L421="",0,L421)</f>
        <v>0</v>
      </c>
      <c r="G421" s="1856">
        <f>-(N421-Q421)</f>
        <v>0</v>
      </c>
      <c r="I421" s="1815" t="b">
        <f>K421&lt;=Number_Payments</f>
        <v>0</v>
      </c>
      <c r="J421" s="1855"/>
      <c r="K421" s="1351">
        <f>K420+1</f>
        <v>295</v>
      </c>
      <c r="L421" s="1854" t="str" cm="1">
        <f t="array" ref="L421">_xlfn.IFS(
    I420=FALSE, "",
    Payment_Frequency="Monthly", EDATE(L420, 1),
    Payment_Frequency="Weekly", DATE(YEAR(L420), MONTH(L420), DAY(L420) + 7),
    Payment_Frequency="Fortnightly", DATE(YEAR(L420), MONTH(L420), DAY(L420) + 14),
    Payment_Frequency="Quarterly", DATE(YEAR(L420), MONTH(L420) + 3, DAY(L420)),
    Payment_Frequency="Yearly", DATE(YEAR(L420) + 1, MONTH(L420), DAY(L420)),
    TRUE, ""
)</f>
        <v/>
      </c>
      <c r="M421" s="1853">
        <f>IF(ISERROR(L421-L420),0,L421-L420)</f>
        <v>0</v>
      </c>
      <c r="N421" s="1851" cm="1">
        <f t="array" ref="N421">_xlfn.IFS(
    AND(I421=TRUE, K421&lt;=No_Regular_Payments), Repay_Amt,
    AND(I421=TRUE, K421=No_Regular_Payments+1), Tm_Balloon_Amt,
   TRUE, 0
)</f>
        <v>0</v>
      </c>
      <c r="O421" s="1850" cm="1">
        <f t="array" ref="O421">_xlfn.IFS(
    M421=0,0,
   ABS(N421 - S420 - P421-Q421) &lt; 1, N421 - S420-Q421,
    TRUE, P421
)</f>
        <v>0</v>
      </c>
      <c r="P421" s="1852">
        <f>IF(M421=0,0,ROUND(S420*EXP(Int_Rate/365.25 * M421)-S420,2))</f>
        <v>0</v>
      </c>
      <c r="Q421" s="1851" cm="1">
        <f t="array" ref="Q421">_xlfn.IFS(
    AND(I421=TRUE, K421&lt;=No_Regular_Payments), Periodic_Admin_Charge,
   TRUE, 0
)</f>
        <v>0</v>
      </c>
      <c r="R421" s="1850">
        <f>N421-O421-Q421</f>
        <v>0</v>
      </c>
      <c r="S421" s="1850">
        <f>ROUND(S420-R421,2)</f>
        <v>0</v>
      </c>
      <c r="T421" s="1850">
        <f>ROUND(T420-(N421-Q421),2)</f>
        <v>0</v>
      </c>
      <c r="U421" s="1849"/>
      <c r="W421" s="1848"/>
      <c r="X421" s="1848"/>
      <c r="Y421" s="1848"/>
    </row>
    <row r="422" spans="2:25" hidden="1">
      <c r="B422" s="1815" t="b">
        <f>AND(I422=FALSE,N421=0,Q421=0,L421="")</f>
        <v>1</v>
      </c>
      <c r="C422" s="1844" t="str" cm="1">
        <f t="array" ref="C422">_xlfn.IFS(
    L422="", "",
    MONTH(L422) &lt;= End_of_Year_Month, YEAR(L422),
    TRUE, YEAR(L422) + 1
)</f>
        <v/>
      </c>
      <c r="F422" s="1857">
        <f>IF(L422="",0,L422)</f>
        <v>0</v>
      </c>
      <c r="G422" s="1856">
        <f>-(N422-Q422)</f>
        <v>0</v>
      </c>
      <c r="I422" s="1815" t="b">
        <f>K422&lt;=Number_Payments</f>
        <v>0</v>
      </c>
      <c r="J422" s="1855"/>
      <c r="K422" s="1351">
        <f>K421+1</f>
        <v>296</v>
      </c>
      <c r="L422" s="1854" t="str" cm="1">
        <f t="array" ref="L422">_xlfn.IFS(
    I421=FALSE, "",
    Payment_Frequency="Monthly", EDATE(L421, 1),
    Payment_Frequency="Weekly", DATE(YEAR(L421), MONTH(L421), DAY(L421) + 7),
    Payment_Frequency="Fortnightly", DATE(YEAR(L421), MONTH(L421), DAY(L421) + 14),
    Payment_Frequency="Quarterly", DATE(YEAR(L421), MONTH(L421) + 3, DAY(L421)),
    Payment_Frequency="Yearly", DATE(YEAR(L421) + 1, MONTH(L421), DAY(L421)),
    TRUE, ""
)</f>
        <v/>
      </c>
      <c r="M422" s="1853">
        <f>IF(ISERROR(L422-L421),0,L422-L421)</f>
        <v>0</v>
      </c>
      <c r="N422" s="1851" cm="1">
        <f t="array" ref="N422">_xlfn.IFS(
    AND(I422=TRUE, K422&lt;=No_Regular_Payments), Repay_Amt,
    AND(I422=TRUE, K422=No_Regular_Payments+1), Tm_Balloon_Amt,
   TRUE, 0
)</f>
        <v>0</v>
      </c>
      <c r="O422" s="1850" cm="1">
        <f t="array" ref="O422">_xlfn.IFS(
    M422=0,0,
   ABS(N422 - S421 - P422-Q422) &lt; 1, N422 - S421-Q422,
    TRUE, P422
)</f>
        <v>0</v>
      </c>
      <c r="P422" s="1852">
        <f>IF(M422=0,0,ROUND(S421*EXP(Int_Rate/365.25 * M422)-S421,2))</f>
        <v>0</v>
      </c>
      <c r="Q422" s="1851" cm="1">
        <f t="array" ref="Q422">_xlfn.IFS(
    AND(I422=TRUE, K422&lt;=No_Regular_Payments), Periodic_Admin_Charge,
   TRUE, 0
)</f>
        <v>0</v>
      </c>
      <c r="R422" s="1850">
        <f>N422-O422-Q422</f>
        <v>0</v>
      </c>
      <c r="S422" s="1850">
        <f>ROUND(S421-R422,2)</f>
        <v>0</v>
      </c>
      <c r="T422" s="1850">
        <f>ROUND(T421-(N422-Q422),2)</f>
        <v>0</v>
      </c>
      <c r="U422" s="1849"/>
      <c r="W422" s="1848"/>
      <c r="X422" s="1848"/>
      <c r="Y422" s="1848"/>
    </row>
    <row r="423" spans="2:25" hidden="1">
      <c r="B423" s="1815" t="b">
        <f>AND(I423=FALSE,N422=0,Q422=0,L422="")</f>
        <v>1</v>
      </c>
      <c r="C423" s="1844" t="str" cm="1">
        <f t="array" ref="C423">_xlfn.IFS(
    L423="", "",
    MONTH(L423) &lt;= End_of_Year_Month, YEAR(L423),
    TRUE, YEAR(L423) + 1
)</f>
        <v/>
      </c>
      <c r="F423" s="1857">
        <f>IF(L423="",0,L423)</f>
        <v>0</v>
      </c>
      <c r="G423" s="1856">
        <f>-(N423-Q423)</f>
        <v>0</v>
      </c>
      <c r="I423" s="1815" t="b">
        <f>K423&lt;=Number_Payments</f>
        <v>0</v>
      </c>
      <c r="J423" s="1855"/>
      <c r="K423" s="1351">
        <f>K422+1</f>
        <v>297</v>
      </c>
      <c r="L423" s="1854" t="str" cm="1">
        <f t="array" ref="L423">_xlfn.IFS(
    I422=FALSE, "",
    Payment_Frequency="Monthly", EDATE(L422, 1),
    Payment_Frequency="Weekly", DATE(YEAR(L422), MONTH(L422), DAY(L422) + 7),
    Payment_Frequency="Fortnightly", DATE(YEAR(L422), MONTH(L422), DAY(L422) + 14),
    Payment_Frequency="Quarterly", DATE(YEAR(L422), MONTH(L422) + 3, DAY(L422)),
    Payment_Frequency="Yearly", DATE(YEAR(L422) + 1, MONTH(L422), DAY(L422)),
    TRUE, ""
)</f>
        <v/>
      </c>
      <c r="M423" s="1853">
        <f>IF(ISERROR(L423-L422),0,L423-L422)</f>
        <v>0</v>
      </c>
      <c r="N423" s="1851" cm="1">
        <f t="array" ref="N423">_xlfn.IFS(
    AND(I423=TRUE, K423&lt;=No_Regular_Payments), Repay_Amt,
    AND(I423=TRUE, K423=No_Regular_Payments+1), Tm_Balloon_Amt,
   TRUE, 0
)</f>
        <v>0</v>
      </c>
      <c r="O423" s="1850" cm="1">
        <f t="array" ref="O423">_xlfn.IFS(
    M423=0,0,
   ABS(N423 - S422 - P423-Q423) &lt; 1, N423 - S422-Q423,
    TRUE, P423
)</f>
        <v>0</v>
      </c>
      <c r="P423" s="1852">
        <f>IF(M423=0,0,ROUND(S422*EXP(Int_Rate/365.25 * M423)-S422,2))</f>
        <v>0</v>
      </c>
      <c r="Q423" s="1851" cm="1">
        <f t="array" ref="Q423">_xlfn.IFS(
    AND(I423=TRUE, K423&lt;=No_Regular_Payments), Periodic_Admin_Charge,
   TRUE, 0
)</f>
        <v>0</v>
      </c>
      <c r="R423" s="1850">
        <f>N423-O423-Q423</f>
        <v>0</v>
      </c>
      <c r="S423" s="1850">
        <f>ROUND(S422-R423,2)</f>
        <v>0</v>
      </c>
      <c r="T423" s="1850">
        <f>ROUND(T422-(N423-Q423),2)</f>
        <v>0</v>
      </c>
      <c r="U423" s="1849"/>
      <c r="W423" s="1848"/>
      <c r="X423" s="1848"/>
      <c r="Y423" s="1848"/>
    </row>
    <row r="424" spans="2:25" hidden="1">
      <c r="B424" s="1815" t="b">
        <f>AND(I424=FALSE,N423=0,Q423=0,L423="")</f>
        <v>1</v>
      </c>
      <c r="C424" s="1844" t="str" cm="1">
        <f t="array" ref="C424">_xlfn.IFS(
    L424="", "",
    MONTH(L424) &lt;= End_of_Year_Month, YEAR(L424),
    TRUE, YEAR(L424) + 1
)</f>
        <v/>
      </c>
      <c r="F424" s="1857">
        <f>IF(L424="",0,L424)</f>
        <v>0</v>
      </c>
      <c r="G424" s="1856">
        <f>-(N424-Q424)</f>
        <v>0</v>
      </c>
      <c r="I424" s="1815" t="b">
        <f>K424&lt;=Number_Payments</f>
        <v>0</v>
      </c>
      <c r="J424" s="1855"/>
      <c r="K424" s="1351">
        <f>K423+1</f>
        <v>298</v>
      </c>
      <c r="L424" s="1854" t="str" cm="1">
        <f t="array" ref="L424">_xlfn.IFS(
    I423=FALSE, "",
    Payment_Frequency="Monthly", EDATE(L423, 1),
    Payment_Frequency="Weekly", DATE(YEAR(L423), MONTH(L423), DAY(L423) + 7),
    Payment_Frequency="Fortnightly", DATE(YEAR(L423), MONTH(L423), DAY(L423) + 14),
    Payment_Frequency="Quarterly", DATE(YEAR(L423), MONTH(L423) + 3, DAY(L423)),
    Payment_Frequency="Yearly", DATE(YEAR(L423) + 1, MONTH(L423), DAY(L423)),
    TRUE, ""
)</f>
        <v/>
      </c>
      <c r="M424" s="1853">
        <f>IF(ISERROR(L424-L423),0,L424-L423)</f>
        <v>0</v>
      </c>
      <c r="N424" s="1851" cm="1">
        <f t="array" ref="N424">_xlfn.IFS(
    AND(I424=TRUE, K424&lt;=No_Regular_Payments), Repay_Amt,
    AND(I424=TRUE, K424=No_Regular_Payments+1), Tm_Balloon_Amt,
   TRUE, 0
)</f>
        <v>0</v>
      </c>
      <c r="O424" s="1850" cm="1">
        <f t="array" ref="O424">_xlfn.IFS(
    M424=0,0,
   ABS(N424 - S423 - P424-Q424) &lt; 1, N424 - S423-Q424,
    TRUE, P424
)</f>
        <v>0</v>
      </c>
      <c r="P424" s="1852">
        <f>IF(M424=0,0,ROUND(S423*EXP(Int_Rate/365.25 * M424)-S423,2))</f>
        <v>0</v>
      </c>
      <c r="Q424" s="1851" cm="1">
        <f t="array" ref="Q424">_xlfn.IFS(
    AND(I424=TRUE, K424&lt;=No_Regular_Payments), Periodic_Admin_Charge,
   TRUE, 0
)</f>
        <v>0</v>
      </c>
      <c r="R424" s="1850">
        <f>N424-O424-Q424</f>
        <v>0</v>
      </c>
      <c r="S424" s="1850">
        <f>ROUND(S423-R424,2)</f>
        <v>0</v>
      </c>
      <c r="T424" s="1850">
        <f>ROUND(T423-(N424-Q424),2)</f>
        <v>0</v>
      </c>
      <c r="U424" s="1849"/>
      <c r="W424" s="1848"/>
      <c r="X424" s="1848"/>
      <c r="Y424" s="1848"/>
    </row>
    <row r="425" spans="2:25" hidden="1">
      <c r="B425" s="1815" t="b">
        <f>AND(I425=FALSE,N424=0,Q424=0,L424="")</f>
        <v>1</v>
      </c>
      <c r="C425" s="1844" t="str" cm="1">
        <f t="array" ref="C425">_xlfn.IFS(
    L425="", "",
    MONTH(L425) &lt;= End_of_Year_Month, YEAR(L425),
    TRUE, YEAR(L425) + 1
)</f>
        <v/>
      </c>
      <c r="F425" s="1857">
        <f>IF(L425="",0,L425)</f>
        <v>0</v>
      </c>
      <c r="G425" s="1856">
        <f>-(N425-Q425)</f>
        <v>0</v>
      </c>
      <c r="I425" s="1815" t="b">
        <f>K425&lt;=Number_Payments</f>
        <v>0</v>
      </c>
      <c r="J425" s="1855"/>
      <c r="K425" s="1351">
        <f>K424+1</f>
        <v>299</v>
      </c>
      <c r="L425" s="1854" t="str" cm="1">
        <f t="array" ref="L425">_xlfn.IFS(
    I424=FALSE, "",
    Payment_Frequency="Monthly", EDATE(L424, 1),
    Payment_Frequency="Weekly", DATE(YEAR(L424), MONTH(L424), DAY(L424) + 7),
    Payment_Frequency="Fortnightly", DATE(YEAR(L424), MONTH(L424), DAY(L424) + 14),
    Payment_Frequency="Quarterly", DATE(YEAR(L424), MONTH(L424) + 3, DAY(L424)),
    Payment_Frequency="Yearly", DATE(YEAR(L424) + 1, MONTH(L424), DAY(L424)),
    TRUE, ""
)</f>
        <v/>
      </c>
      <c r="M425" s="1853">
        <f>IF(ISERROR(L425-L424),0,L425-L424)</f>
        <v>0</v>
      </c>
      <c r="N425" s="1851" cm="1">
        <f t="array" ref="N425">_xlfn.IFS(
    AND(I425=TRUE, K425&lt;=No_Regular_Payments), Repay_Amt,
    AND(I425=TRUE, K425=No_Regular_Payments+1), Tm_Balloon_Amt,
   TRUE, 0
)</f>
        <v>0</v>
      </c>
      <c r="O425" s="1850" cm="1">
        <f t="array" ref="O425">_xlfn.IFS(
    M425=0,0,
   ABS(N425 - S424 - P425-Q425) &lt; 1, N425 - S424-Q425,
    TRUE, P425
)</f>
        <v>0</v>
      </c>
      <c r="P425" s="1852">
        <f>IF(M425=0,0,ROUND(S424*EXP(Int_Rate/365.25 * M425)-S424,2))</f>
        <v>0</v>
      </c>
      <c r="Q425" s="1851" cm="1">
        <f t="array" ref="Q425">_xlfn.IFS(
    AND(I425=TRUE, K425&lt;=No_Regular_Payments), Periodic_Admin_Charge,
   TRUE, 0
)</f>
        <v>0</v>
      </c>
      <c r="R425" s="1850">
        <f>N425-O425-Q425</f>
        <v>0</v>
      </c>
      <c r="S425" s="1850">
        <f>ROUND(S424-R425,2)</f>
        <v>0</v>
      </c>
      <c r="T425" s="1850">
        <f>ROUND(T424-(N425-Q425),2)</f>
        <v>0</v>
      </c>
      <c r="U425" s="1849"/>
      <c r="W425" s="1848"/>
      <c r="X425" s="1848"/>
      <c r="Y425" s="1848"/>
    </row>
    <row r="426" spans="2:25" hidden="1">
      <c r="B426" s="1815" t="b">
        <f>AND(I426=FALSE,N425=0,Q425=0,L425="")</f>
        <v>1</v>
      </c>
      <c r="C426" s="1844" t="str" cm="1">
        <f t="array" ref="C426">_xlfn.IFS(
    L426="", "",
    MONTH(L426) &lt;= End_of_Year_Month, YEAR(L426),
    TRUE, YEAR(L426) + 1
)</f>
        <v/>
      </c>
      <c r="F426" s="1857">
        <f>IF(L426="",0,L426)</f>
        <v>0</v>
      </c>
      <c r="G426" s="1856">
        <f>-(N426-Q426)</f>
        <v>0</v>
      </c>
      <c r="I426" s="1815" t="b">
        <f>K426&lt;=Number_Payments</f>
        <v>0</v>
      </c>
      <c r="J426" s="1855"/>
      <c r="K426" s="1351">
        <f>K425+1</f>
        <v>300</v>
      </c>
      <c r="L426" s="1854" t="str" cm="1">
        <f t="array" ref="L426">_xlfn.IFS(
    I425=FALSE, "",
    Payment_Frequency="Monthly", EDATE(L425, 1),
    Payment_Frequency="Weekly", DATE(YEAR(L425), MONTH(L425), DAY(L425) + 7),
    Payment_Frequency="Fortnightly", DATE(YEAR(L425), MONTH(L425), DAY(L425) + 14),
    Payment_Frequency="Quarterly", DATE(YEAR(L425), MONTH(L425) + 3, DAY(L425)),
    Payment_Frequency="Yearly", DATE(YEAR(L425) + 1, MONTH(L425), DAY(L425)),
    TRUE, ""
)</f>
        <v/>
      </c>
      <c r="M426" s="1853">
        <f>IF(ISERROR(L426-L425),0,L426-L425)</f>
        <v>0</v>
      </c>
      <c r="N426" s="1851" cm="1">
        <f t="array" ref="N426">_xlfn.IFS(
    AND(I426=TRUE, K426&lt;=No_Regular_Payments), Repay_Amt,
    AND(I426=TRUE, K426=No_Regular_Payments+1), Tm_Balloon_Amt,
   TRUE, 0
)</f>
        <v>0</v>
      </c>
      <c r="O426" s="1850" cm="1">
        <f t="array" ref="O426">_xlfn.IFS(
    M426=0,0,
   ABS(N426 - S425 - P426-Q426) &lt; 1, N426 - S425-Q426,
    TRUE, P426
)</f>
        <v>0</v>
      </c>
      <c r="P426" s="1852">
        <f>IF(M426=0,0,ROUND(S425*EXP(Int_Rate/365.25 * M426)-S425,2))</f>
        <v>0</v>
      </c>
      <c r="Q426" s="1851" cm="1">
        <f t="array" ref="Q426">_xlfn.IFS(
    AND(I426=TRUE, K426&lt;=No_Regular_Payments), Periodic_Admin_Charge,
   TRUE, 0
)</f>
        <v>0</v>
      </c>
      <c r="R426" s="1850">
        <f>N426-O426-Q426</f>
        <v>0</v>
      </c>
      <c r="S426" s="1850">
        <f>ROUND(S425-R426,2)</f>
        <v>0</v>
      </c>
      <c r="T426" s="1850">
        <f>ROUND(T425-(N426-Q426),2)</f>
        <v>0</v>
      </c>
      <c r="U426" s="1849"/>
      <c r="W426" s="1848"/>
      <c r="X426" s="1848"/>
      <c r="Y426" s="1848"/>
    </row>
    <row r="427" spans="2:25" hidden="1">
      <c r="B427" s="1815" t="b">
        <f>AND(I427=FALSE,N426=0,Q426=0,L426="")</f>
        <v>1</v>
      </c>
      <c r="C427" s="1844" t="str" cm="1">
        <f t="array" ref="C427">_xlfn.IFS(
    L427="", "",
    MONTH(L427) &lt;= End_of_Year_Month, YEAR(L427),
    TRUE, YEAR(L427) + 1
)</f>
        <v/>
      </c>
      <c r="F427" s="1857">
        <f>IF(L427="",0,L427)</f>
        <v>0</v>
      </c>
      <c r="G427" s="1856">
        <f>-(N427-Q427)</f>
        <v>0</v>
      </c>
      <c r="I427" s="1815" t="b">
        <f>K427&lt;=Number_Payments</f>
        <v>0</v>
      </c>
      <c r="J427" s="1855"/>
      <c r="K427" s="1351">
        <f>K426+1</f>
        <v>301</v>
      </c>
      <c r="L427" s="1854" t="str" cm="1">
        <f t="array" ref="L427">_xlfn.IFS(
    I426=FALSE, "",
    Payment_Frequency="Monthly", EDATE(L426, 1),
    Payment_Frequency="Weekly", DATE(YEAR(L426), MONTH(L426), DAY(L426) + 7),
    Payment_Frequency="Fortnightly", DATE(YEAR(L426), MONTH(L426), DAY(L426) + 14),
    Payment_Frequency="Quarterly", DATE(YEAR(L426), MONTH(L426) + 3, DAY(L426)),
    Payment_Frequency="Yearly", DATE(YEAR(L426) + 1, MONTH(L426), DAY(L426)),
    TRUE, ""
)</f>
        <v/>
      </c>
      <c r="M427" s="1853">
        <f>IF(ISERROR(L427-L426),0,L427-L426)</f>
        <v>0</v>
      </c>
      <c r="N427" s="1851" cm="1">
        <f t="array" ref="N427">_xlfn.IFS(
    AND(I427=TRUE, K427&lt;=No_Regular_Payments), Repay_Amt,
    AND(I427=TRUE, K427=No_Regular_Payments+1), Tm_Balloon_Amt,
   TRUE, 0
)</f>
        <v>0</v>
      </c>
      <c r="O427" s="1850" cm="1">
        <f t="array" ref="O427">_xlfn.IFS(
    M427=0,0,
   ABS(N427 - S426 - P427-Q427) &lt; 1, N427 - S426-Q427,
    TRUE, P427
)</f>
        <v>0</v>
      </c>
      <c r="P427" s="1852">
        <f>IF(M427=0,0,ROUND(S426*EXP(Int_Rate/365.25 * M427)-S426,2))</f>
        <v>0</v>
      </c>
      <c r="Q427" s="1851" cm="1">
        <f t="array" ref="Q427">_xlfn.IFS(
    AND(I427=TRUE, K427&lt;=No_Regular_Payments), Periodic_Admin_Charge,
   TRUE, 0
)</f>
        <v>0</v>
      </c>
      <c r="R427" s="1850">
        <f>N427-O427-Q427</f>
        <v>0</v>
      </c>
      <c r="S427" s="1850">
        <f>ROUND(S426-R427,2)</f>
        <v>0</v>
      </c>
      <c r="T427" s="1850">
        <f>ROUND(T426-(N427-Q427),2)</f>
        <v>0</v>
      </c>
      <c r="U427" s="1849"/>
      <c r="W427" s="1848"/>
      <c r="X427" s="1848"/>
      <c r="Y427" s="1848"/>
    </row>
    <row r="428" spans="2:25" hidden="1">
      <c r="B428" s="1815" t="b">
        <f>AND(I428=FALSE,N427=0,Q427=0,L427="")</f>
        <v>1</v>
      </c>
      <c r="C428" s="1844" t="str" cm="1">
        <f t="array" ref="C428">_xlfn.IFS(
    L428="", "",
    MONTH(L428) &lt;= End_of_Year_Month, YEAR(L428),
    TRUE, YEAR(L428) + 1
)</f>
        <v/>
      </c>
      <c r="F428" s="1857">
        <f>IF(L428="",0,L428)</f>
        <v>0</v>
      </c>
      <c r="G428" s="1856">
        <f>-(N428-Q428)</f>
        <v>0</v>
      </c>
      <c r="I428" s="1815" t="b">
        <f>K428&lt;=Number_Payments</f>
        <v>0</v>
      </c>
      <c r="J428" s="1855"/>
      <c r="K428" s="1351">
        <f>K427+1</f>
        <v>302</v>
      </c>
      <c r="L428" s="1854" t="str" cm="1">
        <f t="array" ref="L428">_xlfn.IFS(
    I427=FALSE, "",
    Payment_Frequency="Monthly", EDATE(L427, 1),
    Payment_Frequency="Weekly", DATE(YEAR(L427), MONTH(L427), DAY(L427) + 7),
    Payment_Frequency="Fortnightly", DATE(YEAR(L427), MONTH(L427), DAY(L427) + 14),
    Payment_Frequency="Quarterly", DATE(YEAR(L427), MONTH(L427) + 3, DAY(L427)),
    Payment_Frequency="Yearly", DATE(YEAR(L427) + 1, MONTH(L427), DAY(L427)),
    TRUE, ""
)</f>
        <v/>
      </c>
      <c r="M428" s="1853">
        <f>IF(ISERROR(L428-L427),0,L428-L427)</f>
        <v>0</v>
      </c>
      <c r="N428" s="1851" cm="1">
        <f t="array" ref="N428">_xlfn.IFS(
    AND(I428=TRUE, K428&lt;=No_Regular_Payments), Repay_Amt,
    AND(I428=TRUE, K428=No_Regular_Payments+1), Tm_Balloon_Amt,
   TRUE, 0
)</f>
        <v>0</v>
      </c>
      <c r="O428" s="1850" cm="1">
        <f t="array" ref="O428">_xlfn.IFS(
    M428=0,0,
   ABS(N428 - S427 - P428-Q428) &lt; 1, N428 - S427-Q428,
    TRUE, P428
)</f>
        <v>0</v>
      </c>
      <c r="P428" s="1852">
        <f>IF(M428=0,0,ROUND(S427*EXP(Int_Rate/365.25 * M428)-S427,2))</f>
        <v>0</v>
      </c>
      <c r="Q428" s="1851" cm="1">
        <f t="array" ref="Q428">_xlfn.IFS(
    AND(I428=TRUE, K428&lt;=No_Regular_Payments), Periodic_Admin_Charge,
   TRUE, 0
)</f>
        <v>0</v>
      </c>
      <c r="R428" s="1850">
        <f>N428-O428-Q428</f>
        <v>0</v>
      </c>
      <c r="S428" s="1850">
        <f>ROUND(S427-R428,2)</f>
        <v>0</v>
      </c>
      <c r="T428" s="1850">
        <f>ROUND(T427-(N428-Q428),2)</f>
        <v>0</v>
      </c>
      <c r="U428" s="1849"/>
      <c r="W428" s="1848"/>
      <c r="X428" s="1848"/>
      <c r="Y428" s="1848"/>
    </row>
    <row r="429" spans="2:25" hidden="1">
      <c r="B429" s="1815" t="b">
        <f>AND(I429=FALSE,N428=0,Q428=0,L428="")</f>
        <v>1</v>
      </c>
      <c r="C429" s="1844" t="str" cm="1">
        <f t="array" ref="C429">_xlfn.IFS(
    L429="", "",
    MONTH(L429) &lt;= End_of_Year_Month, YEAR(L429),
    TRUE, YEAR(L429) + 1
)</f>
        <v/>
      </c>
      <c r="F429" s="1857">
        <f>IF(L429="",0,L429)</f>
        <v>0</v>
      </c>
      <c r="G429" s="1856">
        <f>-(N429-Q429)</f>
        <v>0</v>
      </c>
      <c r="I429" s="1815" t="b">
        <f>K429&lt;=Number_Payments</f>
        <v>0</v>
      </c>
      <c r="J429" s="1855"/>
      <c r="K429" s="1351">
        <f>K428+1</f>
        <v>303</v>
      </c>
      <c r="L429" s="1854" t="str" cm="1">
        <f t="array" ref="L429">_xlfn.IFS(
    I428=FALSE, "",
    Payment_Frequency="Monthly", EDATE(L428, 1),
    Payment_Frequency="Weekly", DATE(YEAR(L428), MONTH(L428), DAY(L428) + 7),
    Payment_Frequency="Fortnightly", DATE(YEAR(L428), MONTH(L428), DAY(L428) + 14),
    Payment_Frequency="Quarterly", DATE(YEAR(L428), MONTH(L428) + 3, DAY(L428)),
    Payment_Frequency="Yearly", DATE(YEAR(L428) + 1, MONTH(L428), DAY(L428)),
    TRUE, ""
)</f>
        <v/>
      </c>
      <c r="M429" s="1853">
        <f>IF(ISERROR(L429-L428),0,L429-L428)</f>
        <v>0</v>
      </c>
      <c r="N429" s="1851" cm="1">
        <f t="array" ref="N429">_xlfn.IFS(
    AND(I429=TRUE, K429&lt;=No_Regular_Payments), Repay_Amt,
    AND(I429=TRUE, K429=No_Regular_Payments+1), Tm_Balloon_Amt,
   TRUE, 0
)</f>
        <v>0</v>
      </c>
      <c r="O429" s="1850" cm="1">
        <f t="array" ref="O429">_xlfn.IFS(
    M429=0,0,
   ABS(N429 - S428 - P429-Q429) &lt; 1, N429 - S428-Q429,
    TRUE, P429
)</f>
        <v>0</v>
      </c>
      <c r="P429" s="1852">
        <f>IF(M429=0,0,ROUND(S428*EXP(Int_Rate/365.25 * M429)-S428,2))</f>
        <v>0</v>
      </c>
      <c r="Q429" s="1851" cm="1">
        <f t="array" ref="Q429">_xlfn.IFS(
    AND(I429=TRUE, K429&lt;=No_Regular_Payments), Periodic_Admin_Charge,
   TRUE, 0
)</f>
        <v>0</v>
      </c>
      <c r="R429" s="1850">
        <f>N429-O429-Q429</f>
        <v>0</v>
      </c>
      <c r="S429" s="1850">
        <f>ROUND(S428-R429,2)</f>
        <v>0</v>
      </c>
      <c r="T429" s="1850">
        <f>ROUND(T428-(N429-Q429),2)</f>
        <v>0</v>
      </c>
      <c r="U429" s="1849"/>
      <c r="W429" s="1848"/>
      <c r="X429" s="1848"/>
      <c r="Y429" s="1848"/>
    </row>
    <row r="430" spans="2:25" hidden="1">
      <c r="B430" s="1815" t="b">
        <f>AND(I430=FALSE,N429=0,Q429=0,L429="")</f>
        <v>1</v>
      </c>
      <c r="C430" s="1844" t="str" cm="1">
        <f t="array" ref="C430">_xlfn.IFS(
    L430="", "",
    MONTH(L430) &lt;= End_of_Year_Month, YEAR(L430),
    TRUE, YEAR(L430) + 1
)</f>
        <v/>
      </c>
      <c r="F430" s="1857">
        <f>IF(L430="",0,L430)</f>
        <v>0</v>
      </c>
      <c r="G430" s="1856">
        <f>-(N430-Q430)</f>
        <v>0</v>
      </c>
      <c r="I430" s="1815" t="b">
        <f>K430&lt;=Number_Payments</f>
        <v>0</v>
      </c>
      <c r="J430" s="1855"/>
      <c r="K430" s="1351">
        <f>K429+1</f>
        <v>304</v>
      </c>
      <c r="L430" s="1854" t="str" cm="1">
        <f t="array" ref="L430">_xlfn.IFS(
    I429=FALSE, "",
    Payment_Frequency="Monthly", EDATE(L429, 1),
    Payment_Frequency="Weekly", DATE(YEAR(L429), MONTH(L429), DAY(L429) + 7),
    Payment_Frequency="Fortnightly", DATE(YEAR(L429), MONTH(L429), DAY(L429) + 14),
    Payment_Frequency="Quarterly", DATE(YEAR(L429), MONTH(L429) + 3, DAY(L429)),
    Payment_Frequency="Yearly", DATE(YEAR(L429) + 1, MONTH(L429), DAY(L429)),
    TRUE, ""
)</f>
        <v/>
      </c>
      <c r="M430" s="1853">
        <f>IF(ISERROR(L430-L429),0,L430-L429)</f>
        <v>0</v>
      </c>
      <c r="N430" s="1851" cm="1">
        <f t="array" ref="N430">_xlfn.IFS(
    AND(I430=TRUE, K430&lt;=No_Regular_Payments), Repay_Amt,
    AND(I430=TRUE, K430=No_Regular_Payments+1), Tm_Balloon_Amt,
   TRUE, 0
)</f>
        <v>0</v>
      </c>
      <c r="O430" s="1850" cm="1">
        <f t="array" ref="O430">_xlfn.IFS(
    M430=0,0,
   ABS(N430 - S429 - P430-Q430) &lt; 1, N430 - S429-Q430,
    TRUE, P430
)</f>
        <v>0</v>
      </c>
      <c r="P430" s="1852">
        <f>IF(M430=0,0,ROUND(S429*EXP(Int_Rate/365.25 * M430)-S429,2))</f>
        <v>0</v>
      </c>
      <c r="Q430" s="1851" cm="1">
        <f t="array" ref="Q430">_xlfn.IFS(
    AND(I430=TRUE, K430&lt;=No_Regular_Payments), Periodic_Admin_Charge,
   TRUE, 0
)</f>
        <v>0</v>
      </c>
      <c r="R430" s="1850">
        <f>N430-O430-Q430</f>
        <v>0</v>
      </c>
      <c r="S430" s="1850">
        <f>ROUND(S429-R430,2)</f>
        <v>0</v>
      </c>
      <c r="T430" s="1850">
        <f>ROUND(T429-(N430-Q430),2)</f>
        <v>0</v>
      </c>
      <c r="U430" s="1849"/>
      <c r="W430" s="1848"/>
      <c r="X430" s="1848"/>
      <c r="Y430" s="1848"/>
    </row>
    <row r="431" spans="2:25" hidden="1">
      <c r="B431" s="1815" t="b">
        <f>AND(I431=FALSE,N430=0,Q430=0,L430="")</f>
        <v>1</v>
      </c>
      <c r="C431" s="1844" t="str" cm="1">
        <f t="array" ref="C431">_xlfn.IFS(
    L431="", "",
    MONTH(L431) &lt;= End_of_Year_Month, YEAR(L431),
    TRUE, YEAR(L431) + 1
)</f>
        <v/>
      </c>
      <c r="F431" s="1857">
        <f>IF(L431="",0,L431)</f>
        <v>0</v>
      </c>
      <c r="G431" s="1856">
        <f>-(N431-Q431)</f>
        <v>0</v>
      </c>
      <c r="I431" s="1815" t="b">
        <f>K431&lt;=Number_Payments</f>
        <v>0</v>
      </c>
      <c r="J431" s="1855"/>
      <c r="K431" s="1351">
        <f>K430+1</f>
        <v>305</v>
      </c>
      <c r="L431" s="1854" t="str" cm="1">
        <f t="array" ref="L431">_xlfn.IFS(
    I430=FALSE, "",
    Payment_Frequency="Monthly", EDATE(L430, 1),
    Payment_Frequency="Weekly", DATE(YEAR(L430), MONTH(L430), DAY(L430) + 7),
    Payment_Frequency="Fortnightly", DATE(YEAR(L430), MONTH(L430), DAY(L430) + 14),
    Payment_Frequency="Quarterly", DATE(YEAR(L430), MONTH(L430) + 3, DAY(L430)),
    Payment_Frequency="Yearly", DATE(YEAR(L430) + 1, MONTH(L430), DAY(L430)),
    TRUE, ""
)</f>
        <v/>
      </c>
      <c r="M431" s="1853">
        <f>IF(ISERROR(L431-L430),0,L431-L430)</f>
        <v>0</v>
      </c>
      <c r="N431" s="1851" cm="1">
        <f t="array" ref="N431">_xlfn.IFS(
    AND(I431=TRUE, K431&lt;=No_Regular_Payments), Repay_Amt,
    AND(I431=TRUE, K431=No_Regular_Payments+1), Tm_Balloon_Amt,
   TRUE, 0
)</f>
        <v>0</v>
      </c>
      <c r="O431" s="1850" cm="1">
        <f t="array" ref="O431">_xlfn.IFS(
    M431=0,0,
   ABS(N431 - S430 - P431-Q431) &lt; 1, N431 - S430-Q431,
    TRUE, P431
)</f>
        <v>0</v>
      </c>
      <c r="P431" s="1852">
        <f>IF(M431=0,0,ROUND(S430*EXP(Int_Rate/365.25 * M431)-S430,2))</f>
        <v>0</v>
      </c>
      <c r="Q431" s="1851" cm="1">
        <f t="array" ref="Q431">_xlfn.IFS(
    AND(I431=TRUE, K431&lt;=No_Regular_Payments), Periodic_Admin_Charge,
   TRUE, 0
)</f>
        <v>0</v>
      </c>
      <c r="R431" s="1850">
        <f>N431-O431-Q431</f>
        <v>0</v>
      </c>
      <c r="S431" s="1850">
        <f>ROUND(S430-R431,2)</f>
        <v>0</v>
      </c>
      <c r="T431" s="1850">
        <f>ROUND(T430-(N431-Q431),2)</f>
        <v>0</v>
      </c>
      <c r="U431" s="1849"/>
      <c r="W431" s="1848"/>
      <c r="X431" s="1848"/>
      <c r="Y431" s="1848"/>
    </row>
    <row r="432" spans="2:25" hidden="1">
      <c r="B432" s="1815" t="b">
        <f>AND(I432=FALSE,N431=0,Q431=0,L431="")</f>
        <v>1</v>
      </c>
      <c r="C432" s="1844" t="str" cm="1">
        <f t="array" ref="C432">_xlfn.IFS(
    L432="", "",
    MONTH(L432) &lt;= End_of_Year_Month, YEAR(L432),
    TRUE, YEAR(L432) + 1
)</f>
        <v/>
      </c>
      <c r="F432" s="1857">
        <f>IF(L432="",0,L432)</f>
        <v>0</v>
      </c>
      <c r="G432" s="1856">
        <f>-(N432-Q432)</f>
        <v>0</v>
      </c>
      <c r="I432" s="1815" t="b">
        <f>K432&lt;=Number_Payments</f>
        <v>0</v>
      </c>
      <c r="J432" s="1855"/>
      <c r="K432" s="1351">
        <f>K431+1</f>
        <v>306</v>
      </c>
      <c r="L432" s="1854" t="str" cm="1">
        <f t="array" ref="L432">_xlfn.IFS(
    I431=FALSE, "",
    Payment_Frequency="Monthly", EDATE(L431, 1),
    Payment_Frequency="Weekly", DATE(YEAR(L431), MONTH(L431), DAY(L431) + 7),
    Payment_Frequency="Fortnightly", DATE(YEAR(L431), MONTH(L431), DAY(L431) + 14),
    Payment_Frequency="Quarterly", DATE(YEAR(L431), MONTH(L431) + 3, DAY(L431)),
    Payment_Frequency="Yearly", DATE(YEAR(L431) + 1, MONTH(L431), DAY(L431)),
    TRUE, ""
)</f>
        <v/>
      </c>
      <c r="M432" s="1853">
        <f>IF(ISERROR(L432-L431),0,L432-L431)</f>
        <v>0</v>
      </c>
      <c r="N432" s="1851" cm="1">
        <f t="array" ref="N432">_xlfn.IFS(
    AND(I432=TRUE, K432&lt;=No_Regular_Payments), Repay_Amt,
    AND(I432=TRUE, K432=No_Regular_Payments+1), Tm_Balloon_Amt,
   TRUE, 0
)</f>
        <v>0</v>
      </c>
      <c r="O432" s="1850" cm="1">
        <f t="array" ref="O432">_xlfn.IFS(
    M432=0,0,
   ABS(N432 - S431 - P432-Q432) &lt; 1, N432 - S431-Q432,
    TRUE, P432
)</f>
        <v>0</v>
      </c>
      <c r="P432" s="1852">
        <f>IF(M432=0,0,ROUND(S431*EXP(Int_Rate/365.25 * M432)-S431,2))</f>
        <v>0</v>
      </c>
      <c r="Q432" s="1851" cm="1">
        <f t="array" ref="Q432">_xlfn.IFS(
    AND(I432=TRUE, K432&lt;=No_Regular_Payments), Periodic_Admin_Charge,
   TRUE, 0
)</f>
        <v>0</v>
      </c>
      <c r="R432" s="1850">
        <f>N432-O432-Q432</f>
        <v>0</v>
      </c>
      <c r="S432" s="1850">
        <f>ROUND(S431-R432,2)</f>
        <v>0</v>
      </c>
      <c r="T432" s="1850">
        <f>ROUND(T431-(N432-Q432),2)</f>
        <v>0</v>
      </c>
      <c r="U432" s="1849"/>
      <c r="W432" s="1848"/>
      <c r="X432" s="1848"/>
      <c r="Y432" s="1848"/>
    </row>
    <row r="433" spans="2:25" hidden="1">
      <c r="B433" s="1815" t="b">
        <f>AND(I433=FALSE,N432=0,Q432=0,L432="")</f>
        <v>1</v>
      </c>
      <c r="C433" s="1844" t="str" cm="1">
        <f t="array" ref="C433">_xlfn.IFS(
    L433="", "",
    MONTH(L433) &lt;= End_of_Year_Month, YEAR(L433),
    TRUE, YEAR(L433) + 1
)</f>
        <v/>
      </c>
      <c r="F433" s="1857">
        <f>IF(L433="",0,L433)</f>
        <v>0</v>
      </c>
      <c r="G433" s="1856">
        <f>-(N433-Q433)</f>
        <v>0</v>
      </c>
      <c r="I433" s="1815" t="b">
        <f>K433&lt;=Number_Payments</f>
        <v>0</v>
      </c>
      <c r="J433" s="1855"/>
      <c r="K433" s="1351">
        <f>K432+1</f>
        <v>307</v>
      </c>
      <c r="L433" s="1854" t="str" cm="1">
        <f t="array" ref="L433">_xlfn.IFS(
    I432=FALSE, "",
    Payment_Frequency="Monthly", EDATE(L432, 1),
    Payment_Frequency="Weekly", DATE(YEAR(L432), MONTH(L432), DAY(L432) + 7),
    Payment_Frequency="Fortnightly", DATE(YEAR(L432), MONTH(L432), DAY(L432) + 14),
    Payment_Frequency="Quarterly", DATE(YEAR(L432), MONTH(L432) + 3, DAY(L432)),
    Payment_Frequency="Yearly", DATE(YEAR(L432) + 1, MONTH(L432), DAY(L432)),
    TRUE, ""
)</f>
        <v/>
      </c>
      <c r="M433" s="1853">
        <f>IF(ISERROR(L433-L432),0,L433-L432)</f>
        <v>0</v>
      </c>
      <c r="N433" s="1851" cm="1">
        <f t="array" ref="N433">_xlfn.IFS(
    AND(I433=TRUE, K433&lt;=No_Regular_Payments), Repay_Amt,
    AND(I433=TRUE, K433=No_Regular_Payments+1), Tm_Balloon_Amt,
   TRUE, 0
)</f>
        <v>0</v>
      </c>
      <c r="O433" s="1850" cm="1">
        <f t="array" ref="O433">_xlfn.IFS(
    M433=0,0,
   ABS(N433 - S432 - P433-Q433) &lt; 1, N433 - S432-Q433,
    TRUE, P433
)</f>
        <v>0</v>
      </c>
      <c r="P433" s="1852">
        <f>IF(M433=0,0,ROUND(S432*EXP(Int_Rate/365.25 * M433)-S432,2))</f>
        <v>0</v>
      </c>
      <c r="Q433" s="1851" cm="1">
        <f t="array" ref="Q433">_xlfn.IFS(
    AND(I433=TRUE, K433&lt;=No_Regular_Payments), Periodic_Admin_Charge,
   TRUE, 0
)</f>
        <v>0</v>
      </c>
      <c r="R433" s="1850">
        <f>N433-O433-Q433</f>
        <v>0</v>
      </c>
      <c r="S433" s="1850">
        <f>ROUND(S432-R433,2)</f>
        <v>0</v>
      </c>
      <c r="T433" s="1850">
        <f>ROUND(T432-(N433-Q433),2)</f>
        <v>0</v>
      </c>
      <c r="U433" s="1849"/>
      <c r="W433" s="1848"/>
      <c r="X433" s="1848"/>
      <c r="Y433" s="1848"/>
    </row>
    <row r="434" spans="2:25" hidden="1">
      <c r="B434" s="1815" t="b">
        <f>AND(I434=FALSE,N433=0,Q433=0,L433="")</f>
        <v>1</v>
      </c>
      <c r="C434" s="1844" t="str" cm="1">
        <f t="array" ref="C434">_xlfn.IFS(
    L434="", "",
    MONTH(L434) &lt;= End_of_Year_Month, YEAR(L434),
    TRUE, YEAR(L434) + 1
)</f>
        <v/>
      </c>
      <c r="F434" s="1857">
        <f>IF(L434="",0,L434)</f>
        <v>0</v>
      </c>
      <c r="G434" s="1856">
        <f>-(N434-Q434)</f>
        <v>0</v>
      </c>
      <c r="I434" s="1815" t="b">
        <f>K434&lt;=Number_Payments</f>
        <v>0</v>
      </c>
      <c r="J434" s="1855"/>
      <c r="K434" s="1351">
        <f>K433+1</f>
        <v>308</v>
      </c>
      <c r="L434" s="1854" t="str" cm="1">
        <f t="array" ref="L434">_xlfn.IFS(
    I433=FALSE, "",
    Payment_Frequency="Monthly", EDATE(L433, 1),
    Payment_Frequency="Weekly", DATE(YEAR(L433), MONTH(L433), DAY(L433) + 7),
    Payment_Frequency="Fortnightly", DATE(YEAR(L433), MONTH(L433), DAY(L433) + 14),
    Payment_Frequency="Quarterly", DATE(YEAR(L433), MONTH(L433) + 3, DAY(L433)),
    Payment_Frequency="Yearly", DATE(YEAR(L433) + 1, MONTH(L433), DAY(L433)),
    TRUE, ""
)</f>
        <v/>
      </c>
      <c r="M434" s="1853">
        <f>IF(ISERROR(L434-L433),0,L434-L433)</f>
        <v>0</v>
      </c>
      <c r="N434" s="1851" cm="1">
        <f t="array" ref="N434">_xlfn.IFS(
    AND(I434=TRUE, K434&lt;=No_Regular_Payments), Repay_Amt,
    AND(I434=TRUE, K434=No_Regular_Payments+1), Tm_Balloon_Amt,
   TRUE, 0
)</f>
        <v>0</v>
      </c>
      <c r="O434" s="1850" cm="1">
        <f t="array" ref="O434">_xlfn.IFS(
    M434=0,0,
   ABS(N434 - S433 - P434-Q434) &lt; 1, N434 - S433-Q434,
    TRUE, P434
)</f>
        <v>0</v>
      </c>
      <c r="P434" s="1852">
        <f>IF(M434=0,0,ROUND(S433*EXP(Int_Rate/365.25 * M434)-S433,2))</f>
        <v>0</v>
      </c>
      <c r="Q434" s="1851" cm="1">
        <f t="array" ref="Q434">_xlfn.IFS(
    AND(I434=TRUE, K434&lt;=No_Regular_Payments), Periodic_Admin_Charge,
   TRUE, 0
)</f>
        <v>0</v>
      </c>
      <c r="R434" s="1850">
        <f>N434-O434-Q434</f>
        <v>0</v>
      </c>
      <c r="S434" s="1850">
        <f>ROUND(S433-R434,2)</f>
        <v>0</v>
      </c>
      <c r="T434" s="1850">
        <f>ROUND(T433-(N434-Q434),2)</f>
        <v>0</v>
      </c>
      <c r="U434" s="1849"/>
      <c r="W434" s="1848"/>
      <c r="X434" s="1848"/>
      <c r="Y434" s="1848"/>
    </row>
    <row r="435" spans="2:25" hidden="1">
      <c r="B435" s="1815" t="b">
        <f>AND(I435=FALSE,N434=0,Q434=0,L434="")</f>
        <v>1</v>
      </c>
      <c r="C435" s="1844" t="str" cm="1">
        <f t="array" ref="C435">_xlfn.IFS(
    L435="", "",
    MONTH(L435) &lt;= End_of_Year_Month, YEAR(L435),
    TRUE, YEAR(L435) + 1
)</f>
        <v/>
      </c>
      <c r="F435" s="1857">
        <f>IF(L435="",0,L435)</f>
        <v>0</v>
      </c>
      <c r="G435" s="1856">
        <f>-(N435-Q435)</f>
        <v>0</v>
      </c>
      <c r="I435" s="1815" t="b">
        <f>K435&lt;=Number_Payments</f>
        <v>0</v>
      </c>
      <c r="J435" s="1855"/>
      <c r="K435" s="1351">
        <f>K434+1</f>
        <v>309</v>
      </c>
      <c r="L435" s="1854" t="str" cm="1">
        <f t="array" ref="L435">_xlfn.IFS(
    I434=FALSE, "",
    Payment_Frequency="Monthly", EDATE(L434, 1),
    Payment_Frequency="Weekly", DATE(YEAR(L434), MONTH(L434), DAY(L434) + 7),
    Payment_Frequency="Fortnightly", DATE(YEAR(L434), MONTH(L434), DAY(L434) + 14),
    Payment_Frequency="Quarterly", DATE(YEAR(L434), MONTH(L434) + 3, DAY(L434)),
    Payment_Frequency="Yearly", DATE(YEAR(L434) + 1, MONTH(L434), DAY(L434)),
    TRUE, ""
)</f>
        <v/>
      </c>
      <c r="M435" s="1853">
        <f>IF(ISERROR(L435-L434),0,L435-L434)</f>
        <v>0</v>
      </c>
      <c r="N435" s="1851" cm="1">
        <f t="array" ref="N435">_xlfn.IFS(
    AND(I435=TRUE, K435&lt;=No_Regular_Payments), Repay_Amt,
    AND(I435=TRUE, K435=No_Regular_Payments+1), Tm_Balloon_Amt,
   TRUE, 0
)</f>
        <v>0</v>
      </c>
      <c r="O435" s="1850" cm="1">
        <f t="array" ref="O435">_xlfn.IFS(
    M435=0,0,
   ABS(N435 - S434 - P435-Q435) &lt; 1, N435 - S434-Q435,
    TRUE, P435
)</f>
        <v>0</v>
      </c>
      <c r="P435" s="1852">
        <f>IF(M435=0,0,ROUND(S434*EXP(Int_Rate/365.25 * M435)-S434,2))</f>
        <v>0</v>
      </c>
      <c r="Q435" s="1851" cm="1">
        <f t="array" ref="Q435">_xlfn.IFS(
    AND(I435=TRUE, K435&lt;=No_Regular_Payments), Periodic_Admin_Charge,
   TRUE, 0
)</f>
        <v>0</v>
      </c>
      <c r="R435" s="1850">
        <f>N435-O435-Q435</f>
        <v>0</v>
      </c>
      <c r="S435" s="1850">
        <f>ROUND(S434-R435,2)</f>
        <v>0</v>
      </c>
      <c r="T435" s="1850">
        <f>ROUND(T434-(N435-Q435),2)</f>
        <v>0</v>
      </c>
      <c r="U435" s="1849"/>
      <c r="W435" s="1848"/>
      <c r="X435" s="1848"/>
      <c r="Y435" s="1848"/>
    </row>
    <row r="436" spans="2:25" hidden="1">
      <c r="B436" s="1815" t="b">
        <f>AND(I436=FALSE,N435=0,Q435=0,L435="")</f>
        <v>1</v>
      </c>
      <c r="C436" s="1844" t="str" cm="1">
        <f t="array" ref="C436">_xlfn.IFS(
    L436="", "",
    MONTH(L436) &lt;= End_of_Year_Month, YEAR(L436),
    TRUE, YEAR(L436) + 1
)</f>
        <v/>
      </c>
      <c r="F436" s="1857">
        <f>IF(L436="",0,L436)</f>
        <v>0</v>
      </c>
      <c r="G436" s="1856">
        <f>-(N436-Q436)</f>
        <v>0</v>
      </c>
      <c r="I436" s="1815" t="b">
        <f>K436&lt;=Number_Payments</f>
        <v>0</v>
      </c>
      <c r="J436" s="1855"/>
      <c r="K436" s="1351">
        <f>K435+1</f>
        <v>310</v>
      </c>
      <c r="L436" s="1854" t="str" cm="1">
        <f t="array" ref="L436">_xlfn.IFS(
    I435=FALSE, "",
    Payment_Frequency="Monthly", EDATE(L435, 1),
    Payment_Frequency="Weekly", DATE(YEAR(L435), MONTH(L435), DAY(L435) + 7),
    Payment_Frequency="Fortnightly", DATE(YEAR(L435), MONTH(L435), DAY(L435) + 14),
    Payment_Frequency="Quarterly", DATE(YEAR(L435), MONTH(L435) + 3, DAY(L435)),
    Payment_Frequency="Yearly", DATE(YEAR(L435) + 1, MONTH(L435), DAY(L435)),
    TRUE, ""
)</f>
        <v/>
      </c>
      <c r="M436" s="1853">
        <f>IF(ISERROR(L436-L435),0,L436-L435)</f>
        <v>0</v>
      </c>
      <c r="N436" s="1851" cm="1">
        <f t="array" ref="N436">_xlfn.IFS(
    AND(I436=TRUE, K436&lt;=No_Regular_Payments), Repay_Amt,
    AND(I436=TRUE, K436=No_Regular_Payments+1), Tm_Balloon_Amt,
   TRUE, 0
)</f>
        <v>0</v>
      </c>
      <c r="O436" s="1850" cm="1">
        <f t="array" ref="O436">_xlfn.IFS(
    M436=0,0,
   ABS(N436 - S435 - P436-Q436) &lt; 1, N436 - S435-Q436,
    TRUE, P436
)</f>
        <v>0</v>
      </c>
      <c r="P436" s="1852">
        <f>IF(M436=0,0,ROUND(S435*EXP(Int_Rate/365.25 * M436)-S435,2))</f>
        <v>0</v>
      </c>
      <c r="Q436" s="1851" cm="1">
        <f t="array" ref="Q436">_xlfn.IFS(
    AND(I436=TRUE, K436&lt;=No_Regular_Payments), Periodic_Admin_Charge,
   TRUE, 0
)</f>
        <v>0</v>
      </c>
      <c r="R436" s="1850">
        <f>N436-O436-Q436</f>
        <v>0</v>
      </c>
      <c r="S436" s="1850">
        <f>ROUND(S435-R436,2)</f>
        <v>0</v>
      </c>
      <c r="T436" s="1850">
        <f>ROUND(T435-(N436-Q436),2)</f>
        <v>0</v>
      </c>
      <c r="U436" s="1849"/>
      <c r="W436" s="1848"/>
      <c r="X436" s="1848"/>
      <c r="Y436" s="1848"/>
    </row>
    <row r="437" spans="2:25" hidden="1">
      <c r="B437" s="1815" t="b">
        <f>AND(I437=FALSE,N436=0,Q436=0,L436="")</f>
        <v>1</v>
      </c>
      <c r="C437" s="1844" t="str" cm="1">
        <f t="array" ref="C437">_xlfn.IFS(
    L437="", "",
    MONTH(L437) &lt;= End_of_Year_Month, YEAR(L437),
    TRUE, YEAR(L437) + 1
)</f>
        <v/>
      </c>
      <c r="F437" s="1857">
        <f>IF(L437="",0,L437)</f>
        <v>0</v>
      </c>
      <c r="G437" s="1856">
        <f>-(N437-Q437)</f>
        <v>0</v>
      </c>
      <c r="I437" s="1815" t="b">
        <f>K437&lt;=Number_Payments</f>
        <v>0</v>
      </c>
      <c r="J437" s="1855"/>
      <c r="K437" s="1351">
        <f>K436+1</f>
        <v>311</v>
      </c>
      <c r="L437" s="1854" t="str" cm="1">
        <f t="array" ref="L437">_xlfn.IFS(
    I436=FALSE, "",
    Payment_Frequency="Monthly", EDATE(L436, 1),
    Payment_Frequency="Weekly", DATE(YEAR(L436), MONTH(L436), DAY(L436) + 7),
    Payment_Frequency="Fortnightly", DATE(YEAR(L436), MONTH(L436), DAY(L436) + 14),
    Payment_Frequency="Quarterly", DATE(YEAR(L436), MONTH(L436) + 3, DAY(L436)),
    Payment_Frequency="Yearly", DATE(YEAR(L436) + 1, MONTH(L436), DAY(L436)),
    TRUE, ""
)</f>
        <v/>
      </c>
      <c r="M437" s="1853">
        <f>IF(ISERROR(L437-L436),0,L437-L436)</f>
        <v>0</v>
      </c>
      <c r="N437" s="1851" cm="1">
        <f t="array" ref="N437">_xlfn.IFS(
    AND(I437=TRUE, K437&lt;=No_Regular_Payments), Repay_Amt,
    AND(I437=TRUE, K437=No_Regular_Payments+1), Tm_Balloon_Amt,
   TRUE, 0
)</f>
        <v>0</v>
      </c>
      <c r="O437" s="1850" cm="1">
        <f t="array" ref="O437">_xlfn.IFS(
    M437=0,0,
   ABS(N437 - S436 - P437-Q437) &lt; 1, N437 - S436-Q437,
    TRUE, P437
)</f>
        <v>0</v>
      </c>
      <c r="P437" s="1852">
        <f>IF(M437=0,0,ROUND(S436*EXP(Int_Rate/365.25 * M437)-S436,2))</f>
        <v>0</v>
      </c>
      <c r="Q437" s="1851" cm="1">
        <f t="array" ref="Q437">_xlfn.IFS(
    AND(I437=TRUE, K437&lt;=No_Regular_Payments), Periodic_Admin_Charge,
   TRUE, 0
)</f>
        <v>0</v>
      </c>
      <c r="R437" s="1850">
        <f>N437-O437-Q437</f>
        <v>0</v>
      </c>
      <c r="S437" s="1850">
        <f>ROUND(S436-R437,2)</f>
        <v>0</v>
      </c>
      <c r="T437" s="1850">
        <f>ROUND(T436-(N437-Q437),2)</f>
        <v>0</v>
      </c>
      <c r="U437" s="1849"/>
      <c r="W437" s="1848"/>
      <c r="X437" s="1848"/>
      <c r="Y437" s="1848"/>
    </row>
    <row r="438" spans="2:25" hidden="1">
      <c r="B438" s="1815" t="b">
        <f>AND(I438=FALSE,N437=0,Q437=0,L437="")</f>
        <v>1</v>
      </c>
      <c r="C438" s="1844" t="str" cm="1">
        <f t="array" ref="C438">_xlfn.IFS(
    L438="", "",
    MONTH(L438) &lt;= End_of_Year_Month, YEAR(L438),
    TRUE, YEAR(L438) + 1
)</f>
        <v/>
      </c>
      <c r="F438" s="1857">
        <f>IF(L438="",0,L438)</f>
        <v>0</v>
      </c>
      <c r="G438" s="1856">
        <f>-(N438-Q438)</f>
        <v>0</v>
      </c>
      <c r="I438" s="1815" t="b">
        <f>K438&lt;=Number_Payments</f>
        <v>0</v>
      </c>
      <c r="J438" s="1855"/>
      <c r="K438" s="1351">
        <f>K437+1</f>
        <v>312</v>
      </c>
      <c r="L438" s="1854" t="str" cm="1">
        <f t="array" ref="L438">_xlfn.IFS(
    I437=FALSE, "",
    Payment_Frequency="Monthly", EDATE(L437, 1),
    Payment_Frequency="Weekly", DATE(YEAR(L437), MONTH(L437), DAY(L437) + 7),
    Payment_Frequency="Fortnightly", DATE(YEAR(L437), MONTH(L437), DAY(L437) + 14),
    Payment_Frequency="Quarterly", DATE(YEAR(L437), MONTH(L437) + 3, DAY(L437)),
    Payment_Frequency="Yearly", DATE(YEAR(L437) + 1, MONTH(L437), DAY(L437)),
    TRUE, ""
)</f>
        <v/>
      </c>
      <c r="M438" s="1853">
        <f>IF(ISERROR(L438-L437),0,L438-L437)</f>
        <v>0</v>
      </c>
      <c r="N438" s="1851" cm="1">
        <f t="array" ref="N438">_xlfn.IFS(
    AND(I438=TRUE, K438&lt;=No_Regular_Payments), Repay_Amt,
    AND(I438=TRUE, K438=No_Regular_Payments+1), Tm_Balloon_Amt,
   TRUE, 0
)</f>
        <v>0</v>
      </c>
      <c r="O438" s="1850" cm="1">
        <f t="array" ref="O438">_xlfn.IFS(
    M438=0,0,
   ABS(N438 - S437 - P438-Q438) &lt; 1, N438 - S437-Q438,
    TRUE, P438
)</f>
        <v>0</v>
      </c>
      <c r="P438" s="1852">
        <f>IF(M438=0,0,ROUND(S437*EXP(Int_Rate/365.25 * M438)-S437,2))</f>
        <v>0</v>
      </c>
      <c r="Q438" s="1851" cm="1">
        <f t="array" ref="Q438">_xlfn.IFS(
    AND(I438=TRUE, K438&lt;=No_Regular_Payments), Periodic_Admin_Charge,
   TRUE, 0
)</f>
        <v>0</v>
      </c>
      <c r="R438" s="1850">
        <f>N438-O438-Q438</f>
        <v>0</v>
      </c>
      <c r="S438" s="1850">
        <f>ROUND(S437-R438,2)</f>
        <v>0</v>
      </c>
      <c r="T438" s="1850">
        <f>ROUND(T437-(N438-Q438),2)</f>
        <v>0</v>
      </c>
      <c r="U438" s="1849"/>
      <c r="W438" s="1848"/>
      <c r="X438" s="1848"/>
      <c r="Y438" s="1848"/>
    </row>
    <row r="439" spans="2:25" hidden="1">
      <c r="B439" s="1815" t="b">
        <f>AND(I439=FALSE,N438=0,Q438=0,L438="")</f>
        <v>1</v>
      </c>
      <c r="C439" s="1844" t="str" cm="1">
        <f t="array" ref="C439">_xlfn.IFS(
    L439="", "",
    MONTH(L439) &lt;= End_of_Year_Month, YEAR(L439),
    TRUE, YEAR(L439) + 1
)</f>
        <v/>
      </c>
      <c r="F439" s="1857">
        <f>IF(L439="",0,L439)</f>
        <v>0</v>
      </c>
      <c r="G439" s="1856">
        <f>-(N439-Q439)</f>
        <v>0</v>
      </c>
      <c r="I439" s="1815" t="b">
        <f>K439&lt;=Number_Payments</f>
        <v>0</v>
      </c>
      <c r="J439" s="1855"/>
      <c r="K439" s="1351">
        <f>K438+1</f>
        <v>313</v>
      </c>
      <c r="L439" s="1854" t="str" cm="1">
        <f t="array" ref="L439">_xlfn.IFS(
    I438=FALSE, "",
    Payment_Frequency="Monthly", EDATE(L438, 1),
    Payment_Frequency="Weekly", DATE(YEAR(L438), MONTH(L438), DAY(L438) + 7),
    Payment_Frequency="Fortnightly", DATE(YEAR(L438), MONTH(L438), DAY(L438) + 14),
    Payment_Frequency="Quarterly", DATE(YEAR(L438), MONTH(L438) + 3, DAY(L438)),
    Payment_Frequency="Yearly", DATE(YEAR(L438) + 1, MONTH(L438), DAY(L438)),
    TRUE, ""
)</f>
        <v/>
      </c>
      <c r="M439" s="1853">
        <f>IF(ISERROR(L439-L438),0,L439-L438)</f>
        <v>0</v>
      </c>
      <c r="N439" s="1851" cm="1">
        <f t="array" ref="N439">_xlfn.IFS(
    AND(I439=TRUE, K439&lt;=No_Regular_Payments), Repay_Amt,
    AND(I439=TRUE, K439=No_Regular_Payments+1), Tm_Balloon_Amt,
   TRUE, 0
)</f>
        <v>0</v>
      </c>
      <c r="O439" s="1850" cm="1">
        <f t="array" ref="O439">_xlfn.IFS(
    M439=0,0,
   ABS(N439 - S438 - P439-Q439) &lt; 1, N439 - S438-Q439,
    TRUE, P439
)</f>
        <v>0</v>
      </c>
      <c r="P439" s="1852">
        <f>IF(M439=0,0,ROUND(S438*EXP(Int_Rate/365.25 * M439)-S438,2))</f>
        <v>0</v>
      </c>
      <c r="Q439" s="1851" cm="1">
        <f t="array" ref="Q439">_xlfn.IFS(
    AND(I439=TRUE, K439&lt;=No_Regular_Payments), Periodic_Admin_Charge,
   TRUE, 0
)</f>
        <v>0</v>
      </c>
      <c r="R439" s="1850">
        <f>N439-O439-Q439</f>
        <v>0</v>
      </c>
      <c r="S439" s="1850">
        <f>ROUND(S438-R439,2)</f>
        <v>0</v>
      </c>
      <c r="T439" s="1850">
        <f>ROUND(T438-(N439-Q439),2)</f>
        <v>0</v>
      </c>
      <c r="U439" s="1849"/>
      <c r="W439" s="1848"/>
      <c r="X439" s="1848"/>
      <c r="Y439" s="1848"/>
    </row>
    <row r="440" spans="2:25" hidden="1">
      <c r="B440" s="1815" t="b">
        <f>AND(I440=FALSE,N439=0,Q439=0,L439="")</f>
        <v>1</v>
      </c>
      <c r="C440" s="1844" t="str" cm="1">
        <f t="array" ref="C440">_xlfn.IFS(
    L440="", "",
    MONTH(L440) &lt;= End_of_Year_Month, YEAR(L440),
    TRUE, YEAR(L440) + 1
)</f>
        <v/>
      </c>
      <c r="F440" s="1857">
        <f>IF(L440="",0,L440)</f>
        <v>0</v>
      </c>
      <c r="G440" s="1856">
        <f>-(N440-Q440)</f>
        <v>0</v>
      </c>
      <c r="I440" s="1815" t="b">
        <f>K440&lt;=Number_Payments</f>
        <v>0</v>
      </c>
      <c r="J440" s="1855"/>
      <c r="K440" s="1351">
        <f>K439+1</f>
        <v>314</v>
      </c>
      <c r="L440" s="1854" t="str" cm="1">
        <f t="array" ref="L440">_xlfn.IFS(
    I439=FALSE, "",
    Payment_Frequency="Monthly", EDATE(L439, 1),
    Payment_Frequency="Weekly", DATE(YEAR(L439), MONTH(L439), DAY(L439) + 7),
    Payment_Frequency="Fortnightly", DATE(YEAR(L439), MONTH(L439), DAY(L439) + 14),
    Payment_Frequency="Quarterly", DATE(YEAR(L439), MONTH(L439) + 3, DAY(L439)),
    Payment_Frequency="Yearly", DATE(YEAR(L439) + 1, MONTH(L439), DAY(L439)),
    TRUE, ""
)</f>
        <v/>
      </c>
      <c r="M440" s="1853">
        <f>IF(ISERROR(L440-L439),0,L440-L439)</f>
        <v>0</v>
      </c>
      <c r="N440" s="1851" cm="1">
        <f t="array" ref="N440">_xlfn.IFS(
    AND(I440=TRUE, K440&lt;=No_Regular_Payments), Repay_Amt,
    AND(I440=TRUE, K440=No_Regular_Payments+1), Tm_Balloon_Amt,
   TRUE, 0
)</f>
        <v>0</v>
      </c>
      <c r="O440" s="1850" cm="1">
        <f t="array" ref="O440">_xlfn.IFS(
    M440=0,0,
   ABS(N440 - S439 - P440-Q440) &lt; 1, N440 - S439-Q440,
    TRUE, P440
)</f>
        <v>0</v>
      </c>
      <c r="P440" s="1852">
        <f>IF(M440=0,0,ROUND(S439*EXP(Int_Rate/365.25 * M440)-S439,2))</f>
        <v>0</v>
      </c>
      <c r="Q440" s="1851" cm="1">
        <f t="array" ref="Q440">_xlfn.IFS(
    AND(I440=TRUE, K440&lt;=No_Regular_Payments), Periodic_Admin_Charge,
   TRUE, 0
)</f>
        <v>0</v>
      </c>
      <c r="R440" s="1850">
        <f>N440-O440-Q440</f>
        <v>0</v>
      </c>
      <c r="S440" s="1850">
        <f>ROUND(S439-R440,2)</f>
        <v>0</v>
      </c>
      <c r="T440" s="1850">
        <f>ROUND(T439-(N440-Q440),2)</f>
        <v>0</v>
      </c>
      <c r="U440" s="1849"/>
      <c r="W440" s="1848"/>
      <c r="X440" s="1848"/>
      <c r="Y440" s="1848"/>
    </row>
    <row r="441" spans="2:25" hidden="1">
      <c r="B441" s="1815" t="b">
        <f>AND(I441=FALSE,N440=0,Q440=0,L440="")</f>
        <v>1</v>
      </c>
      <c r="C441" s="1844" t="str" cm="1">
        <f t="array" ref="C441">_xlfn.IFS(
    L441="", "",
    MONTH(L441) &lt;= End_of_Year_Month, YEAR(L441),
    TRUE, YEAR(L441) + 1
)</f>
        <v/>
      </c>
      <c r="F441" s="1857">
        <f>IF(L441="",0,L441)</f>
        <v>0</v>
      </c>
      <c r="G441" s="1856">
        <f>-(N441-Q441)</f>
        <v>0</v>
      </c>
      <c r="I441" s="1815" t="b">
        <f>K441&lt;=Number_Payments</f>
        <v>0</v>
      </c>
      <c r="J441" s="1855"/>
      <c r="K441" s="1351">
        <f>K440+1</f>
        <v>315</v>
      </c>
      <c r="L441" s="1854" t="str" cm="1">
        <f t="array" ref="L441">_xlfn.IFS(
    I440=FALSE, "",
    Payment_Frequency="Monthly", EDATE(L440, 1),
    Payment_Frequency="Weekly", DATE(YEAR(L440), MONTH(L440), DAY(L440) + 7),
    Payment_Frequency="Fortnightly", DATE(YEAR(L440), MONTH(L440), DAY(L440) + 14),
    Payment_Frequency="Quarterly", DATE(YEAR(L440), MONTH(L440) + 3, DAY(L440)),
    Payment_Frequency="Yearly", DATE(YEAR(L440) + 1, MONTH(L440), DAY(L440)),
    TRUE, ""
)</f>
        <v/>
      </c>
      <c r="M441" s="1853">
        <f>IF(ISERROR(L441-L440),0,L441-L440)</f>
        <v>0</v>
      </c>
      <c r="N441" s="1851" cm="1">
        <f t="array" ref="N441">_xlfn.IFS(
    AND(I441=TRUE, K441&lt;=No_Regular_Payments), Repay_Amt,
    AND(I441=TRUE, K441=No_Regular_Payments+1), Tm_Balloon_Amt,
   TRUE, 0
)</f>
        <v>0</v>
      </c>
      <c r="O441" s="1850" cm="1">
        <f t="array" ref="O441">_xlfn.IFS(
    M441=0,0,
   ABS(N441 - S440 - P441-Q441) &lt; 1, N441 - S440-Q441,
    TRUE, P441
)</f>
        <v>0</v>
      </c>
      <c r="P441" s="1852">
        <f>IF(M441=0,0,ROUND(S440*EXP(Int_Rate/365.25 * M441)-S440,2))</f>
        <v>0</v>
      </c>
      <c r="Q441" s="1851" cm="1">
        <f t="array" ref="Q441">_xlfn.IFS(
    AND(I441=TRUE, K441&lt;=No_Regular_Payments), Periodic_Admin_Charge,
   TRUE, 0
)</f>
        <v>0</v>
      </c>
      <c r="R441" s="1850">
        <f>N441-O441-Q441</f>
        <v>0</v>
      </c>
      <c r="S441" s="1850">
        <f>ROUND(S440-R441,2)</f>
        <v>0</v>
      </c>
      <c r="T441" s="1850">
        <f>ROUND(T440-(N441-Q441),2)</f>
        <v>0</v>
      </c>
      <c r="U441" s="1849"/>
      <c r="W441" s="1848"/>
      <c r="X441" s="1848"/>
      <c r="Y441" s="1848"/>
    </row>
    <row r="442" spans="2:25" hidden="1">
      <c r="B442" s="1815" t="b">
        <f>AND(I442=FALSE,N441=0,Q441=0,L441="")</f>
        <v>1</v>
      </c>
      <c r="C442" s="1844" t="str" cm="1">
        <f t="array" ref="C442">_xlfn.IFS(
    L442="", "",
    MONTH(L442) &lt;= End_of_Year_Month, YEAR(L442),
    TRUE, YEAR(L442) + 1
)</f>
        <v/>
      </c>
      <c r="F442" s="1857">
        <f>IF(L442="",0,L442)</f>
        <v>0</v>
      </c>
      <c r="G442" s="1856">
        <f>-(N442-Q442)</f>
        <v>0</v>
      </c>
      <c r="I442" s="1815" t="b">
        <f>K442&lt;=Number_Payments</f>
        <v>0</v>
      </c>
      <c r="J442" s="1855"/>
      <c r="K442" s="1351">
        <f>K441+1</f>
        <v>316</v>
      </c>
      <c r="L442" s="1854" t="str" cm="1">
        <f t="array" ref="L442">_xlfn.IFS(
    I441=FALSE, "",
    Payment_Frequency="Monthly", EDATE(L441, 1),
    Payment_Frequency="Weekly", DATE(YEAR(L441), MONTH(L441), DAY(L441) + 7),
    Payment_Frequency="Fortnightly", DATE(YEAR(L441), MONTH(L441), DAY(L441) + 14),
    Payment_Frequency="Quarterly", DATE(YEAR(L441), MONTH(L441) + 3, DAY(L441)),
    Payment_Frequency="Yearly", DATE(YEAR(L441) + 1, MONTH(L441), DAY(L441)),
    TRUE, ""
)</f>
        <v/>
      </c>
      <c r="M442" s="1853">
        <f>IF(ISERROR(L442-L441),0,L442-L441)</f>
        <v>0</v>
      </c>
      <c r="N442" s="1851" cm="1">
        <f t="array" ref="N442">_xlfn.IFS(
    AND(I442=TRUE, K442&lt;=No_Regular_Payments), Repay_Amt,
    AND(I442=TRUE, K442=No_Regular_Payments+1), Tm_Balloon_Amt,
   TRUE, 0
)</f>
        <v>0</v>
      </c>
      <c r="O442" s="1850" cm="1">
        <f t="array" ref="O442">_xlfn.IFS(
    M442=0,0,
   ABS(N442 - S441 - P442-Q442) &lt; 1, N442 - S441-Q442,
    TRUE, P442
)</f>
        <v>0</v>
      </c>
      <c r="P442" s="1852">
        <f>IF(M442=0,0,ROUND(S441*EXP(Int_Rate/365.25 * M442)-S441,2))</f>
        <v>0</v>
      </c>
      <c r="Q442" s="1851" cm="1">
        <f t="array" ref="Q442">_xlfn.IFS(
    AND(I442=TRUE, K442&lt;=No_Regular_Payments), Periodic_Admin_Charge,
   TRUE, 0
)</f>
        <v>0</v>
      </c>
      <c r="R442" s="1850">
        <f>N442-O442-Q442</f>
        <v>0</v>
      </c>
      <c r="S442" s="1850">
        <f>ROUND(S441-R442,2)</f>
        <v>0</v>
      </c>
      <c r="T442" s="1850">
        <f>ROUND(T441-(N442-Q442),2)</f>
        <v>0</v>
      </c>
      <c r="U442" s="1849"/>
      <c r="W442" s="1848"/>
      <c r="X442" s="1848"/>
      <c r="Y442" s="1848"/>
    </row>
    <row r="443" spans="2:25" hidden="1">
      <c r="B443" s="1815" t="b">
        <f>AND(I443=FALSE,N442=0,Q442=0,L442="")</f>
        <v>1</v>
      </c>
      <c r="C443" s="1844" t="str" cm="1">
        <f t="array" ref="C443">_xlfn.IFS(
    L443="", "",
    MONTH(L443) &lt;= End_of_Year_Month, YEAR(L443),
    TRUE, YEAR(L443) + 1
)</f>
        <v/>
      </c>
      <c r="F443" s="1857">
        <f>IF(L443="",0,L443)</f>
        <v>0</v>
      </c>
      <c r="G443" s="1856">
        <f>-(N443-Q443)</f>
        <v>0</v>
      </c>
      <c r="I443" s="1815" t="b">
        <f>K443&lt;=Number_Payments</f>
        <v>0</v>
      </c>
      <c r="J443" s="1855"/>
      <c r="K443" s="1351">
        <f>K442+1</f>
        <v>317</v>
      </c>
      <c r="L443" s="1854" t="str" cm="1">
        <f t="array" ref="L443">_xlfn.IFS(
    I442=FALSE, "",
    Payment_Frequency="Monthly", EDATE(L442, 1),
    Payment_Frequency="Weekly", DATE(YEAR(L442), MONTH(L442), DAY(L442) + 7),
    Payment_Frequency="Fortnightly", DATE(YEAR(L442), MONTH(L442), DAY(L442) + 14),
    Payment_Frequency="Quarterly", DATE(YEAR(L442), MONTH(L442) + 3, DAY(L442)),
    Payment_Frequency="Yearly", DATE(YEAR(L442) + 1, MONTH(L442), DAY(L442)),
    TRUE, ""
)</f>
        <v/>
      </c>
      <c r="M443" s="1853">
        <f>IF(ISERROR(L443-L442),0,L443-L442)</f>
        <v>0</v>
      </c>
      <c r="N443" s="1851" cm="1">
        <f t="array" ref="N443">_xlfn.IFS(
    AND(I443=TRUE, K443&lt;=No_Regular_Payments), Repay_Amt,
    AND(I443=TRUE, K443=No_Regular_Payments+1), Tm_Balloon_Amt,
   TRUE, 0
)</f>
        <v>0</v>
      </c>
      <c r="O443" s="1850" cm="1">
        <f t="array" ref="O443">_xlfn.IFS(
    M443=0,0,
   ABS(N443 - S442 - P443-Q443) &lt; 1, N443 - S442-Q443,
    TRUE, P443
)</f>
        <v>0</v>
      </c>
      <c r="P443" s="1852">
        <f>IF(M443=0,0,ROUND(S442*EXP(Int_Rate/365.25 * M443)-S442,2))</f>
        <v>0</v>
      </c>
      <c r="Q443" s="1851" cm="1">
        <f t="array" ref="Q443">_xlfn.IFS(
    AND(I443=TRUE, K443&lt;=No_Regular_Payments), Periodic_Admin_Charge,
   TRUE, 0
)</f>
        <v>0</v>
      </c>
      <c r="R443" s="1850">
        <f>N443-O443-Q443</f>
        <v>0</v>
      </c>
      <c r="S443" s="1850">
        <f>ROUND(S442-R443,2)</f>
        <v>0</v>
      </c>
      <c r="T443" s="1850">
        <f>ROUND(T442-(N443-Q443),2)</f>
        <v>0</v>
      </c>
      <c r="U443" s="1849"/>
      <c r="W443" s="1848"/>
      <c r="X443" s="1848"/>
      <c r="Y443" s="1848"/>
    </row>
    <row r="444" spans="2:25" hidden="1">
      <c r="B444" s="1815" t="b">
        <f>AND(I444=FALSE,N443=0,Q443=0,L443="")</f>
        <v>1</v>
      </c>
      <c r="C444" s="1844" t="str" cm="1">
        <f t="array" ref="C444">_xlfn.IFS(
    L444="", "",
    MONTH(L444) &lt;= End_of_Year_Month, YEAR(L444),
    TRUE, YEAR(L444) + 1
)</f>
        <v/>
      </c>
      <c r="F444" s="1857">
        <f>IF(L444="",0,L444)</f>
        <v>0</v>
      </c>
      <c r="G444" s="1856">
        <f>-(N444-Q444)</f>
        <v>0</v>
      </c>
      <c r="I444" s="1815" t="b">
        <f>K444&lt;=Number_Payments</f>
        <v>0</v>
      </c>
      <c r="J444" s="1855"/>
      <c r="K444" s="1351">
        <f>K443+1</f>
        <v>318</v>
      </c>
      <c r="L444" s="1854" t="str" cm="1">
        <f t="array" ref="L444">_xlfn.IFS(
    I443=FALSE, "",
    Payment_Frequency="Monthly", EDATE(L443, 1),
    Payment_Frequency="Weekly", DATE(YEAR(L443), MONTH(L443), DAY(L443) + 7),
    Payment_Frequency="Fortnightly", DATE(YEAR(L443), MONTH(L443), DAY(L443) + 14),
    Payment_Frequency="Quarterly", DATE(YEAR(L443), MONTH(L443) + 3, DAY(L443)),
    Payment_Frequency="Yearly", DATE(YEAR(L443) + 1, MONTH(L443), DAY(L443)),
    TRUE, ""
)</f>
        <v/>
      </c>
      <c r="M444" s="1853">
        <f>IF(ISERROR(L444-L443),0,L444-L443)</f>
        <v>0</v>
      </c>
      <c r="N444" s="1851" cm="1">
        <f t="array" ref="N444">_xlfn.IFS(
    AND(I444=TRUE, K444&lt;=No_Regular_Payments), Repay_Amt,
    AND(I444=TRUE, K444=No_Regular_Payments+1), Tm_Balloon_Amt,
   TRUE, 0
)</f>
        <v>0</v>
      </c>
      <c r="O444" s="1850" cm="1">
        <f t="array" ref="O444">_xlfn.IFS(
    M444=0,0,
   ABS(N444 - S443 - P444-Q444) &lt; 1, N444 - S443-Q444,
    TRUE, P444
)</f>
        <v>0</v>
      </c>
      <c r="P444" s="1852">
        <f>IF(M444=0,0,ROUND(S443*EXP(Int_Rate/365.25 * M444)-S443,2))</f>
        <v>0</v>
      </c>
      <c r="Q444" s="1851" cm="1">
        <f t="array" ref="Q444">_xlfn.IFS(
    AND(I444=TRUE, K444&lt;=No_Regular_Payments), Periodic_Admin_Charge,
   TRUE, 0
)</f>
        <v>0</v>
      </c>
      <c r="R444" s="1850">
        <f>N444-O444-Q444</f>
        <v>0</v>
      </c>
      <c r="S444" s="1850">
        <f>ROUND(S443-R444,2)</f>
        <v>0</v>
      </c>
      <c r="T444" s="1850">
        <f>ROUND(T443-(N444-Q444),2)</f>
        <v>0</v>
      </c>
      <c r="U444" s="1849"/>
      <c r="W444" s="1848"/>
      <c r="X444" s="1848"/>
      <c r="Y444" s="1848"/>
    </row>
    <row r="445" spans="2:25" hidden="1">
      <c r="B445" s="1815" t="b">
        <f>AND(I445=FALSE,N444=0,Q444=0,L444="")</f>
        <v>1</v>
      </c>
      <c r="C445" s="1844" t="str" cm="1">
        <f t="array" ref="C445">_xlfn.IFS(
    L445="", "",
    MONTH(L445) &lt;= End_of_Year_Month, YEAR(L445),
    TRUE, YEAR(L445) + 1
)</f>
        <v/>
      </c>
      <c r="F445" s="1857">
        <f>IF(L445="",0,L445)</f>
        <v>0</v>
      </c>
      <c r="G445" s="1856">
        <f>-(N445-Q445)</f>
        <v>0</v>
      </c>
      <c r="I445" s="1815" t="b">
        <f>K445&lt;=Number_Payments</f>
        <v>0</v>
      </c>
      <c r="J445" s="1855"/>
      <c r="K445" s="1351">
        <f>K444+1</f>
        <v>319</v>
      </c>
      <c r="L445" s="1854" t="str" cm="1">
        <f t="array" ref="L445">_xlfn.IFS(
    I444=FALSE, "",
    Payment_Frequency="Monthly", EDATE(L444, 1),
    Payment_Frequency="Weekly", DATE(YEAR(L444), MONTH(L444), DAY(L444) + 7),
    Payment_Frequency="Fortnightly", DATE(YEAR(L444), MONTH(L444), DAY(L444) + 14),
    Payment_Frequency="Quarterly", DATE(YEAR(L444), MONTH(L444) + 3, DAY(L444)),
    Payment_Frequency="Yearly", DATE(YEAR(L444) + 1, MONTH(L444), DAY(L444)),
    TRUE, ""
)</f>
        <v/>
      </c>
      <c r="M445" s="1853">
        <f>IF(ISERROR(L445-L444),0,L445-L444)</f>
        <v>0</v>
      </c>
      <c r="N445" s="1851" cm="1">
        <f t="array" ref="N445">_xlfn.IFS(
    AND(I445=TRUE, K445&lt;=No_Regular_Payments), Repay_Amt,
    AND(I445=TRUE, K445=No_Regular_Payments+1), Tm_Balloon_Amt,
   TRUE, 0
)</f>
        <v>0</v>
      </c>
      <c r="O445" s="1850" cm="1">
        <f t="array" ref="O445">_xlfn.IFS(
    M445=0,0,
   ABS(N445 - S444 - P445-Q445) &lt; 1, N445 - S444-Q445,
    TRUE, P445
)</f>
        <v>0</v>
      </c>
      <c r="P445" s="1852">
        <f>IF(M445=0,0,ROUND(S444*EXP(Int_Rate/365.25 * M445)-S444,2))</f>
        <v>0</v>
      </c>
      <c r="Q445" s="1851" cm="1">
        <f t="array" ref="Q445">_xlfn.IFS(
    AND(I445=TRUE, K445&lt;=No_Regular_Payments), Periodic_Admin_Charge,
   TRUE, 0
)</f>
        <v>0</v>
      </c>
      <c r="R445" s="1850">
        <f>N445-O445-Q445</f>
        <v>0</v>
      </c>
      <c r="S445" s="1850">
        <f>ROUND(S444-R445,2)</f>
        <v>0</v>
      </c>
      <c r="T445" s="1850">
        <f>ROUND(T444-(N445-Q445),2)</f>
        <v>0</v>
      </c>
      <c r="U445" s="1849"/>
      <c r="W445" s="1848"/>
      <c r="X445" s="1848"/>
      <c r="Y445" s="1848"/>
    </row>
    <row r="446" spans="2:25" hidden="1">
      <c r="B446" s="1815" t="b">
        <f>AND(I446=FALSE,N445=0,Q445=0,L445="")</f>
        <v>1</v>
      </c>
      <c r="C446" s="1844" t="str" cm="1">
        <f t="array" ref="C446">_xlfn.IFS(
    L446="", "",
    MONTH(L446) &lt;= End_of_Year_Month, YEAR(L446),
    TRUE, YEAR(L446) + 1
)</f>
        <v/>
      </c>
      <c r="F446" s="1857">
        <f>IF(L446="",0,L446)</f>
        <v>0</v>
      </c>
      <c r="G446" s="1856">
        <f>-(N446-Q446)</f>
        <v>0</v>
      </c>
      <c r="I446" s="1815" t="b">
        <f>K446&lt;=Number_Payments</f>
        <v>0</v>
      </c>
      <c r="J446" s="1855"/>
      <c r="K446" s="1351">
        <f>K445+1</f>
        <v>320</v>
      </c>
      <c r="L446" s="1854" t="str" cm="1">
        <f t="array" ref="L446">_xlfn.IFS(
    I445=FALSE, "",
    Payment_Frequency="Monthly", EDATE(L445, 1),
    Payment_Frequency="Weekly", DATE(YEAR(L445), MONTH(L445), DAY(L445) + 7),
    Payment_Frequency="Fortnightly", DATE(YEAR(L445), MONTH(L445), DAY(L445) + 14),
    Payment_Frequency="Quarterly", DATE(YEAR(L445), MONTH(L445) + 3, DAY(L445)),
    Payment_Frequency="Yearly", DATE(YEAR(L445) + 1, MONTH(L445), DAY(L445)),
    TRUE, ""
)</f>
        <v/>
      </c>
      <c r="M446" s="1853">
        <f>IF(ISERROR(L446-L445),0,L446-L445)</f>
        <v>0</v>
      </c>
      <c r="N446" s="1851" cm="1">
        <f t="array" ref="N446">_xlfn.IFS(
    AND(I446=TRUE, K446&lt;=No_Regular_Payments), Repay_Amt,
    AND(I446=TRUE, K446=No_Regular_Payments+1), Tm_Balloon_Amt,
   TRUE, 0
)</f>
        <v>0</v>
      </c>
      <c r="O446" s="1850" cm="1">
        <f t="array" ref="O446">_xlfn.IFS(
    M446=0,0,
   ABS(N446 - S445 - P446-Q446) &lt; 1, N446 - S445-Q446,
    TRUE, P446
)</f>
        <v>0</v>
      </c>
      <c r="P446" s="1852">
        <f>IF(M446=0,0,ROUND(S445*EXP(Int_Rate/365.25 * M446)-S445,2))</f>
        <v>0</v>
      </c>
      <c r="Q446" s="1851" cm="1">
        <f t="array" ref="Q446">_xlfn.IFS(
    AND(I446=TRUE, K446&lt;=No_Regular_Payments), Periodic_Admin_Charge,
   TRUE, 0
)</f>
        <v>0</v>
      </c>
      <c r="R446" s="1850">
        <f>N446-O446-Q446</f>
        <v>0</v>
      </c>
      <c r="S446" s="1850">
        <f>ROUND(S445-R446,2)</f>
        <v>0</v>
      </c>
      <c r="T446" s="1850">
        <f>ROUND(T445-(N446-Q446),2)</f>
        <v>0</v>
      </c>
      <c r="U446" s="1849"/>
      <c r="W446" s="1848"/>
      <c r="X446" s="1848"/>
      <c r="Y446" s="1848"/>
    </row>
    <row r="447" spans="2:25" hidden="1">
      <c r="B447" s="1815" t="b">
        <f>AND(I447=FALSE,N446=0,Q446=0,L446="")</f>
        <v>1</v>
      </c>
      <c r="C447" s="1844" t="str" cm="1">
        <f t="array" ref="C447">_xlfn.IFS(
    L447="", "",
    MONTH(L447) &lt;= End_of_Year_Month, YEAR(L447),
    TRUE, YEAR(L447) + 1
)</f>
        <v/>
      </c>
      <c r="F447" s="1857">
        <f>IF(L447="",0,L447)</f>
        <v>0</v>
      </c>
      <c r="G447" s="1856">
        <f>-(N447-Q447)</f>
        <v>0</v>
      </c>
      <c r="I447" s="1815" t="b">
        <f>K447&lt;=Number_Payments</f>
        <v>0</v>
      </c>
      <c r="J447" s="1855"/>
      <c r="K447" s="1351">
        <f>K446+1</f>
        <v>321</v>
      </c>
      <c r="L447" s="1854" t="str" cm="1">
        <f t="array" ref="L447">_xlfn.IFS(
    I446=FALSE, "",
    Payment_Frequency="Monthly", EDATE(L446, 1),
    Payment_Frequency="Weekly", DATE(YEAR(L446), MONTH(L446), DAY(L446) + 7),
    Payment_Frequency="Fortnightly", DATE(YEAR(L446), MONTH(L446), DAY(L446) + 14),
    Payment_Frequency="Quarterly", DATE(YEAR(L446), MONTH(L446) + 3, DAY(L446)),
    Payment_Frequency="Yearly", DATE(YEAR(L446) + 1, MONTH(L446), DAY(L446)),
    TRUE, ""
)</f>
        <v/>
      </c>
      <c r="M447" s="1853">
        <f>IF(ISERROR(L447-L446),0,L447-L446)</f>
        <v>0</v>
      </c>
      <c r="N447" s="1851" cm="1">
        <f t="array" ref="N447">_xlfn.IFS(
    AND(I447=TRUE, K447&lt;=No_Regular_Payments), Repay_Amt,
    AND(I447=TRUE, K447=No_Regular_Payments+1), Tm_Balloon_Amt,
   TRUE, 0
)</f>
        <v>0</v>
      </c>
      <c r="O447" s="1850" cm="1">
        <f t="array" ref="O447">_xlfn.IFS(
    M447=0,0,
   ABS(N447 - S446 - P447-Q447) &lt; 1, N447 - S446-Q447,
    TRUE, P447
)</f>
        <v>0</v>
      </c>
      <c r="P447" s="1852">
        <f>IF(M447=0,0,ROUND(S446*EXP(Int_Rate/365.25 * M447)-S446,2))</f>
        <v>0</v>
      </c>
      <c r="Q447" s="1851" cm="1">
        <f t="array" ref="Q447">_xlfn.IFS(
    AND(I447=TRUE, K447&lt;=No_Regular_Payments), Periodic_Admin_Charge,
   TRUE, 0
)</f>
        <v>0</v>
      </c>
      <c r="R447" s="1850">
        <f>N447-O447-Q447</f>
        <v>0</v>
      </c>
      <c r="S447" s="1850">
        <f>ROUND(S446-R447,2)</f>
        <v>0</v>
      </c>
      <c r="T447" s="1850">
        <f>ROUND(T446-(N447-Q447),2)</f>
        <v>0</v>
      </c>
      <c r="U447" s="1849"/>
      <c r="W447" s="1848"/>
      <c r="X447" s="1848"/>
      <c r="Y447" s="1848"/>
    </row>
    <row r="448" spans="2:25" hidden="1">
      <c r="B448" s="1815" t="b">
        <f>AND(I448=FALSE,N447=0,Q447=0,L447="")</f>
        <v>1</v>
      </c>
      <c r="C448" s="1844" t="str" cm="1">
        <f t="array" ref="C448">_xlfn.IFS(
    L448="", "",
    MONTH(L448) &lt;= End_of_Year_Month, YEAR(L448),
    TRUE, YEAR(L448) + 1
)</f>
        <v/>
      </c>
      <c r="F448" s="1857">
        <f>IF(L448="",0,L448)</f>
        <v>0</v>
      </c>
      <c r="G448" s="1856">
        <f>-(N448-Q448)</f>
        <v>0</v>
      </c>
      <c r="I448" s="1815" t="b">
        <f>K448&lt;=Number_Payments</f>
        <v>0</v>
      </c>
      <c r="J448" s="1855"/>
      <c r="K448" s="1351">
        <f>K447+1</f>
        <v>322</v>
      </c>
      <c r="L448" s="1854" t="str" cm="1">
        <f t="array" ref="L448">_xlfn.IFS(
    I447=FALSE, "",
    Payment_Frequency="Monthly", EDATE(L447, 1),
    Payment_Frequency="Weekly", DATE(YEAR(L447), MONTH(L447), DAY(L447) + 7),
    Payment_Frequency="Fortnightly", DATE(YEAR(L447), MONTH(L447), DAY(L447) + 14),
    Payment_Frequency="Quarterly", DATE(YEAR(L447), MONTH(L447) + 3, DAY(L447)),
    Payment_Frequency="Yearly", DATE(YEAR(L447) + 1, MONTH(L447), DAY(L447)),
    TRUE, ""
)</f>
        <v/>
      </c>
      <c r="M448" s="1853">
        <f>IF(ISERROR(L448-L447),0,L448-L447)</f>
        <v>0</v>
      </c>
      <c r="N448" s="1851" cm="1">
        <f t="array" ref="N448">_xlfn.IFS(
    AND(I448=TRUE, K448&lt;=No_Regular_Payments), Repay_Amt,
    AND(I448=TRUE, K448=No_Regular_Payments+1), Tm_Balloon_Amt,
   TRUE, 0
)</f>
        <v>0</v>
      </c>
      <c r="O448" s="1850" cm="1">
        <f t="array" ref="O448">_xlfn.IFS(
    M448=0,0,
   ABS(N448 - S447 - P448-Q448) &lt; 1, N448 - S447-Q448,
    TRUE, P448
)</f>
        <v>0</v>
      </c>
      <c r="P448" s="1852">
        <f>IF(M448=0,0,ROUND(S447*EXP(Int_Rate/365.25 * M448)-S447,2))</f>
        <v>0</v>
      </c>
      <c r="Q448" s="1851" cm="1">
        <f t="array" ref="Q448">_xlfn.IFS(
    AND(I448=TRUE, K448&lt;=No_Regular_Payments), Periodic_Admin_Charge,
   TRUE, 0
)</f>
        <v>0</v>
      </c>
      <c r="R448" s="1850">
        <f>N448-O448-Q448</f>
        <v>0</v>
      </c>
      <c r="S448" s="1850">
        <f>ROUND(S447-R448,2)</f>
        <v>0</v>
      </c>
      <c r="T448" s="1850">
        <f>ROUND(T447-(N448-Q448),2)</f>
        <v>0</v>
      </c>
      <c r="U448" s="1849"/>
      <c r="W448" s="1848"/>
      <c r="X448" s="1848"/>
      <c r="Y448" s="1848"/>
    </row>
    <row r="449" spans="2:25" hidden="1">
      <c r="B449" s="1815" t="b">
        <f>AND(I449=FALSE,N448=0,Q448=0,L448="")</f>
        <v>1</v>
      </c>
      <c r="C449" s="1844" t="str" cm="1">
        <f t="array" ref="C449">_xlfn.IFS(
    L449="", "",
    MONTH(L449) &lt;= End_of_Year_Month, YEAR(L449),
    TRUE, YEAR(L449) + 1
)</f>
        <v/>
      </c>
      <c r="F449" s="1857">
        <f>IF(L449="",0,L449)</f>
        <v>0</v>
      </c>
      <c r="G449" s="1856">
        <f>-(N449-Q449)</f>
        <v>0</v>
      </c>
      <c r="I449" s="1815" t="b">
        <f>K449&lt;=Number_Payments</f>
        <v>0</v>
      </c>
      <c r="J449" s="1855"/>
      <c r="K449" s="1351">
        <f>K448+1</f>
        <v>323</v>
      </c>
      <c r="L449" s="1854" t="str" cm="1">
        <f t="array" ref="L449">_xlfn.IFS(
    I448=FALSE, "",
    Payment_Frequency="Monthly", EDATE(L448, 1),
    Payment_Frequency="Weekly", DATE(YEAR(L448), MONTH(L448), DAY(L448) + 7),
    Payment_Frequency="Fortnightly", DATE(YEAR(L448), MONTH(L448), DAY(L448) + 14),
    Payment_Frequency="Quarterly", DATE(YEAR(L448), MONTH(L448) + 3, DAY(L448)),
    Payment_Frequency="Yearly", DATE(YEAR(L448) + 1, MONTH(L448), DAY(L448)),
    TRUE, ""
)</f>
        <v/>
      </c>
      <c r="M449" s="1853">
        <f>IF(ISERROR(L449-L448),0,L449-L448)</f>
        <v>0</v>
      </c>
      <c r="N449" s="1851" cm="1">
        <f t="array" ref="N449">_xlfn.IFS(
    AND(I449=TRUE, K449&lt;=No_Regular_Payments), Repay_Amt,
    AND(I449=TRUE, K449=No_Regular_Payments+1), Tm_Balloon_Amt,
   TRUE, 0
)</f>
        <v>0</v>
      </c>
      <c r="O449" s="1850" cm="1">
        <f t="array" ref="O449">_xlfn.IFS(
    M449=0,0,
   ABS(N449 - S448 - P449-Q449) &lt; 1, N449 - S448-Q449,
    TRUE, P449
)</f>
        <v>0</v>
      </c>
      <c r="P449" s="1852">
        <f>IF(M449=0,0,ROUND(S448*EXP(Int_Rate/365.25 * M449)-S448,2))</f>
        <v>0</v>
      </c>
      <c r="Q449" s="1851" cm="1">
        <f t="array" ref="Q449">_xlfn.IFS(
    AND(I449=TRUE, K449&lt;=No_Regular_Payments), Periodic_Admin_Charge,
   TRUE, 0
)</f>
        <v>0</v>
      </c>
      <c r="R449" s="1850">
        <f>N449-O449-Q449</f>
        <v>0</v>
      </c>
      <c r="S449" s="1850">
        <f>ROUND(S448-R449,2)</f>
        <v>0</v>
      </c>
      <c r="T449" s="1850">
        <f>ROUND(T448-(N449-Q449),2)</f>
        <v>0</v>
      </c>
      <c r="U449" s="1849"/>
      <c r="W449" s="1848"/>
      <c r="X449" s="1848"/>
      <c r="Y449" s="1848"/>
    </row>
    <row r="450" spans="2:25" hidden="1">
      <c r="B450" s="1815" t="b">
        <f>AND(I450=FALSE,N449=0,Q449=0,L449="")</f>
        <v>1</v>
      </c>
      <c r="C450" s="1844" t="str" cm="1">
        <f t="array" ref="C450">_xlfn.IFS(
    L450="", "",
    MONTH(L450) &lt;= End_of_Year_Month, YEAR(L450),
    TRUE, YEAR(L450) + 1
)</f>
        <v/>
      </c>
      <c r="F450" s="1857">
        <f>IF(L450="",0,L450)</f>
        <v>0</v>
      </c>
      <c r="G450" s="1856">
        <f>-(N450-Q450)</f>
        <v>0</v>
      </c>
      <c r="I450" s="1815" t="b">
        <f>K450&lt;=Number_Payments</f>
        <v>0</v>
      </c>
      <c r="J450" s="1855"/>
      <c r="K450" s="1351">
        <f>K449+1</f>
        <v>324</v>
      </c>
      <c r="L450" s="1854" t="str" cm="1">
        <f t="array" ref="L450">_xlfn.IFS(
    I449=FALSE, "",
    Payment_Frequency="Monthly", EDATE(L449, 1),
    Payment_Frequency="Weekly", DATE(YEAR(L449), MONTH(L449), DAY(L449) + 7),
    Payment_Frequency="Fortnightly", DATE(YEAR(L449), MONTH(L449), DAY(L449) + 14),
    Payment_Frequency="Quarterly", DATE(YEAR(L449), MONTH(L449) + 3, DAY(L449)),
    Payment_Frequency="Yearly", DATE(YEAR(L449) + 1, MONTH(L449), DAY(L449)),
    TRUE, ""
)</f>
        <v/>
      </c>
      <c r="M450" s="1853">
        <f>IF(ISERROR(L450-L449),0,L450-L449)</f>
        <v>0</v>
      </c>
      <c r="N450" s="1851" cm="1">
        <f t="array" ref="N450">_xlfn.IFS(
    AND(I450=TRUE, K450&lt;=No_Regular_Payments), Repay_Amt,
    AND(I450=TRUE, K450=No_Regular_Payments+1), Tm_Balloon_Amt,
   TRUE, 0
)</f>
        <v>0</v>
      </c>
      <c r="O450" s="1850" cm="1">
        <f t="array" ref="O450">_xlfn.IFS(
    M450=0,0,
   ABS(N450 - S449 - P450-Q450) &lt; 1, N450 - S449-Q450,
    TRUE, P450
)</f>
        <v>0</v>
      </c>
      <c r="P450" s="1852">
        <f>IF(M450=0,0,ROUND(S449*EXP(Int_Rate/365.25 * M450)-S449,2))</f>
        <v>0</v>
      </c>
      <c r="Q450" s="1851" cm="1">
        <f t="array" ref="Q450">_xlfn.IFS(
    AND(I450=TRUE, K450&lt;=No_Regular_Payments), Periodic_Admin_Charge,
   TRUE, 0
)</f>
        <v>0</v>
      </c>
      <c r="R450" s="1850">
        <f>N450-O450-Q450</f>
        <v>0</v>
      </c>
      <c r="S450" s="1850">
        <f>ROUND(S449-R450,2)</f>
        <v>0</v>
      </c>
      <c r="T450" s="1850">
        <f>ROUND(T449-(N450-Q450),2)</f>
        <v>0</v>
      </c>
      <c r="U450" s="1849"/>
      <c r="W450" s="1848"/>
      <c r="X450" s="1848"/>
      <c r="Y450" s="1848"/>
    </row>
    <row r="451" spans="2:25" hidden="1">
      <c r="B451" s="1815" t="b">
        <f>AND(I451=FALSE,N450=0,Q450=0,L450="")</f>
        <v>1</v>
      </c>
      <c r="C451" s="1844" t="str" cm="1">
        <f t="array" ref="C451">_xlfn.IFS(
    L451="", "",
    MONTH(L451) &lt;= End_of_Year_Month, YEAR(L451),
    TRUE, YEAR(L451) + 1
)</f>
        <v/>
      </c>
      <c r="F451" s="1857">
        <f>IF(L451="",0,L451)</f>
        <v>0</v>
      </c>
      <c r="G451" s="1856">
        <f>-(N451-Q451)</f>
        <v>0</v>
      </c>
      <c r="I451" s="1815" t="b">
        <f>K451&lt;=Number_Payments</f>
        <v>0</v>
      </c>
      <c r="J451" s="1855"/>
      <c r="K451" s="1351">
        <f>K450+1</f>
        <v>325</v>
      </c>
      <c r="L451" s="1854" t="str" cm="1">
        <f t="array" ref="L451">_xlfn.IFS(
    I450=FALSE, "",
    Payment_Frequency="Monthly", EDATE(L450, 1),
    Payment_Frequency="Weekly", DATE(YEAR(L450), MONTH(L450), DAY(L450) + 7),
    Payment_Frequency="Fortnightly", DATE(YEAR(L450), MONTH(L450), DAY(L450) + 14),
    Payment_Frequency="Quarterly", DATE(YEAR(L450), MONTH(L450) + 3, DAY(L450)),
    Payment_Frequency="Yearly", DATE(YEAR(L450) + 1, MONTH(L450), DAY(L450)),
    TRUE, ""
)</f>
        <v/>
      </c>
      <c r="M451" s="1853">
        <f>IF(ISERROR(L451-L450),0,L451-L450)</f>
        <v>0</v>
      </c>
      <c r="N451" s="1851" cm="1">
        <f t="array" ref="N451">_xlfn.IFS(
    AND(I451=TRUE, K451&lt;=No_Regular_Payments), Repay_Amt,
    AND(I451=TRUE, K451=No_Regular_Payments+1), Tm_Balloon_Amt,
   TRUE, 0
)</f>
        <v>0</v>
      </c>
      <c r="O451" s="1850" cm="1">
        <f t="array" ref="O451">_xlfn.IFS(
    M451=0,0,
   ABS(N451 - S450 - P451-Q451) &lt; 1, N451 - S450-Q451,
    TRUE, P451
)</f>
        <v>0</v>
      </c>
      <c r="P451" s="1852">
        <f>IF(M451=0,0,ROUND(S450*EXP(Int_Rate/365.25 * M451)-S450,2))</f>
        <v>0</v>
      </c>
      <c r="Q451" s="1851" cm="1">
        <f t="array" ref="Q451">_xlfn.IFS(
    AND(I451=TRUE, K451&lt;=No_Regular_Payments), Periodic_Admin_Charge,
   TRUE, 0
)</f>
        <v>0</v>
      </c>
      <c r="R451" s="1850">
        <f>N451-O451-Q451</f>
        <v>0</v>
      </c>
      <c r="S451" s="1850">
        <f>ROUND(S450-R451,2)</f>
        <v>0</v>
      </c>
      <c r="T451" s="1850">
        <f>ROUND(T450-(N451-Q451),2)</f>
        <v>0</v>
      </c>
      <c r="U451" s="1849"/>
      <c r="W451" s="1848"/>
      <c r="X451" s="1848"/>
      <c r="Y451" s="1848"/>
    </row>
    <row r="452" spans="2:25" hidden="1">
      <c r="B452" s="1815" t="b">
        <f>AND(I452=FALSE,N451=0,Q451=0,L451="")</f>
        <v>1</v>
      </c>
      <c r="C452" s="1844" t="str" cm="1">
        <f t="array" ref="C452">_xlfn.IFS(
    L452="", "",
    MONTH(L452) &lt;= End_of_Year_Month, YEAR(L452),
    TRUE, YEAR(L452) + 1
)</f>
        <v/>
      </c>
      <c r="F452" s="1857">
        <f>IF(L452="",0,L452)</f>
        <v>0</v>
      </c>
      <c r="G452" s="1856">
        <f>-(N452-Q452)</f>
        <v>0</v>
      </c>
      <c r="I452" s="1815" t="b">
        <f>K452&lt;=Number_Payments</f>
        <v>0</v>
      </c>
      <c r="J452" s="1855"/>
      <c r="K452" s="1351">
        <f>K451+1</f>
        <v>326</v>
      </c>
      <c r="L452" s="1854" t="str" cm="1">
        <f t="array" ref="L452">_xlfn.IFS(
    I451=FALSE, "",
    Payment_Frequency="Monthly", EDATE(L451, 1),
    Payment_Frequency="Weekly", DATE(YEAR(L451), MONTH(L451), DAY(L451) + 7),
    Payment_Frequency="Fortnightly", DATE(YEAR(L451), MONTH(L451), DAY(L451) + 14),
    Payment_Frequency="Quarterly", DATE(YEAR(L451), MONTH(L451) + 3, DAY(L451)),
    Payment_Frequency="Yearly", DATE(YEAR(L451) + 1, MONTH(L451), DAY(L451)),
    TRUE, ""
)</f>
        <v/>
      </c>
      <c r="M452" s="1853">
        <f>IF(ISERROR(L452-L451),0,L452-L451)</f>
        <v>0</v>
      </c>
      <c r="N452" s="1851" cm="1">
        <f t="array" ref="N452">_xlfn.IFS(
    AND(I452=TRUE, K452&lt;=No_Regular_Payments), Repay_Amt,
    AND(I452=TRUE, K452=No_Regular_Payments+1), Tm_Balloon_Amt,
   TRUE, 0
)</f>
        <v>0</v>
      </c>
      <c r="O452" s="1850" cm="1">
        <f t="array" ref="O452">_xlfn.IFS(
    M452=0,0,
   ABS(N452 - S451 - P452-Q452) &lt; 1, N452 - S451-Q452,
    TRUE, P452
)</f>
        <v>0</v>
      </c>
      <c r="P452" s="1852">
        <f>IF(M452=0,0,ROUND(S451*EXP(Int_Rate/365.25 * M452)-S451,2))</f>
        <v>0</v>
      </c>
      <c r="Q452" s="1851" cm="1">
        <f t="array" ref="Q452">_xlfn.IFS(
    AND(I452=TRUE, K452&lt;=No_Regular_Payments), Periodic_Admin_Charge,
   TRUE, 0
)</f>
        <v>0</v>
      </c>
      <c r="R452" s="1850">
        <f>N452-O452-Q452</f>
        <v>0</v>
      </c>
      <c r="S452" s="1850">
        <f>ROUND(S451-R452,2)</f>
        <v>0</v>
      </c>
      <c r="T452" s="1850">
        <f>ROUND(T451-(N452-Q452),2)</f>
        <v>0</v>
      </c>
      <c r="U452" s="1849"/>
      <c r="W452" s="1848"/>
      <c r="X452" s="1848"/>
      <c r="Y452" s="1848"/>
    </row>
    <row r="453" spans="2:25" hidden="1">
      <c r="B453" s="1815" t="b">
        <f>AND(I453=FALSE,N452=0,Q452=0,L452="")</f>
        <v>1</v>
      </c>
      <c r="C453" s="1844" t="str" cm="1">
        <f t="array" ref="C453">_xlfn.IFS(
    L453="", "",
    MONTH(L453) &lt;= End_of_Year_Month, YEAR(L453),
    TRUE, YEAR(L453) + 1
)</f>
        <v/>
      </c>
      <c r="F453" s="1857">
        <f>IF(L453="",0,L453)</f>
        <v>0</v>
      </c>
      <c r="G453" s="1856">
        <f>-(N453-Q453)</f>
        <v>0</v>
      </c>
      <c r="I453" s="1815" t="b">
        <f>K453&lt;=Number_Payments</f>
        <v>0</v>
      </c>
      <c r="J453" s="1855"/>
      <c r="K453" s="1351">
        <f>K452+1</f>
        <v>327</v>
      </c>
      <c r="L453" s="1854" t="str" cm="1">
        <f t="array" ref="L453">_xlfn.IFS(
    I452=FALSE, "",
    Payment_Frequency="Monthly", EDATE(L452, 1),
    Payment_Frequency="Weekly", DATE(YEAR(L452), MONTH(L452), DAY(L452) + 7),
    Payment_Frequency="Fortnightly", DATE(YEAR(L452), MONTH(L452), DAY(L452) + 14),
    Payment_Frequency="Quarterly", DATE(YEAR(L452), MONTH(L452) + 3, DAY(L452)),
    Payment_Frequency="Yearly", DATE(YEAR(L452) + 1, MONTH(L452), DAY(L452)),
    TRUE, ""
)</f>
        <v/>
      </c>
      <c r="M453" s="1853">
        <f>IF(ISERROR(L453-L452),0,L453-L452)</f>
        <v>0</v>
      </c>
      <c r="N453" s="1851" cm="1">
        <f t="array" ref="N453">_xlfn.IFS(
    AND(I453=TRUE, K453&lt;=No_Regular_Payments), Repay_Amt,
    AND(I453=TRUE, K453=No_Regular_Payments+1), Tm_Balloon_Amt,
   TRUE, 0
)</f>
        <v>0</v>
      </c>
      <c r="O453" s="1850" cm="1">
        <f t="array" ref="O453">_xlfn.IFS(
    M453=0,0,
   ABS(N453 - S452 - P453-Q453) &lt; 1, N453 - S452-Q453,
    TRUE, P453
)</f>
        <v>0</v>
      </c>
      <c r="P453" s="1852">
        <f>IF(M453=0,0,ROUND(S452*EXP(Int_Rate/365.25 * M453)-S452,2))</f>
        <v>0</v>
      </c>
      <c r="Q453" s="1851" cm="1">
        <f t="array" ref="Q453">_xlfn.IFS(
    AND(I453=TRUE, K453&lt;=No_Regular_Payments), Periodic_Admin_Charge,
   TRUE, 0
)</f>
        <v>0</v>
      </c>
      <c r="R453" s="1850">
        <f>N453-O453-Q453</f>
        <v>0</v>
      </c>
      <c r="S453" s="1850">
        <f>ROUND(S452-R453,2)</f>
        <v>0</v>
      </c>
      <c r="T453" s="1850">
        <f>ROUND(T452-(N453-Q453),2)</f>
        <v>0</v>
      </c>
      <c r="U453" s="1849"/>
      <c r="W453" s="1848"/>
      <c r="X453" s="1848"/>
      <c r="Y453" s="1848"/>
    </row>
    <row r="454" spans="2:25" hidden="1">
      <c r="B454" s="1815" t="b">
        <f>AND(I454=FALSE,N453=0,Q453=0,L453="")</f>
        <v>1</v>
      </c>
      <c r="C454" s="1844" t="str" cm="1">
        <f t="array" ref="C454">_xlfn.IFS(
    L454="", "",
    MONTH(L454) &lt;= End_of_Year_Month, YEAR(L454),
    TRUE, YEAR(L454) + 1
)</f>
        <v/>
      </c>
      <c r="F454" s="1857">
        <f>IF(L454="",0,L454)</f>
        <v>0</v>
      </c>
      <c r="G454" s="1856">
        <f>-(N454-Q454)</f>
        <v>0</v>
      </c>
      <c r="I454" s="1815" t="b">
        <f>K454&lt;=Number_Payments</f>
        <v>0</v>
      </c>
      <c r="J454" s="1855"/>
      <c r="K454" s="1351">
        <f>K453+1</f>
        <v>328</v>
      </c>
      <c r="L454" s="1854" t="str" cm="1">
        <f t="array" ref="L454">_xlfn.IFS(
    I453=FALSE, "",
    Payment_Frequency="Monthly", EDATE(L453, 1),
    Payment_Frequency="Weekly", DATE(YEAR(L453), MONTH(L453), DAY(L453) + 7),
    Payment_Frequency="Fortnightly", DATE(YEAR(L453), MONTH(L453), DAY(L453) + 14),
    Payment_Frequency="Quarterly", DATE(YEAR(L453), MONTH(L453) + 3, DAY(L453)),
    Payment_Frequency="Yearly", DATE(YEAR(L453) + 1, MONTH(L453), DAY(L453)),
    TRUE, ""
)</f>
        <v/>
      </c>
      <c r="M454" s="1853">
        <f>IF(ISERROR(L454-L453),0,L454-L453)</f>
        <v>0</v>
      </c>
      <c r="N454" s="1851" cm="1">
        <f t="array" ref="N454">_xlfn.IFS(
    AND(I454=TRUE, K454&lt;=No_Regular_Payments), Repay_Amt,
    AND(I454=TRUE, K454=No_Regular_Payments+1), Tm_Balloon_Amt,
   TRUE, 0
)</f>
        <v>0</v>
      </c>
      <c r="O454" s="1850" cm="1">
        <f t="array" ref="O454">_xlfn.IFS(
    M454=0,0,
   ABS(N454 - S453 - P454-Q454) &lt; 1, N454 - S453-Q454,
    TRUE, P454
)</f>
        <v>0</v>
      </c>
      <c r="P454" s="1852">
        <f>IF(M454=0,0,ROUND(S453*EXP(Int_Rate/365.25 * M454)-S453,2))</f>
        <v>0</v>
      </c>
      <c r="Q454" s="1851" cm="1">
        <f t="array" ref="Q454">_xlfn.IFS(
    AND(I454=TRUE, K454&lt;=No_Regular_Payments), Periodic_Admin_Charge,
   TRUE, 0
)</f>
        <v>0</v>
      </c>
      <c r="R454" s="1850">
        <f>N454-O454-Q454</f>
        <v>0</v>
      </c>
      <c r="S454" s="1850">
        <f>ROUND(S453-R454,2)</f>
        <v>0</v>
      </c>
      <c r="T454" s="1850">
        <f>ROUND(T453-(N454-Q454),2)</f>
        <v>0</v>
      </c>
      <c r="U454" s="1849"/>
      <c r="W454" s="1848"/>
      <c r="X454" s="1848"/>
      <c r="Y454" s="1848"/>
    </row>
    <row r="455" spans="2:25" hidden="1">
      <c r="B455" s="1815" t="b">
        <f>AND(I455=FALSE,N454=0,Q454=0,L454="")</f>
        <v>1</v>
      </c>
      <c r="C455" s="1844" t="str" cm="1">
        <f t="array" ref="C455">_xlfn.IFS(
    L455="", "",
    MONTH(L455) &lt;= End_of_Year_Month, YEAR(L455),
    TRUE, YEAR(L455) + 1
)</f>
        <v/>
      </c>
      <c r="F455" s="1857">
        <f>IF(L455="",0,L455)</f>
        <v>0</v>
      </c>
      <c r="G455" s="1856">
        <f>-(N455-Q455)</f>
        <v>0</v>
      </c>
      <c r="I455" s="1815" t="b">
        <f>K455&lt;=Number_Payments</f>
        <v>0</v>
      </c>
      <c r="J455" s="1855"/>
      <c r="K455" s="1351">
        <f>K454+1</f>
        <v>329</v>
      </c>
      <c r="L455" s="1854" t="str" cm="1">
        <f t="array" ref="L455">_xlfn.IFS(
    I454=FALSE, "",
    Payment_Frequency="Monthly", EDATE(L454, 1),
    Payment_Frequency="Weekly", DATE(YEAR(L454), MONTH(L454), DAY(L454) + 7),
    Payment_Frequency="Fortnightly", DATE(YEAR(L454), MONTH(L454), DAY(L454) + 14),
    Payment_Frequency="Quarterly", DATE(YEAR(L454), MONTH(L454) + 3, DAY(L454)),
    Payment_Frequency="Yearly", DATE(YEAR(L454) + 1, MONTH(L454), DAY(L454)),
    TRUE, ""
)</f>
        <v/>
      </c>
      <c r="M455" s="1853">
        <f>IF(ISERROR(L455-L454),0,L455-L454)</f>
        <v>0</v>
      </c>
      <c r="N455" s="1851" cm="1">
        <f t="array" ref="N455">_xlfn.IFS(
    AND(I455=TRUE, K455&lt;=No_Regular_Payments), Repay_Amt,
    AND(I455=TRUE, K455=No_Regular_Payments+1), Tm_Balloon_Amt,
   TRUE, 0
)</f>
        <v>0</v>
      </c>
      <c r="O455" s="1850" cm="1">
        <f t="array" ref="O455">_xlfn.IFS(
    M455=0,0,
   ABS(N455 - S454 - P455-Q455) &lt; 1, N455 - S454-Q455,
    TRUE, P455
)</f>
        <v>0</v>
      </c>
      <c r="P455" s="1852">
        <f>IF(M455=0,0,ROUND(S454*EXP(Int_Rate/365.25 * M455)-S454,2))</f>
        <v>0</v>
      </c>
      <c r="Q455" s="1851" cm="1">
        <f t="array" ref="Q455">_xlfn.IFS(
    AND(I455=TRUE, K455&lt;=No_Regular_Payments), Periodic_Admin_Charge,
   TRUE, 0
)</f>
        <v>0</v>
      </c>
      <c r="R455" s="1850">
        <f>N455-O455-Q455</f>
        <v>0</v>
      </c>
      <c r="S455" s="1850">
        <f>ROUND(S454-R455,2)</f>
        <v>0</v>
      </c>
      <c r="T455" s="1850">
        <f>ROUND(T454-(N455-Q455),2)</f>
        <v>0</v>
      </c>
      <c r="U455" s="1849"/>
      <c r="W455" s="1848"/>
      <c r="X455" s="1848"/>
      <c r="Y455" s="1848"/>
    </row>
    <row r="456" spans="2:25" hidden="1">
      <c r="B456" s="1815" t="b">
        <f>AND(I456=FALSE,N455=0,Q455=0,L455="")</f>
        <v>1</v>
      </c>
      <c r="C456" s="1844" t="str" cm="1">
        <f t="array" ref="C456">_xlfn.IFS(
    L456="", "",
    MONTH(L456) &lt;= End_of_Year_Month, YEAR(L456),
    TRUE, YEAR(L456) + 1
)</f>
        <v/>
      </c>
      <c r="F456" s="1857">
        <f>IF(L456="",0,L456)</f>
        <v>0</v>
      </c>
      <c r="G456" s="1856">
        <f>-(N456-Q456)</f>
        <v>0</v>
      </c>
      <c r="I456" s="1815" t="b">
        <f>K456&lt;=Number_Payments</f>
        <v>0</v>
      </c>
      <c r="J456" s="1855"/>
      <c r="K456" s="1351">
        <f>K455+1</f>
        <v>330</v>
      </c>
      <c r="L456" s="1854" t="str" cm="1">
        <f t="array" ref="L456">_xlfn.IFS(
    I455=FALSE, "",
    Payment_Frequency="Monthly", EDATE(L455, 1),
    Payment_Frequency="Weekly", DATE(YEAR(L455), MONTH(L455), DAY(L455) + 7),
    Payment_Frequency="Fortnightly", DATE(YEAR(L455), MONTH(L455), DAY(L455) + 14),
    Payment_Frequency="Quarterly", DATE(YEAR(L455), MONTH(L455) + 3, DAY(L455)),
    Payment_Frequency="Yearly", DATE(YEAR(L455) + 1, MONTH(L455), DAY(L455)),
    TRUE, ""
)</f>
        <v/>
      </c>
      <c r="M456" s="1853">
        <f>IF(ISERROR(L456-L455),0,L456-L455)</f>
        <v>0</v>
      </c>
      <c r="N456" s="1851" cm="1">
        <f t="array" ref="N456">_xlfn.IFS(
    AND(I456=TRUE, K456&lt;=No_Regular_Payments), Repay_Amt,
    AND(I456=TRUE, K456=No_Regular_Payments+1), Tm_Balloon_Amt,
   TRUE, 0
)</f>
        <v>0</v>
      </c>
      <c r="O456" s="1850" cm="1">
        <f t="array" ref="O456">_xlfn.IFS(
    M456=0,0,
   ABS(N456 - S455 - P456-Q456) &lt; 1, N456 - S455-Q456,
    TRUE, P456
)</f>
        <v>0</v>
      </c>
      <c r="P456" s="1852">
        <f>IF(M456=0,0,ROUND(S455*EXP(Int_Rate/365.25 * M456)-S455,2))</f>
        <v>0</v>
      </c>
      <c r="Q456" s="1851" cm="1">
        <f t="array" ref="Q456">_xlfn.IFS(
    AND(I456=TRUE, K456&lt;=No_Regular_Payments), Periodic_Admin_Charge,
   TRUE, 0
)</f>
        <v>0</v>
      </c>
      <c r="R456" s="1850">
        <f>N456-O456-Q456</f>
        <v>0</v>
      </c>
      <c r="S456" s="1850">
        <f>ROUND(S455-R456,2)</f>
        <v>0</v>
      </c>
      <c r="T456" s="1850">
        <f>ROUND(T455-(N456-Q456),2)</f>
        <v>0</v>
      </c>
      <c r="U456" s="1849"/>
      <c r="W456" s="1848"/>
      <c r="X456" s="1848"/>
      <c r="Y456" s="1848"/>
    </row>
    <row r="457" spans="2:25" hidden="1">
      <c r="B457" s="1815" t="b">
        <f>AND(I457=FALSE,N456=0,Q456=0,L456="")</f>
        <v>1</v>
      </c>
      <c r="C457" s="1844" t="str" cm="1">
        <f t="array" ref="C457">_xlfn.IFS(
    L457="", "",
    MONTH(L457) &lt;= End_of_Year_Month, YEAR(L457),
    TRUE, YEAR(L457) + 1
)</f>
        <v/>
      </c>
      <c r="F457" s="1857">
        <f>IF(L457="",0,L457)</f>
        <v>0</v>
      </c>
      <c r="G457" s="1856">
        <f>-(N457-Q457)</f>
        <v>0</v>
      </c>
      <c r="I457" s="1815" t="b">
        <f>K457&lt;=Number_Payments</f>
        <v>0</v>
      </c>
      <c r="J457" s="1855"/>
      <c r="K457" s="1351">
        <f>K456+1</f>
        <v>331</v>
      </c>
      <c r="L457" s="1854" t="str" cm="1">
        <f t="array" ref="L457">_xlfn.IFS(
    I456=FALSE, "",
    Payment_Frequency="Monthly", EDATE(L456, 1),
    Payment_Frequency="Weekly", DATE(YEAR(L456), MONTH(L456), DAY(L456) + 7),
    Payment_Frequency="Fortnightly", DATE(YEAR(L456), MONTH(L456), DAY(L456) + 14),
    Payment_Frequency="Quarterly", DATE(YEAR(L456), MONTH(L456) + 3, DAY(L456)),
    Payment_Frequency="Yearly", DATE(YEAR(L456) + 1, MONTH(L456), DAY(L456)),
    TRUE, ""
)</f>
        <v/>
      </c>
      <c r="M457" s="1853">
        <f>IF(ISERROR(L457-L456),0,L457-L456)</f>
        <v>0</v>
      </c>
      <c r="N457" s="1851" cm="1">
        <f t="array" ref="N457">_xlfn.IFS(
    AND(I457=TRUE, K457&lt;=No_Regular_Payments), Repay_Amt,
    AND(I457=TRUE, K457=No_Regular_Payments+1), Tm_Balloon_Amt,
   TRUE, 0
)</f>
        <v>0</v>
      </c>
      <c r="O457" s="1850" cm="1">
        <f t="array" ref="O457">_xlfn.IFS(
    M457=0,0,
   ABS(N457 - S456 - P457-Q457) &lt; 1, N457 - S456-Q457,
    TRUE, P457
)</f>
        <v>0</v>
      </c>
      <c r="P457" s="1852">
        <f>IF(M457=0,0,ROUND(S456*EXP(Int_Rate/365.25 * M457)-S456,2))</f>
        <v>0</v>
      </c>
      <c r="Q457" s="1851" cm="1">
        <f t="array" ref="Q457">_xlfn.IFS(
    AND(I457=TRUE, K457&lt;=No_Regular_Payments), Periodic_Admin_Charge,
   TRUE, 0
)</f>
        <v>0</v>
      </c>
      <c r="R457" s="1850">
        <f>N457-O457-Q457</f>
        <v>0</v>
      </c>
      <c r="S457" s="1850">
        <f>ROUND(S456-R457,2)</f>
        <v>0</v>
      </c>
      <c r="T457" s="1850">
        <f>ROUND(T456-(N457-Q457),2)</f>
        <v>0</v>
      </c>
      <c r="U457" s="1849"/>
      <c r="W457" s="1848"/>
      <c r="X457" s="1848"/>
      <c r="Y457" s="1848"/>
    </row>
    <row r="458" spans="2:25" hidden="1">
      <c r="B458" s="1815" t="b">
        <f>AND(I458=FALSE,N457=0,Q457=0,L457="")</f>
        <v>1</v>
      </c>
      <c r="C458" s="1844" t="str" cm="1">
        <f t="array" ref="C458">_xlfn.IFS(
    L458="", "",
    MONTH(L458) &lt;= End_of_Year_Month, YEAR(L458),
    TRUE, YEAR(L458) + 1
)</f>
        <v/>
      </c>
      <c r="F458" s="1857">
        <f>IF(L458="",0,L458)</f>
        <v>0</v>
      </c>
      <c r="G458" s="1856">
        <f>-(N458-Q458)</f>
        <v>0</v>
      </c>
      <c r="I458" s="1815" t="b">
        <f>K458&lt;=Number_Payments</f>
        <v>0</v>
      </c>
      <c r="J458" s="1855"/>
      <c r="K458" s="1351">
        <f>K457+1</f>
        <v>332</v>
      </c>
      <c r="L458" s="1854" t="str" cm="1">
        <f t="array" ref="L458">_xlfn.IFS(
    I457=FALSE, "",
    Payment_Frequency="Monthly", EDATE(L457, 1),
    Payment_Frequency="Weekly", DATE(YEAR(L457), MONTH(L457), DAY(L457) + 7),
    Payment_Frequency="Fortnightly", DATE(YEAR(L457), MONTH(L457), DAY(L457) + 14),
    Payment_Frequency="Quarterly", DATE(YEAR(L457), MONTH(L457) + 3, DAY(L457)),
    Payment_Frequency="Yearly", DATE(YEAR(L457) + 1, MONTH(L457), DAY(L457)),
    TRUE, ""
)</f>
        <v/>
      </c>
      <c r="M458" s="1853">
        <f>IF(ISERROR(L458-L457),0,L458-L457)</f>
        <v>0</v>
      </c>
      <c r="N458" s="1851" cm="1">
        <f t="array" ref="N458">_xlfn.IFS(
    AND(I458=TRUE, K458&lt;=No_Regular_Payments), Repay_Amt,
    AND(I458=TRUE, K458=No_Regular_Payments+1), Tm_Balloon_Amt,
   TRUE, 0
)</f>
        <v>0</v>
      </c>
      <c r="O458" s="1850" cm="1">
        <f t="array" ref="O458">_xlfn.IFS(
    M458=0,0,
   ABS(N458 - S457 - P458-Q458) &lt; 1, N458 - S457-Q458,
    TRUE, P458
)</f>
        <v>0</v>
      </c>
      <c r="P458" s="1852">
        <f>IF(M458=0,0,ROUND(S457*EXP(Int_Rate/365.25 * M458)-S457,2))</f>
        <v>0</v>
      </c>
      <c r="Q458" s="1851" cm="1">
        <f t="array" ref="Q458">_xlfn.IFS(
    AND(I458=TRUE, K458&lt;=No_Regular_Payments), Periodic_Admin_Charge,
   TRUE, 0
)</f>
        <v>0</v>
      </c>
      <c r="R458" s="1850">
        <f>N458-O458-Q458</f>
        <v>0</v>
      </c>
      <c r="S458" s="1850">
        <f>ROUND(S457-R458,2)</f>
        <v>0</v>
      </c>
      <c r="T458" s="1850">
        <f>ROUND(T457-(N458-Q458),2)</f>
        <v>0</v>
      </c>
      <c r="U458" s="1849"/>
      <c r="W458" s="1848"/>
      <c r="X458" s="1848"/>
      <c r="Y458" s="1848"/>
    </row>
    <row r="459" spans="2:25" hidden="1">
      <c r="B459" s="1815" t="b">
        <f>AND(I459=FALSE,N458=0,Q458=0,L458="")</f>
        <v>1</v>
      </c>
      <c r="C459" s="1844" t="str" cm="1">
        <f t="array" ref="C459">_xlfn.IFS(
    L459="", "",
    MONTH(L459) &lt;= End_of_Year_Month, YEAR(L459),
    TRUE, YEAR(L459) + 1
)</f>
        <v/>
      </c>
      <c r="F459" s="1857">
        <f>IF(L459="",0,L459)</f>
        <v>0</v>
      </c>
      <c r="G459" s="1856">
        <f>-(N459-Q459)</f>
        <v>0</v>
      </c>
      <c r="I459" s="1815" t="b">
        <f>K459&lt;=Number_Payments</f>
        <v>0</v>
      </c>
      <c r="J459" s="1855"/>
      <c r="K459" s="1351">
        <f>K458+1</f>
        <v>333</v>
      </c>
      <c r="L459" s="1854" t="str" cm="1">
        <f t="array" ref="L459">_xlfn.IFS(
    I458=FALSE, "",
    Payment_Frequency="Monthly", EDATE(L458, 1),
    Payment_Frequency="Weekly", DATE(YEAR(L458), MONTH(L458), DAY(L458) + 7),
    Payment_Frequency="Fortnightly", DATE(YEAR(L458), MONTH(L458), DAY(L458) + 14),
    Payment_Frequency="Quarterly", DATE(YEAR(L458), MONTH(L458) + 3, DAY(L458)),
    Payment_Frequency="Yearly", DATE(YEAR(L458) + 1, MONTH(L458), DAY(L458)),
    TRUE, ""
)</f>
        <v/>
      </c>
      <c r="M459" s="1853">
        <f>IF(ISERROR(L459-L458),0,L459-L458)</f>
        <v>0</v>
      </c>
      <c r="N459" s="1851" cm="1">
        <f t="array" ref="N459">_xlfn.IFS(
    AND(I459=TRUE, K459&lt;=No_Regular_Payments), Repay_Amt,
    AND(I459=TRUE, K459=No_Regular_Payments+1), Tm_Balloon_Amt,
   TRUE, 0
)</f>
        <v>0</v>
      </c>
      <c r="O459" s="1850" cm="1">
        <f t="array" ref="O459">_xlfn.IFS(
    M459=0,0,
   ABS(N459 - S458 - P459-Q459) &lt; 1, N459 - S458-Q459,
    TRUE, P459
)</f>
        <v>0</v>
      </c>
      <c r="P459" s="1852">
        <f>IF(M459=0,0,ROUND(S458*EXP(Int_Rate/365.25 * M459)-S458,2))</f>
        <v>0</v>
      </c>
      <c r="Q459" s="1851" cm="1">
        <f t="array" ref="Q459">_xlfn.IFS(
    AND(I459=TRUE, K459&lt;=No_Regular_Payments), Periodic_Admin_Charge,
   TRUE, 0
)</f>
        <v>0</v>
      </c>
      <c r="R459" s="1850">
        <f>N459-O459-Q459</f>
        <v>0</v>
      </c>
      <c r="S459" s="1850">
        <f>ROUND(S458-R459,2)</f>
        <v>0</v>
      </c>
      <c r="T459" s="1850">
        <f>ROUND(T458-(N459-Q459),2)</f>
        <v>0</v>
      </c>
      <c r="U459" s="1849"/>
      <c r="W459" s="1848"/>
      <c r="X459" s="1848"/>
      <c r="Y459" s="1848"/>
    </row>
    <row r="460" spans="2:25" hidden="1">
      <c r="B460" s="1815" t="b">
        <f>AND(I460=FALSE,N459=0,Q459=0,L459="")</f>
        <v>1</v>
      </c>
      <c r="C460" s="1844" t="str" cm="1">
        <f t="array" ref="C460">_xlfn.IFS(
    L460="", "",
    MONTH(L460) &lt;= End_of_Year_Month, YEAR(L460),
    TRUE, YEAR(L460) + 1
)</f>
        <v/>
      </c>
      <c r="F460" s="1857">
        <f>IF(L460="",0,L460)</f>
        <v>0</v>
      </c>
      <c r="G460" s="1856">
        <f>-(N460-Q460)</f>
        <v>0</v>
      </c>
      <c r="I460" s="1815" t="b">
        <f>K460&lt;=Number_Payments</f>
        <v>0</v>
      </c>
      <c r="J460" s="1855"/>
      <c r="K460" s="1351">
        <f>K459+1</f>
        <v>334</v>
      </c>
      <c r="L460" s="1854" t="str" cm="1">
        <f t="array" ref="L460">_xlfn.IFS(
    I459=FALSE, "",
    Payment_Frequency="Monthly", EDATE(L459, 1),
    Payment_Frequency="Weekly", DATE(YEAR(L459), MONTH(L459), DAY(L459) + 7),
    Payment_Frequency="Fortnightly", DATE(YEAR(L459), MONTH(L459), DAY(L459) + 14),
    Payment_Frequency="Quarterly", DATE(YEAR(L459), MONTH(L459) + 3, DAY(L459)),
    Payment_Frequency="Yearly", DATE(YEAR(L459) + 1, MONTH(L459), DAY(L459)),
    TRUE, ""
)</f>
        <v/>
      </c>
      <c r="M460" s="1853">
        <f>IF(ISERROR(L460-L459),0,L460-L459)</f>
        <v>0</v>
      </c>
      <c r="N460" s="1851" cm="1">
        <f t="array" ref="N460">_xlfn.IFS(
    AND(I460=TRUE, K460&lt;=No_Regular_Payments), Repay_Amt,
    AND(I460=TRUE, K460=No_Regular_Payments+1), Tm_Balloon_Amt,
   TRUE, 0
)</f>
        <v>0</v>
      </c>
      <c r="O460" s="1850" cm="1">
        <f t="array" ref="O460">_xlfn.IFS(
    M460=0,0,
   ABS(N460 - S459 - P460-Q460) &lt; 1, N460 - S459-Q460,
    TRUE, P460
)</f>
        <v>0</v>
      </c>
      <c r="P460" s="1852">
        <f>IF(M460=0,0,ROUND(S459*EXP(Int_Rate/365.25 * M460)-S459,2))</f>
        <v>0</v>
      </c>
      <c r="Q460" s="1851" cm="1">
        <f t="array" ref="Q460">_xlfn.IFS(
    AND(I460=TRUE, K460&lt;=No_Regular_Payments), Periodic_Admin_Charge,
   TRUE, 0
)</f>
        <v>0</v>
      </c>
      <c r="R460" s="1850">
        <f>N460-O460-Q460</f>
        <v>0</v>
      </c>
      <c r="S460" s="1850">
        <f>ROUND(S459-R460,2)</f>
        <v>0</v>
      </c>
      <c r="T460" s="1850">
        <f>ROUND(T459-(N460-Q460),2)</f>
        <v>0</v>
      </c>
      <c r="U460" s="1849"/>
      <c r="W460" s="1848"/>
      <c r="X460" s="1848"/>
      <c r="Y460" s="1848"/>
    </row>
    <row r="461" spans="2:25" hidden="1">
      <c r="B461" s="1815" t="b">
        <f>AND(I461=FALSE,N460=0,Q460=0,L460="")</f>
        <v>1</v>
      </c>
      <c r="C461" s="1844" t="str" cm="1">
        <f t="array" ref="C461">_xlfn.IFS(
    L461="", "",
    MONTH(L461) &lt;= End_of_Year_Month, YEAR(L461),
    TRUE, YEAR(L461) + 1
)</f>
        <v/>
      </c>
      <c r="F461" s="1857">
        <f>IF(L461="",0,L461)</f>
        <v>0</v>
      </c>
      <c r="G461" s="1856">
        <f>-(N461-Q461)</f>
        <v>0</v>
      </c>
      <c r="I461" s="1815" t="b">
        <f>K461&lt;=Number_Payments</f>
        <v>0</v>
      </c>
      <c r="J461" s="1855"/>
      <c r="K461" s="1351">
        <f>K460+1</f>
        <v>335</v>
      </c>
      <c r="L461" s="1854" t="str" cm="1">
        <f t="array" ref="L461">_xlfn.IFS(
    I460=FALSE, "",
    Payment_Frequency="Monthly", EDATE(L460, 1),
    Payment_Frequency="Weekly", DATE(YEAR(L460), MONTH(L460), DAY(L460) + 7),
    Payment_Frequency="Fortnightly", DATE(YEAR(L460), MONTH(L460), DAY(L460) + 14),
    Payment_Frequency="Quarterly", DATE(YEAR(L460), MONTH(L460) + 3, DAY(L460)),
    Payment_Frequency="Yearly", DATE(YEAR(L460) + 1, MONTH(L460), DAY(L460)),
    TRUE, ""
)</f>
        <v/>
      </c>
      <c r="M461" s="1853">
        <f>IF(ISERROR(L461-L460),0,L461-L460)</f>
        <v>0</v>
      </c>
      <c r="N461" s="1851" cm="1">
        <f t="array" ref="N461">_xlfn.IFS(
    AND(I461=TRUE, K461&lt;=No_Regular_Payments), Repay_Amt,
    AND(I461=TRUE, K461=No_Regular_Payments+1), Tm_Balloon_Amt,
   TRUE, 0
)</f>
        <v>0</v>
      </c>
      <c r="O461" s="1850" cm="1">
        <f t="array" ref="O461">_xlfn.IFS(
    M461=0,0,
   ABS(N461 - S460 - P461-Q461) &lt; 1, N461 - S460-Q461,
    TRUE, P461
)</f>
        <v>0</v>
      </c>
      <c r="P461" s="1852">
        <f>IF(M461=0,0,ROUND(S460*EXP(Int_Rate/365.25 * M461)-S460,2))</f>
        <v>0</v>
      </c>
      <c r="Q461" s="1851" cm="1">
        <f t="array" ref="Q461">_xlfn.IFS(
    AND(I461=TRUE, K461&lt;=No_Regular_Payments), Periodic_Admin_Charge,
   TRUE, 0
)</f>
        <v>0</v>
      </c>
      <c r="R461" s="1850">
        <f>N461-O461-Q461</f>
        <v>0</v>
      </c>
      <c r="S461" s="1850">
        <f>ROUND(S460-R461,2)</f>
        <v>0</v>
      </c>
      <c r="T461" s="1850">
        <f>ROUND(T460-(N461-Q461),2)</f>
        <v>0</v>
      </c>
      <c r="U461" s="1849"/>
      <c r="W461" s="1848"/>
      <c r="X461" s="1848"/>
      <c r="Y461" s="1848"/>
    </row>
    <row r="462" spans="2:25" hidden="1">
      <c r="B462" s="1815" t="b">
        <f>AND(I462=FALSE,N461=0,Q461=0,L461="")</f>
        <v>1</v>
      </c>
      <c r="C462" s="1844" t="str" cm="1">
        <f t="array" ref="C462">_xlfn.IFS(
    L462="", "",
    MONTH(L462) &lt;= End_of_Year_Month, YEAR(L462),
    TRUE, YEAR(L462) + 1
)</f>
        <v/>
      </c>
      <c r="F462" s="1857">
        <f>IF(L462="",0,L462)</f>
        <v>0</v>
      </c>
      <c r="G462" s="1856">
        <f>-(N462-Q462)</f>
        <v>0</v>
      </c>
      <c r="I462" s="1815" t="b">
        <f>K462&lt;=Number_Payments</f>
        <v>0</v>
      </c>
      <c r="J462" s="1855"/>
      <c r="K462" s="1351">
        <f>K461+1</f>
        <v>336</v>
      </c>
      <c r="L462" s="1854" t="str" cm="1">
        <f t="array" ref="L462">_xlfn.IFS(
    I461=FALSE, "",
    Payment_Frequency="Monthly", EDATE(L461, 1),
    Payment_Frequency="Weekly", DATE(YEAR(L461), MONTH(L461), DAY(L461) + 7),
    Payment_Frequency="Fortnightly", DATE(YEAR(L461), MONTH(L461), DAY(L461) + 14),
    Payment_Frequency="Quarterly", DATE(YEAR(L461), MONTH(L461) + 3, DAY(L461)),
    Payment_Frequency="Yearly", DATE(YEAR(L461) + 1, MONTH(L461), DAY(L461)),
    TRUE, ""
)</f>
        <v/>
      </c>
      <c r="M462" s="1853">
        <f>IF(ISERROR(L462-L461),0,L462-L461)</f>
        <v>0</v>
      </c>
      <c r="N462" s="1851" cm="1">
        <f t="array" ref="N462">_xlfn.IFS(
    AND(I462=TRUE, K462&lt;=No_Regular_Payments), Repay_Amt,
    AND(I462=TRUE, K462=No_Regular_Payments+1), Tm_Balloon_Amt,
   TRUE, 0
)</f>
        <v>0</v>
      </c>
      <c r="O462" s="1850" cm="1">
        <f t="array" ref="O462">_xlfn.IFS(
    M462=0,0,
   ABS(N462 - S461 - P462-Q462) &lt; 1, N462 - S461-Q462,
    TRUE, P462
)</f>
        <v>0</v>
      </c>
      <c r="P462" s="1852">
        <f>IF(M462=0,0,ROUND(S461*EXP(Int_Rate/365.25 * M462)-S461,2))</f>
        <v>0</v>
      </c>
      <c r="Q462" s="1851" cm="1">
        <f t="array" ref="Q462">_xlfn.IFS(
    AND(I462=TRUE, K462&lt;=No_Regular_Payments), Periodic_Admin_Charge,
   TRUE, 0
)</f>
        <v>0</v>
      </c>
      <c r="R462" s="1850">
        <f>N462-O462-Q462</f>
        <v>0</v>
      </c>
      <c r="S462" s="1850">
        <f>ROUND(S461-R462,2)</f>
        <v>0</v>
      </c>
      <c r="T462" s="1850">
        <f>ROUND(T461-(N462-Q462),2)</f>
        <v>0</v>
      </c>
      <c r="U462" s="1849"/>
      <c r="W462" s="1848"/>
      <c r="X462" s="1848"/>
      <c r="Y462" s="1848"/>
    </row>
    <row r="463" spans="2:25" hidden="1">
      <c r="B463" s="1815" t="b">
        <f>AND(I463=FALSE,N462=0,Q462=0,L462="")</f>
        <v>1</v>
      </c>
      <c r="C463" s="1844" t="str" cm="1">
        <f t="array" ref="C463">_xlfn.IFS(
    L463="", "",
    MONTH(L463) &lt;= End_of_Year_Month, YEAR(L463),
    TRUE, YEAR(L463) + 1
)</f>
        <v/>
      </c>
      <c r="F463" s="1857">
        <f>IF(L463="",0,L463)</f>
        <v>0</v>
      </c>
      <c r="G463" s="1856">
        <f>-(N463-Q463)</f>
        <v>0</v>
      </c>
      <c r="I463" s="1815" t="b">
        <f>K463&lt;=Number_Payments</f>
        <v>0</v>
      </c>
      <c r="J463" s="1855"/>
      <c r="K463" s="1351">
        <f>K462+1</f>
        <v>337</v>
      </c>
      <c r="L463" s="1854" t="str" cm="1">
        <f t="array" ref="L463">_xlfn.IFS(
    I462=FALSE, "",
    Payment_Frequency="Monthly", EDATE(L462, 1),
    Payment_Frequency="Weekly", DATE(YEAR(L462), MONTH(L462), DAY(L462) + 7),
    Payment_Frequency="Fortnightly", DATE(YEAR(L462), MONTH(L462), DAY(L462) + 14),
    Payment_Frequency="Quarterly", DATE(YEAR(L462), MONTH(L462) + 3, DAY(L462)),
    Payment_Frequency="Yearly", DATE(YEAR(L462) + 1, MONTH(L462), DAY(L462)),
    TRUE, ""
)</f>
        <v/>
      </c>
      <c r="M463" s="1853">
        <f>IF(ISERROR(L463-L462),0,L463-L462)</f>
        <v>0</v>
      </c>
      <c r="N463" s="1851" cm="1">
        <f t="array" ref="N463">_xlfn.IFS(
    AND(I463=TRUE, K463&lt;=No_Regular_Payments), Repay_Amt,
    AND(I463=TRUE, K463=No_Regular_Payments+1), Tm_Balloon_Amt,
   TRUE, 0
)</f>
        <v>0</v>
      </c>
      <c r="O463" s="1850" cm="1">
        <f t="array" ref="O463">_xlfn.IFS(
    M463=0,0,
   ABS(N463 - S462 - P463-Q463) &lt; 1, N463 - S462-Q463,
    TRUE, P463
)</f>
        <v>0</v>
      </c>
      <c r="P463" s="1852">
        <f>IF(M463=0,0,ROUND(S462*EXP(Int_Rate/365.25 * M463)-S462,2))</f>
        <v>0</v>
      </c>
      <c r="Q463" s="1851" cm="1">
        <f t="array" ref="Q463">_xlfn.IFS(
    AND(I463=TRUE, K463&lt;=No_Regular_Payments), Periodic_Admin_Charge,
   TRUE, 0
)</f>
        <v>0</v>
      </c>
      <c r="R463" s="1850">
        <f>N463-O463-Q463</f>
        <v>0</v>
      </c>
      <c r="S463" s="1850">
        <f>ROUND(S462-R463,2)</f>
        <v>0</v>
      </c>
      <c r="T463" s="1850">
        <f>ROUND(T462-(N463-Q463),2)</f>
        <v>0</v>
      </c>
      <c r="U463" s="1849"/>
      <c r="W463" s="1848"/>
      <c r="X463" s="1848"/>
      <c r="Y463" s="1848"/>
    </row>
    <row r="464" spans="2:25" hidden="1">
      <c r="B464" s="1815" t="b">
        <f>AND(I464=FALSE,N463=0,Q463=0,L463="")</f>
        <v>1</v>
      </c>
      <c r="C464" s="1844" t="str" cm="1">
        <f t="array" ref="C464">_xlfn.IFS(
    L464="", "",
    MONTH(L464) &lt;= End_of_Year_Month, YEAR(L464),
    TRUE, YEAR(L464) + 1
)</f>
        <v/>
      </c>
      <c r="F464" s="1857">
        <f>IF(L464="",0,L464)</f>
        <v>0</v>
      </c>
      <c r="G464" s="1856">
        <f>-(N464-Q464)</f>
        <v>0</v>
      </c>
      <c r="I464" s="1815" t="b">
        <f>K464&lt;=Number_Payments</f>
        <v>0</v>
      </c>
      <c r="J464" s="1855"/>
      <c r="K464" s="1351">
        <f>K463+1</f>
        <v>338</v>
      </c>
      <c r="L464" s="1854" t="str" cm="1">
        <f t="array" ref="L464">_xlfn.IFS(
    I463=FALSE, "",
    Payment_Frequency="Monthly", EDATE(L463, 1),
    Payment_Frequency="Weekly", DATE(YEAR(L463), MONTH(L463), DAY(L463) + 7),
    Payment_Frequency="Fortnightly", DATE(YEAR(L463), MONTH(L463), DAY(L463) + 14),
    Payment_Frequency="Quarterly", DATE(YEAR(L463), MONTH(L463) + 3, DAY(L463)),
    Payment_Frequency="Yearly", DATE(YEAR(L463) + 1, MONTH(L463), DAY(L463)),
    TRUE, ""
)</f>
        <v/>
      </c>
      <c r="M464" s="1853">
        <f>IF(ISERROR(L464-L463),0,L464-L463)</f>
        <v>0</v>
      </c>
      <c r="N464" s="1851" cm="1">
        <f t="array" ref="N464">_xlfn.IFS(
    AND(I464=TRUE, K464&lt;=No_Regular_Payments), Repay_Amt,
    AND(I464=TRUE, K464=No_Regular_Payments+1), Tm_Balloon_Amt,
   TRUE, 0
)</f>
        <v>0</v>
      </c>
      <c r="O464" s="1850" cm="1">
        <f t="array" ref="O464">_xlfn.IFS(
    M464=0,0,
   ABS(N464 - S463 - P464-Q464) &lt; 1, N464 - S463-Q464,
    TRUE, P464
)</f>
        <v>0</v>
      </c>
      <c r="P464" s="1852">
        <f>IF(M464=0,0,ROUND(S463*EXP(Int_Rate/365.25 * M464)-S463,2))</f>
        <v>0</v>
      </c>
      <c r="Q464" s="1851" cm="1">
        <f t="array" ref="Q464">_xlfn.IFS(
    AND(I464=TRUE, K464&lt;=No_Regular_Payments), Periodic_Admin_Charge,
   TRUE, 0
)</f>
        <v>0</v>
      </c>
      <c r="R464" s="1850">
        <f>N464-O464-Q464</f>
        <v>0</v>
      </c>
      <c r="S464" s="1850">
        <f>ROUND(S463-R464,2)</f>
        <v>0</v>
      </c>
      <c r="T464" s="1850">
        <f>ROUND(T463-(N464-Q464),2)</f>
        <v>0</v>
      </c>
      <c r="U464" s="1849"/>
      <c r="W464" s="1848"/>
      <c r="X464" s="1848"/>
      <c r="Y464" s="1848"/>
    </row>
    <row r="465" spans="2:25" hidden="1">
      <c r="B465" s="1815" t="b">
        <f>AND(I465=FALSE,N464=0,Q464=0,L464="")</f>
        <v>1</v>
      </c>
      <c r="C465" s="1844" t="str" cm="1">
        <f t="array" ref="C465">_xlfn.IFS(
    L465="", "",
    MONTH(L465) &lt;= End_of_Year_Month, YEAR(L465),
    TRUE, YEAR(L465) + 1
)</f>
        <v/>
      </c>
      <c r="F465" s="1857">
        <f>IF(L465="",0,L465)</f>
        <v>0</v>
      </c>
      <c r="G465" s="1856">
        <f>-(N465-Q465)</f>
        <v>0</v>
      </c>
      <c r="I465" s="1815" t="b">
        <f>K465&lt;=Number_Payments</f>
        <v>0</v>
      </c>
      <c r="J465" s="1855"/>
      <c r="K465" s="1351">
        <f>K464+1</f>
        <v>339</v>
      </c>
      <c r="L465" s="1854" t="str" cm="1">
        <f t="array" ref="L465">_xlfn.IFS(
    I464=FALSE, "",
    Payment_Frequency="Monthly", EDATE(L464, 1),
    Payment_Frequency="Weekly", DATE(YEAR(L464), MONTH(L464), DAY(L464) + 7),
    Payment_Frequency="Fortnightly", DATE(YEAR(L464), MONTH(L464), DAY(L464) + 14),
    Payment_Frequency="Quarterly", DATE(YEAR(L464), MONTH(L464) + 3, DAY(L464)),
    Payment_Frequency="Yearly", DATE(YEAR(L464) + 1, MONTH(L464), DAY(L464)),
    TRUE, ""
)</f>
        <v/>
      </c>
      <c r="M465" s="1853">
        <f>IF(ISERROR(L465-L464),0,L465-L464)</f>
        <v>0</v>
      </c>
      <c r="N465" s="1851" cm="1">
        <f t="array" ref="N465">_xlfn.IFS(
    AND(I465=TRUE, K465&lt;=No_Regular_Payments), Repay_Amt,
    AND(I465=TRUE, K465=No_Regular_Payments+1), Tm_Balloon_Amt,
   TRUE, 0
)</f>
        <v>0</v>
      </c>
      <c r="O465" s="1850" cm="1">
        <f t="array" ref="O465">_xlfn.IFS(
    M465=0,0,
   ABS(N465 - S464 - P465-Q465) &lt; 1, N465 - S464-Q465,
    TRUE, P465
)</f>
        <v>0</v>
      </c>
      <c r="P465" s="1852">
        <f>IF(M465=0,0,ROUND(S464*EXP(Int_Rate/365.25 * M465)-S464,2))</f>
        <v>0</v>
      </c>
      <c r="Q465" s="1851" cm="1">
        <f t="array" ref="Q465">_xlfn.IFS(
    AND(I465=TRUE, K465&lt;=No_Regular_Payments), Periodic_Admin_Charge,
   TRUE, 0
)</f>
        <v>0</v>
      </c>
      <c r="R465" s="1850">
        <f>N465-O465-Q465</f>
        <v>0</v>
      </c>
      <c r="S465" s="1850">
        <f>ROUND(S464-R465,2)</f>
        <v>0</v>
      </c>
      <c r="T465" s="1850">
        <f>ROUND(T464-(N465-Q465),2)</f>
        <v>0</v>
      </c>
      <c r="U465" s="1849"/>
      <c r="W465" s="1848"/>
      <c r="X465" s="1848"/>
      <c r="Y465" s="1848"/>
    </row>
    <row r="466" spans="2:25" hidden="1">
      <c r="B466" s="1815" t="b">
        <f>AND(I466=FALSE,N465=0,Q465=0,L465="")</f>
        <v>1</v>
      </c>
      <c r="C466" s="1844" t="str" cm="1">
        <f t="array" ref="C466">_xlfn.IFS(
    L466="", "",
    MONTH(L466) &lt;= End_of_Year_Month, YEAR(L466),
    TRUE, YEAR(L466) + 1
)</f>
        <v/>
      </c>
      <c r="F466" s="1857">
        <f>IF(L466="",0,L466)</f>
        <v>0</v>
      </c>
      <c r="G466" s="1856">
        <f>-(N466-Q466)</f>
        <v>0</v>
      </c>
      <c r="I466" s="1815" t="b">
        <f>K466&lt;=Number_Payments</f>
        <v>0</v>
      </c>
      <c r="J466" s="1855"/>
      <c r="K466" s="1351">
        <f>K465+1</f>
        <v>340</v>
      </c>
      <c r="L466" s="1854" t="str" cm="1">
        <f t="array" ref="L466">_xlfn.IFS(
    I465=FALSE, "",
    Payment_Frequency="Monthly", EDATE(L465, 1),
    Payment_Frequency="Weekly", DATE(YEAR(L465), MONTH(L465), DAY(L465) + 7),
    Payment_Frequency="Fortnightly", DATE(YEAR(L465), MONTH(L465), DAY(L465) + 14),
    Payment_Frequency="Quarterly", DATE(YEAR(L465), MONTH(L465) + 3, DAY(L465)),
    Payment_Frequency="Yearly", DATE(YEAR(L465) + 1, MONTH(L465), DAY(L465)),
    TRUE, ""
)</f>
        <v/>
      </c>
      <c r="M466" s="1853">
        <f>IF(ISERROR(L466-L465),0,L466-L465)</f>
        <v>0</v>
      </c>
      <c r="N466" s="1851" cm="1">
        <f t="array" ref="N466">_xlfn.IFS(
    AND(I466=TRUE, K466&lt;=No_Regular_Payments), Repay_Amt,
    AND(I466=TRUE, K466=No_Regular_Payments+1), Tm_Balloon_Amt,
   TRUE, 0
)</f>
        <v>0</v>
      </c>
      <c r="O466" s="1850" cm="1">
        <f t="array" ref="O466">_xlfn.IFS(
    M466=0,0,
   ABS(N466 - S465 - P466-Q466) &lt; 1, N466 - S465-Q466,
    TRUE, P466
)</f>
        <v>0</v>
      </c>
      <c r="P466" s="1852">
        <f>IF(M466=0,0,ROUND(S465*EXP(Int_Rate/365.25 * M466)-S465,2))</f>
        <v>0</v>
      </c>
      <c r="Q466" s="1851" cm="1">
        <f t="array" ref="Q466">_xlfn.IFS(
    AND(I466=TRUE, K466&lt;=No_Regular_Payments), Periodic_Admin_Charge,
   TRUE, 0
)</f>
        <v>0</v>
      </c>
      <c r="R466" s="1850">
        <f>N466-O466-Q466</f>
        <v>0</v>
      </c>
      <c r="S466" s="1850">
        <f>ROUND(S465-R466,2)</f>
        <v>0</v>
      </c>
      <c r="T466" s="1850">
        <f>ROUND(T465-(N466-Q466),2)</f>
        <v>0</v>
      </c>
      <c r="U466" s="1849"/>
      <c r="W466" s="1848"/>
      <c r="X466" s="1848"/>
      <c r="Y466" s="1848"/>
    </row>
    <row r="467" spans="2:25" hidden="1">
      <c r="B467" s="1815" t="b">
        <f>AND(I467=FALSE,N466=0,Q466=0,L466="")</f>
        <v>1</v>
      </c>
      <c r="C467" s="1844" t="str" cm="1">
        <f t="array" ref="C467">_xlfn.IFS(
    L467="", "",
    MONTH(L467) &lt;= End_of_Year_Month, YEAR(L467),
    TRUE, YEAR(L467) + 1
)</f>
        <v/>
      </c>
      <c r="F467" s="1857">
        <f>IF(L467="",0,L467)</f>
        <v>0</v>
      </c>
      <c r="G467" s="1856">
        <f>-(N467-Q467)</f>
        <v>0</v>
      </c>
      <c r="I467" s="1815" t="b">
        <f>K467&lt;=Number_Payments</f>
        <v>0</v>
      </c>
      <c r="J467" s="1855"/>
      <c r="K467" s="1351">
        <f>K466+1</f>
        <v>341</v>
      </c>
      <c r="L467" s="1854" t="str" cm="1">
        <f t="array" ref="L467">_xlfn.IFS(
    I466=FALSE, "",
    Payment_Frequency="Monthly", EDATE(L466, 1),
    Payment_Frequency="Weekly", DATE(YEAR(L466), MONTH(L466), DAY(L466) + 7),
    Payment_Frequency="Fortnightly", DATE(YEAR(L466), MONTH(L466), DAY(L466) + 14),
    Payment_Frequency="Quarterly", DATE(YEAR(L466), MONTH(L466) + 3, DAY(L466)),
    Payment_Frequency="Yearly", DATE(YEAR(L466) + 1, MONTH(L466), DAY(L466)),
    TRUE, ""
)</f>
        <v/>
      </c>
      <c r="M467" s="1853">
        <f>IF(ISERROR(L467-L466),0,L467-L466)</f>
        <v>0</v>
      </c>
      <c r="N467" s="1851" cm="1">
        <f t="array" ref="N467">_xlfn.IFS(
    AND(I467=TRUE, K467&lt;=No_Regular_Payments), Repay_Amt,
    AND(I467=TRUE, K467=No_Regular_Payments+1), Tm_Balloon_Amt,
   TRUE, 0
)</f>
        <v>0</v>
      </c>
      <c r="O467" s="1850" cm="1">
        <f t="array" ref="O467">_xlfn.IFS(
    M467=0,0,
   ABS(N467 - S466 - P467-Q467) &lt; 1, N467 - S466-Q467,
    TRUE, P467
)</f>
        <v>0</v>
      </c>
      <c r="P467" s="1852">
        <f>IF(M467=0,0,ROUND(S466*EXP(Int_Rate/365.25 * M467)-S466,2))</f>
        <v>0</v>
      </c>
      <c r="Q467" s="1851" cm="1">
        <f t="array" ref="Q467">_xlfn.IFS(
    AND(I467=TRUE, K467&lt;=No_Regular_Payments), Periodic_Admin_Charge,
   TRUE, 0
)</f>
        <v>0</v>
      </c>
      <c r="R467" s="1850">
        <f>N467-O467-Q467</f>
        <v>0</v>
      </c>
      <c r="S467" s="1850">
        <f>ROUND(S466-R467,2)</f>
        <v>0</v>
      </c>
      <c r="T467" s="1850">
        <f>ROUND(T466-(N467-Q467),2)</f>
        <v>0</v>
      </c>
      <c r="U467" s="1849"/>
      <c r="W467" s="1848"/>
      <c r="X467" s="1848"/>
      <c r="Y467" s="1848"/>
    </row>
    <row r="468" spans="2:25" hidden="1">
      <c r="B468" s="1815" t="b">
        <f>AND(I468=FALSE,N467=0,Q467=0,L467="")</f>
        <v>1</v>
      </c>
      <c r="C468" s="1844" t="str" cm="1">
        <f t="array" ref="C468">_xlfn.IFS(
    L468="", "",
    MONTH(L468) &lt;= End_of_Year_Month, YEAR(L468),
    TRUE, YEAR(L468) + 1
)</f>
        <v/>
      </c>
      <c r="F468" s="1857">
        <f>IF(L468="",0,L468)</f>
        <v>0</v>
      </c>
      <c r="G468" s="1856">
        <f>-(N468-Q468)</f>
        <v>0</v>
      </c>
      <c r="I468" s="1815" t="b">
        <f>K468&lt;=Number_Payments</f>
        <v>0</v>
      </c>
      <c r="J468" s="1855"/>
      <c r="K468" s="1351">
        <f>K467+1</f>
        <v>342</v>
      </c>
      <c r="L468" s="1854" t="str" cm="1">
        <f t="array" ref="L468">_xlfn.IFS(
    I467=FALSE, "",
    Payment_Frequency="Monthly", EDATE(L467, 1),
    Payment_Frequency="Weekly", DATE(YEAR(L467), MONTH(L467), DAY(L467) + 7),
    Payment_Frequency="Fortnightly", DATE(YEAR(L467), MONTH(L467), DAY(L467) + 14),
    Payment_Frequency="Quarterly", DATE(YEAR(L467), MONTH(L467) + 3, DAY(L467)),
    Payment_Frequency="Yearly", DATE(YEAR(L467) + 1, MONTH(L467), DAY(L467)),
    TRUE, ""
)</f>
        <v/>
      </c>
      <c r="M468" s="1853">
        <f>IF(ISERROR(L468-L467),0,L468-L467)</f>
        <v>0</v>
      </c>
      <c r="N468" s="1851" cm="1">
        <f t="array" ref="N468">_xlfn.IFS(
    AND(I468=TRUE, K468&lt;=No_Regular_Payments), Repay_Amt,
    AND(I468=TRUE, K468=No_Regular_Payments+1), Tm_Balloon_Amt,
   TRUE, 0
)</f>
        <v>0</v>
      </c>
      <c r="O468" s="1850" cm="1">
        <f t="array" ref="O468">_xlfn.IFS(
    M468=0,0,
   ABS(N468 - S467 - P468-Q468) &lt; 1, N468 - S467-Q468,
    TRUE, P468
)</f>
        <v>0</v>
      </c>
      <c r="P468" s="1852">
        <f>IF(M468=0,0,ROUND(S467*EXP(Int_Rate/365.25 * M468)-S467,2))</f>
        <v>0</v>
      </c>
      <c r="Q468" s="1851" cm="1">
        <f t="array" ref="Q468">_xlfn.IFS(
    AND(I468=TRUE, K468&lt;=No_Regular_Payments), Periodic_Admin_Charge,
   TRUE, 0
)</f>
        <v>0</v>
      </c>
      <c r="R468" s="1850">
        <f>N468-O468-Q468</f>
        <v>0</v>
      </c>
      <c r="S468" s="1850">
        <f>ROUND(S467-R468,2)</f>
        <v>0</v>
      </c>
      <c r="T468" s="1850">
        <f>ROUND(T467-(N468-Q468),2)</f>
        <v>0</v>
      </c>
      <c r="U468" s="1849"/>
      <c r="W468" s="1848"/>
      <c r="X468" s="1848"/>
      <c r="Y468" s="1848"/>
    </row>
    <row r="469" spans="2:25" hidden="1">
      <c r="B469" s="1815" t="b">
        <f>AND(I469=FALSE,N468=0,Q468=0,L468="")</f>
        <v>1</v>
      </c>
      <c r="C469" s="1844" t="str" cm="1">
        <f t="array" ref="C469">_xlfn.IFS(
    L469="", "",
    MONTH(L469) &lt;= End_of_Year_Month, YEAR(L469),
    TRUE, YEAR(L469) + 1
)</f>
        <v/>
      </c>
      <c r="F469" s="1857">
        <f>IF(L469="",0,L469)</f>
        <v>0</v>
      </c>
      <c r="G469" s="1856">
        <f>-(N469-Q469)</f>
        <v>0</v>
      </c>
      <c r="I469" s="1815" t="b">
        <f>K469&lt;=Number_Payments</f>
        <v>0</v>
      </c>
      <c r="J469" s="1855"/>
      <c r="K469" s="1351">
        <f>K468+1</f>
        <v>343</v>
      </c>
      <c r="L469" s="1854" t="str" cm="1">
        <f t="array" ref="L469">_xlfn.IFS(
    I468=FALSE, "",
    Payment_Frequency="Monthly", EDATE(L468, 1),
    Payment_Frequency="Weekly", DATE(YEAR(L468), MONTH(L468), DAY(L468) + 7),
    Payment_Frequency="Fortnightly", DATE(YEAR(L468), MONTH(L468), DAY(L468) + 14),
    Payment_Frequency="Quarterly", DATE(YEAR(L468), MONTH(L468) + 3, DAY(L468)),
    Payment_Frequency="Yearly", DATE(YEAR(L468) + 1, MONTH(L468), DAY(L468)),
    TRUE, ""
)</f>
        <v/>
      </c>
      <c r="M469" s="1853">
        <f>IF(ISERROR(L469-L468),0,L469-L468)</f>
        <v>0</v>
      </c>
      <c r="N469" s="1851" cm="1">
        <f t="array" ref="N469">_xlfn.IFS(
    AND(I469=TRUE, K469&lt;=No_Regular_Payments), Repay_Amt,
    AND(I469=TRUE, K469=No_Regular_Payments+1), Tm_Balloon_Amt,
   TRUE, 0
)</f>
        <v>0</v>
      </c>
      <c r="O469" s="1850" cm="1">
        <f t="array" ref="O469">_xlfn.IFS(
    M469=0,0,
   ABS(N469 - S468 - P469-Q469) &lt; 1, N469 - S468-Q469,
    TRUE, P469
)</f>
        <v>0</v>
      </c>
      <c r="P469" s="1852">
        <f>IF(M469=0,0,ROUND(S468*EXP(Int_Rate/365.25 * M469)-S468,2))</f>
        <v>0</v>
      </c>
      <c r="Q469" s="1851" cm="1">
        <f t="array" ref="Q469">_xlfn.IFS(
    AND(I469=TRUE, K469&lt;=No_Regular_Payments), Periodic_Admin_Charge,
   TRUE, 0
)</f>
        <v>0</v>
      </c>
      <c r="R469" s="1850">
        <f>N469-O469-Q469</f>
        <v>0</v>
      </c>
      <c r="S469" s="1850">
        <f>ROUND(S468-R469,2)</f>
        <v>0</v>
      </c>
      <c r="T469" s="1850">
        <f>ROUND(T468-(N469-Q469),2)</f>
        <v>0</v>
      </c>
      <c r="U469" s="1849"/>
      <c r="W469" s="1848"/>
      <c r="X469" s="1848"/>
      <c r="Y469" s="1848"/>
    </row>
    <row r="470" spans="2:25" hidden="1">
      <c r="B470" s="1815" t="b">
        <f>AND(I470=FALSE,N469=0,Q469=0,L469="")</f>
        <v>1</v>
      </c>
      <c r="C470" s="1844" t="str" cm="1">
        <f t="array" ref="C470">_xlfn.IFS(
    L470="", "",
    MONTH(L470) &lt;= End_of_Year_Month, YEAR(L470),
    TRUE, YEAR(L470) + 1
)</f>
        <v/>
      </c>
      <c r="F470" s="1857">
        <f>IF(L470="",0,L470)</f>
        <v>0</v>
      </c>
      <c r="G470" s="1856">
        <f>-(N470-Q470)</f>
        <v>0</v>
      </c>
      <c r="I470" s="1815" t="b">
        <f>K470&lt;=Number_Payments</f>
        <v>0</v>
      </c>
      <c r="J470" s="1855"/>
      <c r="K470" s="1351">
        <f>K469+1</f>
        <v>344</v>
      </c>
      <c r="L470" s="1854" t="str" cm="1">
        <f t="array" ref="L470">_xlfn.IFS(
    I469=FALSE, "",
    Payment_Frequency="Monthly", EDATE(L469, 1),
    Payment_Frequency="Weekly", DATE(YEAR(L469), MONTH(L469), DAY(L469) + 7),
    Payment_Frequency="Fortnightly", DATE(YEAR(L469), MONTH(L469), DAY(L469) + 14),
    Payment_Frequency="Quarterly", DATE(YEAR(L469), MONTH(L469) + 3, DAY(L469)),
    Payment_Frequency="Yearly", DATE(YEAR(L469) + 1, MONTH(L469), DAY(L469)),
    TRUE, ""
)</f>
        <v/>
      </c>
      <c r="M470" s="1853">
        <f>IF(ISERROR(L470-L469),0,L470-L469)</f>
        <v>0</v>
      </c>
      <c r="N470" s="1851" cm="1">
        <f t="array" ref="N470">_xlfn.IFS(
    AND(I470=TRUE, K470&lt;=No_Regular_Payments), Repay_Amt,
    AND(I470=TRUE, K470=No_Regular_Payments+1), Tm_Balloon_Amt,
   TRUE, 0
)</f>
        <v>0</v>
      </c>
      <c r="O470" s="1850" cm="1">
        <f t="array" ref="O470">_xlfn.IFS(
    M470=0,0,
   ABS(N470 - S469 - P470-Q470) &lt; 1, N470 - S469-Q470,
    TRUE, P470
)</f>
        <v>0</v>
      </c>
      <c r="P470" s="1852">
        <f>IF(M470=0,0,ROUND(S469*EXP(Int_Rate/365.25 * M470)-S469,2))</f>
        <v>0</v>
      </c>
      <c r="Q470" s="1851" cm="1">
        <f t="array" ref="Q470">_xlfn.IFS(
    AND(I470=TRUE, K470&lt;=No_Regular_Payments), Periodic_Admin_Charge,
   TRUE, 0
)</f>
        <v>0</v>
      </c>
      <c r="R470" s="1850">
        <f>N470-O470-Q470</f>
        <v>0</v>
      </c>
      <c r="S470" s="1850">
        <f>ROUND(S469-R470,2)</f>
        <v>0</v>
      </c>
      <c r="T470" s="1850">
        <f>ROUND(T469-(N470-Q470),2)</f>
        <v>0</v>
      </c>
      <c r="U470" s="1849"/>
      <c r="W470" s="1848"/>
      <c r="X470" s="1848"/>
      <c r="Y470" s="1848"/>
    </row>
    <row r="471" spans="2:25" hidden="1">
      <c r="B471" s="1815" t="b">
        <f>AND(I471=FALSE,N470=0,Q470=0,L470="")</f>
        <v>1</v>
      </c>
      <c r="C471" s="1844" t="str" cm="1">
        <f t="array" ref="C471">_xlfn.IFS(
    L471="", "",
    MONTH(L471) &lt;= End_of_Year_Month, YEAR(L471),
    TRUE, YEAR(L471) + 1
)</f>
        <v/>
      </c>
      <c r="F471" s="1857">
        <f>IF(L471="",0,L471)</f>
        <v>0</v>
      </c>
      <c r="G471" s="1856">
        <f>-(N471-Q471)</f>
        <v>0</v>
      </c>
      <c r="I471" s="1815" t="b">
        <f>K471&lt;=Number_Payments</f>
        <v>0</v>
      </c>
      <c r="J471" s="1855"/>
      <c r="K471" s="1351">
        <f>K470+1</f>
        <v>345</v>
      </c>
      <c r="L471" s="1854" t="str" cm="1">
        <f t="array" ref="L471">_xlfn.IFS(
    I470=FALSE, "",
    Payment_Frequency="Monthly", EDATE(L470, 1),
    Payment_Frequency="Weekly", DATE(YEAR(L470), MONTH(L470), DAY(L470) + 7),
    Payment_Frequency="Fortnightly", DATE(YEAR(L470), MONTH(L470), DAY(L470) + 14),
    Payment_Frequency="Quarterly", DATE(YEAR(L470), MONTH(L470) + 3, DAY(L470)),
    Payment_Frequency="Yearly", DATE(YEAR(L470) + 1, MONTH(L470), DAY(L470)),
    TRUE, ""
)</f>
        <v/>
      </c>
      <c r="M471" s="1853">
        <f>IF(ISERROR(L471-L470),0,L471-L470)</f>
        <v>0</v>
      </c>
      <c r="N471" s="1851" cm="1">
        <f t="array" ref="N471">_xlfn.IFS(
    AND(I471=TRUE, K471&lt;=No_Regular_Payments), Repay_Amt,
    AND(I471=TRUE, K471=No_Regular_Payments+1), Tm_Balloon_Amt,
   TRUE, 0
)</f>
        <v>0</v>
      </c>
      <c r="O471" s="1850" cm="1">
        <f t="array" ref="O471">_xlfn.IFS(
    M471=0,0,
   ABS(N471 - S470 - P471-Q471) &lt; 1, N471 - S470-Q471,
    TRUE, P471
)</f>
        <v>0</v>
      </c>
      <c r="P471" s="1852">
        <f>IF(M471=0,0,ROUND(S470*EXP(Int_Rate/365.25 * M471)-S470,2))</f>
        <v>0</v>
      </c>
      <c r="Q471" s="1851" cm="1">
        <f t="array" ref="Q471">_xlfn.IFS(
    AND(I471=TRUE, K471&lt;=No_Regular_Payments), Periodic_Admin_Charge,
   TRUE, 0
)</f>
        <v>0</v>
      </c>
      <c r="R471" s="1850">
        <f>N471-O471-Q471</f>
        <v>0</v>
      </c>
      <c r="S471" s="1850">
        <f>ROUND(S470-R471,2)</f>
        <v>0</v>
      </c>
      <c r="T471" s="1850">
        <f>ROUND(T470-(N471-Q471),2)</f>
        <v>0</v>
      </c>
      <c r="U471" s="1849"/>
      <c r="W471" s="1848"/>
      <c r="X471" s="1848"/>
      <c r="Y471" s="1848"/>
    </row>
    <row r="472" spans="2:25" hidden="1">
      <c r="B472" s="1815" t="b">
        <f>AND(I472=FALSE,N471=0,Q471=0,L471="")</f>
        <v>1</v>
      </c>
      <c r="C472" s="1844" t="str" cm="1">
        <f t="array" ref="C472">_xlfn.IFS(
    L472="", "",
    MONTH(L472) &lt;= End_of_Year_Month, YEAR(L472),
    TRUE, YEAR(L472) + 1
)</f>
        <v/>
      </c>
      <c r="F472" s="1857">
        <f>IF(L472="",0,L472)</f>
        <v>0</v>
      </c>
      <c r="G472" s="1856">
        <f>-(N472-Q472)</f>
        <v>0</v>
      </c>
      <c r="I472" s="1815" t="b">
        <f>K472&lt;=Number_Payments</f>
        <v>0</v>
      </c>
      <c r="J472" s="1855"/>
      <c r="K472" s="1351">
        <f>K471+1</f>
        <v>346</v>
      </c>
      <c r="L472" s="1854" t="str" cm="1">
        <f t="array" ref="L472">_xlfn.IFS(
    I471=FALSE, "",
    Payment_Frequency="Monthly", EDATE(L471, 1),
    Payment_Frequency="Weekly", DATE(YEAR(L471), MONTH(L471), DAY(L471) + 7),
    Payment_Frequency="Fortnightly", DATE(YEAR(L471), MONTH(L471), DAY(L471) + 14),
    Payment_Frequency="Quarterly", DATE(YEAR(L471), MONTH(L471) + 3, DAY(L471)),
    Payment_Frequency="Yearly", DATE(YEAR(L471) + 1, MONTH(L471), DAY(L471)),
    TRUE, ""
)</f>
        <v/>
      </c>
      <c r="M472" s="1853">
        <f>IF(ISERROR(L472-L471),0,L472-L471)</f>
        <v>0</v>
      </c>
      <c r="N472" s="1851" cm="1">
        <f t="array" ref="N472">_xlfn.IFS(
    AND(I472=TRUE, K472&lt;=No_Regular_Payments), Repay_Amt,
    AND(I472=TRUE, K472=No_Regular_Payments+1), Tm_Balloon_Amt,
   TRUE, 0
)</f>
        <v>0</v>
      </c>
      <c r="O472" s="1850" cm="1">
        <f t="array" ref="O472">_xlfn.IFS(
    M472=0,0,
   ABS(N472 - S471 - P472-Q472) &lt; 1, N472 - S471-Q472,
    TRUE, P472
)</f>
        <v>0</v>
      </c>
      <c r="P472" s="1852">
        <f>IF(M472=0,0,ROUND(S471*EXP(Int_Rate/365.25 * M472)-S471,2))</f>
        <v>0</v>
      </c>
      <c r="Q472" s="1851" cm="1">
        <f t="array" ref="Q472">_xlfn.IFS(
    AND(I472=TRUE, K472&lt;=No_Regular_Payments), Periodic_Admin_Charge,
   TRUE, 0
)</f>
        <v>0</v>
      </c>
      <c r="R472" s="1850">
        <f>N472-O472-Q472</f>
        <v>0</v>
      </c>
      <c r="S472" s="1850">
        <f>ROUND(S471-R472,2)</f>
        <v>0</v>
      </c>
      <c r="T472" s="1850">
        <f>ROUND(T471-(N472-Q472),2)</f>
        <v>0</v>
      </c>
      <c r="U472" s="1849"/>
      <c r="W472" s="1848"/>
      <c r="X472" s="1848"/>
      <c r="Y472" s="1848"/>
    </row>
    <row r="473" spans="2:25" hidden="1">
      <c r="B473" s="1815" t="b">
        <f>AND(I473=FALSE,N472=0,Q472=0,L472="")</f>
        <v>1</v>
      </c>
      <c r="C473" s="1844" t="str" cm="1">
        <f t="array" ref="C473">_xlfn.IFS(
    L473="", "",
    MONTH(L473) &lt;= End_of_Year_Month, YEAR(L473),
    TRUE, YEAR(L473) + 1
)</f>
        <v/>
      </c>
      <c r="F473" s="1857">
        <f>IF(L473="",0,L473)</f>
        <v>0</v>
      </c>
      <c r="G473" s="1856">
        <f>-(N473-Q473)</f>
        <v>0</v>
      </c>
      <c r="I473" s="1815" t="b">
        <f>K473&lt;=Number_Payments</f>
        <v>0</v>
      </c>
      <c r="J473" s="1855"/>
      <c r="K473" s="1351">
        <f>K472+1</f>
        <v>347</v>
      </c>
      <c r="L473" s="1854" t="str" cm="1">
        <f t="array" ref="L473">_xlfn.IFS(
    I472=FALSE, "",
    Payment_Frequency="Monthly", EDATE(L472, 1),
    Payment_Frequency="Weekly", DATE(YEAR(L472), MONTH(L472), DAY(L472) + 7),
    Payment_Frequency="Fortnightly", DATE(YEAR(L472), MONTH(L472), DAY(L472) + 14),
    Payment_Frequency="Quarterly", DATE(YEAR(L472), MONTH(L472) + 3, DAY(L472)),
    Payment_Frequency="Yearly", DATE(YEAR(L472) + 1, MONTH(L472), DAY(L472)),
    TRUE, ""
)</f>
        <v/>
      </c>
      <c r="M473" s="1853">
        <f>IF(ISERROR(L473-L472),0,L473-L472)</f>
        <v>0</v>
      </c>
      <c r="N473" s="1851" cm="1">
        <f t="array" ref="N473">_xlfn.IFS(
    AND(I473=TRUE, K473&lt;=No_Regular_Payments), Repay_Amt,
    AND(I473=TRUE, K473=No_Regular_Payments+1), Tm_Balloon_Amt,
   TRUE, 0
)</f>
        <v>0</v>
      </c>
      <c r="O473" s="1850" cm="1">
        <f t="array" ref="O473">_xlfn.IFS(
    M473=0,0,
   ABS(N473 - S472 - P473-Q473) &lt; 1, N473 - S472-Q473,
    TRUE, P473
)</f>
        <v>0</v>
      </c>
      <c r="P473" s="1852">
        <f>IF(M473=0,0,ROUND(S472*EXP(Int_Rate/365.25 * M473)-S472,2))</f>
        <v>0</v>
      </c>
      <c r="Q473" s="1851" cm="1">
        <f t="array" ref="Q473">_xlfn.IFS(
    AND(I473=TRUE, K473&lt;=No_Regular_Payments), Periodic_Admin_Charge,
   TRUE, 0
)</f>
        <v>0</v>
      </c>
      <c r="R473" s="1850">
        <f>N473-O473-Q473</f>
        <v>0</v>
      </c>
      <c r="S473" s="1850">
        <f>ROUND(S472-R473,2)</f>
        <v>0</v>
      </c>
      <c r="T473" s="1850">
        <f>ROUND(T472-(N473-Q473),2)</f>
        <v>0</v>
      </c>
      <c r="U473" s="1849"/>
      <c r="W473" s="1848"/>
      <c r="X473" s="1848"/>
      <c r="Y473" s="1848"/>
    </row>
    <row r="474" spans="2:25" hidden="1">
      <c r="B474" s="1815" t="b">
        <f>AND(I474=FALSE,N473=0,Q473=0,L473="")</f>
        <v>1</v>
      </c>
      <c r="C474" s="1844" t="str" cm="1">
        <f t="array" ref="C474">_xlfn.IFS(
    L474="", "",
    MONTH(L474) &lt;= End_of_Year_Month, YEAR(L474),
    TRUE, YEAR(L474) + 1
)</f>
        <v/>
      </c>
      <c r="F474" s="1857">
        <f>IF(L474="",0,L474)</f>
        <v>0</v>
      </c>
      <c r="G474" s="1856">
        <f>-(N474-Q474)</f>
        <v>0</v>
      </c>
      <c r="I474" s="1815" t="b">
        <f>K474&lt;=Number_Payments</f>
        <v>0</v>
      </c>
      <c r="J474" s="1855"/>
      <c r="K474" s="1351">
        <f>K473+1</f>
        <v>348</v>
      </c>
      <c r="L474" s="1854" t="str" cm="1">
        <f t="array" ref="L474">_xlfn.IFS(
    I473=FALSE, "",
    Payment_Frequency="Monthly", EDATE(L473, 1),
    Payment_Frequency="Weekly", DATE(YEAR(L473), MONTH(L473), DAY(L473) + 7),
    Payment_Frequency="Fortnightly", DATE(YEAR(L473), MONTH(L473), DAY(L473) + 14),
    Payment_Frequency="Quarterly", DATE(YEAR(L473), MONTH(L473) + 3, DAY(L473)),
    Payment_Frequency="Yearly", DATE(YEAR(L473) + 1, MONTH(L473), DAY(L473)),
    TRUE, ""
)</f>
        <v/>
      </c>
      <c r="M474" s="1853">
        <f>IF(ISERROR(L474-L473),0,L474-L473)</f>
        <v>0</v>
      </c>
      <c r="N474" s="1851" cm="1">
        <f t="array" ref="N474">_xlfn.IFS(
    AND(I474=TRUE, K474&lt;=No_Regular_Payments), Repay_Amt,
    AND(I474=TRUE, K474=No_Regular_Payments+1), Tm_Balloon_Amt,
   TRUE, 0
)</f>
        <v>0</v>
      </c>
      <c r="O474" s="1850" cm="1">
        <f t="array" ref="O474">_xlfn.IFS(
    M474=0,0,
   ABS(N474 - S473 - P474-Q474) &lt; 1, N474 - S473-Q474,
    TRUE, P474
)</f>
        <v>0</v>
      </c>
      <c r="P474" s="1852">
        <f>IF(M474=0,0,ROUND(S473*EXP(Int_Rate/365.25 * M474)-S473,2))</f>
        <v>0</v>
      </c>
      <c r="Q474" s="1851" cm="1">
        <f t="array" ref="Q474">_xlfn.IFS(
    AND(I474=TRUE, K474&lt;=No_Regular_Payments), Periodic_Admin_Charge,
   TRUE, 0
)</f>
        <v>0</v>
      </c>
      <c r="R474" s="1850">
        <f>N474-O474-Q474</f>
        <v>0</v>
      </c>
      <c r="S474" s="1850">
        <f>ROUND(S473-R474,2)</f>
        <v>0</v>
      </c>
      <c r="T474" s="1850">
        <f>ROUND(T473-(N474-Q474),2)</f>
        <v>0</v>
      </c>
      <c r="U474" s="1849"/>
      <c r="W474" s="1848"/>
      <c r="X474" s="1848"/>
      <c r="Y474" s="1848"/>
    </row>
    <row r="475" spans="2:25" hidden="1">
      <c r="B475" s="1815" t="b">
        <f>AND(I475=FALSE,N474=0,Q474=0,L474="")</f>
        <v>1</v>
      </c>
      <c r="C475" s="1844" t="str" cm="1">
        <f t="array" ref="C475">_xlfn.IFS(
    L475="", "",
    MONTH(L475) &lt;= End_of_Year_Month, YEAR(L475),
    TRUE, YEAR(L475) + 1
)</f>
        <v/>
      </c>
      <c r="F475" s="1857">
        <f>IF(L475="",0,L475)</f>
        <v>0</v>
      </c>
      <c r="G475" s="1856">
        <f>-(N475-Q475)</f>
        <v>0</v>
      </c>
      <c r="I475" s="1815" t="b">
        <f>K475&lt;=Number_Payments</f>
        <v>0</v>
      </c>
      <c r="J475" s="1855"/>
      <c r="K475" s="1351">
        <f>K474+1</f>
        <v>349</v>
      </c>
      <c r="L475" s="1854" t="str" cm="1">
        <f t="array" ref="L475">_xlfn.IFS(
    I474=FALSE, "",
    Payment_Frequency="Monthly", EDATE(L474, 1),
    Payment_Frequency="Weekly", DATE(YEAR(L474), MONTH(L474), DAY(L474) + 7),
    Payment_Frequency="Fortnightly", DATE(YEAR(L474), MONTH(L474), DAY(L474) + 14),
    Payment_Frequency="Quarterly", DATE(YEAR(L474), MONTH(L474) + 3, DAY(L474)),
    Payment_Frequency="Yearly", DATE(YEAR(L474) + 1, MONTH(L474), DAY(L474)),
    TRUE, ""
)</f>
        <v/>
      </c>
      <c r="M475" s="1853">
        <f>IF(ISERROR(L475-L474),0,L475-L474)</f>
        <v>0</v>
      </c>
      <c r="N475" s="1851" cm="1">
        <f t="array" ref="N475">_xlfn.IFS(
    AND(I475=TRUE, K475&lt;=No_Regular_Payments), Repay_Amt,
    AND(I475=TRUE, K475=No_Regular_Payments+1), Tm_Balloon_Amt,
   TRUE, 0
)</f>
        <v>0</v>
      </c>
      <c r="O475" s="1850" cm="1">
        <f t="array" ref="O475">_xlfn.IFS(
    M475=0,0,
   ABS(N475 - S474 - P475-Q475) &lt; 1, N475 - S474-Q475,
    TRUE, P475
)</f>
        <v>0</v>
      </c>
      <c r="P475" s="1852">
        <f>IF(M475=0,0,ROUND(S474*EXP(Int_Rate/365.25 * M475)-S474,2))</f>
        <v>0</v>
      </c>
      <c r="Q475" s="1851" cm="1">
        <f t="array" ref="Q475">_xlfn.IFS(
    AND(I475=TRUE, K475&lt;=No_Regular_Payments), Periodic_Admin_Charge,
   TRUE, 0
)</f>
        <v>0</v>
      </c>
      <c r="R475" s="1850">
        <f>N475-O475-Q475</f>
        <v>0</v>
      </c>
      <c r="S475" s="1850">
        <f>ROUND(S474-R475,2)</f>
        <v>0</v>
      </c>
      <c r="T475" s="1850">
        <f>ROUND(T474-(N475-Q475),2)</f>
        <v>0</v>
      </c>
      <c r="U475" s="1849"/>
      <c r="W475" s="1848"/>
      <c r="X475" s="1848"/>
      <c r="Y475" s="1848"/>
    </row>
    <row r="476" spans="2:25" hidden="1">
      <c r="B476" s="1815" t="b">
        <f>AND(I476=FALSE,N475=0,Q475=0,L475="")</f>
        <v>1</v>
      </c>
      <c r="C476" s="1844" t="str" cm="1">
        <f t="array" ref="C476">_xlfn.IFS(
    L476="", "",
    MONTH(L476) &lt;= End_of_Year_Month, YEAR(L476),
    TRUE, YEAR(L476) + 1
)</f>
        <v/>
      </c>
      <c r="F476" s="1857">
        <f>IF(L476="",0,L476)</f>
        <v>0</v>
      </c>
      <c r="G476" s="1856">
        <f>-(N476-Q476)</f>
        <v>0</v>
      </c>
      <c r="I476" s="1815" t="b">
        <f>K476&lt;=Number_Payments</f>
        <v>0</v>
      </c>
      <c r="J476" s="1855"/>
      <c r="K476" s="1351">
        <f>K475+1</f>
        <v>350</v>
      </c>
      <c r="L476" s="1854" t="str" cm="1">
        <f t="array" ref="L476">_xlfn.IFS(
    I475=FALSE, "",
    Payment_Frequency="Monthly", EDATE(L475, 1),
    Payment_Frequency="Weekly", DATE(YEAR(L475), MONTH(L475), DAY(L475) + 7),
    Payment_Frequency="Fortnightly", DATE(YEAR(L475), MONTH(L475), DAY(L475) + 14),
    Payment_Frequency="Quarterly", DATE(YEAR(L475), MONTH(L475) + 3, DAY(L475)),
    Payment_Frequency="Yearly", DATE(YEAR(L475) + 1, MONTH(L475), DAY(L475)),
    TRUE, ""
)</f>
        <v/>
      </c>
      <c r="M476" s="1853">
        <f>IF(ISERROR(L476-L475),0,L476-L475)</f>
        <v>0</v>
      </c>
      <c r="N476" s="1851" cm="1">
        <f t="array" ref="N476">_xlfn.IFS(
    AND(I476=TRUE, K476&lt;=No_Regular_Payments), Repay_Amt,
    AND(I476=TRUE, K476=No_Regular_Payments+1), Tm_Balloon_Amt,
   TRUE, 0
)</f>
        <v>0</v>
      </c>
      <c r="O476" s="1850" cm="1">
        <f t="array" ref="O476">_xlfn.IFS(
    M476=0,0,
   ABS(N476 - S475 - P476-Q476) &lt; 1, N476 - S475-Q476,
    TRUE, P476
)</f>
        <v>0</v>
      </c>
      <c r="P476" s="1852">
        <f>IF(M476=0,0,ROUND(S475*EXP(Int_Rate/365.25 * M476)-S475,2))</f>
        <v>0</v>
      </c>
      <c r="Q476" s="1851" cm="1">
        <f t="array" ref="Q476">_xlfn.IFS(
    AND(I476=TRUE, K476&lt;=No_Regular_Payments), Periodic_Admin_Charge,
   TRUE, 0
)</f>
        <v>0</v>
      </c>
      <c r="R476" s="1850">
        <f>N476-O476-Q476</f>
        <v>0</v>
      </c>
      <c r="S476" s="1850">
        <f>ROUND(S475-R476,2)</f>
        <v>0</v>
      </c>
      <c r="T476" s="1850">
        <f>ROUND(T475-(N476-Q476),2)</f>
        <v>0</v>
      </c>
      <c r="U476" s="1849"/>
      <c r="W476" s="1848"/>
      <c r="X476" s="1848"/>
      <c r="Y476" s="1848"/>
    </row>
    <row r="477" spans="2:25" hidden="1">
      <c r="B477" s="1815" t="b">
        <f>AND(I477=FALSE,N476=0,Q476=0,L476="")</f>
        <v>1</v>
      </c>
      <c r="C477" s="1844" t="str" cm="1">
        <f t="array" ref="C477">_xlfn.IFS(
    L477="", "",
    MONTH(L477) &lt;= End_of_Year_Month, YEAR(L477),
    TRUE, YEAR(L477) + 1
)</f>
        <v/>
      </c>
      <c r="F477" s="1857">
        <f>IF(L477="",0,L477)</f>
        <v>0</v>
      </c>
      <c r="G477" s="1856">
        <f>-(N477-Q477)</f>
        <v>0</v>
      </c>
      <c r="I477" s="1815" t="b">
        <f>K477&lt;=Number_Payments</f>
        <v>0</v>
      </c>
      <c r="J477" s="1855"/>
      <c r="K477" s="1351">
        <f>K476+1</f>
        <v>351</v>
      </c>
      <c r="L477" s="1854" t="str" cm="1">
        <f t="array" ref="L477">_xlfn.IFS(
    I476=FALSE, "",
    Payment_Frequency="Monthly", EDATE(L476, 1),
    Payment_Frequency="Weekly", DATE(YEAR(L476), MONTH(L476), DAY(L476) + 7),
    Payment_Frequency="Fortnightly", DATE(YEAR(L476), MONTH(L476), DAY(L476) + 14),
    Payment_Frequency="Quarterly", DATE(YEAR(L476), MONTH(L476) + 3, DAY(L476)),
    Payment_Frequency="Yearly", DATE(YEAR(L476) + 1, MONTH(L476), DAY(L476)),
    TRUE, ""
)</f>
        <v/>
      </c>
      <c r="M477" s="1853">
        <f>IF(ISERROR(L477-L476),0,L477-L476)</f>
        <v>0</v>
      </c>
      <c r="N477" s="1851" cm="1">
        <f t="array" ref="N477">_xlfn.IFS(
    AND(I477=TRUE, K477&lt;=No_Regular_Payments), Repay_Amt,
    AND(I477=TRUE, K477=No_Regular_Payments+1), Tm_Balloon_Amt,
   TRUE, 0
)</f>
        <v>0</v>
      </c>
      <c r="O477" s="1850" cm="1">
        <f t="array" ref="O477">_xlfn.IFS(
    M477=0,0,
   ABS(N477 - S476 - P477-Q477) &lt; 1, N477 - S476-Q477,
    TRUE, P477
)</f>
        <v>0</v>
      </c>
      <c r="P477" s="1852">
        <f>IF(M477=0,0,ROUND(S476*EXP(Int_Rate/365.25 * M477)-S476,2))</f>
        <v>0</v>
      </c>
      <c r="Q477" s="1851" cm="1">
        <f t="array" ref="Q477">_xlfn.IFS(
    AND(I477=TRUE, K477&lt;=No_Regular_Payments), Periodic_Admin_Charge,
   TRUE, 0
)</f>
        <v>0</v>
      </c>
      <c r="R477" s="1850">
        <f>N477-O477-Q477</f>
        <v>0</v>
      </c>
      <c r="S477" s="1850">
        <f>ROUND(S476-R477,2)</f>
        <v>0</v>
      </c>
      <c r="T477" s="1850">
        <f>ROUND(T476-(N477-Q477),2)</f>
        <v>0</v>
      </c>
      <c r="U477" s="1849"/>
      <c r="W477" s="1848"/>
      <c r="X477" s="1848"/>
      <c r="Y477" s="1848"/>
    </row>
    <row r="478" spans="2:25" hidden="1">
      <c r="B478" s="1815" t="b">
        <f>AND(I478=FALSE,N477=0,Q477=0,L477="")</f>
        <v>1</v>
      </c>
      <c r="C478" s="1844" t="str" cm="1">
        <f t="array" ref="C478">_xlfn.IFS(
    L478="", "",
    MONTH(L478) &lt;= End_of_Year_Month, YEAR(L478),
    TRUE, YEAR(L478) + 1
)</f>
        <v/>
      </c>
      <c r="F478" s="1857">
        <f>IF(L478="",0,L478)</f>
        <v>0</v>
      </c>
      <c r="G478" s="1856">
        <f>-(N478-Q478)</f>
        <v>0</v>
      </c>
      <c r="I478" s="1815" t="b">
        <f>K478&lt;=Number_Payments</f>
        <v>0</v>
      </c>
      <c r="J478" s="1855"/>
      <c r="K478" s="1351">
        <f>K477+1</f>
        <v>352</v>
      </c>
      <c r="L478" s="1854" t="str" cm="1">
        <f t="array" ref="L478">_xlfn.IFS(
    I477=FALSE, "",
    Payment_Frequency="Monthly", EDATE(L477, 1),
    Payment_Frequency="Weekly", DATE(YEAR(L477), MONTH(L477), DAY(L477) + 7),
    Payment_Frequency="Fortnightly", DATE(YEAR(L477), MONTH(L477), DAY(L477) + 14),
    Payment_Frequency="Quarterly", DATE(YEAR(L477), MONTH(L477) + 3, DAY(L477)),
    Payment_Frequency="Yearly", DATE(YEAR(L477) + 1, MONTH(L477), DAY(L477)),
    TRUE, ""
)</f>
        <v/>
      </c>
      <c r="M478" s="1853">
        <f>IF(ISERROR(L478-L477),0,L478-L477)</f>
        <v>0</v>
      </c>
      <c r="N478" s="1851" cm="1">
        <f t="array" ref="N478">_xlfn.IFS(
    AND(I478=TRUE, K478&lt;=No_Regular_Payments), Repay_Amt,
    AND(I478=TRUE, K478=No_Regular_Payments+1), Tm_Balloon_Amt,
   TRUE, 0
)</f>
        <v>0</v>
      </c>
      <c r="O478" s="1850" cm="1">
        <f t="array" ref="O478">_xlfn.IFS(
    M478=0,0,
   ABS(N478 - S477 - P478-Q478) &lt; 1, N478 - S477-Q478,
    TRUE, P478
)</f>
        <v>0</v>
      </c>
      <c r="P478" s="1852">
        <f>IF(M478=0,0,ROUND(S477*EXP(Int_Rate/365.25 * M478)-S477,2))</f>
        <v>0</v>
      </c>
      <c r="Q478" s="1851" cm="1">
        <f t="array" ref="Q478">_xlfn.IFS(
    AND(I478=TRUE, K478&lt;=No_Regular_Payments), Periodic_Admin_Charge,
   TRUE, 0
)</f>
        <v>0</v>
      </c>
      <c r="R478" s="1850">
        <f>N478-O478-Q478</f>
        <v>0</v>
      </c>
      <c r="S478" s="1850">
        <f>ROUND(S477-R478,2)</f>
        <v>0</v>
      </c>
      <c r="T478" s="1850">
        <f>ROUND(T477-(N478-Q478),2)</f>
        <v>0</v>
      </c>
      <c r="U478" s="1849"/>
      <c r="W478" s="1848"/>
      <c r="X478" s="1848"/>
      <c r="Y478" s="1848"/>
    </row>
    <row r="479" spans="2:25" hidden="1">
      <c r="B479" s="1815" t="b">
        <f>AND(I479=FALSE,N478=0,Q478=0,L478="")</f>
        <v>1</v>
      </c>
      <c r="C479" s="1844" t="str" cm="1">
        <f t="array" ref="C479">_xlfn.IFS(
    L479="", "",
    MONTH(L479) &lt;= End_of_Year_Month, YEAR(L479),
    TRUE, YEAR(L479) + 1
)</f>
        <v/>
      </c>
      <c r="F479" s="1857">
        <f>IF(L479="",0,L479)</f>
        <v>0</v>
      </c>
      <c r="G479" s="1856">
        <f>-(N479-Q479)</f>
        <v>0</v>
      </c>
      <c r="I479" s="1815" t="b">
        <f>K479&lt;=Number_Payments</f>
        <v>0</v>
      </c>
      <c r="J479" s="1855"/>
      <c r="K479" s="1351">
        <f>K478+1</f>
        <v>353</v>
      </c>
      <c r="L479" s="1854" t="str" cm="1">
        <f t="array" ref="L479">_xlfn.IFS(
    I478=FALSE, "",
    Payment_Frequency="Monthly", EDATE(L478, 1),
    Payment_Frequency="Weekly", DATE(YEAR(L478), MONTH(L478), DAY(L478) + 7),
    Payment_Frequency="Fortnightly", DATE(YEAR(L478), MONTH(L478), DAY(L478) + 14),
    Payment_Frequency="Quarterly", DATE(YEAR(L478), MONTH(L478) + 3, DAY(L478)),
    Payment_Frequency="Yearly", DATE(YEAR(L478) + 1, MONTH(L478), DAY(L478)),
    TRUE, ""
)</f>
        <v/>
      </c>
      <c r="M479" s="1853">
        <f>IF(ISERROR(L479-L478),0,L479-L478)</f>
        <v>0</v>
      </c>
      <c r="N479" s="1851" cm="1">
        <f t="array" ref="N479">_xlfn.IFS(
    AND(I479=TRUE, K479&lt;=No_Regular_Payments), Repay_Amt,
    AND(I479=TRUE, K479=No_Regular_Payments+1), Tm_Balloon_Amt,
   TRUE, 0
)</f>
        <v>0</v>
      </c>
      <c r="O479" s="1850" cm="1">
        <f t="array" ref="O479">_xlfn.IFS(
    M479=0,0,
   ABS(N479 - S478 - P479-Q479) &lt; 1, N479 - S478-Q479,
    TRUE, P479
)</f>
        <v>0</v>
      </c>
      <c r="P479" s="1852">
        <f>IF(M479=0,0,ROUND(S478*EXP(Int_Rate/365.25 * M479)-S478,2))</f>
        <v>0</v>
      </c>
      <c r="Q479" s="1851" cm="1">
        <f t="array" ref="Q479">_xlfn.IFS(
    AND(I479=TRUE, K479&lt;=No_Regular_Payments), Periodic_Admin_Charge,
   TRUE, 0
)</f>
        <v>0</v>
      </c>
      <c r="R479" s="1850">
        <f>N479-O479-Q479</f>
        <v>0</v>
      </c>
      <c r="S479" s="1850">
        <f>ROUND(S478-R479,2)</f>
        <v>0</v>
      </c>
      <c r="T479" s="1850">
        <f>ROUND(T478-(N479-Q479),2)</f>
        <v>0</v>
      </c>
      <c r="U479" s="1849"/>
      <c r="W479" s="1848"/>
      <c r="X479" s="1848"/>
      <c r="Y479" s="1848"/>
    </row>
    <row r="480" spans="2:25" hidden="1">
      <c r="B480" s="1815" t="b">
        <f>AND(I480=FALSE,N479=0,Q479=0,L479="")</f>
        <v>1</v>
      </c>
      <c r="C480" s="1844" t="str" cm="1">
        <f t="array" ref="C480">_xlfn.IFS(
    L480="", "",
    MONTH(L480) &lt;= End_of_Year_Month, YEAR(L480),
    TRUE, YEAR(L480) + 1
)</f>
        <v/>
      </c>
      <c r="F480" s="1857">
        <f>IF(L480="",0,L480)</f>
        <v>0</v>
      </c>
      <c r="G480" s="1856">
        <f>-(N480-Q480)</f>
        <v>0</v>
      </c>
      <c r="I480" s="1815" t="b">
        <f>K480&lt;=Number_Payments</f>
        <v>0</v>
      </c>
      <c r="J480" s="1855"/>
      <c r="K480" s="1351">
        <f>K479+1</f>
        <v>354</v>
      </c>
      <c r="L480" s="1854" t="str" cm="1">
        <f t="array" ref="L480">_xlfn.IFS(
    I479=FALSE, "",
    Payment_Frequency="Monthly", EDATE(L479, 1),
    Payment_Frequency="Weekly", DATE(YEAR(L479), MONTH(L479), DAY(L479) + 7),
    Payment_Frequency="Fortnightly", DATE(YEAR(L479), MONTH(L479), DAY(L479) + 14),
    Payment_Frequency="Quarterly", DATE(YEAR(L479), MONTH(L479) + 3, DAY(L479)),
    Payment_Frequency="Yearly", DATE(YEAR(L479) + 1, MONTH(L479), DAY(L479)),
    TRUE, ""
)</f>
        <v/>
      </c>
      <c r="M480" s="1853">
        <f>IF(ISERROR(L480-L479),0,L480-L479)</f>
        <v>0</v>
      </c>
      <c r="N480" s="1851" cm="1">
        <f t="array" ref="N480">_xlfn.IFS(
    AND(I480=TRUE, K480&lt;=No_Regular_Payments), Repay_Amt,
    AND(I480=TRUE, K480=No_Regular_Payments+1), Tm_Balloon_Amt,
   TRUE, 0
)</f>
        <v>0</v>
      </c>
      <c r="O480" s="1850" cm="1">
        <f t="array" ref="O480">_xlfn.IFS(
    M480=0,0,
   ABS(N480 - S479 - P480-Q480) &lt; 1, N480 - S479-Q480,
    TRUE, P480
)</f>
        <v>0</v>
      </c>
      <c r="P480" s="1852">
        <f>IF(M480=0,0,ROUND(S479*EXP(Int_Rate/365.25 * M480)-S479,2))</f>
        <v>0</v>
      </c>
      <c r="Q480" s="1851" cm="1">
        <f t="array" ref="Q480">_xlfn.IFS(
    AND(I480=TRUE, K480&lt;=No_Regular_Payments), Periodic_Admin_Charge,
   TRUE, 0
)</f>
        <v>0</v>
      </c>
      <c r="R480" s="1850">
        <f>N480-O480-Q480</f>
        <v>0</v>
      </c>
      <c r="S480" s="1850">
        <f>ROUND(S479-R480,2)</f>
        <v>0</v>
      </c>
      <c r="T480" s="1850">
        <f>ROUND(T479-(N480-Q480),2)</f>
        <v>0</v>
      </c>
      <c r="U480" s="1849"/>
      <c r="W480" s="1848"/>
      <c r="X480" s="1848"/>
      <c r="Y480" s="1848"/>
    </row>
    <row r="481" spans="2:25" hidden="1">
      <c r="B481" s="1815" t="b">
        <f>AND(I481=FALSE,N480=0,Q480=0,L480="")</f>
        <v>1</v>
      </c>
      <c r="C481" s="1844" t="str" cm="1">
        <f t="array" ref="C481">_xlfn.IFS(
    L481="", "",
    MONTH(L481) &lt;= End_of_Year_Month, YEAR(L481),
    TRUE, YEAR(L481) + 1
)</f>
        <v/>
      </c>
      <c r="F481" s="1857">
        <f>IF(L481="",0,L481)</f>
        <v>0</v>
      </c>
      <c r="G481" s="1856">
        <f>-(N481-Q481)</f>
        <v>0</v>
      </c>
      <c r="I481" s="1815" t="b">
        <f>K481&lt;=Number_Payments</f>
        <v>0</v>
      </c>
      <c r="J481" s="1855"/>
      <c r="K481" s="1351">
        <f>K480+1</f>
        <v>355</v>
      </c>
      <c r="L481" s="1854" t="str" cm="1">
        <f t="array" ref="L481">_xlfn.IFS(
    I480=FALSE, "",
    Payment_Frequency="Monthly", EDATE(L480, 1),
    Payment_Frequency="Weekly", DATE(YEAR(L480), MONTH(L480), DAY(L480) + 7),
    Payment_Frequency="Fortnightly", DATE(YEAR(L480), MONTH(L480), DAY(L480) + 14),
    Payment_Frequency="Quarterly", DATE(YEAR(L480), MONTH(L480) + 3, DAY(L480)),
    Payment_Frequency="Yearly", DATE(YEAR(L480) + 1, MONTH(L480), DAY(L480)),
    TRUE, ""
)</f>
        <v/>
      </c>
      <c r="M481" s="1853">
        <f>IF(ISERROR(L481-L480),0,L481-L480)</f>
        <v>0</v>
      </c>
      <c r="N481" s="1851" cm="1">
        <f t="array" ref="N481">_xlfn.IFS(
    AND(I481=TRUE, K481&lt;=No_Regular_Payments), Repay_Amt,
    AND(I481=TRUE, K481=No_Regular_Payments+1), Tm_Balloon_Amt,
   TRUE, 0
)</f>
        <v>0</v>
      </c>
      <c r="O481" s="1850" cm="1">
        <f t="array" ref="O481">_xlfn.IFS(
    M481=0,0,
   ABS(N481 - S480 - P481-Q481) &lt; 1, N481 - S480-Q481,
    TRUE, P481
)</f>
        <v>0</v>
      </c>
      <c r="P481" s="1852">
        <f>IF(M481=0,0,ROUND(S480*EXP(Int_Rate/365.25 * M481)-S480,2))</f>
        <v>0</v>
      </c>
      <c r="Q481" s="1851" cm="1">
        <f t="array" ref="Q481">_xlfn.IFS(
    AND(I481=TRUE, K481&lt;=No_Regular_Payments), Periodic_Admin_Charge,
   TRUE, 0
)</f>
        <v>0</v>
      </c>
      <c r="R481" s="1850">
        <f>N481-O481-Q481</f>
        <v>0</v>
      </c>
      <c r="S481" s="1850">
        <f>ROUND(S480-R481,2)</f>
        <v>0</v>
      </c>
      <c r="T481" s="1850">
        <f>ROUND(T480-(N481-Q481),2)</f>
        <v>0</v>
      </c>
      <c r="U481" s="1849"/>
      <c r="W481" s="1848"/>
      <c r="X481" s="1848"/>
      <c r="Y481" s="1848"/>
    </row>
    <row r="482" spans="2:25" hidden="1">
      <c r="B482" s="1815" t="b">
        <f>AND(I482=FALSE,N481=0,Q481=0,L481="")</f>
        <v>1</v>
      </c>
      <c r="C482" s="1844" t="str" cm="1">
        <f t="array" ref="C482">_xlfn.IFS(
    L482="", "",
    MONTH(L482) &lt;= End_of_Year_Month, YEAR(L482),
    TRUE, YEAR(L482) + 1
)</f>
        <v/>
      </c>
      <c r="F482" s="1857">
        <f>IF(L482="",0,L482)</f>
        <v>0</v>
      </c>
      <c r="G482" s="1856">
        <f>-(N482-Q482)</f>
        <v>0</v>
      </c>
      <c r="I482" s="1815" t="b">
        <f>K482&lt;=Number_Payments</f>
        <v>0</v>
      </c>
      <c r="J482" s="1855"/>
      <c r="K482" s="1351">
        <f>K481+1</f>
        <v>356</v>
      </c>
      <c r="L482" s="1854" t="str" cm="1">
        <f t="array" ref="L482">_xlfn.IFS(
    I481=FALSE, "",
    Payment_Frequency="Monthly", EDATE(L481, 1),
    Payment_Frequency="Weekly", DATE(YEAR(L481), MONTH(L481), DAY(L481) + 7),
    Payment_Frequency="Fortnightly", DATE(YEAR(L481), MONTH(L481), DAY(L481) + 14),
    Payment_Frequency="Quarterly", DATE(YEAR(L481), MONTH(L481) + 3, DAY(L481)),
    Payment_Frequency="Yearly", DATE(YEAR(L481) + 1, MONTH(L481), DAY(L481)),
    TRUE, ""
)</f>
        <v/>
      </c>
      <c r="M482" s="1853">
        <f>IF(ISERROR(L482-L481),0,L482-L481)</f>
        <v>0</v>
      </c>
      <c r="N482" s="1851" cm="1">
        <f t="array" ref="N482">_xlfn.IFS(
    AND(I482=TRUE, K482&lt;=No_Regular_Payments), Repay_Amt,
    AND(I482=TRUE, K482=No_Regular_Payments+1), Tm_Balloon_Amt,
   TRUE, 0
)</f>
        <v>0</v>
      </c>
      <c r="O482" s="1850" cm="1">
        <f t="array" ref="O482">_xlfn.IFS(
    M482=0,0,
   ABS(N482 - S481 - P482-Q482) &lt; 1, N482 - S481-Q482,
    TRUE, P482
)</f>
        <v>0</v>
      </c>
      <c r="P482" s="1852">
        <f>IF(M482=0,0,ROUND(S481*EXP(Int_Rate/365.25 * M482)-S481,2))</f>
        <v>0</v>
      </c>
      <c r="Q482" s="1851" cm="1">
        <f t="array" ref="Q482">_xlfn.IFS(
    AND(I482=TRUE, K482&lt;=No_Regular_Payments), Periodic_Admin_Charge,
   TRUE, 0
)</f>
        <v>0</v>
      </c>
      <c r="R482" s="1850">
        <f>N482-O482-Q482</f>
        <v>0</v>
      </c>
      <c r="S482" s="1850">
        <f>ROUND(S481-R482,2)</f>
        <v>0</v>
      </c>
      <c r="T482" s="1850">
        <f>ROUND(T481-(N482-Q482),2)</f>
        <v>0</v>
      </c>
      <c r="U482" s="1849"/>
      <c r="W482" s="1848"/>
      <c r="X482" s="1848"/>
      <c r="Y482" s="1848"/>
    </row>
    <row r="483" spans="2:25" hidden="1">
      <c r="B483" s="1815" t="b">
        <f>AND(I483=FALSE,N482=0,Q482=0,L482="")</f>
        <v>1</v>
      </c>
      <c r="C483" s="1844" t="str" cm="1">
        <f t="array" ref="C483">_xlfn.IFS(
    L483="", "",
    MONTH(L483) &lt;= End_of_Year_Month, YEAR(L483),
    TRUE, YEAR(L483) + 1
)</f>
        <v/>
      </c>
      <c r="F483" s="1857">
        <f>IF(L483="",0,L483)</f>
        <v>0</v>
      </c>
      <c r="G483" s="1856">
        <f>-(N483-Q483)</f>
        <v>0</v>
      </c>
      <c r="I483" s="1815" t="b">
        <f>K483&lt;=Number_Payments</f>
        <v>0</v>
      </c>
      <c r="J483" s="1855"/>
      <c r="K483" s="1351">
        <f>K482+1</f>
        <v>357</v>
      </c>
      <c r="L483" s="1854" t="str" cm="1">
        <f t="array" ref="L483">_xlfn.IFS(
    I482=FALSE, "",
    Payment_Frequency="Monthly", EDATE(L482, 1),
    Payment_Frequency="Weekly", DATE(YEAR(L482), MONTH(L482), DAY(L482) + 7),
    Payment_Frequency="Fortnightly", DATE(YEAR(L482), MONTH(L482), DAY(L482) + 14),
    Payment_Frequency="Quarterly", DATE(YEAR(L482), MONTH(L482) + 3, DAY(L482)),
    Payment_Frequency="Yearly", DATE(YEAR(L482) + 1, MONTH(L482), DAY(L482)),
    TRUE, ""
)</f>
        <v/>
      </c>
      <c r="M483" s="1853">
        <f>IF(ISERROR(L483-L482),0,L483-L482)</f>
        <v>0</v>
      </c>
      <c r="N483" s="1851" cm="1">
        <f t="array" ref="N483">_xlfn.IFS(
    AND(I483=TRUE, K483&lt;=No_Regular_Payments), Repay_Amt,
    AND(I483=TRUE, K483=No_Regular_Payments+1), Tm_Balloon_Amt,
   TRUE, 0
)</f>
        <v>0</v>
      </c>
      <c r="O483" s="1850" cm="1">
        <f t="array" ref="O483">_xlfn.IFS(
    M483=0,0,
   ABS(N483 - S482 - P483-Q483) &lt; 1, N483 - S482-Q483,
    TRUE, P483
)</f>
        <v>0</v>
      </c>
      <c r="P483" s="1852">
        <f>IF(M483=0,0,ROUND(S482*EXP(Int_Rate/365.25 * M483)-S482,2))</f>
        <v>0</v>
      </c>
      <c r="Q483" s="1851" cm="1">
        <f t="array" ref="Q483">_xlfn.IFS(
    AND(I483=TRUE, K483&lt;=No_Regular_Payments), Periodic_Admin_Charge,
   TRUE, 0
)</f>
        <v>0</v>
      </c>
      <c r="R483" s="1850">
        <f>N483-O483-Q483</f>
        <v>0</v>
      </c>
      <c r="S483" s="1850">
        <f>ROUND(S482-R483,2)</f>
        <v>0</v>
      </c>
      <c r="T483" s="1850">
        <f>ROUND(T482-(N483-Q483),2)</f>
        <v>0</v>
      </c>
      <c r="U483" s="1849"/>
      <c r="W483" s="1848"/>
      <c r="X483" s="1848"/>
      <c r="Y483" s="1848"/>
    </row>
    <row r="484" spans="2:25" hidden="1">
      <c r="B484" s="1815" t="b">
        <f>AND(I484=FALSE,N483=0,Q483=0,L483="")</f>
        <v>1</v>
      </c>
      <c r="C484" s="1844" t="str" cm="1">
        <f t="array" ref="C484">_xlfn.IFS(
    L484="", "",
    MONTH(L484) &lt;= End_of_Year_Month, YEAR(L484),
    TRUE, YEAR(L484) + 1
)</f>
        <v/>
      </c>
      <c r="F484" s="1857">
        <f>IF(L484="",0,L484)</f>
        <v>0</v>
      </c>
      <c r="G484" s="1856">
        <f>-(N484-Q484)</f>
        <v>0</v>
      </c>
      <c r="I484" s="1815" t="b">
        <f>K484&lt;=Number_Payments</f>
        <v>0</v>
      </c>
      <c r="J484" s="1855"/>
      <c r="K484" s="1351">
        <f>K483+1</f>
        <v>358</v>
      </c>
      <c r="L484" s="1854" t="str" cm="1">
        <f t="array" ref="L484">_xlfn.IFS(
    I483=FALSE, "",
    Payment_Frequency="Monthly", EDATE(L483, 1),
    Payment_Frequency="Weekly", DATE(YEAR(L483), MONTH(L483), DAY(L483) + 7),
    Payment_Frequency="Fortnightly", DATE(YEAR(L483), MONTH(L483), DAY(L483) + 14),
    Payment_Frequency="Quarterly", DATE(YEAR(L483), MONTH(L483) + 3, DAY(L483)),
    Payment_Frequency="Yearly", DATE(YEAR(L483) + 1, MONTH(L483), DAY(L483)),
    TRUE, ""
)</f>
        <v/>
      </c>
      <c r="M484" s="1853">
        <f>IF(ISERROR(L484-L483),0,L484-L483)</f>
        <v>0</v>
      </c>
      <c r="N484" s="1851" cm="1">
        <f t="array" ref="N484">_xlfn.IFS(
    AND(I484=TRUE, K484&lt;=No_Regular_Payments), Repay_Amt,
    AND(I484=TRUE, K484=No_Regular_Payments+1), Tm_Balloon_Amt,
   TRUE, 0
)</f>
        <v>0</v>
      </c>
      <c r="O484" s="1850" cm="1">
        <f t="array" ref="O484">_xlfn.IFS(
    M484=0,0,
   ABS(N484 - S483 - P484-Q484) &lt; 1, N484 - S483-Q484,
    TRUE, P484
)</f>
        <v>0</v>
      </c>
      <c r="P484" s="1852">
        <f>IF(M484=0,0,ROUND(S483*EXP(Int_Rate/365.25 * M484)-S483,2))</f>
        <v>0</v>
      </c>
      <c r="Q484" s="1851" cm="1">
        <f t="array" ref="Q484">_xlfn.IFS(
    AND(I484=TRUE, K484&lt;=No_Regular_Payments), Periodic_Admin_Charge,
   TRUE, 0
)</f>
        <v>0</v>
      </c>
      <c r="R484" s="1850">
        <f>N484-O484-Q484</f>
        <v>0</v>
      </c>
      <c r="S484" s="1850">
        <f>ROUND(S483-R484,2)</f>
        <v>0</v>
      </c>
      <c r="T484" s="1850">
        <f>ROUND(T483-(N484-Q484),2)</f>
        <v>0</v>
      </c>
      <c r="U484" s="1849"/>
      <c r="W484" s="1848"/>
      <c r="X484" s="1848"/>
      <c r="Y484" s="1848"/>
    </row>
    <row r="485" spans="2:25" hidden="1">
      <c r="B485" s="1815" t="b">
        <f>AND(I485=FALSE,N484=0,Q484=0,L484="")</f>
        <v>1</v>
      </c>
      <c r="C485" s="1844" t="str" cm="1">
        <f t="array" ref="C485">_xlfn.IFS(
    L485="", "",
    MONTH(L485) &lt;= End_of_Year_Month, YEAR(L485),
    TRUE, YEAR(L485) + 1
)</f>
        <v/>
      </c>
      <c r="F485" s="1857">
        <f>IF(L485="",0,L485)</f>
        <v>0</v>
      </c>
      <c r="G485" s="1856">
        <f>-(N485-Q485)</f>
        <v>0</v>
      </c>
      <c r="I485" s="1815" t="b">
        <f>K485&lt;=Number_Payments</f>
        <v>0</v>
      </c>
      <c r="J485" s="1855"/>
      <c r="K485" s="1351">
        <f>K484+1</f>
        <v>359</v>
      </c>
      <c r="L485" s="1854" t="str" cm="1">
        <f t="array" ref="L485">_xlfn.IFS(
    I484=FALSE, "",
    Payment_Frequency="Monthly", EDATE(L484, 1),
    Payment_Frequency="Weekly", DATE(YEAR(L484), MONTH(L484), DAY(L484) + 7),
    Payment_Frequency="Fortnightly", DATE(YEAR(L484), MONTH(L484), DAY(L484) + 14),
    Payment_Frequency="Quarterly", DATE(YEAR(L484), MONTH(L484) + 3, DAY(L484)),
    Payment_Frequency="Yearly", DATE(YEAR(L484) + 1, MONTH(L484), DAY(L484)),
    TRUE, ""
)</f>
        <v/>
      </c>
      <c r="M485" s="1853">
        <f>IF(ISERROR(L485-L484),0,L485-L484)</f>
        <v>0</v>
      </c>
      <c r="N485" s="1851" cm="1">
        <f t="array" ref="N485">_xlfn.IFS(
    AND(I485=TRUE, K485&lt;=No_Regular_Payments), Repay_Amt,
    AND(I485=TRUE, K485=No_Regular_Payments+1), Tm_Balloon_Amt,
   TRUE, 0
)</f>
        <v>0</v>
      </c>
      <c r="O485" s="1850" cm="1">
        <f t="array" ref="O485">_xlfn.IFS(
    M485=0,0,
   ABS(N485 - S484 - P485-Q485) &lt; 1, N485 - S484-Q485,
    TRUE, P485
)</f>
        <v>0</v>
      </c>
      <c r="P485" s="1852">
        <f>IF(M485=0,0,ROUND(S484*EXP(Int_Rate/365.25 * M485)-S484,2))</f>
        <v>0</v>
      </c>
      <c r="Q485" s="1851" cm="1">
        <f t="array" ref="Q485">_xlfn.IFS(
    AND(I485=TRUE, K485&lt;=No_Regular_Payments), Periodic_Admin_Charge,
   TRUE, 0
)</f>
        <v>0</v>
      </c>
      <c r="R485" s="1850">
        <f>N485-O485-Q485</f>
        <v>0</v>
      </c>
      <c r="S485" s="1850">
        <f>ROUND(S484-R485,2)</f>
        <v>0</v>
      </c>
      <c r="T485" s="1850">
        <f>ROUND(T484-(N485-Q485),2)</f>
        <v>0</v>
      </c>
      <c r="U485" s="1849"/>
      <c r="W485" s="1848"/>
      <c r="X485" s="1848"/>
      <c r="Y485" s="1848"/>
    </row>
    <row r="486" spans="2:25" hidden="1">
      <c r="B486" s="1815" t="b">
        <f>AND(I486=FALSE,N485=0,Q485=0,L485="")</f>
        <v>1</v>
      </c>
      <c r="C486" s="1844" t="str" cm="1">
        <f t="array" ref="C486">_xlfn.IFS(
    L486="", "",
    MONTH(L486) &lt;= End_of_Year_Month, YEAR(L486),
    TRUE, YEAR(L486) + 1
)</f>
        <v/>
      </c>
      <c r="F486" s="1857">
        <f>IF(L486="",0,L486)</f>
        <v>0</v>
      </c>
      <c r="G486" s="1856">
        <f>-(N486-Q486)</f>
        <v>0</v>
      </c>
      <c r="I486" s="1815" t="b">
        <f>K486&lt;=Number_Payments</f>
        <v>0</v>
      </c>
      <c r="J486" s="1855"/>
      <c r="K486" s="1351">
        <f>K485+1</f>
        <v>360</v>
      </c>
      <c r="L486" s="1854" t="str" cm="1">
        <f t="array" ref="L486">_xlfn.IFS(
    I485=FALSE, "",
    Payment_Frequency="Monthly", EDATE(L485, 1),
    Payment_Frequency="Weekly", DATE(YEAR(L485), MONTH(L485), DAY(L485) + 7),
    Payment_Frequency="Fortnightly", DATE(YEAR(L485), MONTH(L485), DAY(L485) + 14),
    Payment_Frequency="Quarterly", DATE(YEAR(L485), MONTH(L485) + 3, DAY(L485)),
    Payment_Frequency="Yearly", DATE(YEAR(L485) + 1, MONTH(L485), DAY(L485)),
    TRUE, ""
)</f>
        <v/>
      </c>
      <c r="M486" s="1853">
        <f>IF(ISERROR(L486-L485),0,L486-L485)</f>
        <v>0</v>
      </c>
      <c r="N486" s="1851" cm="1">
        <f t="array" ref="N486">_xlfn.IFS(
    AND(I486=TRUE, K486&lt;=No_Regular_Payments), Repay_Amt,
    AND(I486=TRUE, K486=No_Regular_Payments+1), Tm_Balloon_Amt,
   TRUE, 0
)</f>
        <v>0</v>
      </c>
      <c r="O486" s="1850" cm="1">
        <f t="array" ref="O486">_xlfn.IFS(
    M486=0,0,
   ABS(N486 - S485 - P486-Q486) &lt; 1, N486 - S485-Q486,
    TRUE, P486
)</f>
        <v>0</v>
      </c>
      <c r="P486" s="1852">
        <f>IF(M486=0,0,ROUND(S485*EXP(Int_Rate/365.25 * M486)-S485,2))</f>
        <v>0</v>
      </c>
      <c r="Q486" s="1851" cm="1">
        <f t="array" ref="Q486">_xlfn.IFS(
    AND(I486=TRUE, K486&lt;=No_Regular_Payments), Periodic_Admin_Charge,
   TRUE, 0
)</f>
        <v>0</v>
      </c>
      <c r="R486" s="1850">
        <f>N486-O486-Q486</f>
        <v>0</v>
      </c>
      <c r="S486" s="1850">
        <f>ROUND(S485-R486,2)</f>
        <v>0</v>
      </c>
      <c r="T486" s="1850">
        <f>ROUND(T485-(N486-Q486),2)</f>
        <v>0</v>
      </c>
      <c r="U486" s="1849"/>
      <c r="W486" s="1848"/>
      <c r="X486" s="1848"/>
      <c r="Y486" s="1848"/>
    </row>
    <row r="487" spans="2:25" hidden="1">
      <c r="B487" s="1815" t="b">
        <f>AND(I487=FALSE,N486=0,Q486=0,L486="")</f>
        <v>1</v>
      </c>
      <c r="C487" s="1844" t="str" cm="1">
        <f t="array" ref="C487">_xlfn.IFS(
    L487="", "",
    MONTH(L487) &lt;= End_of_Year_Month, YEAR(L487),
    TRUE, YEAR(L487) + 1
)</f>
        <v/>
      </c>
      <c r="F487" s="1857">
        <f>IF(L487="",0,L487)</f>
        <v>0</v>
      </c>
      <c r="G487" s="1856">
        <f>-(N487-Q487)</f>
        <v>0</v>
      </c>
      <c r="I487" s="1815" t="b">
        <f>K487&lt;=Number_Payments</f>
        <v>0</v>
      </c>
      <c r="J487" s="1855"/>
      <c r="K487" s="1351">
        <f>K486+1</f>
        <v>361</v>
      </c>
      <c r="L487" s="1854" t="str" cm="1">
        <f t="array" ref="L487">_xlfn.IFS(
    I486=FALSE, "",
    Payment_Frequency="Monthly", EDATE(L486, 1),
    Payment_Frequency="Weekly", DATE(YEAR(L486), MONTH(L486), DAY(L486) + 7),
    Payment_Frequency="Fortnightly", DATE(YEAR(L486), MONTH(L486), DAY(L486) + 14),
    Payment_Frequency="Quarterly", DATE(YEAR(L486), MONTH(L486) + 3, DAY(L486)),
    Payment_Frequency="Yearly", DATE(YEAR(L486) + 1, MONTH(L486), DAY(L486)),
    TRUE, ""
)</f>
        <v/>
      </c>
      <c r="M487" s="1853">
        <f>IF(ISERROR(L487-L486),0,L487-L486)</f>
        <v>0</v>
      </c>
      <c r="N487" s="1851" cm="1">
        <f t="array" ref="N487">_xlfn.IFS(
    AND(I487=TRUE, K487&lt;=No_Regular_Payments), Repay_Amt,
    AND(I487=TRUE, K487=No_Regular_Payments+1), Tm_Balloon_Amt,
   TRUE, 0
)</f>
        <v>0</v>
      </c>
      <c r="O487" s="1850" cm="1">
        <f t="array" ref="O487">_xlfn.IFS(
    M487=0,0,
   ABS(N487 - S486 - P487-Q487) &lt; 1, N487 - S486-Q487,
    TRUE, P487
)</f>
        <v>0</v>
      </c>
      <c r="P487" s="1852">
        <f>IF(M487=0,0,ROUND(S486*EXP(Int_Rate/365.25 * M487)-S486,2))</f>
        <v>0</v>
      </c>
      <c r="Q487" s="1851" cm="1">
        <f t="array" ref="Q487">_xlfn.IFS(
    AND(I487=TRUE, K487&lt;=No_Regular_Payments), Periodic_Admin_Charge,
   TRUE, 0
)</f>
        <v>0</v>
      </c>
      <c r="R487" s="1850">
        <f>N487-O487-Q487</f>
        <v>0</v>
      </c>
      <c r="S487" s="1850">
        <f>ROUND(S486-R487,2)</f>
        <v>0</v>
      </c>
      <c r="T487" s="1850">
        <f>ROUND(T486-(N487-Q487),2)</f>
        <v>0</v>
      </c>
      <c r="U487" s="1849"/>
      <c r="W487" s="1848"/>
      <c r="X487" s="1848"/>
      <c r="Y487" s="1848"/>
    </row>
    <row r="488" spans="2:25" hidden="1">
      <c r="B488" s="1815" t="b">
        <f>AND(I488=FALSE,N487=0,Q487=0,L487="")</f>
        <v>1</v>
      </c>
      <c r="C488" s="1844" t="str" cm="1">
        <f t="array" ref="C488">_xlfn.IFS(
    L488="", "",
    MONTH(L488) &lt;= End_of_Year_Month, YEAR(L488),
    TRUE, YEAR(L488) + 1
)</f>
        <v/>
      </c>
      <c r="F488" s="1857">
        <f>IF(L488="",0,L488)</f>
        <v>0</v>
      </c>
      <c r="G488" s="1856">
        <f>-(N488-Q488)</f>
        <v>0</v>
      </c>
      <c r="I488" s="1815" t="b">
        <f>K488&lt;=Number_Payments</f>
        <v>0</v>
      </c>
      <c r="J488" s="1855"/>
      <c r="K488" s="1351">
        <f>K487+1</f>
        <v>362</v>
      </c>
      <c r="L488" s="1854" t="str" cm="1">
        <f t="array" ref="L488">_xlfn.IFS(
    I487=FALSE, "",
    Payment_Frequency="Monthly", EDATE(L487, 1),
    Payment_Frequency="Weekly", DATE(YEAR(L487), MONTH(L487), DAY(L487) + 7),
    Payment_Frequency="Fortnightly", DATE(YEAR(L487), MONTH(L487), DAY(L487) + 14),
    Payment_Frequency="Quarterly", DATE(YEAR(L487), MONTH(L487) + 3, DAY(L487)),
    Payment_Frequency="Yearly", DATE(YEAR(L487) + 1, MONTH(L487), DAY(L487)),
    TRUE, ""
)</f>
        <v/>
      </c>
      <c r="M488" s="1853">
        <f>IF(ISERROR(L488-L487),0,L488-L487)</f>
        <v>0</v>
      </c>
      <c r="N488" s="1851" cm="1">
        <f t="array" ref="N488">_xlfn.IFS(
    AND(I488=TRUE, K488&lt;=No_Regular_Payments), Repay_Amt,
    AND(I488=TRUE, K488=No_Regular_Payments+1), Tm_Balloon_Amt,
   TRUE, 0
)</f>
        <v>0</v>
      </c>
      <c r="O488" s="1850" cm="1">
        <f t="array" ref="O488">_xlfn.IFS(
    M488=0,0,
   ABS(N488 - S487 - P488-Q488) &lt; 1, N488 - S487-Q488,
    TRUE, P488
)</f>
        <v>0</v>
      </c>
      <c r="P488" s="1852">
        <f>IF(M488=0,0,ROUND(S487*EXP(Int_Rate/365.25 * M488)-S487,2))</f>
        <v>0</v>
      </c>
      <c r="Q488" s="1851" cm="1">
        <f t="array" ref="Q488">_xlfn.IFS(
    AND(I488=TRUE, K488&lt;=No_Regular_Payments), Periodic_Admin_Charge,
   TRUE, 0
)</f>
        <v>0</v>
      </c>
      <c r="R488" s="1850">
        <f>N488-O488-Q488</f>
        <v>0</v>
      </c>
      <c r="S488" s="1850">
        <f>ROUND(S487-R488,2)</f>
        <v>0</v>
      </c>
      <c r="T488" s="1850">
        <f>ROUND(T487-(N488-Q488),2)</f>
        <v>0</v>
      </c>
      <c r="U488" s="1849"/>
      <c r="W488" s="1848"/>
      <c r="X488" s="1848"/>
      <c r="Y488" s="1848"/>
    </row>
    <row r="489" spans="2:25" hidden="1">
      <c r="B489" s="1815" t="b">
        <f>AND(I489=FALSE,N488=0,Q488=0,L488="")</f>
        <v>1</v>
      </c>
      <c r="C489" s="1844" t="str" cm="1">
        <f t="array" ref="C489">_xlfn.IFS(
    L489="", "",
    MONTH(L489) &lt;= End_of_Year_Month, YEAR(L489),
    TRUE, YEAR(L489) + 1
)</f>
        <v/>
      </c>
      <c r="F489" s="1857">
        <f>IF(L489="",0,L489)</f>
        <v>0</v>
      </c>
      <c r="G489" s="1856">
        <f>-(N489-Q489)</f>
        <v>0</v>
      </c>
      <c r="I489" s="1815" t="b">
        <f>K489&lt;=Number_Payments</f>
        <v>0</v>
      </c>
      <c r="J489" s="1855"/>
      <c r="K489" s="1351">
        <f>K488+1</f>
        <v>363</v>
      </c>
      <c r="L489" s="1854" t="str" cm="1">
        <f t="array" ref="L489">_xlfn.IFS(
    I488=FALSE, "",
    Payment_Frequency="Monthly", EDATE(L488, 1),
    Payment_Frequency="Weekly", DATE(YEAR(L488), MONTH(L488), DAY(L488) + 7),
    Payment_Frequency="Fortnightly", DATE(YEAR(L488), MONTH(L488), DAY(L488) + 14),
    Payment_Frequency="Quarterly", DATE(YEAR(L488), MONTH(L488) + 3, DAY(L488)),
    Payment_Frequency="Yearly", DATE(YEAR(L488) + 1, MONTH(L488), DAY(L488)),
    TRUE, ""
)</f>
        <v/>
      </c>
      <c r="M489" s="1853">
        <f>IF(ISERROR(L489-L488),0,L489-L488)</f>
        <v>0</v>
      </c>
      <c r="N489" s="1851" cm="1">
        <f t="array" ref="N489">_xlfn.IFS(
    AND(I489=TRUE, K489&lt;=No_Regular_Payments), Repay_Amt,
    AND(I489=TRUE, K489=No_Regular_Payments+1), Tm_Balloon_Amt,
   TRUE, 0
)</f>
        <v>0</v>
      </c>
      <c r="O489" s="1850" cm="1">
        <f t="array" ref="O489">_xlfn.IFS(
    M489=0,0,
   ABS(N489 - S488 - P489-Q489) &lt; 1, N489 - S488-Q489,
    TRUE, P489
)</f>
        <v>0</v>
      </c>
      <c r="P489" s="1852">
        <f>IF(M489=0,0,ROUND(S488*EXP(Int_Rate/365.25 * M489)-S488,2))</f>
        <v>0</v>
      </c>
      <c r="Q489" s="1851" cm="1">
        <f t="array" ref="Q489">_xlfn.IFS(
    AND(I489=TRUE, K489&lt;=No_Regular_Payments), Periodic_Admin_Charge,
   TRUE, 0
)</f>
        <v>0</v>
      </c>
      <c r="R489" s="1850">
        <f>N489-O489-Q489</f>
        <v>0</v>
      </c>
      <c r="S489" s="1850">
        <f>ROUND(S488-R489,2)</f>
        <v>0</v>
      </c>
      <c r="T489" s="1850">
        <f>ROUND(T488-(N489-Q489),2)</f>
        <v>0</v>
      </c>
      <c r="U489" s="1849"/>
      <c r="W489" s="1848"/>
      <c r="X489" s="1848"/>
      <c r="Y489" s="1848"/>
    </row>
    <row r="490" spans="2:25" hidden="1">
      <c r="B490" s="1815" t="b">
        <f>AND(I490=FALSE,N489=0,Q489=0,L489="")</f>
        <v>1</v>
      </c>
      <c r="C490" s="1844" t="str" cm="1">
        <f t="array" ref="C490">_xlfn.IFS(
    L490="", "",
    MONTH(L490) &lt;= End_of_Year_Month, YEAR(L490),
    TRUE, YEAR(L490) + 1
)</f>
        <v/>
      </c>
      <c r="F490" s="1857">
        <f>IF(L490="",0,L490)</f>
        <v>0</v>
      </c>
      <c r="G490" s="1856">
        <f>-(N490-Q490)</f>
        <v>0</v>
      </c>
      <c r="I490" s="1815" t="b">
        <f>K490&lt;=Number_Payments</f>
        <v>0</v>
      </c>
      <c r="J490" s="1855"/>
      <c r="K490" s="1351">
        <f>K489+1</f>
        <v>364</v>
      </c>
      <c r="L490" s="1854" t="str" cm="1">
        <f t="array" ref="L490">_xlfn.IFS(
    I489=FALSE, "",
    Payment_Frequency="Monthly", EDATE(L489, 1),
    Payment_Frequency="Weekly", DATE(YEAR(L489), MONTH(L489), DAY(L489) + 7),
    Payment_Frequency="Fortnightly", DATE(YEAR(L489), MONTH(L489), DAY(L489) + 14),
    Payment_Frequency="Quarterly", DATE(YEAR(L489), MONTH(L489) + 3, DAY(L489)),
    Payment_Frequency="Yearly", DATE(YEAR(L489) + 1, MONTH(L489), DAY(L489)),
    TRUE, ""
)</f>
        <v/>
      </c>
      <c r="M490" s="1853">
        <f>IF(ISERROR(L490-L489),0,L490-L489)</f>
        <v>0</v>
      </c>
      <c r="N490" s="1851" cm="1">
        <f t="array" ref="N490">_xlfn.IFS(
    AND(I490=TRUE, K490&lt;=No_Regular_Payments), Repay_Amt,
    AND(I490=TRUE, K490=No_Regular_Payments+1), Tm_Balloon_Amt,
   TRUE, 0
)</f>
        <v>0</v>
      </c>
      <c r="O490" s="1850" cm="1">
        <f t="array" ref="O490">_xlfn.IFS(
    M490=0,0,
   ABS(N490 - S489 - P490-Q490) &lt; 1, N490 - S489-Q490,
    TRUE, P490
)</f>
        <v>0</v>
      </c>
      <c r="P490" s="1852">
        <f>IF(M490=0,0,ROUND(S489*EXP(Int_Rate/365.25 * M490)-S489,2))</f>
        <v>0</v>
      </c>
      <c r="Q490" s="1851" cm="1">
        <f t="array" ref="Q490">_xlfn.IFS(
    AND(I490=TRUE, K490&lt;=No_Regular_Payments), Periodic_Admin_Charge,
   TRUE, 0
)</f>
        <v>0</v>
      </c>
      <c r="R490" s="1850">
        <f>N490-O490-Q490</f>
        <v>0</v>
      </c>
      <c r="S490" s="1850">
        <f>ROUND(S489-R490,2)</f>
        <v>0</v>
      </c>
      <c r="T490" s="1850">
        <f>ROUND(T489-(N490-Q490),2)</f>
        <v>0</v>
      </c>
      <c r="U490" s="1849"/>
      <c r="W490" s="1848"/>
      <c r="X490" s="1848"/>
      <c r="Y490" s="1848"/>
    </row>
    <row r="491" spans="2:25" hidden="1">
      <c r="B491" s="1815" t="b">
        <f>AND(I491=FALSE,N490=0,Q490=0,L490="")</f>
        <v>1</v>
      </c>
      <c r="C491" s="1844" t="str" cm="1">
        <f t="array" ref="C491">_xlfn.IFS(
    L491="", "",
    MONTH(L491) &lt;= End_of_Year_Month, YEAR(L491),
    TRUE, YEAR(L491) + 1
)</f>
        <v/>
      </c>
      <c r="F491" s="1857">
        <f>IF(L491="",0,L491)</f>
        <v>0</v>
      </c>
      <c r="G491" s="1856">
        <f>-(N491-Q491)</f>
        <v>0</v>
      </c>
      <c r="I491" s="1815" t="b">
        <f>K491&lt;=Number_Payments</f>
        <v>0</v>
      </c>
      <c r="J491" s="1855"/>
      <c r="K491" s="1351">
        <f>K490+1</f>
        <v>365</v>
      </c>
      <c r="L491" s="1854" t="str" cm="1">
        <f t="array" ref="L491">_xlfn.IFS(
    I490=FALSE, "",
    Payment_Frequency="Monthly", EDATE(L490, 1),
    Payment_Frequency="Weekly", DATE(YEAR(L490), MONTH(L490), DAY(L490) + 7),
    Payment_Frequency="Fortnightly", DATE(YEAR(L490), MONTH(L490), DAY(L490) + 14),
    Payment_Frequency="Quarterly", DATE(YEAR(L490), MONTH(L490) + 3, DAY(L490)),
    Payment_Frequency="Yearly", DATE(YEAR(L490) + 1, MONTH(L490), DAY(L490)),
    TRUE, ""
)</f>
        <v/>
      </c>
      <c r="M491" s="1853">
        <f>IF(ISERROR(L491-L490),0,L491-L490)</f>
        <v>0</v>
      </c>
      <c r="N491" s="1851" cm="1">
        <f t="array" ref="N491">_xlfn.IFS(
    AND(I491=TRUE, K491&lt;=No_Regular_Payments), Repay_Amt,
    AND(I491=TRUE, K491=No_Regular_Payments+1), Tm_Balloon_Amt,
   TRUE, 0
)</f>
        <v>0</v>
      </c>
      <c r="O491" s="1850" cm="1">
        <f t="array" ref="O491">_xlfn.IFS(
    M491=0,0,
   ABS(N491 - S490 - P491-Q491) &lt; 1, N491 - S490-Q491,
    TRUE, P491
)</f>
        <v>0</v>
      </c>
      <c r="P491" s="1852">
        <f>IF(M491=0,0,ROUND(S490*EXP(Int_Rate/365.25 * M491)-S490,2))</f>
        <v>0</v>
      </c>
      <c r="Q491" s="1851" cm="1">
        <f t="array" ref="Q491">_xlfn.IFS(
    AND(I491=TRUE, K491&lt;=No_Regular_Payments), Periodic_Admin_Charge,
   TRUE, 0
)</f>
        <v>0</v>
      </c>
      <c r="R491" s="1850">
        <f>N491-O491-Q491</f>
        <v>0</v>
      </c>
      <c r="S491" s="1850">
        <f>ROUND(S490-R491,2)</f>
        <v>0</v>
      </c>
      <c r="T491" s="1850">
        <f>ROUND(T490-(N491-Q491),2)</f>
        <v>0</v>
      </c>
      <c r="U491" s="1849"/>
      <c r="W491" s="1848"/>
      <c r="X491" s="1848"/>
      <c r="Y491" s="1848"/>
    </row>
    <row r="492" spans="2:25" hidden="1">
      <c r="B492" s="1815" t="b">
        <f>AND(I492=FALSE,N491=0,Q491=0,L491="")</f>
        <v>1</v>
      </c>
      <c r="C492" s="1844" t="str" cm="1">
        <f t="array" ref="C492">_xlfn.IFS(
    L492="", "",
    MONTH(L492) &lt;= End_of_Year_Month, YEAR(L492),
    TRUE, YEAR(L492) + 1
)</f>
        <v/>
      </c>
      <c r="F492" s="1857">
        <f>IF(L492="",0,L492)</f>
        <v>0</v>
      </c>
      <c r="G492" s="1856">
        <f>-(N492-Q492)</f>
        <v>0</v>
      </c>
      <c r="I492" s="1815" t="b">
        <f>K492&lt;=Number_Payments</f>
        <v>0</v>
      </c>
      <c r="J492" s="1855"/>
      <c r="K492" s="1351">
        <f>K491+1</f>
        <v>366</v>
      </c>
      <c r="L492" s="1854" t="str" cm="1">
        <f t="array" ref="L492">_xlfn.IFS(
    I491=FALSE, "",
    Payment_Frequency="Monthly", EDATE(L491, 1),
    Payment_Frequency="Weekly", DATE(YEAR(L491), MONTH(L491), DAY(L491) + 7),
    Payment_Frequency="Fortnightly", DATE(YEAR(L491), MONTH(L491), DAY(L491) + 14),
    Payment_Frequency="Quarterly", DATE(YEAR(L491), MONTH(L491) + 3, DAY(L491)),
    Payment_Frequency="Yearly", DATE(YEAR(L491) + 1, MONTH(L491), DAY(L491)),
    TRUE, ""
)</f>
        <v/>
      </c>
      <c r="M492" s="1853">
        <f>IF(ISERROR(L492-L491),0,L492-L491)</f>
        <v>0</v>
      </c>
      <c r="N492" s="1851" cm="1">
        <f t="array" ref="N492">_xlfn.IFS(
    AND(I492=TRUE, K492&lt;=No_Regular_Payments), Repay_Amt,
    AND(I492=TRUE, K492=No_Regular_Payments+1), Tm_Balloon_Amt,
   TRUE, 0
)</f>
        <v>0</v>
      </c>
      <c r="O492" s="1850" cm="1">
        <f t="array" ref="O492">_xlfn.IFS(
    M492=0,0,
   ABS(N492 - S491 - P492-Q492) &lt; 1, N492 - S491-Q492,
    TRUE, P492
)</f>
        <v>0</v>
      </c>
      <c r="P492" s="1852">
        <f>IF(M492=0,0,ROUND(S491*EXP(Int_Rate/365.25 * M492)-S491,2))</f>
        <v>0</v>
      </c>
      <c r="Q492" s="1851" cm="1">
        <f t="array" ref="Q492">_xlfn.IFS(
    AND(I492=TRUE, K492&lt;=No_Regular_Payments), Periodic_Admin_Charge,
   TRUE, 0
)</f>
        <v>0</v>
      </c>
      <c r="R492" s="1850">
        <f>N492-O492-Q492</f>
        <v>0</v>
      </c>
      <c r="S492" s="1850">
        <f>ROUND(S491-R492,2)</f>
        <v>0</v>
      </c>
      <c r="T492" s="1850">
        <f>ROUND(T491-(N492-Q492),2)</f>
        <v>0</v>
      </c>
      <c r="U492" s="1849"/>
      <c r="W492" s="1848"/>
      <c r="X492" s="1848"/>
      <c r="Y492" s="1848"/>
    </row>
    <row r="493" spans="2:25" hidden="1">
      <c r="B493" s="1815" t="b">
        <f>AND(I493=FALSE,N492=0,Q492=0,L492="")</f>
        <v>1</v>
      </c>
      <c r="C493" s="1844" t="str" cm="1">
        <f t="array" ref="C493">_xlfn.IFS(
    L493="", "",
    MONTH(L493) &lt;= End_of_Year_Month, YEAR(L493),
    TRUE, YEAR(L493) + 1
)</f>
        <v/>
      </c>
      <c r="F493" s="1857">
        <f>IF(L493="",0,L493)</f>
        <v>0</v>
      </c>
      <c r="G493" s="1856">
        <f>-(N493-Q493)</f>
        <v>0</v>
      </c>
      <c r="I493" s="1815" t="b">
        <f>K493&lt;=Number_Payments</f>
        <v>0</v>
      </c>
      <c r="J493" s="1855"/>
      <c r="K493" s="1351">
        <f>K492+1</f>
        <v>367</v>
      </c>
      <c r="L493" s="1854" t="str" cm="1">
        <f t="array" ref="L493">_xlfn.IFS(
    I492=FALSE, "",
    Payment_Frequency="Monthly", EDATE(L492, 1),
    Payment_Frequency="Weekly", DATE(YEAR(L492), MONTH(L492), DAY(L492) + 7),
    Payment_Frequency="Fortnightly", DATE(YEAR(L492), MONTH(L492), DAY(L492) + 14),
    Payment_Frequency="Quarterly", DATE(YEAR(L492), MONTH(L492) + 3, DAY(L492)),
    Payment_Frequency="Yearly", DATE(YEAR(L492) + 1, MONTH(L492), DAY(L492)),
    TRUE, ""
)</f>
        <v/>
      </c>
      <c r="M493" s="1853">
        <f>IF(ISERROR(L493-L492),0,L493-L492)</f>
        <v>0</v>
      </c>
      <c r="N493" s="1851" cm="1">
        <f t="array" ref="N493">_xlfn.IFS(
    AND(I493=TRUE, K493&lt;=No_Regular_Payments), Repay_Amt,
    AND(I493=TRUE, K493=No_Regular_Payments+1), Tm_Balloon_Amt,
   TRUE, 0
)</f>
        <v>0</v>
      </c>
      <c r="O493" s="1850" cm="1">
        <f t="array" ref="O493">_xlfn.IFS(
    M493=0,0,
   ABS(N493 - S492 - P493-Q493) &lt; 1, N493 - S492-Q493,
    TRUE, P493
)</f>
        <v>0</v>
      </c>
      <c r="P493" s="1852">
        <f>IF(M493=0,0,ROUND(S492*EXP(Int_Rate/365.25 * M493)-S492,2))</f>
        <v>0</v>
      </c>
      <c r="Q493" s="1851" cm="1">
        <f t="array" ref="Q493">_xlfn.IFS(
    AND(I493=TRUE, K493&lt;=No_Regular_Payments), Periodic_Admin_Charge,
   TRUE, 0
)</f>
        <v>0</v>
      </c>
      <c r="R493" s="1850">
        <f>N493-O493-Q493</f>
        <v>0</v>
      </c>
      <c r="S493" s="1850">
        <f>ROUND(S492-R493,2)</f>
        <v>0</v>
      </c>
      <c r="T493" s="1850">
        <f>ROUND(T492-(N493-Q493),2)</f>
        <v>0</v>
      </c>
      <c r="U493" s="1849"/>
      <c r="W493" s="1848"/>
      <c r="X493" s="1848"/>
      <c r="Y493" s="1848"/>
    </row>
    <row r="494" spans="2:25" hidden="1">
      <c r="B494" s="1815" t="b">
        <f>AND(I494=FALSE,N493=0,Q493=0,L493="")</f>
        <v>1</v>
      </c>
      <c r="C494" s="1844" t="str" cm="1">
        <f t="array" ref="C494">_xlfn.IFS(
    L494="", "",
    MONTH(L494) &lt;= End_of_Year_Month, YEAR(L494),
    TRUE, YEAR(L494) + 1
)</f>
        <v/>
      </c>
      <c r="F494" s="1857">
        <f>IF(L494="",0,L494)</f>
        <v>0</v>
      </c>
      <c r="G494" s="1856">
        <f>-(N494-Q494)</f>
        <v>0</v>
      </c>
      <c r="I494" s="1815" t="b">
        <f>K494&lt;=Number_Payments</f>
        <v>0</v>
      </c>
      <c r="J494" s="1855"/>
      <c r="K494" s="1351">
        <f>K493+1</f>
        <v>368</v>
      </c>
      <c r="L494" s="1854" t="str" cm="1">
        <f t="array" ref="L494">_xlfn.IFS(
    I493=FALSE, "",
    Payment_Frequency="Monthly", EDATE(L493, 1),
    Payment_Frequency="Weekly", DATE(YEAR(L493), MONTH(L493), DAY(L493) + 7),
    Payment_Frequency="Fortnightly", DATE(YEAR(L493), MONTH(L493), DAY(L493) + 14),
    Payment_Frequency="Quarterly", DATE(YEAR(L493), MONTH(L493) + 3, DAY(L493)),
    Payment_Frequency="Yearly", DATE(YEAR(L493) + 1, MONTH(L493), DAY(L493)),
    TRUE, ""
)</f>
        <v/>
      </c>
      <c r="M494" s="1853">
        <f>IF(ISERROR(L494-L493),0,L494-L493)</f>
        <v>0</v>
      </c>
      <c r="N494" s="1851" cm="1">
        <f t="array" ref="N494">_xlfn.IFS(
    AND(I494=TRUE, K494&lt;=No_Regular_Payments), Repay_Amt,
    AND(I494=TRUE, K494=No_Regular_Payments+1), Tm_Balloon_Amt,
   TRUE, 0
)</f>
        <v>0</v>
      </c>
      <c r="O494" s="1850" cm="1">
        <f t="array" ref="O494">_xlfn.IFS(
    M494=0,0,
   ABS(N494 - S493 - P494-Q494) &lt; 1, N494 - S493-Q494,
    TRUE, P494
)</f>
        <v>0</v>
      </c>
      <c r="P494" s="1852">
        <f>IF(M494=0,0,ROUND(S493*EXP(Int_Rate/365.25 * M494)-S493,2))</f>
        <v>0</v>
      </c>
      <c r="Q494" s="1851" cm="1">
        <f t="array" ref="Q494">_xlfn.IFS(
    AND(I494=TRUE, K494&lt;=No_Regular_Payments), Periodic_Admin_Charge,
   TRUE, 0
)</f>
        <v>0</v>
      </c>
      <c r="R494" s="1850">
        <f>N494-O494-Q494</f>
        <v>0</v>
      </c>
      <c r="S494" s="1850">
        <f>ROUND(S493-R494,2)</f>
        <v>0</v>
      </c>
      <c r="T494" s="1850">
        <f>ROUND(T493-(N494-Q494),2)</f>
        <v>0</v>
      </c>
      <c r="U494" s="1849"/>
      <c r="W494" s="1848"/>
      <c r="X494" s="1848"/>
      <c r="Y494" s="1848"/>
    </row>
    <row r="495" spans="2:25" hidden="1">
      <c r="B495" s="1815" t="b">
        <f>AND(I495=FALSE,N494=0,Q494=0,L494="")</f>
        <v>1</v>
      </c>
      <c r="C495" s="1844" t="str" cm="1">
        <f t="array" ref="C495">_xlfn.IFS(
    L495="", "",
    MONTH(L495) &lt;= End_of_Year_Month, YEAR(L495),
    TRUE, YEAR(L495) + 1
)</f>
        <v/>
      </c>
      <c r="F495" s="1857">
        <f>IF(L495="",0,L495)</f>
        <v>0</v>
      </c>
      <c r="G495" s="1856">
        <f>-(N495-Q495)</f>
        <v>0</v>
      </c>
      <c r="I495" s="1815" t="b">
        <f>K495&lt;=Number_Payments</f>
        <v>0</v>
      </c>
      <c r="J495" s="1855"/>
      <c r="K495" s="1351">
        <f>K494+1</f>
        <v>369</v>
      </c>
      <c r="L495" s="1854" t="str" cm="1">
        <f t="array" ref="L495">_xlfn.IFS(
    I494=FALSE, "",
    Payment_Frequency="Monthly", EDATE(L494, 1),
    Payment_Frequency="Weekly", DATE(YEAR(L494), MONTH(L494), DAY(L494) + 7),
    Payment_Frequency="Fortnightly", DATE(YEAR(L494), MONTH(L494), DAY(L494) + 14),
    Payment_Frequency="Quarterly", DATE(YEAR(L494), MONTH(L494) + 3, DAY(L494)),
    Payment_Frequency="Yearly", DATE(YEAR(L494) + 1, MONTH(L494), DAY(L494)),
    TRUE, ""
)</f>
        <v/>
      </c>
      <c r="M495" s="1853">
        <f>IF(ISERROR(L495-L494),0,L495-L494)</f>
        <v>0</v>
      </c>
      <c r="N495" s="1851" cm="1">
        <f t="array" ref="N495">_xlfn.IFS(
    AND(I495=TRUE, K495&lt;=No_Regular_Payments), Repay_Amt,
    AND(I495=TRUE, K495=No_Regular_Payments+1), Tm_Balloon_Amt,
   TRUE, 0
)</f>
        <v>0</v>
      </c>
      <c r="O495" s="1850" cm="1">
        <f t="array" ref="O495">_xlfn.IFS(
    M495=0,0,
   ABS(N495 - S494 - P495-Q495) &lt; 1, N495 - S494-Q495,
    TRUE, P495
)</f>
        <v>0</v>
      </c>
      <c r="P495" s="1852">
        <f>IF(M495=0,0,ROUND(S494*EXP(Int_Rate/365.25 * M495)-S494,2))</f>
        <v>0</v>
      </c>
      <c r="Q495" s="1851" cm="1">
        <f t="array" ref="Q495">_xlfn.IFS(
    AND(I495=TRUE, K495&lt;=No_Regular_Payments), Periodic_Admin_Charge,
   TRUE, 0
)</f>
        <v>0</v>
      </c>
      <c r="R495" s="1850">
        <f>N495-O495-Q495</f>
        <v>0</v>
      </c>
      <c r="S495" s="1850">
        <f>ROUND(S494-R495,2)</f>
        <v>0</v>
      </c>
      <c r="T495" s="1850">
        <f>ROUND(T494-(N495-Q495),2)</f>
        <v>0</v>
      </c>
      <c r="U495" s="1849"/>
      <c r="W495" s="1848"/>
      <c r="X495" s="1848"/>
      <c r="Y495" s="1848"/>
    </row>
    <row r="496" spans="2:25" hidden="1">
      <c r="B496" s="1815" t="b">
        <f>AND(I496=FALSE,N495=0,Q495=0,L495="")</f>
        <v>1</v>
      </c>
      <c r="C496" s="1844" t="str" cm="1">
        <f t="array" ref="C496">_xlfn.IFS(
    L496="", "",
    MONTH(L496) &lt;= End_of_Year_Month, YEAR(L496),
    TRUE, YEAR(L496) + 1
)</f>
        <v/>
      </c>
      <c r="F496" s="1857">
        <f>IF(L496="",0,L496)</f>
        <v>0</v>
      </c>
      <c r="G496" s="1856">
        <f>-(N496-Q496)</f>
        <v>0</v>
      </c>
      <c r="I496" s="1815" t="b">
        <f>K496&lt;=Number_Payments</f>
        <v>0</v>
      </c>
      <c r="J496" s="1855"/>
      <c r="K496" s="1351">
        <f>K495+1</f>
        <v>370</v>
      </c>
      <c r="L496" s="1854" t="str" cm="1">
        <f t="array" ref="L496">_xlfn.IFS(
    I495=FALSE, "",
    Payment_Frequency="Monthly", EDATE(L495, 1),
    Payment_Frequency="Weekly", DATE(YEAR(L495), MONTH(L495), DAY(L495) + 7),
    Payment_Frequency="Fortnightly", DATE(YEAR(L495), MONTH(L495), DAY(L495) + 14),
    Payment_Frequency="Quarterly", DATE(YEAR(L495), MONTH(L495) + 3, DAY(L495)),
    Payment_Frequency="Yearly", DATE(YEAR(L495) + 1, MONTH(L495), DAY(L495)),
    TRUE, ""
)</f>
        <v/>
      </c>
      <c r="M496" s="1853">
        <f>IF(ISERROR(L496-L495),0,L496-L495)</f>
        <v>0</v>
      </c>
      <c r="N496" s="1851" cm="1">
        <f t="array" ref="N496">_xlfn.IFS(
    AND(I496=TRUE, K496&lt;=No_Regular_Payments), Repay_Amt,
    AND(I496=TRUE, K496=No_Regular_Payments+1), Tm_Balloon_Amt,
   TRUE, 0
)</f>
        <v>0</v>
      </c>
      <c r="O496" s="1850" cm="1">
        <f t="array" ref="O496">_xlfn.IFS(
    M496=0,0,
   ABS(N496 - S495 - P496-Q496) &lt; 1, N496 - S495-Q496,
    TRUE, P496
)</f>
        <v>0</v>
      </c>
      <c r="P496" s="1852">
        <f>IF(M496=0,0,ROUND(S495*EXP(Int_Rate/365.25 * M496)-S495,2))</f>
        <v>0</v>
      </c>
      <c r="Q496" s="1851" cm="1">
        <f t="array" ref="Q496">_xlfn.IFS(
    AND(I496=TRUE, K496&lt;=No_Regular_Payments), Periodic_Admin_Charge,
   TRUE, 0
)</f>
        <v>0</v>
      </c>
      <c r="R496" s="1850">
        <f>N496-O496-Q496</f>
        <v>0</v>
      </c>
      <c r="S496" s="1850">
        <f>ROUND(S495-R496,2)</f>
        <v>0</v>
      </c>
      <c r="T496" s="1850">
        <f>ROUND(T495-(N496-Q496),2)</f>
        <v>0</v>
      </c>
      <c r="U496" s="1849"/>
      <c r="W496" s="1848"/>
      <c r="X496" s="1848"/>
      <c r="Y496" s="1848"/>
    </row>
    <row r="497" spans="2:25" hidden="1">
      <c r="B497" s="1815" t="b">
        <f>AND(I497=FALSE,N496=0,Q496=0,L496="")</f>
        <v>1</v>
      </c>
      <c r="C497" s="1844" t="str" cm="1">
        <f t="array" ref="C497">_xlfn.IFS(
    L497="", "",
    MONTH(L497) &lt;= End_of_Year_Month, YEAR(L497),
    TRUE, YEAR(L497) + 1
)</f>
        <v/>
      </c>
      <c r="F497" s="1857">
        <f>IF(L497="",0,L497)</f>
        <v>0</v>
      </c>
      <c r="G497" s="1856">
        <f>-(N497-Q497)</f>
        <v>0</v>
      </c>
      <c r="I497" s="1815" t="b">
        <f>K497&lt;=Number_Payments</f>
        <v>0</v>
      </c>
      <c r="J497" s="1855"/>
      <c r="K497" s="1351">
        <f>K496+1</f>
        <v>371</v>
      </c>
      <c r="L497" s="1854" t="str" cm="1">
        <f t="array" ref="L497">_xlfn.IFS(
    I496=FALSE, "",
    Payment_Frequency="Monthly", EDATE(L496, 1),
    Payment_Frequency="Weekly", DATE(YEAR(L496), MONTH(L496), DAY(L496) + 7),
    Payment_Frequency="Fortnightly", DATE(YEAR(L496), MONTH(L496), DAY(L496) + 14),
    Payment_Frequency="Quarterly", DATE(YEAR(L496), MONTH(L496) + 3, DAY(L496)),
    Payment_Frequency="Yearly", DATE(YEAR(L496) + 1, MONTH(L496), DAY(L496)),
    TRUE, ""
)</f>
        <v/>
      </c>
      <c r="M497" s="1853">
        <f>IF(ISERROR(L497-L496),0,L497-L496)</f>
        <v>0</v>
      </c>
      <c r="N497" s="1851" cm="1">
        <f t="array" ref="N497">_xlfn.IFS(
    AND(I497=TRUE, K497&lt;=No_Regular_Payments), Repay_Amt,
    AND(I497=TRUE, K497=No_Regular_Payments+1), Tm_Balloon_Amt,
   TRUE, 0
)</f>
        <v>0</v>
      </c>
      <c r="O497" s="1850" cm="1">
        <f t="array" ref="O497">_xlfn.IFS(
    M497=0,0,
   ABS(N497 - S496 - P497-Q497) &lt; 1, N497 - S496-Q497,
    TRUE, P497
)</f>
        <v>0</v>
      </c>
      <c r="P497" s="1852">
        <f>IF(M497=0,0,ROUND(S496*EXP(Int_Rate/365.25 * M497)-S496,2))</f>
        <v>0</v>
      </c>
      <c r="Q497" s="1851" cm="1">
        <f t="array" ref="Q497">_xlfn.IFS(
    AND(I497=TRUE, K497&lt;=No_Regular_Payments), Periodic_Admin_Charge,
   TRUE, 0
)</f>
        <v>0</v>
      </c>
      <c r="R497" s="1850">
        <f>N497-O497-Q497</f>
        <v>0</v>
      </c>
      <c r="S497" s="1850">
        <f>ROUND(S496-R497,2)</f>
        <v>0</v>
      </c>
      <c r="T497" s="1850">
        <f>ROUND(T496-(N497-Q497),2)</f>
        <v>0</v>
      </c>
      <c r="U497" s="1849"/>
      <c r="W497" s="1848"/>
      <c r="X497" s="1848"/>
      <c r="Y497" s="1848"/>
    </row>
    <row r="498" spans="2:25" hidden="1">
      <c r="B498" s="1815" t="b">
        <f>AND(I498=FALSE,N497=0,Q497=0,L497="")</f>
        <v>1</v>
      </c>
      <c r="C498" s="1844" t="str" cm="1">
        <f t="array" ref="C498">_xlfn.IFS(
    L498="", "",
    MONTH(L498) &lt;= End_of_Year_Month, YEAR(L498),
    TRUE, YEAR(L498) + 1
)</f>
        <v/>
      </c>
      <c r="F498" s="1857">
        <f>IF(L498="",0,L498)</f>
        <v>0</v>
      </c>
      <c r="G498" s="1856">
        <f>-(N498-Q498)</f>
        <v>0</v>
      </c>
      <c r="I498" s="1815" t="b">
        <f>K498&lt;=Number_Payments</f>
        <v>0</v>
      </c>
      <c r="J498" s="1855"/>
      <c r="K498" s="1351">
        <f>K497+1</f>
        <v>372</v>
      </c>
      <c r="L498" s="1854" t="str" cm="1">
        <f t="array" ref="L498">_xlfn.IFS(
    I497=FALSE, "",
    Payment_Frequency="Monthly", EDATE(L497, 1),
    Payment_Frequency="Weekly", DATE(YEAR(L497), MONTH(L497), DAY(L497) + 7),
    Payment_Frequency="Fortnightly", DATE(YEAR(L497), MONTH(L497), DAY(L497) + 14),
    Payment_Frequency="Quarterly", DATE(YEAR(L497), MONTH(L497) + 3, DAY(L497)),
    Payment_Frequency="Yearly", DATE(YEAR(L497) + 1, MONTH(L497), DAY(L497)),
    TRUE, ""
)</f>
        <v/>
      </c>
      <c r="M498" s="1853">
        <f>IF(ISERROR(L498-L497),0,L498-L497)</f>
        <v>0</v>
      </c>
      <c r="N498" s="1851" cm="1">
        <f t="array" ref="N498">_xlfn.IFS(
    AND(I498=TRUE, K498&lt;=No_Regular_Payments), Repay_Amt,
    AND(I498=TRUE, K498=No_Regular_Payments+1), Tm_Balloon_Amt,
   TRUE, 0
)</f>
        <v>0</v>
      </c>
      <c r="O498" s="1850" cm="1">
        <f t="array" ref="O498">_xlfn.IFS(
    M498=0,0,
   ABS(N498 - S497 - P498-Q498) &lt; 1, N498 - S497-Q498,
    TRUE, P498
)</f>
        <v>0</v>
      </c>
      <c r="P498" s="1852">
        <f>IF(M498=0,0,ROUND(S497*EXP(Int_Rate/365.25 * M498)-S497,2))</f>
        <v>0</v>
      </c>
      <c r="Q498" s="1851" cm="1">
        <f t="array" ref="Q498">_xlfn.IFS(
    AND(I498=TRUE, K498&lt;=No_Regular_Payments), Periodic_Admin_Charge,
   TRUE, 0
)</f>
        <v>0</v>
      </c>
      <c r="R498" s="1850">
        <f>N498-O498-Q498</f>
        <v>0</v>
      </c>
      <c r="S498" s="1850">
        <f>ROUND(S497-R498,2)</f>
        <v>0</v>
      </c>
      <c r="T498" s="1850">
        <f>ROUND(T497-(N498-Q498),2)</f>
        <v>0</v>
      </c>
      <c r="U498" s="1849"/>
      <c r="W498" s="1848"/>
      <c r="X498" s="1848"/>
      <c r="Y498" s="1848"/>
    </row>
    <row r="499" spans="2:25" hidden="1">
      <c r="B499" s="1815" t="b">
        <f>AND(I499=FALSE,N498=0,Q498=0,L498="")</f>
        <v>1</v>
      </c>
      <c r="C499" s="1844" t="str" cm="1">
        <f t="array" ref="C499">_xlfn.IFS(
    L499="", "",
    MONTH(L499) &lt;= End_of_Year_Month, YEAR(L499),
    TRUE, YEAR(L499) + 1
)</f>
        <v/>
      </c>
      <c r="F499" s="1857">
        <f>IF(L499="",0,L499)</f>
        <v>0</v>
      </c>
      <c r="G499" s="1856">
        <f>-(N499-Q499)</f>
        <v>0</v>
      </c>
      <c r="I499" s="1815" t="b">
        <f>K499&lt;=Number_Payments</f>
        <v>0</v>
      </c>
      <c r="J499" s="1855"/>
      <c r="K499" s="1351">
        <f>K498+1</f>
        <v>373</v>
      </c>
      <c r="L499" s="1854" t="str" cm="1">
        <f t="array" ref="L499">_xlfn.IFS(
    I498=FALSE, "",
    Payment_Frequency="Monthly", EDATE(L498, 1),
    Payment_Frequency="Weekly", DATE(YEAR(L498), MONTH(L498), DAY(L498) + 7),
    Payment_Frequency="Fortnightly", DATE(YEAR(L498), MONTH(L498), DAY(L498) + 14),
    Payment_Frequency="Quarterly", DATE(YEAR(L498), MONTH(L498) + 3, DAY(L498)),
    Payment_Frequency="Yearly", DATE(YEAR(L498) + 1, MONTH(L498), DAY(L498)),
    TRUE, ""
)</f>
        <v/>
      </c>
      <c r="M499" s="1853">
        <f>IF(ISERROR(L499-L498),0,L499-L498)</f>
        <v>0</v>
      </c>
      <c r="N499" s="1851" cm="1">
        <f t="array" ref="N499">_xlfn.IFS(
    AND(I499=TRUE, K499&lt;=No_Regular_Payments), Repay_Amt,
    AND(I499=TRUE, K499=No_Regular_Payments+1), Tm_Balloon_Amt,
   TRUE, 0
)</f>
        <v>0</v>
      </c>
      <c r="O499" s="1850" cm="1">
        <f t="array" ref="O499">_xlfn.IFS(
    M499=0,0,
   ABS(N499 - S498 - P499-Q499) &lt; 1, N499 - S498-Q499,
    TRUE, P499
)</f>
        <v>0</v>
      </c>
      <c r="P499" s="1852">
        <f>IF(M499=0,0,ROUND(S498*EXP(Int_Rate/365.25 * M499)-S498,2))</f>
        <v>0</v>
      </c>
      <c r="Q499" s="1851" cm="1">
        <f t="array" ref="Q499">_xlfn.IFS(
    AND(I499=TRUE, K499&lt;=No_Regular_Payments), Periodic_Admin_Charge,
   TRUE, 0
)</f>
        <v>0</v>
      </c>
      <c r="R499" s="1850">
        <f>N499-O499-Q499</f>
        <v>0</v>
      </c>
      <c r="S499" s="1850">
        <f>ROUND(S498-R499,2)</f>
        <v>0</v>
      </c>
      <c r="T499" s="1850">
        <f>ROUND(T498-(N499-Q499),2)</f>
        <v>0</v>
      </c>
      <c r="U499" s="1849"/>
      <c r="W499" s="1848"/>
      <c r="X499" s="1848"/>
      <c r="Y499" s="1848"/>
    </row>
    <row r="500" spans="2:25" hidden="1">
      <c r="B500" s="1815" t="b">
        <f>AND(I500=FALSE,N499=0,Q499=0,L499="")</f>
        <v>1</v>
      </c>
      <c r="C500" s="1844" t="str" cm="1">
        <f t="array" ref="C500">_xlfn.IFS(
    L500="", "",
    MONTH(L500) &lt;= End_of_Year_Month, YEAR(L500),
    TRUE, YEAR(L500) + 1
)</f>
        <v/>
      </c>
      <c r="F500" s="1857">
        <f>IF(L500="",0,L500)</f>
        <v>0</v>
      </c>
      <c r="G500" s="1856">
        <f>-(N500-Q500)</f>
        <v>0</v>
      </c>
      <c r="I500" s="1815" t="b">
        <f>K500&lt;=Number_Payments</f>
        <v>0</v>
      </c>
      <c r="J500" s="1855"/>
      <c r="K500" s="1351">
        <f>K499+1</f>
        <v>374</v>
      </c>
      <c r="L500" s="1854" t="str" cm="1">
        <f t="array" ref="L500">_xlfn.IFS(
    I499=FALSE, "",
    Payment_Frequency="Monthly", EDATE(L499, 1),
    Payment_Frequency="Weekly", DATE(YEAR(L499), MONTH(L499), DAY(L499) + 7),
    Payment_Frequency="Fortnightly", DATE(YEAR(L499), MONTH(L499), DAY(L499) + 14),
    Payment_Frequency="Quarterly", DATE(YEAR(L499), MONTH(L499) + 3, DAY(L499)),
    Payment_Frequency="Yearly", DATE(YEAR(L499) + 1, MONTH(L499), DAY(L499)),
    TRUE, ""
)</f>
        <v/>
      </c>
      <c r="M500" s="1853">
        <f>IF(ISERROR(L500-L499),0,L500-L499)</f>
        <v>0</v>
      </c>
      <c r="N500" s="1851" cm="1">
        <f t="array" ref="N500">_xlfn.IFS(
    AND(I500=TRUE, K500&lt;=No_Regular_Payments), Repay_Amt,
    AND(I500=TRUE, K500=No_Regular_Payments+1), Tm_Balloon_Amt,
   TRUE, 0
)</f>
        <v>0</v>
      </c>
      <c r="O500" s="1850" cm="1">
        <f t="array" ref="O500">_xlfn.IFS(
    M500=0,0,
   ABS(N500 - S499 - P500-Q500) &lt; 1, N500 - S499-Q500,
    TRUE, P500
)</f>
        <v>0</v>
      </c>
      <c r="P500" s="1852">
        <f>IF(M500=0,0,ROUND(S499*EXP(Int_Rate/365.25 * M500)-S499,2))</f>
        <v>0</v>
      </c>
      <c r="Q500" s="1851" cm="1">
        <f t="array" ref="Q500">_xlfn.IFS(
    AND(I500=TRUE, K500&lt;=No_Regular_Payments), Periodic_Admin_Charge,
   TRUE, 0
)</f>
        <v>0</v>
      </c>
      <c r="R500" s="1850">
        <f>N500-O500-Q500</f>
        <v>0</v>
      </c>
      <c r="S500" s="1850">
        <f>ROUND(S499-R500,2)</f>
        <v>0</v>
      </c>
      <c r="T500" s="1850">
        <f>ROUND(T499-(N500-Q500),2)</f>
        <v>0</v>
      </c>
      <c r="U500" s="1849"/>
      <c r="W500" s="1848"/>
      <c r="X500" s="1848"/>
      <c r="Y500" s="1848"/>
    </row>
    <row r="501" spans="2:25" hidden="1">
      <c r="B501" s="1815" t="b">
        <f>AND(I501=FALSE,N500=0,Q500=0,L500="")</f>
        <v>1</v>
      </c>
      <c r="C501" s="1844" t="str" cm="1">
        <f t="array" ref="C501">_xlfn.IFS(
    L501="", "",
    MONTH(L501) &lt;= End_of_Year_Month, YEAR(L501),
    TRUE, YEAR(L501) + 1
)</f>
        <v/>
      </c>
      <c r="F501" s="1857">
        <f>IF(L501="",0,L501)</f>
        <v>0</v>
      </c>
      <c r="G501" s="1856">
        <f>-(N501-Q501)</f>
        <v>0</v>
      </c>
      <c r="I501" s="1815" t="b">
        <f>K501&lt;=Number_Payments</f>
        <v>0</v>
      </c>
      <c r="J501" s="1855"/>
      <c r="K501" s="1351">
        <f>K500+1</f>
        <v>375</v>
      </c>
      <c r="L501" s="1854" t="str" cm="1">
        <f t="array" ref="L501">_xlfn.IFS(
    I500=FALSE, "",
    Payment_Frequency="Monthly", EDATE(L500, 1),
    Payment_Frequency="Weekly", DATE(YEAR(L500), MONTH(L500), DAY(L500) + 7),
    Payment_Frequency="Fortnightly", DATE(YEAR(L500), MONTH(L500), DAY(L500) + 14),
    Payment_Frequency="Quarterly", DATE(YEAR(L500), MONTH(L500) + 3, DAY(L500)),
    Payment_Frequency="Yearly", DATE(YEAR(L500) + 1, MONTH(L500), DAY(L500)),
    TRUE, ""
)</f>
        <v/>
      </c>
      <c r="M501" s="1853">
        <f>IF(ISERROR(L501-L500),0,L501-L500)</f>
        <v>0</v>
      </c>
      <c r="N501" s="1851" cm="1">
        <f t="array" ref="N501">_xlfn.IFS(
    AND(I501=TRUE, K501&lt;=No_Regular_Payments), Repay_Amt,
    AND(I501=TRUE, K501=No_Regular_Payments+1), Tm_Balloon_Amt,
   TRUE, 0
)</f>
        <v>0</v>
      </c>
      <c r="O501" s="1850" cm="1">
        <f t="array" ref="O501">_xlfn.IFS(
    M501=0,0,
   ABS(N501 - S500 - P501-Q501) &lt; 1, N501 - S500-Q501,
    TRUE, P501
)</f>
        <v>0</v>
      </c>
      <c r="P501" s="1852">
        <f>IF(M501=0,0,ROUND(S500*EXP(Int_Rate/365.25 * M501)-S500,2))</f>
        <v>0</v>
      </c>
      <c r="Q501" s="1851" cm="1">
        <f t="array" ref="Q501">_xlfn.IFS(
    AND(I501=TRUE, K501&lt;=No_Regular_Payments), Periodic_Admin_Charge,
   TRUE, 0
)</f>
        <v>0</v>
      </c>
      <c r="R501" s="1850">
        <f>N501-O501-Q501</f>
        <v>0</v>
      </c>
      <c r="S501" s="1850">
        <f>ROUND(S500-R501,2)</f>
        <v>0</v>
      </c>
      <c r="T501" s="1850">
        <f>ROUND(T500-(N501-Q501),2)</f>
        <v>0</v>
      </c>
      <c r="U501" s="1849"/>
      <c r="W501" s="1848"/>
      <c r="X501" s="1848"/>
      <c r="Y501" s="1848"/>
    </row>
    <row r="502" spans="2:25" hidden="1">
      <c r="B502" s="1815" t="b">
        <f>AND(I502=FALSE,N501=0,Q501=0,L501="")</f>
        <v>1</v>
      </c>
      <c r="C502" s="1844" t="str" cm="1">
        <f t="array" ref="C502">_xlfn.IFS(
    L502="", "",
    MONTH(L502) &lt;= End_of_Year_Month, YEAR(L502),
    TRUE, YEAR(L502) + 1
)</f>
        <v/>
      </c>
      <c r="F502" s="1857">
        <f>IF(L502="",0,L502)</f>
        <v>0</v>
      </c>
      <c r="G502" s="1856">
        <f>-(N502-Q502)</f>
        <v>0</v>
      </c>
      <c r="I502" s="1815" t="b">
        <f>K502&lt;=Number_Payments</f>
        <v>0</v>
      </c>
      <c r="J502" s="1855"/>
      <c r="K502" s="1351">
        <f>K501+1</f>
        <v>376</v>
      </c>
      <c r="L502" s="1854" t="str" cm="1">
        <f t="array" ref="L502">_xlfn.IFS(
    I501=FALSE, "",
    Payment_Frequency="Monthly", EDATE(L501, 1),
    Payment_Frequency="Weekly", DATE(YEAR(L501), MONTH(L501), DAY(L501) + 7),
    Payment_Frequency="Fortnightly", DATE(YEAR(L501), MONTH(L501), DAY(L501) + 14),
    Payment_Frequency="Quarterly", DATE(YEAR(L501), MONTH(L501) + 3, DAY(L501)),
    Payment_Frequency="Yearly", DATE(YEAR(L501) + 1, MONTH(L501), DAY(L501)),
    TRUE, ""
)</f>
        <v/>
      </c>
      <c r="M502" s="1853">
        <f>IF(ISERROR(L502-L501),0,L502-L501)</f>
        <v>0</v>
      </c>
      <c r="N502" s="1851" cm="1">
        <f t="array" ref="N502">_xlfn.IFS(
    AND(I502=TRUE, K502&lt;=No_Regular_Payments), Repay_Amt,
    AND(I502=TRUE, K502=No_Regular_Payments+1), Tm_Balloon_Amt,
   TRUE, 0
)</f>
        <v>0</v>
      </c>
      <c r="O502" s="1850" cm="1">
        <f t="array" ref="O502">_xlfn.IFS(
    M502=0,0,
   ABS(N502 - S501 - P502-Q502) &lt; 1, N502 - S501-Q502,
    TRUE, P502
)</f>
        <v>0</v>
      </c>
      <c r="P502" s="1852">
        <f>IF(M502=0,0,ROUND(S501*EXP(Int_Rate/365.25 * M502)-S501,2))</f>
        <v>0</v>
      </c>
      <c r="Q502" s="1851" cm="1">
        <f t="array" ref="Q502">_xlfn.IFS(
    AND(I502=TRUE, K502&lt;=No_Regular_Payments), Periodic_Admin_Charge,
   TRUE, 0
)</f>
        <v>0</v>
      </c>
      <c r="R502" s="1850">
        <f>N502-O502-Q502</f>
        <v>0</v>
      </c>
      <c r="S502" s="1850">
        <f>ROUND(S501-R502,2)</f>
        <v>0</v>
      </c>
      <c r="T502" s="1850">
        <f>ROUND(T501-(N502-Q502),2)</f>
        <v>0</v>
      </c>
      <c r="U502" s="1849"/>
      <c r="W502" s="1848"/>
      <c r="X502" s="1848"/>
      <c r="Y502" s="1848"/>
    </row>
    <row r="503" spans="2:25" hidden="1">
      <c r="B503" s="1815" t="b">
        <f>AND(I503=FALSE,N502=0,Q502=0,L502="")</f>
        <v>1</v>
      </c>
      <c r="C503" s="1844" t="str" cm="1">
        <f t="array" ref="C503">_xlfn.IFS(
    L503="", "",
    MONTH(L503) &lt;= End_of_Year_Month, YEAR(L503),
    TRUE, YEAR(L503) + 1
)</f>
        <v/>
      </c>
      <c r="F503" s="1857">
        <f>IF(L503="",0,L503)</f>
        <v>0</v>
      </c>
      <c r="G503" s="1856">
        <f>-(N503-Q503)</f>
        <v>0</v>
      </c>
      <c r="I503" s="1815" t="b">
        <f>K503&lt;=Number_Payments</f>
        <v>0</v>
      </c>
      <c r="J503" s="1855"/>
      <c r="K503" s="1351">
        <f>K502+1</f>
        <v>377</v>
      </c>
      <c r="L503" s="1854" t="str" cm="1">
        <f t="array" ref="L503">_xlfn.IFS(
    I502=FALSE, "",
    Payment_Frequency="Monthly", EDATE(L502, 1),
    Payment_Frequency="Weekly", DATE(YEAR(L502), MONTH(L502), DAY(L502) + 7),
    Payment_Frequency="Fortnightly", DATE(YEAR(L502), MONTH(L502), DAY(L502) + 14),
    Payment_Frequency="Quarterly", DATE(YEAR(L502), MONTH(L502) + 3, DAY(L502)),
    Payment_Frequency="Yearly", DATE(YEAR(L502) + 1, MONTH(L502), DAY(L502)),
    TRUE, ""
)</f>
        <v/>
      </c>
      <c r="M503" s="1853">
        <f>IF(ISERROR(L503-L502),0,L503-L502)</f>
        <v>0</v>
      </c>
      <c r="N503" s="1851" cm="1">
        <f t="array" ref="N503">_xlfn.IFS(
    AND(I503=TRUE, K503&lt;=No_Regular_Payments), Repay_Amt,
    AND(I503=TRUE, K503=No_Regular_Payments+1), Tm_Balloon_Amt,
   TRUE, 0
)</f>
        <v>0</v>
      </c>
      <c r="O503" s="1850" cm="1">
        <f t="array" ref="O503">_xlfn.IFS(
    M503=0,0,
   ABS(N503 - S502 - P503-Q503) &lt; 1, N503 - S502-Q503,
    TRUE, P503
)</f>
        <v>0</v>
      </c>
      <c r="P503" s="1852">
        <f>IF(M503=0,0,ROUND(S502*EXP(Int_Rate/365.25 * M503)-S502,2))</f>
        <v>0</v>
      </c>
      <c r="Q503" s="1851" cm="1">
        <f t="array" ref="Q503">_xlfn.IFS(
    AND(I503=TRUE, K503&lt;=No_Regular_Payments), Periodic_Admin_Charge,
   TRUE, 0
)</f>
        <v>0</v>
      </c>
      <c r="R503" s="1850">
        <f>N503-O503-Q503</f>
        <v>0</v>
      </c>
      <c r="S503" s="1850">
        <f>ROUND(S502-R503,2)</f>
        <v>0</v>
      </c>
      <c r="T503" s="1850">
        <f>ROUND(T502-(N503-Q503),2)</f>
        <v>0</v>
      </c>
      <c r="U503" s="1849"/>
      <c r="W503" s="1848"/>
      <c r="X503" s="1848"/>
      <c r="Y503" s="1848"/>
    </row>
    <row r="504" spans="2:25" hidden="1">
      <c r="B504" s="1815" t="b">
        <f>AND(I504=FALSE,N503=0,Q503=0,L503="")</f>
        <v>1</v>
      </c>
      <c r="C504" s="1844" t="str" cm="1">
        <f t="array" ref="C504">_xlfn.IFS(
    L504="", "",
    MONTH(L504) &lt;= End_of_Year_Month, YEAR(L504),
    TRUE, YEAR(L504) + 1
)</f>
        <v/>
      </c>
      <c r="F504" s="1857">
        <f>IF(L504="",0,L504)</f>
        <v>0</v>
      </c>
      <c r="G504" s="1856">
        <f>-(N504-Q504)</f>
        <v>0</v>
      </c>
      <c r="I504" s="1815" t="b">
        <f>K504&lt;=Number_Payments</f>
        <v>0</v>
      </c>
      <c r="J504" s="1855"/>
      <c r="K504" s="1351">
        <f>K503+1</f>
        <v>378</v>
      </c>
      <c r="L504" s="1854" t="str" cm="1">
        <f t="array" ref="L504">_xlfn.IFS(
    I503=FALSE, "",
    Payment_Frequency="Monthly", EDATE(L503, 1),
    Payment_Frequency="Weekly", DATE(YEAR(L503), MONTH(L503), DAY(L503) + 7),
    Payment_Frequency="Fortnightly", DATE(YEAR(L503), MONTH(L503), DAY(L503) + 14),
    Payment_Frequency="Quarterly", DATE(YEAR(L503), MONTH(L503) + 3, DAY(L503)),
    Payment_Frequency="Yearly", DATE(YEAR(L503) + 1, MONTH(L503), DAY(L503)),
    TRUE, ""
)</f>
        <v/>
      </c>
      <c r="M504" s="1853">
        <f>IF(ISERROR(L504-L503),0,L504-L503)</f>
        <v>0</v>
      </c>
      <c r="N504" s="1851" cm="1">
        <f t="array" ref="N504">_xlfn.IFS(
    AND(I504=TRUE, K504&lt;=No_Regular_Payments), Repay_Amt,
    AND(I504=TRUE, K504=No_Regular_Payments+1), Tm_Balloon_Amt,
   TRUE, 0
)</f>
        <v>0</v>
      </c>
      <c r="O504" s="1850" cm="1">
        <f t="array" ref="O504">_xlfn.IFS(
    M504=0,0,
   ABS(N504 - S503 - P504-Q504) &lt; 1, N504 - S503-Q504,
    TRUE, P504
)</f>
        <v>0</v>
      </c>
      <c r="P504" s="1852">
        <f>IF(M504=0,0,ROUND(S503*EXP(Int_Rate/365.25 * M504)-S503,2))</f>
        <v>0</v>
      </c>
      <c r="Q504" s="1851" cm="1">
        <f t="array" ref="Q504">_xlfn.IFS(
    AND(I504=TRUE, K504&lt;=No_Regular_Payments), Periodic_Admin_Charge,
   TRUE, 0
)</f>
        <v>0</v>
      </c>
      <c r="R504" s="1850">
        <f>N504-O504-Q504</f>
        <v>0</v>
      </c>
      <c r="S504" s="1850">
        <f>ROUND(S503-R504,2)</f>
        <v>0</v>
      </c>
      <c r="T504" s="1850">
        <f>ROUND(T503-(N504-Q504),2)</f>
        <v>0</v>
      </c>
      <c r="U504" s="1849"/>
      <c r="W504" s="1848"/>
      <c r="X504" s="1848"/>
      <c r="Y504" s="1848"/>
    </row>
    <row r="505" spans="2:25" hidden="1">
      <c r="B505" s="1815" t="b">
        <f>AND(I505=FALSE,N504=0,Q504=0,L504="")</f>
        <v>1</v>
      </c>
      <c r="C505" s="1844" t="str" cm="1">
        <f t="array" ref="C505">_xlfn.IFS(
    L505="", "",
    MONTH(L505) &lt;= End_of_Year_Month, YEAR(L505),
    TRUE, YEAR(L505) + 1
)</f>
        <v/>
      </c>
      <c r="F505" s="1857">
        <f>IF(L505="",0,L505)</f>
        <v>0</v>
      </c>
      <c r="G505" s="1856">
        <f>-(N505-Q505)</f>
        <v>0</v>
      </c>
      <c r="I505" s="1815" t="b">
        <f>K505&lt;=Number_Payments</f>
        <v>0</v>
      </c>
      <c r="J505" s="1855"/>
      <c r="K505" s="1351">
        <f>K504+1</f>
        <v>379</v>
      </c>
      <c r="L505" s="1854" t="str" cm="1">
        <f t="array" ref="L505">_xlfn.IFS(
    I504=FALSE, "",
    Payment_Frequency="Monthly", EDATE(L504, 1),
    Payment_Frequency="Weekly", DATE(YEAR(L504), MONTH(L504), DAY(L504) + 7),
    Payment_Frequency="Fortnightly", DATE(YEAR(L504), MONTH(L504), DAY(L504) + 14),
    Payment_Frequency="Quarterly", DATE(YEAR(L504), MONTH(L504) + 3, DAY(L504)),
    Payment_Frequency="Yearly", DATE(YEAR(L504) + 1, MONTH(L504), DAY(L504)),
    TRUE, ""
)</f>
        <v/>
      </c>
      <c r="M505" s="1853">
        <f>IF(ISERROR(L505-L504),0,L505-L504)</f>
        <v>0</v>
      </c>
      <c r="N505" s="1851" cm="1">
        <f t="array" ref="N505">_xlfn.IFS(
    AND(I505=TRUE, K505&lt;=No_Regular_Payments), Repay_Amt,
    AND(I505=TRUE, K505=No_Regular_Payments+1), Tm_Balloon_Amt,
   TRUE, 0
)</f>
        <v>0</v>
      </c>
      <c r="O505" s="1850" cm="1">
        <f t="array" ref="O505">_xlfn.IFS(
    M505=0,0,
   ABS(N505 - S504 - P505-Q505) &lt; 1, N505 - S504-Q505,
    TRUE, P505
)</f>
        <v>0</v>
      </c>
      <c r="P505" s="1852">
        <f>IF(M505=0,0,ROUND(S504*EXP(Int_Rate/365.25 * M505)-S504,2))</f>
        <v>0</v>
      </c>
      <c r="Q505" s="1851" cm="1">
        <f t="array" ref="Q505">_xlfn.IFS(
    AND(I505=TRUE, K505&lt;=No_Regular_Payments), Periodic_Admin_Charge,
   TRUE, 0
)</f>
        <v>0</v>
      </c>
      <c r="R505" s="1850">
        <f>N505-O505-Q505</f>
        <v>0</v>
      </c>
      <c r="S505" s="1850">
        <f>ROUND(S504-R505,2)</f>
        <v>0</v>
      </c>
      <c r="T505" s="1850">
        <f>ROUND(T504-(N505-Q505),2)</f>
        <v>0</v>
      </c>
      <c r="U505" s="1849"/>
      <c r="W505" s="1848"/>
      <c r="X505" s="1848"/>
      <c r="Y505" s="1848"/>
    </row>
    <row r="506" spans="2:25" hidden="1">
      <c r="B506" s="1815" t="b">
        <f>AND(I506=FALSE,N505=0,Q505=0,L505="")</f>
        <v>1</v>
      </c>
      <c r="C506" s="1844" t="str" cm="1">
        <f t="array" ref="C506">_xlfn.IFS(
    L506="", "",
    MONTH(L506) &lt;= End_of_Year_Month, YEAR(L506),
    TRUE, YEAR(L506) + 1
)</f>
        <v/>
      </c>
      <c r="F506" s="1857">
        <f>IF(L506="",0,L506)</f>
        <v>0</v>
      </c>
      <c r="G506" s="1856">
        <f>-(N506-Q506)</f>
        <v>0</v>
      </c>
      <c r="I506" s="1815" t="b">
        <f>K506&lt;=Number_Payments</f>
        <v>0</v>
      </c>
      <c r="J506" s="1855"/>
      <c r="K506" s="1351">
        <f>K505+1</f>
        <v>380</v>
      </c>
      <c r="L506" s="1854" t="str" cm="1">
        <f t="array" ref="L506">_xlfn.IFS(
    I505=FALSE, "",
    Payment_Frequency="Monthly", EDATE(L505, 1),
    Payment_Frequency="Weekly", DATE(YEAR(L505), MONTH(L505), DAY(L505) + 7),
    Payment_Frequency="Fortnightly", DATE(YEAR(L505), MONTH(L505), DAY(L505) + 14),
    Payment_Frequency="Quarterly", DATE(YEAR(L505), MONTH(L505) + 3, DAY(L505)),
    Payment_Frequency="Yearly", DATE(YEAR(L505) + 1, MONTH(L505), DAY(L505)),
    TRUE, ""
)</f>
        <v/>
      </c>
      <c r="M506" s="1853">
        <f>IF(ISERROR(L506-L505),0,L506-L505)</f>
        <v>0</v>
      </c>
      <c r="N506" s="1851" cm="1">
        <f t="array" ref="N506">_xlfn.IFS(
    AND(I506=TRUE, K506&lt;=No_Regular_Payments), Repay_Amt,
    AND(I506=TRUE, K506=No_Regular_Payments+1), Tm_Balloon_Amt,
   TRUE, 0
)</f>
        <v>0</v>
      </c>
      <c r="O506" s="1850" cm="1">
        <f t="array" ref="O506">_xlfn.IFS(
    M506=0,0,
   ABS(N506 - S505 - P506-Q506) &lt; 1, N506 - S505-Q506,
    TRUE, P506
)</f>
        <v>0</v>
      </c>
      <c r="P506" s="1852">
        <f>IF(M506=0,0,ROUND(S505*EXP(Int_Rate/365.25 * M506)-S505,2))</f>
        <v>0</v>
      </c>
      <c r="Q506" s="1851" cm="1">
        <f t="array" ref="Q506">_xlfn.IFS(
    AND(I506=TRUE, K506&lt;=No_Regular_Payments), Periodic_Admin_Charge,
   TRUE, 0
)</f>
        <v>0</v>
      </c>
      <c r="R506" s="1850">
        <f>N506-O506-Q506</f>
        <v>0</v>
      </c>
      <c r="S506" s="1850">
        <f>ROUND(S505-R506,2)</f>
        <v>0</v>
      </c>
      <c r="T506" s="1850">
        <f>ROUND(T505-(N506-Q506),2)</f>
        <v>0</v>
      </c>
      <c r="U506" s="1849"/>
      <c r="W506" s="1848"/>
      <c r="X506" s="1848"/>
      <c r="Y506" s="1848"/>
    </row>
    <row r="507" spans="2:25" hidden="1">
      <c r="B507" s="1815" t="b">
        <f>AND(I507=FALSE,N506=0,Q506=0,L506="")</f>
        <v>1</v>
      </c>
      <c r="C507" s="1844" t="str" cm="1">
        <f t="array" ref="C507">_xlfn.IFS(
    L507="", "",
    MONTH(L507) &lt;= End_of_Year_Month, YEAR(L507),
    TRUE, YEAR(L507) + 1
)</f>
        <v/>
      </c>
      <c r="F507" s="1857">
        <f>IF(L507="",0,L507)</f>
        <v>0</v>
      </c>
      <c r="G507" s="1856">
        <f>-(N507-Q507)</f>
        <v>0</v>
      </c>
      <c r="I507" s="1815" t="b">
        <f>K507&lt;=Number_Payments</f>
        <v>0</v>
      </c>
      <c r="J507" s="1855"/>
      <c r="K507" s="1351">
        <f>K506+1</f>
        <v>381</v>
      </c>
      <c r="L507" s="1854" t="str" cm="1">
        <f t="array" ref="L507">_xlfn.IFS(
    I506=FALSE, "",
    Payment_Frequency="Monthly", EDATE(L506, 1),
    Payment_Frequency="Weekly", DATE(YEAR(L506), MONTH(L506), DAY(L506) + 7),
    Payment_Frequency="Fortnightly", DATE(YEAR(L506), MONTH(L506), DAY(L506) + 14),
    Payment_Frequency="Quarterly", DATE(YEAR(L506), MONTH(L506) + 3, DAY(L506)),
    Payment_Frequency="Yearly", DATE(YEAR(L506) + 1, MONTH(L506), DAY(L506)),
    TRUE, ""
)</f>
        <v/>
      </c>
      <c r="M507" s="1853">
        <f>IF(ISERROR(L507-L506),0,L507-L506)</f>
        <v>0</v>
      </c>
      <c r="N507" s="1851" cm="1">
        <f t="array" ref="N507">_xlfn.IFS(
    AND(I507=TRUE, K507&lt;=No_Regular_Payments), Repay_Amt,
    AND(I507=TRUE, K507=No_Regular_Payments+1), Tm_Balloon_Amt,
   TRUE, 0
)</f>
        <v>0</v>
      </c>
      <c r="O507" s="1850" cm="1">
        <f t="array" ref="O507">_xlfn.IFS(
    M507=0,0,
   ABS(N507 - S506 - P507-Q507) &lt; 1, N507 - S506-Q507,
    TRUE, P507
)</f>
        <v>0</v>
      </c>
      <c r="P507" s="1852">
        <f>IF(M507=0,0,ROUND(S506*EXP(Int_Rate/365.25 * M507)-S506,2))</f>
        <v>0</v>
      </c>
      <c r="Q507" s="1851" cm="1">
        <f t="array" ref="Q507">_xlfn.IFS(
    AND(I507=TRUE, K507&lt;=No_Regular_Payments), Periodic_Admin_Charge,
   TRUE, 0
)</f>
        <v>0</v>
      </c>
      <c r="R507" s="1850">
        <f>N507-O507-Q507</f>
        <v>0</v>
      </c>
      <c r="S507" s="1850">
        <f>ROUND(S506-R507,2)</f>
        <v>0</v>
      </c>
      <c r="T507" s="1850">
        <f>ROUND(T506-(N507-Q507),2)</f>
        <v>0</v>
      </c>
      <c r="U507" s="1849"/>
      <c r="W507" s="1848"/>
      <c r="X507" s="1848"/>
      <c r="Y507" s="1848"/>
    </row>
    <row r="508" spans="2:25" hidden="1">
      <c r="B508" s="1815" t="b">
        <f>AND(I508=FALSE,N507=0,Q507=0,L507="")</f>
        <v>1</v>
      </c>
      <c r="C508" s="1844" t="str" cm="1">
        <f t="array" ref="C508">_xlfn.IFS(
    L508="", "",
    MONTH(L508) &lt;= End_of_Year_Month, YEAR(L508),
    TRUE, YEAR(L508) + 1
)</f>
        <v/>
      </c>
      <c r="F508" s="1857">
        <f>IF(L508="",0,L508)</f>
        <v>0</v>
      </c>
      <c r="G508" s="1856">
        <f>-(N508-Q508)</f>
        <v>0</v>
      </c>
      <c r="I508" s="1815" t="b">
        <f>K508&lt;=Number_Payments</f>
        <v>0</v>
      </c>
      <c r="J508" s="1855"/>
      <c r="K508" s="1351">
        <f>K507+1</f>
        <v>382</v>
      </c>
      <c r="L508" s="1854" t="str" cm="1">
        <f t="array" ref="L508">_xlfn.IFS(
    I507=FALSE, "",
    Payment_Frequency="Monthly", EDATE(L507, 1),
    Payment_Frequency="Weekly", DATE(YEAR(L507), MONTH(L507), DAY(L507) + 7),
    Payment_Frequency="Fortnightly", DATE(YEAR(L507), MONTH(L507), DAY(L507) + 14),
    Payment_Frequency="Quarterly", DATE(YEAR(L507), MONTH(L507) + 3, DAY(L507)),
    Payment_Frequency="Yearly", DATE(YEAR(L507) + 1, MONTH(L507), DAY(L507)),
    TRUE, ""
)</f>
        <v/>
      </c>
      <c r="M508" s="1853">
        <f>IF(ISERROR(L508-L507),0,L508-L507)</f>
        <v>0</v>
      </c>
      <c r="N508" s="1851" cm="1">
        <f t="array" ref="N508">_xlfn.IFS(
    AND(I508=TRUE, K508&lt;=No_Regular_Payments), Repay_Amt,
    AND(I508=TRUE, K508=No_Regular_Payments+1), Tm_Balloon_Amt,
   TRUE, 0
)</f>
        <v>0</v>
      </c>
      <c r="O508" s="1850" cm="1">
        <f t="array" ref="O508">_xlfn.IFS(
    M508=0,0,
   ABS(N508 - S507 - P508-Q508) &lt; 1, N508 - S507-Q508,
    TRUE, P508
)</f>
        <v>0</v>
      </c>
      <c r="P508" s="1852">
        <f>IF(M508=0,0,ROUND(S507*EXP(Int_Rate/365.25 * M508)-S507,2))</f>
        <v>0</v>
      </c>
      <c r="Q508" s="1851" cm="1">
        <f t="array" ref="Q508">_xlfn.IFS(
    AND(I508=TRUE, K508&lt;=No_Regular_Payments), Periodic_Admin_Charge,
   TRUE, 0
)</f>
        <v>0</v>
      </c>
      <c r="R508" s="1850">
        <f>N508-O508-Q508</f>
        <v>0</v>
      </c>
      <c r="S508" s="1850">
        <f>ROUND(S507-R508,2)</f>
        <v>0</v>
      </c>
      <c r="T508" s="1850">
        <f>ROUND(T507-(N508-Q508),2)</f>
        <v>0</v>
      </c>
      <c r="U508" s="1849"/>
      <c r="W508" s="1848"/>
      <c r="X508" s="1848"/>
      <c r="Y508" s="1848"/>
    </row>
    <row r="509" spans="2:25" hidden="1">
      <c r="B509" s="1815" t="b">
        <f>AND(I509=FALSE,N508=0,Q508=0,L508="")</f>
        <v>1</v>
      </c>
      <c r="C509" s="1844" t="str" cm="1">
        <f t="array" ref="C509">_xlfn.IFS(
    L509="", "",
    MONTH(L509) &lt;= End_of_Year_Month, YEAR(L509),
    TRUE, YEAR(L509) + 1
)</f>
        <v/>
      </c>
      <c r="F509" s="1857">
        <f>IF(L509="",0,L509)</f>
        <v>0</v>
      </c>
      <c r="G509" s="1856">
        <f>-(N509-Q509)</f>
        <v>0</v>
      </c>
      <c r="I509" s="1815" t="b">
        <f>K509&lt;=Number_Payments</f>
        <v>0</v>
      </c>
      <c r="J509" s="1855"/>
      <c r="K509" s="1351">
        <f>K508+1</f>
        <v>383</v>
      </c>
      <c r="L509" s="1854" t="str" cm="1">
        <f t="array" ref="L509">_xlfn.IFS(
    I508=FALSE, "",
    Payment_Frequency="Monthly", EDATE(L508, 1),
    Payment_Frequency="Weekly", DATE(YEAR(L508), MONTH(L508), DAY(L508) + 7),
    Payment_Frequency="Fortnightly", DATE(YEAR(L508), MONTH(L508), DAY(L508) + 14),
    Payment_Frequency="Quarterly", DATE(YEAR(L508), MONTH(L508) + 3, DAY(L508)),
    Payment_Frequency="Yearly", DATE(YEAR(L508) + 1, MONTH(L508), DAY(L508)),
    TRUE, ""
)</f>
        <v/>
      </c>
      <c r="M509" s="1853">
        <f>IF(ISERROR(L509-L508),0,L509-L508)</f>
        <v>0</v>
      </c>
      <c r="N509" s="1851" cm="1">
        <f t="array" ref="N509">_xlfn.IFS(
    AND(I509=TRUE, K509&lt;=No_Regular_Payments), Repay_Amt,
    AND(I509=TRUE, K509=No_Regular_Payments+1), Tm_Balloon_Amt,
   TRUE, 0
)</f>
        <v>0</v>
      </c>
      <c r="O509" s="1850" cm="1">
        <f t="array" ref="O509">_xlfn.IFS(
    M509=0,0,
   ABS(N509 - S508 - P509-Q509) &lt; 1, N509 - S508-Q509,
    TRUE, P509
)</f>
        <v>0</v>
      </c>
      <c r="P509" s="1852">
        <f>IF(M509=0,0,ROUND(S508*EXP(Int_Rate/365.25 * M509)-S508,2))</f>
        <v>0</v>
      </c>
      <c r="Q509" s="1851" cm="1">
        <f t="array" ref="Q509">_xlfn.IFS(
    AND(I509=TRUE, K509&lt;=No_Regular_Payments), Periodic_Admin_Charge,
   TRUE, 0
)</f>
        <v>0</v>
      </c>
      <c r="R509" s="1850">
        <f>N509-O509-Q509</f>
        <v>0</v>
      </c>
      <c r="S509" s="1850">
        <f>ROUND(S508-R509,2)</f>
        <v>0</v>
      </c>
      <c r="T509" s="1850">
        <f>ROUND(T508-(N509-Q509),2)</f>
        <v>0</v>
      </c>
      <c r="U509" s="1849"/>
      <c r="W509" s="1848"/>
      <c r="X509" s="1848"/>
      <c r="Y509" s="1848"/>
    </row>
    <row r="510" spans="2:25" hidden="1">
      <c r="B510" s="1815" t="b">
        <f>AND(I510=FALSE,N509=0,Q509=0,L509="")</f>
        <v>1</v>
      </c>
      <c r="C510" s="1844" t="str" cm="1">
        <f t="array" ref="C510">_xlfn.IFS(
    L510="", "",
    MONTH(L510) &lt;= End_of_Year_Month, YEAR(L510),
    TRUE, YEAR(L510) + 1
)</f>
        <v/>
      </c>
      <c r="F510" s="1857">
        <f>IF(L510="",0,L510)</f>
        <v>0</v>
      </c>
      <c r="G510" s="1856">
        <f>-(N510-Q510)</f>
        <v>0</v>
      </c>
      <c r="I510" s="1815" t="b">
        <f>K510&lt;=Number_Payments</f>
        <v>0</v>
      </c>
      <c r="J510" s="1855"/>
      <c r="K510" s="1351">
        <f>K509+1</f>
        <v>384</v>
      </c>
      <c r="L510" s="1854" t="str" cm="1">
        <f t="array" ref="L510">_xlfn.IFS(
    I509=FALSE, "",
    Payment_Frequency="Monthly", EDATE(L509, 1),
    Payment_Frequency="Weekly", DATE(YEAR(L509), MONTH(L509), DAY(L509) + 7),
    Payment_Frequency="Fortnightly", DATE(YEAR(L509), MONTH(L509), DAY(L509) + 14),
    Payment_Frequency="Quarterly", DATE(YEAR(L509), MONTH(L509) + 3, DAY(L509)),
    Payment_Frequency="Yearly", DATE(YEAR(L509) + 1, MONTH(L509), DAY(L509)),
    TRUE, ""
)</f>
        <v/>
      </c>
      <c r="M510" s="1853">
        <f>IF(ISERROR(L510-L509),0,L510-L509)</f>
        <v>0</v>
      </c>
      <c r="N510" s="1851" cm="1">
        <f t="array" ref="N510">_xlfn.IFS(
    AND(I510=TRUE, K510&lt;=No_Regular_Payments), Repay_Amt,
    AND(I510=TRUE, K510=No_Regular_Payments+1), Tm_Balloon_Amt,
   TRUE, 0
)</f>
        <v>0</v>
      </c>
      <c r="O510" s="1850" cm="1">
        <f t="array" ref="O510">_xlfn.IFS(
    M510=0,0,
   ABS(N510 - S509 - P510-Q510) &lt; 1, N510 - S509-Q510,
    TRUE, P510
)</f>
        <v>0</v>
      </c>
      <c r="P510" s="1852">
        <f>IF(M510=0,0,ROUND(S509*EXP(Int_Rate/365.25 * M510)-S509,2))</f>
        <v>0</v>
      </c>
      <c r="Q510" s="1851" cm="1">
        <f t="array" ref="Q510">_xlfn.IFS(
    AND(I510=TRUE, K510&lt;=No_Regular_Payments), Periodic_Admin_Charge,
   TRUE, 0
)</f>
        <v>0</v>
      </c>
      <c r="R510" s="1850">
        <f>N510-O510-Q510</f>
        <v>0</v>
      </c>
      <c r="S510" s="1850">
        <f>ROUND(S509-R510,2)</f>
        <v>0</v>
      </c>
      <c r="T510" s="1850">
        <f>ROUND(T509-(N510-Q510),2)</f>
        <v>0</v>
      </c>
      <c r="U510" s="1849"/>
      <c r="W510" s="1848"/>
      <c r="X510" s="1848"/>
      <c r="Y510" s="1848"/>
    </row>
    <row r="511" spans="2:25" hidden="1">
      <c r="B511" s="1815" t="b">
        <f>AND(I511=FALSE,N510=0,Q510=0,L510="")</f>
        <v>1</v>
      </c>
      <c r="C511" s="1844" t="str" cm="1">
        <f t="array" ref="C511">_xlfn.IFS(
    L511="", "",
    MONTH(L511) &lt;= End_of_Year_Month, YEAR(L511),
    TRUE, YEAR(L511) + 1
)</f>
        <v/>
      </c>
      <c r="F511" s="1857">
        <f>IF(L511="",0,L511)</f>
        <v>0</v>
      </c>
      <c r="G511" s="1856">
        <f>-(N511-Q511)</f>
        <v>0</v>
      </c>
      <c r="I511" s="1815" t="b">
        <f>K511&lt;=Number_Payments</f>
        <v>0</v>
      </c>
      <c r="J511" s="1855"/>
      <c r="K511" s="1351">
        <f>K510+1</f>
        <v>385</v>
      </c>
      <c r="L511" s="1854" t="str" cm="1">
        <f t="array" ref="L511">_xlfn.IFS(
    I510=FALSE, "",
    Payment_Frequency="Monthly", EDATE(L510, 1),
    Payment_Frequency="Weekly", DATE(YEAR(L510), MONTH(L510), DAY(L510) + 7),
    Payment_Frequency="Fortnightly", DATE(YEAR(L510), MONTH(L510), DAY(L510) + 14),
    Payment_Frequency="Quarterly", DATE(YEAR(L510), MONTH(L510) + 3, DAY(L510)),
    Payment_Frequency="Yearly", DATE(YEAR(L510) + 1, MONTH(L510), DAY(L510)),
    TRUE, ""
)</f>
        <v/>
      </c>
      <c r="M511" s="1853">
        <f>IF(ISERROR(L511-L510),0,L511-L510)</f>
        <v>0</v>
      </c>
      <c r="N511" s="1851" cm="1">
        <f t="array" ref="N511">_xlfn.IFS(
    AND(I511=TRUE, K511&lt;=No_Regular_Payments), Repay_Amt,
    AND(I511=TRUE, K511=No_Regular_Payments+1), Tm_Balloon_Amt,
   TRUE, 0
)</f>
        <v>0</v>
      </c>
      <c r="O511" s="1850" cm="1">
        <f t="array" ref="O511">_xlfn.IFS(
    M511=0,0,
   ABS(N511 - S510 - P511-Q511) &lt; 1, N511 - S510-Q511,
    TRUE, P511
)</f>
        <v>0</v>
      </c>
      <c r="P511" s="1852">
        <f>IF(M511=0,0,ROUND(S510*EXP(Int_Rate/365.25 * M511)-S510,2))</f>
        <v>0</v>
      </c>
      <c r="Q511" s="1851" cm="1">
        <f t="array" ref="Q511">_xlfn.IFS(
    AND(I511=TRUE, K511&lt;=No_Regular_Payments), Periodic_Admin_Charge,
   TRUE, 0
)</f>
        <v>0</v>
      </c>
      <c r="R511" s="1850">
        <f>N511-O511-Q511</f>
        <v>0</v>
      </c>
      <c r="S511" s="1850">
        <f>ROUND(S510-R511,2)</f>
        <v>0</v>
      </c>
      <c r="T511" s="1850">
        <f>ROUND(T510-(N511-Q511),2)</f>
        <v>0</v>
      </c>
      <c r="U511" s="1849"/>
      <c r="W511" s="1848"/>
      <c r="X511" s="1848"/>
      <c r="Y511" s="1848"/>
    </row>
    <row r="512" spans="2:25" hidden="1">
      <c r="B512" s="1815" t="b">
        <f>AND(I512=FALSE,N511=0,Q511=0,L511="")</f>
        <v>1</v>
      </c>
      <c r="C512" s="1844" t="str" cm="1">
        <f t="array" ref="C512">_xlfn.IFS(
    L512="", "",
    MONTH(L512) &lt;= End_of_Year_Month, YEAR(L512),
    TRUE, YEAR(L512) + 1
)</f>
        <v/>
      </c>
      <c r="F512" s="1857">
        <f>IF(L512="",0,L512)</f>
        <v>0</v>
      </c>
      <c r="G512" s="1856">
        <f>-(N512-Q512)</f>
        <v>0</v>
      </c>
      <c r="I512" s="1815" t="b">
        <f>K512&lt;=Number_Payments</f>
        <v>0</v>
      </c>
      <c r="J512" s="1855"/>
      <c r="K512" s="1351">
        <f>K511+1</f>
        <v>386</v>
      </c>
      <c r="L512" s="1854" t="str" cm="1">
        <f t="array" ref="L512">_xlfn.IFS(
    I511=FALSE, "",
    Payment_Frequency="Monthly", EDATE(L511, 1),
    Payment_Frequency="Weekly", DATE(YEAR(L511), MONTH(L511), DAY(L511) + 7),
    Payment_Frequency="Fortnightly", DATE(YEAR(L511), MONTH(L511), DAY(L511) + 14),
    Payment_Frequency="Quarterly", DATE(YEAR(L511), MONTH(L511) + 3, DAY(L511)),
    Payment_Frequency="Yearly", DATE(YEAR(L511) + 1, MONTH(L511), DAY(L511)),
    TRUE, ""
)</f>
        <v/>
      </c>
      <c r="M512" s="1853">
        <f>IF(ISERROR(L512-L511),0,L512-L511)</f>
        <v>0</v>
      </c>
      <c r="N512" s="1851" cm="1">
        <f t="array" ref="N512">_xlfn.IFS(
    AND(I512=TRUE, K512&lt;=No_Regular_Payments), Repay_Amt,
    AND(I512=TRUE, K512=No_Regular_Payments+1), Tm_Balloon_Amt,
   TRUE, 0
)</f>
        <v>0</v>
      </c>
      <c r="O512" s="1850" cm="1">
        <f t="array" ref="O512">_xlfn.IFS(
    M512=0,0,
   ABS(N512 - S511 - P512-Q512) &lt; 1, N512 - S511-Q512,
    TRUE, P512
)</f>
        <v>0</v>
      </c>
      <c r="P512" s="1852">
        <f>IF(M512=0,0,ROUND(S511*EXP(Int_Rate/365.25 * M512)-S511,2))</f>
        <v>0</v>
      </c>
      <c r="Q512" s="1851" cm="1">
        <f t="array" ref="Q512">_xlfn.IFS(
    AND(I512=TRUE, K512&lt;=No_Regular_Payments), Periodic_Admin_Charge,
   TRUE, 0
)</f>
        <v>0</v>
      </c>
      <c r="R512" s="1850">
        <f>N512-O512-Q512</f>
        <v>0</v>
      </c>
      <c r="S512" s="1850">
        <f>ROUND(S511-R512,2)</f>
        <v>0</v>
      </c>
      <c r="T512" s="1850">
        <f>ROUND(T511-(N512-Q512),2)</f>
        <v>0</v>
      </c>
      <c r="U512" s="1849"/>
      <c r="W512" s="1848"/>
      <c r="X512" s="1848"/>
      <c r="Y512" s="1848"/>
    </row>
    <row r="513" spans="2:25" hidden="1">
      <c r="B513" s="1815" t="b">
        <f>AND(I513=FALSE,N512=0,Q512=0,L512="")</f>
        <v>1</v>
      </c>
      <c r="C513" s="1844" t="str" cm="1">
        <f t="array" ref="C513">_xlfn.IFS(
    L513="", "",
    MONTH(L513) &lt;= End_of_Year_Month, YEAR(L513),
    TRUE, YEAR(L513) + 1
)</f>
        <v/>
      </c>
      <c r="F513" s="1857">
        <f>IF(L513="",0,L513)</f>
        <v>0</v>
      </c>
      <c r="G513" s="1856">
        <f>-(N513-Q513)</f>
        <v>0</v>
      </c>
      <c r="I513" s="1815" t="b">
        <f>K513&lt;=Number_Payments</f>
        <v>0</v>
      </c>
      <c r="J513" s="1855"/>
      <c r="K513" s="1351">
        <f>K512+1</f>
        <v>387</v>
      </c>
      <c r="L513" s="1854" t="str" cm="1">
        <f t="array" ref="L513">_xlfn.IFS(
    I512=FALSE, "",
    Payment_Frequency="Monthly", EDATE(L512, 1),
    Payment_Frequency="Weekly", DATE(YEAR(L512), MONTH(L512), DAY(L512) + 7),
    Payment_Frequency="Fortnightly", DATE(YEAR(L512), MONTH(L512), DAY(L512) + 14),
    Payment_Frequency="Quarterly", DATE(YEAR(L512), MONTH(L512) + 3, DAY(L512)),
    Payment_Frequency="Yearly", DATE(YEAR(L512) + 1, MONTH(L512), DAY(L512)),
    TRUE, ""
)</f>
        <v/>
      </c>
      <c r="M513" s="1853">
        <f>IF(ISERROR(L513-L512),0,L513-L512)</f>
        <v>0</v>
      </c>
      <c r="N513" s="1851" cm="1">
        <f t="array" ref="N513">_xlfn.IFS(
    AND(I513=TRUE, K513&lt;=No_Regular_Payments), Repay_Amt,
    AND(I513=TRUE, K513=No_Regular_Payments+1), Tm_Balloon_Amt,
   TRUE, 0
)</f>
        <v>0</v>
      </c>
      <c r="O513" s="1850" cm="1">
        <f t="array" ref="O513">_xlfn.IFS(
    M513=0,0,
   ABS(N513 - S512 - P513-Q513) &lt; 1, N513 - S512-Q513,
    TRUE, P513
)</f>
        <v>0</v>
      </c>
      <c r="P513" s="1852">
        <f>IF(M513=0,0,ROUND(S512*EXP(Int_Rate/365.25 * M513)-S512,2))</f>
        <v>0</v>
      </c>
      <c r="Q513" s="1851" cm="1">
        <f t="array" ref="Q513">_xlfn.IFS(
    AND(I513=TRUE, K513&lt;=No_Regular_Payments), Periodic_Admin_Charge,
   TRUE, 0
)</f>
        <v>0</v>
      </c>
      <c r="R513" s="1850">
        <f>N513-O513-Q513</f>
        <v>0</v>
      </c>
      <c r="S513" s="1850">
        <f>ROUND(S512-R513,2)</f>
        <v>0</v>
      </c>
      <c r="T513" s="1850">
        <f>ROUND(T512-(N513-Q513),2)</f>
        <v>0</v>
      </c>
      <c r="U513" s="1849"/>
      <c r="W513" s="1848"/>
      <c r="X513" s="1848"/>
      <c r="Y513" s="1848"/>
    </row>
    <row r="514" spans="2:25" hidden="1">
      <c r="B514" s="1815" t="b">
        <f>AND(I514=FALSE,N513=0,Q513=0,L513="")</f>
        <v>1</v>
      </c>
      <c r="C514" s="1844" t="str" cm="1">
        <f t="array" ref="C514">_xlfn.IFS(
    L514="", "",
    MONTH(L514) &lt;= End_of_Year_Month, YEAR(L514),
    TRUE, YEAR(L514) + 1
)</f>
        <v/>
      </c>
      <c r="F514" s="1857">
        <f>IF(L514="",0,L514)</f>
        <v>0</v>
      </c>
      <c r="G514" s="1856">
        <f>-(N514-Q514)</f>
        <v>0</v>
      </c>
      <c r="I514" s="1815" t="b">
        <f>K514&lt;=Number_Payments</f>
        <v>0</v>
      </c>
      <c r="J514" s="1855"/>
      <c r="K514" s="1351">
        <f>K513+1</f>
        <v>388</v>
      </c>
      <c r="L514" s="1854" t="str" cm="1">
        <f t="array" ref="L514">_xlfn.IFS(
    I513=FALSE, "",
    Payment_Frequency="Monthly", EDATE(L513, 1),
    Payment_Frequency="Weekly", DATE(YEAR(L513), MONTH(L513), DAY(L513) + 7),
    Payment_Frequency="Fortnightly", DATE(YEAR(L513), MONTH(L513), DAY(L513) + 14),
    Payment_Frequency="Quarterly", DATE(YEAR(L513), MONTH(L513) + 3, DAY(L513)),
    Payment_Frequency="Yearly", DATE(YEAR(L513) + 1, MONTH(L513), DAY(L513)),
    TRUE, ""
)</f>
        <v/>
      </c>
      <c r="M514" s="1853">
        <f>IF(ISERROR(L514-L513),0,L514-L513)</f>
        <v>0</v>
      </c>
      <c r="N514" s="1851" cm="1">
        <f t="array" ref="N514">_xlfn.IFS(
    AND(I514=TRUE, K514&lt;=No_Regular_Payments), Repay_Amt,
    AND(I514=TRUE, K514=No_Regular_Payments+1), Tm_Balloon_Amt,
   TRUE, 0
)</f>
        <v>0</v>
      </c>
      <c r="O514" s="1850" cm="1">
        <f t="array" ref="O514">_xlfn.IFS(
    M514=0,0,
   ABS(N514 - S513 - P514-Q514) &lt; 1, N514 - S513-Q514,
    TRUE, P514
)</f>
        <v>0</v>
      </c>
      <c r="P514" s="1852">
        <f>IF(M514=0,0,ROUND(S513*EXP(Int_Rate/365.25 * M514)-S513,2))</f>
        <v>0</v>
      </c>
      <c r="Q514" s="1851" cm="1">
        <f t="array" ref="Q514">_xlfn.IFS(
    AND(I514=TRUE, K514&lt;=No_Regular_Payments), Periodic_Admin_Charge,
   TRUE, 0
)</f>
        <v>0</v>
      </c>
      <c r="R514" s="1850">
        <f>N514-O514-Q514</f>
        <v>0</v>
      </c>
      <c r="S514" s="1850">
        <f>ROUND(S513-R514,2)</f>
        <v>0</v>
      </c>
      <c r="T514" s="1850">
        <f>ROUND(T513-(N514-Q514),2)</f>
        <v>0</v>
      </c>
      <c r="U514" s="1849"/>
      <c r="W514" s="1848"/>
      <c r="X514" s="1848"/>
      <c r="Y514" s="1848"/>
    </row>
    <row r="515" spans="2:25" hidden="1">
      <c r="B515" s="1815" t="b">
        <f>AND(I515=FALSE,N514=0,Q514=0,L514="")</f>
        <v>1</v>
      </c>
      <c r="C515" s="1844" t="str" cm="1">
        <f t="array" ref="C515">_xlfn.IFS(
    L515="", "",
    MONTH(L515) &lt;= End_of_Year_Month, YEAR(L515),
    TRUE, YEAR(L515) + 1
)</f>
        <v/>
      </c>
      <c r="F515" s="1857">
        <f>IF(L515="",0,L515)</f>
        <v>0</v>
      </c>
      <c r="G515" s="1856">
        <f>-(N515-Q515)</f>
        <v>0</v>
      </c>
      <c r="I515" s="1815" t="b">
        <f>K515&lt;=Number_Payments</f>
        <v>0</v>
      </c>
      <c r="J515" s="1855"/>
      <c r="K515" s="1351">
        <f>K514+1</f>
        <v>389</v>
      </c>
      <c r="L515" s="1854" t="str" cm="1">
        <f t="array" ref="L515">_xlfn.IFS(
    I514=FALSE, "",
    Payment_Frequency="Monthly", EDATE(L514, 1),
    Payment_Frequency="Weekly", DATE(YEAR(L514), MONTH(L514), DAY(L514) + 7),
    Payment_Frequency="Fortnightly", DATE(YEAR(L514), MONTH(L514), DAY(L514) + 14),
    Payment_Frequency="Quarterly", DATE(YEAR(L514), MONTH(L514) + 3, DAY(L514)),
    Payment_Frequency="Yearly", DATE(YEAR(L514) + 1, MONTH(L514), DAY(L514)),
    TRUE, ""
)</f>
        <v/>
      </c>
      <c r="M515" s="1853">
        <f>IF(ISERROR(L515-L514),0,L515-L514)</f>
        <v>0</v>
      </c>
      <c r="N515" s="1851" cm="1">
        <f t="array" ref="N515">_xlfn.IFS(
    AND(I515=TRUE, K515&lt;=No_Regular_Payments), Repay_Amt,
    AND(I515=TRUE, K515=No_Regular_Payments+1), Tm_Balloon_Amt,
   TRUE, 0
)</f>
        <v>0</v>
      </c>
      <c r="O515" s="1850" cm="1">
        <f t="array" ref="O515">_xlfn.IFS(
    M515=0,0,
   ABS(N515 - S514 - P515-Q515) &lt; 1, N515 - S514-Q515,
    TRUE, P515
)</f>
        <v>0</v>
      </c>
      <c r="P515" s="1852">
        <f>IF(M515=0,0,ROUND(S514*EXP(Int_Rate/365.25 * M515)-S514,2))</f>
        <v>0</v>
      </c>
      <c r="Q515" s="1851" cm="1">
        <f t="array" ref="Q515">_xlfn.IFS(
    AND(I515=TRUE, K515&lt;=No_Regular_Payments), Periodic_Admin_Charge,
   TRUE, 0
)</f>
        <v>0</v>
      </c>
      <c r="R515" s="1850">
        <f>N515-O515-Q515</f>
        <v>0</v>
      </c>
      <c r="S515" s="1850">
        <f>ROUND(S514-R515,2)</f>
        <v>0</v>
      </c>
      <c r="T515" s="1850">
        <f>ROUND(T514-(N515-Q515),2)</f>
        <v>0</v>
      </c>
      <c r="U515" s="1849"/>
      <c r="W515" s="1848"/>
      <c r="X515" s="1848"/>
      <c r="Y515" s="1848"/>
    </row>
    <row r="516" spans="2:25" hidden="1">
      <c r="B516" s="1815" t="b">
        <f>AND(I516=FALSE,N515=0,Q515=0,L515="")</f>
        <v>1</v>
      </c>
      <c r="C516" s="1844" t="str" cm="1">
        <f t="array" ref="C516">_xlfn.IFS(
    L516="", "",
    MONTH(L516) &lt;= End_of_Year_Month, YEAR(L516),
    TRUE, YEAR(L516) + 1
)</f>
        <v/>
      </c>
      <c r="F516" s="1857">
        <f>IF(L516="",0,L516)</f>
        <v>0</v>
      </c>
      <c r="G516" s="1856">
        <f>-(N516-Q516)</f>
        <v>0</v>
      </c>
      <c r="I516" s="1815" t="b">
        <f>K516&lt;=Number_Payments</f>
        <v>0</v>
      </c>
      <c r="J516" s="1855"/>
      <c r="K516" s="1351">
        <f>K515+1</f>
        <v>390</v>
      </c>
      <c r="L516" s="1854" t="str" cm="1">
        <f t="array" ref="L516">_xlfn.IFS(
    I515=FALSE, "",
    Payment_Frequency="Monthly", EDATE(L515, 1),
    Payment_Frequency="Weekly", DATE(YEAR(L515), MONTH(L515), DAY(L515) + 7),
    Payment_Frequency="Fortnightly", DATE(YEAR(L515), MONTH(L515), DAY(L515) + 14),
    Payment_Frequency="Quarterly", DATE(YEAR(L515), MONTH(L515) + 3, DAY(L515)),
    Payment_Frequency="Yearly", DATE(YEAR(L515) + 1, MONTH(L515), DAY(L515)),
    TRUE, ""
)</f>
        <v/>
      </c>
      <c r="M516" s="1853">
        <f>IF(ISERROR(L516-L515),0,L516-L515)</f>
        <v>0</v>
      </c>
      <c r="N516" s="1851" cm="1">
        <f t="array" ref="N516">_xlfn.IFS(
    AND(I516=TRUE, K516&lt;=No_Regular_Payments), Repay_Amt,
    AND(I516=TRUE, K516=No_Regular_Payments+1), Tm_Balloon_Amt,
   TRUE, 0
)</f>
        <v>0</v>
      </c>
      <c r="O516" s="1850" cm="1">
        <f t="array" ref="O516">_xlfn.IFS(
    M516=0,0,
   ABS(N516 - S515 - P516-Q516) &lt; 1, N516 - S515-Q516,
    TRUE, P516
)</f>
        <v>0</v>
      </c>
      <c r="P516" s="1852">
        <f>IF(M516=0,0,ROUND(S515*EXP(Int_Rate/365.25 * M516)-S515,2))</f>
        <v>0</v>
      </c>
      <c r="Q516" s="1851" cm="1">
        <f t="array" ref="Q516">_xlfn.IFS(
    AND(I516=TRUE, K516&lt;=No_Regular_Payments), Periodic_Admin_Charge,
   TRUE, 0
)</f>
        <v>0</v>
      </c>
      <c r="R516" s="1850">
        <f>N516-O516-Q516</f>
        <v>0</v>
      </c>
      <c r="S516" s="1850">
        <f>ROUND(S515-R516,2)</f>
        <v>0</v>
      </c>
      <c r="T516" s="1850">
        <f>ROUND(T515-(N516-Q516),2)</f>
        <v>0</v>
      </c>
      <c r="U516" s="1849"/>
      <c r="W516" s="1848"/>
      <c r="X516" s="1848"/>
      <c r="Y516" s="1848"/>
    </row>
    <row r="517" spans="2:25" hidden="1">
      <c r="B517" s="1815" t="b">
        <f>AND(I517=FALSE,N516=0,Q516=0,L516="")</f>
        <v>1</v>
      </c>
      <c r="C517" s="1844" t="str" cm="1">
        <f t="array" ref="C517">_xlfn.IFS(
    L517="", "",
    MONTH(L517) &lt;= End_of_Year_Month, YEAR(L517),
    TRUE, YEAR(L517) + 1
)</f>
        <v/>
      </c>
      <c r="F517" s="1857">
        <f>IF(L517="",0,L517)</f>
        <v>0</v>
      </c>
      <c r="G517" s="1856">
        <f>-(N517-Q517)</f>
        <v>0</v>
      </c>
      <c r="I517" s="1815" t="b">
        <f>K517&lt;=Number_Payments</f>
        <v>0</v>
      </c>
      <c r="J517" s="1855"/>
      <c r="K517" s="1351">
        <f>K516+1</f>
        <v>391</v>
      </c>
      <c r="L517" s="1854" t="str" cm="1">
        <f t="array" ref="L517">_xlfn.IFS(
    I516=FALSE, "",
    Payment_Frequency="Monthly", EDATE(L516, 1),
    Payment_Frequency="Weekly", DATE(YEAR(L516), MONTH(L516), DAY(L516) + 7),
    Payment_Frequency="Fortnightly", DATE(YEAR(L516), MONTH(L516), DAY(L516) + 14),
    Payment_Frequency="Quarterly", DATE(YEAR(L516), MONTH(L516) + 3, DAY(L516)),
    Payment_Frequency="Yearly", DATE(YEAR(L516) + 1, MONTH(L516), DAY(L516)),
    TRUE, ""
)</f>
        <v/>
      </c>
      <c r="M517" s="1853">
        <f>IF(ISERROR(L517-L516),0,L517-L516)</f>
        <v>0</v>
      </c>
      <c r="N517" s="1851" cm="1">
        <f t="array" ref="N517">_xlfn.IFS(
    AND(I517=TRUE, K517&lt;=No_Regular_Payments), Repay_Amt,
    AND(I517=TRUE, K517=No_Regular_Payments+1), Tm_Balloon_Amt,
   TRUE, 0
)</f>
        <v>0</v>
      </c>
      <c r="O517" s="1850" cm="1">
        <f t="array" ref="O517">_xlfn.IFS(
    M517=0,0,
   ABS(N517 - S516 - P517-Q517) &lt; 1, N517 - S516-Q517,
    TRUE, P517
)</f>
        <v>0</v>
      </c>
      <c r="P517" s="1852">
        <f>IF(M517=0,0,ROUND(S516*EXP(Int_Rate/365.25 * M517)-S516,2))</f>
        <v>0</v>
      </c>
      <c r="Q517" s="1851" cm="1">
        <f t="array" ref="Q517">_xlfn.IFS(
    AND(I517=TRUE, K517&lt;=No_Regular_Payments), Periodic_Admin_Charge,
   TRUE, 0
)</f>
        <v>0</v>
      </c>
      <c r="R517" s="1850">
        <f>N517-O517-Q517</f>
        <v>0</v>
      </c>
      <c r="S517" s="1850">
        <f>ROUND(S516-R517,2)</f>
        <v>0</v>
      </c>
      <c r="T517" s="1850">
        <f>ROUND(T516-(N517-Q517),2)</f>
        <v>0</v>
      </c>
      <c r="U517" s="1849"/>
      <c r="W517" s="1848"/>
      <c r="X517" s="1848"/>
      <c r="Y517" s="1848"/>
    </row>
    <row r="518" spans="2:25" hidden="1">
      <c r="B518" s="1815" t="b">
        <f>AND(I518=FALSE,N517=0,Q517=0,L517="")</f>
        <v>1</v>
      </c>
      <c r="C518" s="1844" t="str" cm="1">
        <f t="array" ref="C518">_xlfn.IFS(
    L518="", "",
    MONTH(L518) &lt;= End_of_Year_Month, YEAR(L518),
    TRUE, YEAR(L518) + 1
)</f>
        <v/>
      </c>
      <c r="F518" s="1857">
        <f>IF(L518="",0,L518)</f>
        <v>0</v>
      </c>
      <c r="G518" s="1856">
        <f>-(N518-Q518)</f>
        <v>0</v>
      </c>
      <c r="I518" s="1815" t="b">
        <f>K518&lt;=Number_Payments</f>
        <v>0</v>
      </c>
      <c r="J518" s="1855"/>
      <c r="K518" s="1351">
        <f>K517+1</f>
        <v>392</v>
      </c>
      <c r="L518" s="1854" t="str" cm="1">
        <f t="array" ref="L518">_xlfn.IFS(
    I517=FALSE, "",
    Payment_Frequency="Monthly", EDATE(L517, 1),
    Payment_Frequency="Weekly", DATE(YEAR(L517), MONTH(L517), DAY(L517) + 7),
    Payment_Frequency="Fortnightly", DATE(YEAR(L517), MONTH(L517), DAY(L517) + 14),
    Payment_Frequency="Quarterly", DATE(YEAR(L517), MONTH(L517) + 3, DAY(L517)),
    Payment_Frequency="Yearly", DATE(YEAR(L517) + 1, MONTH(L517), DAY(L517)),
    TRUE, ""
)</f>
        <v/>
      </c>
      <c r="M518" s="1853">
        <f>IF(ISERROR(L518-L517),0,L518-L517)</f>
        <v>0</v>
      </c>
      <c r="N518" s="1851" cm="1">
        <f t="array" ref="N518">_xlfn.IFS(
    AND(I518=TRUE, K518&lt;=No_Regular_Payments), Repay_Amt,
    AND(I518=TRUE, K518=No_Regular_Payments+1), Tm_Balloon_Amt,
   TRUE, 0
)</f>
        <v>0</v>
      </c>
      <c r="O518" s="1850" cm="1">
        <f t="array" ref="O518">_xlfn.IFS(
    M518=0,0,
   ABS(N518 - S517 - P518-Q518) &lt; 1, N518 - S517-Q518,
    TRUE, P518
)</f>
        <v>0</v>
      </c>
      <c r="P518" s="1852">
        <f>IF(M518=0,0,ROUND(S517*EXP(Int_Rate/365.25 * M518)-S517,2))</f>
        <v>0</v>
      </c>
      <c r="Q518" s="1851" cm="1">
        <f t="array" ref="Q518">_xlfn.IFS(
    AND(I518=TRUE, K518&lt;=No_Regular_Payments), Periodic_Admin_Charge,
   TRUE, 0
)</f>
        <v>0</v>
      </c>
      <c r="R518" s="1850">
        <f>N518-O518-Q518</f>
        <v>0</v>
      </c>
      <c r="S518" s="1850">
        <f>ROUND(S517-R518,2)</f>
        <v>0</v>
      </c>
      <c r="T518" s="1850">
        <f>ROUND(T517-(N518-Q518),2)</f>
        <v>0</v>
      </c>
      <c r="U518" s="1849"/>
      <c r="W518" s="1848"/>
      <c r="X518" s="1848"/>
      <c r="Y518" s="1848"/>
    </row>
    <row r="519" spans="2:25" hidden="1">
      <c r="B519" s="1815" t="b">
        <f>AND(I519=FALSE,N518=0,Q518=0,L518="")</f>
        <v>1</v>
      </c>
      <c r="C519" s="1844" t="str" cm="1">
        <f t="array" ref="C519">_xlfn.IFS(
    L519="", "",
    MONTH(L519) &lt;= End_of_Year_Month, YEAR(L519),
    TRUE, YEAR(L519) + 1
)</f>
        <v/>
      </c>
      <c r="F519" s="1857">
        <f>IF(L519="",0,L519)</f>
        <v>0</v>
      </c>
      <c r="G519" s="1856">
        <f>-(N519-Q519)</f>
        <v>0</v>
      </c>
      <c r="I519" s="1815" t="b">
        <f>K519&lt;=Number_Payments</f>
        <v>0</v>
      </c>
      <c r="J519" s="1855"/>
      <c r="K519" s="1351">
        <f>K518+1</f>
        <v>393</v>
      </c>
      <c r="L519" s="1854" t="str" cm="1">
        <f t="array" ref="L519">_xlfn.IFS(
    I518=FALSE, "",
    Payment_Frequency="Monthly", EDATE(L518, 1),
    Payment_Frequency="Weekly", DATE(YEAR(L518), MONTH(L518), DAY(L518) + 7),
    Payment_Frequency="Fortnightly", DATE(YEAR(L518), MONTH(L518), DAY(L518) + 14),
    Payment_Frequency="Quarterly", DATE(YEAR(L518), MONTH(L518) + 3, DAY(L518)),
    Payment_Frequency="Yearly", DATE(YEAR(L518) + 1, MONTH(L518), DAY(L518)),
    TRUE, ""
)</f>
        <v/>
      </c>
      <c r="M519" s="1853">
        <f>IF(ISERROR(L519-L518),0,L519-L518)</f>
        <v>0</v>
      </c>
      <c r="N519" s="1851" cm="1">
        <f t="array" ref="N519">_xlfn.IFS(
    AND(I519=TRUE, K519&lt;=No_Regular_Payments), Repay_Amt,
    AND(I519=TRUE, K519=No_Regular_Payments+1), Tm_Balloon_Amt,
   TRUE, 0
)</f>
        <v>0</v>
      </c>
      <c r="O519" s="1850" cm="1">
        <f t="array" ref="O519">_xlfn.IFS(
    M519=0,0,
   ABS(N519 - S518 - P519-Q519) &lt; 1, N519 - S518-Q519,
    TRUE, P519
)</f>
        <v>0</v>
      </c>
      <c r="P519" s="1852">
        <f>IF(M519=0,0,ROUND(S518*EXP(Int_Rate/365.25 * M519)-S518,2))</f>
        <v>0</v>
      </c>
      <c r="Q519" s="1851" cm="1">
        <f t="array" ref="Q519">_xlfn.IFS(
    AND(I519=TRUE, K519&lt;=No_Regular_Payments), Periodic_Admin_Charge,
   TRUE, 0
)</f>
        <v>0</v>
      </c>
      <c r="R519" s="1850">
        <f>N519-O519-Q519</f>
        <v>0</v>
      </c>
      <c r="S519" s="1850">
        <f>ROUND(S518-R519,2)</f>
        <v>0</v>
      </c>
      <c r="T519" s="1850">
        <f>ROUND(T518-(N519-Q519),2)</f>
        <v>0</v>
      </c>
      <c r="U519" s="1849"/>
      <c r="W519" s="1848"/>
      <c r="X519" s="1848"/>
      <c r="Y519" s="1848"/>
    </row>
    <row r="520" spans="2:25" hidden="1">
      <c r="B520" s="1815" t="b">
        <f>AND(I520=FALSE,N519=0,Q519=0,L519="")</f>
        <v>1</v>
      </c>
      <c r="C520" s="1844" t="str" cm="1">
        <f t="array" ref="C520">_xlfn.IFS(
    L520="", "",
    MONTH(L520) &lt;= End_of_Year_Month, YEAR(L520),
    TRUE, YEAR(L520) + 1
)</f>
        <v/>
      </c>
      <c r="F520" s="1857">
        <f>IF(L520="",0,L520)</f>
        <v>0</v>
      </c>
      <c r="G520" s="1856">
        <f>-(N520-Q520)</f>
        <v>0</v>
      </c>
      <c r="I520" s="1815" t="b">
        <f>K520&lt;=Number_Payments</f>
        <v>0</v>
      </c>
      <c r="J520" s="1855"/>
      <c r="K520" s="1351">
        <f>K519+1</f>
        <v>394</v>
      </c>
      <c r="L520" s="1854" t="str" cm="1">
        <f t="array" ref="L520">_xlfn.IFS(
    I519=FALSE, "",
    Payment_Frequency="Monthly", EDATE(L519, 1),
    Payment_Frequency="Weekly", DATE(YEAR(L519), MONTH(L519), DAY(L519) + 7),
    Payment_Frequency="Fortnightly", DATE(YEAR(L519), MONTH(L519), DAY(L519) + 14),
    Payment_Frequency="Quarterly", DATE(YEAR(L519), MONTH(L519) + 3, DAY(L519)),
    Payment_Frequency="Yearly", DATE(YEAR(L519) + 1, MONTH(L519), DAY(L519)),
    TRUE, ""
)</f>
        <v/>
      </c>
      <c r="M520" s="1853">
        <f>IF(ISERROR(L520-L519),0,L520-L519)</f>
        <v>0</v>
      </c>
      <c r="N520" s="1851" cm="1">
        <f t="array" ref="N520">_xlfn.IFS(
    AND(I520=TRUE, K520&lt;=No_Regular_Payments), Repay_Amt,
    AND(I520=TRUE, K520=No_Regular_Payments+1), Tm_Balloon_Amt,
   TRUE, 0
)</f>
        <v>0</v>
      </c>
      <c r="O520" s="1850" cm="1">
        <f t="array" ref="O520">_xlfn.IFS(
    M520=0,0,
   ABS(N520 - S519 - P520-Q520) &lt; 1, N520 - S519-Q520,
    TRUE, P520
)</f>
        <v>0</v>
      </c>
      <c r="P520" s="1852">
        <f>IF(M520=0,0,ROUND(S519*EXP(Int_Rate/365.25 * M520)-S519,2))</f>
        <v>0</v>
      </c>
      <c r="Q520" s="1851" cm="1">
        <f t="array" ref="Q520">_xlfn.IFS(
    AND(I520=TRUE, K520&lt;=No_Regular_Payments), Periodic_Admin_Charge,
   TRUE, 0
)</f>
        <v>0</v>
      </c>
      <c r="R520" s="1850">
        <f>N520-O520-Q520</f>
        <v>0</v>
      </c>
      <c r="S520" s="1850">
        <f>ROUND(S519-R520,2)</f>
        <v>0</v>
      </c>
      <c r="T520" s="1850">
        <f>ROUND(T519-(N520-Q520),2)</f>
        <v>0</v>
      </c>
      <c r="U520" s="1849"/>
      <c r="W520" s="1848"/>
      <c r="X520" s="1848"/>
      <c r="Y520" s="1848"/>
    </row>
    <row r="521" spans="2:25" hidden="1">
      <c r="B521" s="1815" t="b">
        <f>AND(I521=FALSE,N520=0,Q520=0,L520="")</f>
        <v>1</v>
      </c>
      <c r="C521" s="1844" t="str" cm="1">
        <f t="array" ref="C521">_xlfn.IFS(
    L521="", "",
    MONTH(L521) &lt;= End_of_Year_Month, YEAR(L521),
    TRUE, YEAR(L521) + 1
)</f>
        <v/>
      </c>
      <c r="F521" s="1857">
        <f>IF(L521="",0,L521)</f>
        <v>0</v>
      </c>
      <c r="G521" s="1856">
        <f>-(N521-Q521)</f>
        <v>0</v>
      </c>
      <c r="I521" s="1815" t="b">
        <f>K521&lt;=Number_Payments</f>
        <v>0</v>
      </c>
      <c r="J521" s="1855"/>
      <c r="K521" s="1351">
        <f>K520+1</f>
        <v>395</v>
      </c>
      <c r="L521" s="1854" t="str" cm="1">
        <f t="array" ref="L521">_xlfn.IFS(
    I520=FALSE, "",
    Payment_Frequency="Monthly", EDATE(L520, 1),
    Payment_Frequency="Weekly", DATE(YEAR(L520), MONTH(L520), DAY(L520) + 7),
    Payment_Frequency="Fortnightly", DATE(YEAR(L520), MONTH(L520), DAY(L520) + 14),
    Payment_Frequency="Quarterly", DATE(YEAR(L520), MONTH(L520) + 3, DAY(L520)),
    Payment_Frequency="Yearly", DATE(YEAR(L520) + 1, MONTH(L520), DAY(L520)),
    TRUE, ""
)</f>
        <v/>
      </c>
      <c r="M521" s="1853">
        <f>IF(ISERROR(L521-L520),0,L521-L520)</f>
        <v>0</v>
      </c>
      <c r="N521" s="1851" cm="1">
        <f t="array" ref="N521">_xlfn.IFS(
    AND(I521=TRUE, K521&lt;=No_Regular_Payments), Repay_Amt,
    AND(I521=TRUE, K521=No_Regular_Payments+1), Tm_Balloon_Amt,
   TRUE, 0
)</f>
        <v>0</v>
      </c>
      <c r="O521" s="1850" cm="1">
        <f t="array" ref="O521">_xlfn.IFS(
    M521=0,0,
   ABS(N521 - S520 - P521-Q521) &lt; 1, N521 - S520-Q521,
    TRUE, P521
)</f>
        <v>0</v>
      </c>
      <c r="P521" s="1852">
        <f>IF(M521=0,0,ROUND(S520*EXP(Int_Rate/365.25 * M521)-S520,2))</f>
        <v>0</v>
      </c>
      <c r="Q521" s="1851" cm="1">
        <f t="array" ref="Q521">_xlfn.IFS(
    AND(I521=TRUE, K521&lt;=No_Regular_Payments), Periodic_Admin_Charge,
   TRUE, 0
)</f>
        <v>0</v>
      </c>
      <c r="R521" s="1850">
        <f>N521-O521-Q521</f>
        <v>0</v>
      </c>
      <c r="S521" s="1850">
        <f>ROUND(S520-R521,2)</f>
        <v>0</v>
      </c>
      <c r="T521" s="1850">
        <f>ROUND(T520-(N521-Q521),2)</f>
        <v>0</v>
      </c>
      <c r="U521" s="1849"/>
      <c r="W521" s="1848"/>
      <c r="X521" s="1848"/>
      <c r="Y521" s="1848"/>
    </row>
    <row r="522" spans="2:25" hidden="1">
      <c r="B522" s="1815" t="b">
        <f>AND(I522=FALSE,N521=0,Q521=0,L521="")</f>
        <v>1</v>
      </c>
      <c r="C522" s="1844" t="str" cm="1">
        <f t="array" ref="C522">_xlfn.IFS(
    L522="", "",
    MONTH(L522) &lt;= End_of_Year_Month, YEAR(L522),
    TRUE, YEAR(L522) + 1
)</f>
        <v/>
      </c>
      <c r="F522" s="1857">
        <f>IF(L522="",0,L522)</f>
        <v>0</v>
      </c>
      <c r="G522" s="1856">
        <f>-(N522-Q522)</f>
        <v>0</v>
      </c>
      <c r="I522" s="1815" t="b">
        <f>K522&lt;=Number_Payments</f>
        <v>0</v>
      </c>
      <c r="J522" s="1855"/>
      <c r="K522" s="1351">
        <f>K521+1</f>
        <v>396</v>
      </c>
      <c r="L522" s="1854" t="str" cm="1">
        <f t="array" ref="L522">_xlfn.IFS(
    I521=FALSE, "",
    Payment_Frequency="Monthly", EDATE(L521, 1),
    Payment_Frequency="Weekly", DATE(YEAR(L521), MONTH(L521), DAY(L521) + 7),
    Payment_Frequency="Fortnightly", DATE(YEAR(L521), MONTH(L521), DAY(L521) + 14),
    Payment_Frequency="Quarterly", DATE(YEAR(L521), MONTH(L521) + 3, DAY(L521)),
    Payment_Frequency="Yearly", DATE(YEAR(L521) + 1, MONTH(L521), DAY(L521)),
    TRUE, ""
)</f>
        <v/>
      </c>
      <c r="M522" s="1853">
        <f>IF(ISERROR(L522-L521),0,L522-L521)</f>
        <v>0</v>
      </c>
      <c r="N522" s="1851" cm="1">
        <f t="array" ref="N522">_xlfn.IFS(
    AND(I522=TRUE, K522&lt;=No_Regular_Payments), Repay_Amt,
    AND(I522=TRUE, K522=No_Regular_Payments+1), Tm_Balloon_Amt,
   TRUE, 0
)</f>
        <v>0</v>
      </c>
      <c r="O522" s="1850" cm="1">
        <f t="array" ref="O522">_xlfn.IFS(
    M522=0,0,
   ABS(N522 - S521 - P522-Q522) &lt; 1, N522 - S521-Q522,
    TRUE, P522
)</f>
        <v>0</v>
      </c>
      <c r="P522" s="1852">
        <f>IF(M522=0,0,ROUND(S521*EXP(Int_Rate/365.25 * M522)-S521,2))</f>
        <v>0</v>
      </c>
      <c r="Q522" s="1851" cm="1">
        <f t="array" ref="Q522">_xlfn.IFS(
    AND(I522=TRUE, K522&lt;=No_Regular_Payments), Periodic_Admin_Charge,
   TRUE, 0
)</f>
        <v>0</v>
      </c>
      <c r="R522" s="1850">
        <f>N522-O522-Q522</f>
        <v>0</v>
      </c>
      <c r="S522" s="1850">
        <f>ROUND(S521-R522,2)</f>
        <v>0</v>
      </c>
      <c r="T522" s="1850">
        <f>ROUND(T521-(N522-Q522),2)</f>
        <v>0</v>
      </c>
      <c r="U522" s="1849"/>
      <c r="W522" s="1848"/>
      <c r="X522" s="1848"/>
      <c r="Y522" s="1848"/>
    </row>
    <row r="523" spans="2:25" hidden="1">
      <c r="B523" s="1815" t="b">
        <f>AND(I523=FALSE,N522=0,Q522=0,L522="")</f>
        <v>1</v>
      </c>
      <c r="C523" s="1844" t="str" cm="1">
        <f t="array" ref="C523">_xlfn.IFS(
    L523="", "",
    MONTH(L523) &lt;= End_of_Year_Month, YEAR(L523),
    TRUE, YEAR(L523) + 1
)</f>
        <v/>
      </c>
      <c r="F523" s="1857">
        <f>IF(L523="",0,L523)</f>
        <v>0</v>
      </c>
      <c r="G523" s="1856">
        <f>-(N523-Q523)</f>
        <v>0</v>
      </c>
      <c r="I523" s="1815" t="b">
        <f>K523&lt;=Number_Payments</f>
        <v>0</v>
      </c>
      <c r="J523" s="1855"/>
      <c r="K523" s="1351">
        <f>K522+1</f>
        <v>397</v>
      </c>
      <c r="L523" s="1854" t="str" cm="1">
        <f t="array" ref="L523">_xlfn.IFS(
    I522=FALSE, "",
    Payment_Frequency="Monthly", EDATE(L522, 1),
    Payment_Frequency="Weekly", DATE(YEAR(L522), MONTH(L522), DAY(L522) + 7),
    Payment_Frequency="Fortnightly", DATE(YEAR(L522), MONTH(L522), DAY(L522) + 14),
    Payment_Frequency="Quarterly", DATE(YEAR(L522), MONTH(L522) + 3, DAY(L522)),
    Payment_Frequency="Yearly", DATE(YEAR(L522) + 1, MONTH(L522), DAY(L522)),
    TRUE, ""
)</f>
        <v/>
      </c>
      <c r="M523" s="1853">
        <f>IF(ISERROR(L523-L522),0,L523-L522)</f>
        <v>0</v>
      </c>
      <c r="N523" s="1851" cm="1">
        <f t="array" ref="N523">_xlfn.IFS(
    AND(I523=TRUE, K523&lt;=No_Regular_Payments), Repay_Amt,
    AND(I523=TRUE, K523=No_Regular_Payments+1), Tm_Balloon_Amt,
   TRUE, 0
)</f>
        <v>0</v>
      </c>
      <c r="O523" s="1850" cm="1">
        <f t="array" ref="O523">_xlfn.IFS(
    M523=0,0,
   ABS(N523 - S522 - P523-Q523) &lt; 1, N523 - S522-Q523,
    TRUE, P523
)</f>
        <v>0</v>
      </c>
      <c r="P523" s="1852">
        <f>IF(M523=0,0,ROUND(S522*EXP(Int_Rate/365.25 * M523)-S522,2))</f>
        <v>0</v>
      </c>
      <c r="Q523" s="1851" cm="1">
        <f t="array" ref="Q523">_xlfn.IFS(
    AND(I523=TRUE, K523&lt;=No_Regular_Payments), Periodic_Admin_Charge,
   TRUE, 0
)</f>
        <v>0</v>
      </c>
      <c r="R523" s="1850">
        <f>N523-O523-Q523</f>
        <v>0</v>
      </c>
      <c r="S523" s="1850">
        <f>ROUND(S522-R523,2)</f>
        <v>0</v>
      </c>
      <c r="T523" s="1850">
        <f>ROUND(T522-(N523-Q523),2)</f>
        <v>0</v>
      </c>
      <c r="U523" s="1849"/>
      <c r="W523" s="1848"/>
      <c r="X523" s="1848"/>
      <c r="Y523" s="1848"/>
    </row>
    <row r="524" spans="2:25" hidden="1">
      <c r="B524" s="1815" t="b">
        <f>AND(I524=FALSE,N523=0,Q523=0,L523="")</f>
        <v>1</v>
      </c>
      <c r="C524" s="1844" t="str" cm="1">
        <f t="array" ref="C524">_xlfn.IFS(
    L524="", "",
    MONTH(L524) &lt;= End_of_Year_Month, YEAR(L524),
    TRUE, YEAR(L524) + 1
)</f>
        <v/>
      </c>
      <c r="F524" s="1857">
        <f>IF(L524="",0,L524)</f>
        <v>0</v>
      </c>
      <c r="G524" s="1856">
        <f>-(N524-Q524)</f>
        <v>0</v>
      </c>
      <c r="I524" s="1815" t="b">
        <f>K524&lt;=Number_Payments</f>
        <v>0</v>
      </c>
      <c r="J524" s="1855"/>
      <c r="K524" s="1351">
        <f>K523+1</f>
        <v>398</v>
      </c>
      <c r="L524" s="1854" t="str" cm="1">
        <f t="array" ref="L524">_xlfn.IFS(
    I523=FALSE, "",
    Payment_Frequency="Monthly", EDATE(L523, 1),
    Payment_Frequency="Weekly", DATE(YEAR(L523), MONTH(L523), DAY(L523) + 7),
    Payment_Frequency="Fortnightly", DATE(YEAR(L523), MONTH(L523), DAY(L523) + 14),
    Payment_Frequency="Quarterly", DATE(YEAR(L523), MONTH(L523) + 3, DAY(L523)),
    Payment_Frequency="Yearly", DATE(YEAR(L523) + 1, MONTH(L523), DAY(L523)),
    TRUE, ""
)</f>
        <v/>
      </c>
      <c r="M524" s="1853">
        <f>IF(ISERROR(L524-L523),0,L524-L523)</f>
        <v>0</v>
      </c>
      <c r="N524" s="1851" cm="1">
        <f t="array" ref="N524">_xlfn.IFS(
    AND(I524=TRUE, K524&lt;=No_Regular_Payments), Repay_Amt,
    AND(I524=TRUE, K524=No_Regular_Payments+1), Tm_Balloon_Amt,
   TRUE, 0
)</f>
        <v>0</v>
      </c>
      <c r="O524" s="1850" cm="1">
        <f t="array" ref="O524">_xlfn.IFS(
    M524=0,0,
   ABS(N524 - S523 - P524-Q524) &lt; 1, N524 - S523-Q524,
    TRUE, P524
)</f>
        <v>0</v>
      </c>
      <c r="P524" s="1852">
        <f>IF(M524=0,0,ROUND(S523*EXP(Int_Rate/365.25 * M524)-S523,2))</f>
        <v>0</v>
      </c>
      <c r="Q524" s="1851" cm="1">
        <f t="array" ref="Q524">_xlfn.IFS(
    AND(I524=TRUE, K524&lt;=No_Regular_Payments), Periodic_Admin_Charge,
   TRUE, 0
)</f>
        <v>0</v>
      </c>
      <c r="R524" s="1850">
        <f>N524-O524-Q524</f>
        <v>0</v>
      </c>
      <c r="S524" s="1850">
        <f>ROUND(S523-R524,2)</f>
        <v>0</v>
      </c>
      <c r="T524" s="1850">
        <f>ROUND(T523-(N524-Q524),2)</f>
        <v>0</v>
      </c>
      <c r="U524" s="1849"/>
      <c r="W524" s="1848"/>
      <c r="X524" s="1848"/>
      <c r="Y524" s="1848"/>
    </row>
    <row r="525" spans="2:25" hidden="1">
      <c r="B525" s="1815" t="b">
        <f>AND(I525=FALSE,N524=0,Q524=0,L524="")</f>
        <v>1</v>
      </c>
      <c r="C525" s="1844" t="str" cm="1">
        <f t="array" ref="C525">_xlfn.IFS(
    L525="", "",
    MONTH(L525) &lt;= End_of_Year_Month, YEAR(L525),
    TRUE, YEAR(L525) + 1
)</f>
        <v/>
      </c>
      <c r="F525" s="1857">
        <f>IF(L525="",0,L525)</f>
        <v>0</v>
      </c>
      <c r="G525" s="1856">
        <f>-(N525-Q525)</f>
        <v>0</v>
      </c>
      <c r="I525" s="1815" t="b">
        <f>K525&lt;=Number_Payments</f>
        <v>0</v>
      </c>
      <c r="J525" s="1855"/>
      <c r="K525" s="1351">
        <f>K524+1</f>
        <v>399</v>
      </c>
      <c r="L525" s="1854" t="str" cm="1">
        <f t="array" ref="L525">_xlfn.IFS(
    I524=FALSE, "",
    Payment_Frequency="Monthly", EDATE(L524, 1),
    Payment_Frequency="Weekly", DATE(YEAR(L524), MONTH(L524), DAY(L524) + 7),
    Payment_Frequency="Fortnightly", DATE(YEAR(L524), MONTH(L524), DAY(L524) + 14),
    Payment_Frequency="Quarterly", DATE(YEAR(L524), MONTH(L524) + 3, DAY(L524)),
    Payment_Frequency="Yearly", DATE(YEAR(L524) + 1, MONTH(L524), DAY(L524)),
    TRUE, ""
)</f>
        <v/>
      </c>
      <c r="M525" s="1853">
        <f>IF(ISERROR(L525-L524),0,L525-L524)</f>
        <v>0</v>
      </c>
      <c r="N525" s="1851" cm="1">
        <f t="array" ref="N525">_xlfn.IFS(
    AND(I525=TRUE, K525&lt;=No_Regular_Payments), Repay_Amt,
    AND(I525=TRUE, K525=No_Regular_Payments+1), Tm_Balloon_Amt,
   TRUE, 0
)</f>
        <v>0</v>
      </c>
      <c r="O525" s="1850" cm="1">
        <f t="array" ref="O525">_xlfn.IFS(
    M525=0,0,
   ABS(N525 - S524 - P525-Q525) &lt; 1, N525 - S524-Q525,
    TRUE, P525
)</f>
        <v>0</v>
      </c>
      <c r="P525" s="1852">
        <f>IF(M525=0,0,ROUND(S524*EXP(Int_Rate/365.25 * M525)-S524,2))</f>
        <v>0</v>
      </c>
      <c r="Q525" s="1851" cm="1">
        <f t="array" ref="Q525">_xlfn.IFS(
    AND(I525=TRUE, K525&lt;=No_Regular_Payments), Periodic_Admin_Charge,
   TRUE, 0
)</f>
        <v>0</v>
      </c>
      <c r="R525" s="1850">
        <f>N525-O525-Q525</f>
        <v>0</v>
      </c>
      <c r="S525" s="1850">
        <f>ROUND(S524-R525,2)</f>
        <v>0</v>
      </c>
      <c r="T525" s="1850">
        <f>ROUND(T524-(N525-Q525),2)</f>
        <v>0</v>
      </c>
      <c r="U525" s="1849"/>
      <c r="W525" s="1848"/>
      <c r="X525" s="1848"/>
      <c r="Y525" s="1848"/>
    </row>
    <row r="526" spans="2:25" hidden="1">
      <c r="B526" s="1815" t="b">
        <f>AND(I526=FALSE,N525=0,Q525=0,L525="")</f>
        <v>1</v>
      </c>
      <c r="C526" s="1844" t="str" cm="1">
        <f t="array" ref="C526">_xlfn.IFS(
    L526="", "",
    MONTH(L526) &lt;= End_of_Year_Month, YEAR(L526),
    TRUE, YEAR(L526) + 1
)</f>
        <v/>
      </c>
      <c r="F526" s="1857">
        <f>IF(L526="",0,L526)</f>
        <v>0</v>
      </c>
      <c r="G526" s="1856">
        <f>-(N526-Q526)</f>
        <v>0</v>
      </c>
      <c r="I526" s="1815" t="b">
        <f>K526&lt;=Number_Payments</f>
        <v>0</v>
      </c>
      <c r="J526" s="1855"/>
      <c r="K526" s="1351">
        <f>K525+1</f>
        <v>400</v>
      </c>
      <c r="L526" s="1854" t="str" cm="1">
        <f t="array" ref="L526">_xlfn.IFS(
    I525=FALSE, "",
    Payment_Frequency="Monthly", EDATE(L525, 1),
    Payment_Frequency="Weekly", DATE(YEAR(L525), MONTH(L525), DAY(L525) + 7),
    Payment_Frequency="Fortnightly", DATE(YEAR(L525), MONTH(L525), DAY(L525) + 14),
    Payment_Frequency="Quarterly", DATE(YEAR(L525), MONTH(L525) + 3, DAY(L525)),
    Payment_Frequency="Yearly", DATE(YEAR(L525) + 1, MONTH(L525), DAY(L525)),
    TRUE, ""
)</f>
        <v/>
      </c>
      <c r="M526" s="1853">
        <f>IF(ISERROR(L526-L525),0,L526-L525)</f>
        <v>0</v>
      </c>
      <c r="N526" s="1851" cm="1">
        <f t="array" ref="N526">_xlfn.IFS(
    AND(I526=TRUE, K526&lt;=No_Regular_Payments), Repay_Amt,
    AND(I526=TRUE, K526=No_Regular_Payments+1), Tm_Balloon_Amt,
   TRUE, 0
)</f>
        <v>0</v>
      </c>
      <c r="O526" s="1850" cm="1">
        <f t="array" ref="O526">_xlfn.IFS(
    M526=0,0,
   ABS(N526 - S525 - P526-Q526) &lt; 1, N526 - S525-Q526,
    TRUE, P526
)</f>
        <v>0</v>
      </c>
      <c r="P526" s="1852">
        <f>IF(M526=0,0,ROUND(S525*EXP(Int_Rate/365.25 * M526)-S525,2))</f>
        <v>0</v>
      </c>
      <c r="Q526" s="1851" cm="1">
        <f t="array" ref="Q526">_xlfn.IFS(
    AND(I526=TRUE, K526&lt;=No_Regular_Payments), Periodic_Admin_Charge,
   TRUE, 0
)</f>
        <v>0</v>
      </c>
      <c r="R526" s="1850">
        <f>N526-O526-Q526</f>
        <v>0</v>
      </c>
      <c r="S526" s="1850">
        <f>ROUND(S525-R526,2)</f>
        <v>0</v>
      </c>
      <c r="T526" s="1850">
        <f>ROUND(T525-(N526-Q526),2)</f>
        <v>0</v>
      </c>
      <c r="U526" s="1849"/>
      <c r="W526" s="1848"/>
      <c r="X526" s="1848"/>
      <c r="Y526" s="1848"/>
    </row>
    <row r="527" spans="2:25" hidden="1">
      <c r="B527" s="1815" t="b">
        <f>AND(I527=FALSE,N526=0,Q526=0,L526="")</f>
        <v>1</v>
      </c>
      <c r="C527" s="1844" t="str" cm="1">
        <f t="array" ref="C527">_xlfn.IFS(
    L527="", "",
    MONTH(L527) &lt;= End_of_Year_Month, YEAR(L527),
    TRUE, YEAR(L527) + 1
)</f>
        <v/>
      </c>
      <c r="F527" s="1857">
        <f>IF(L527="",0,L527)</f>
        <v>0</v>
      </c>
      <c r="G527" s="1856">
        <f>-(N527-Q527)</f>
        <v>0</v>
      </c>
      <c r="I527" s="1815" t="b">
        <f>K527&lt;=Number_Payments</f>
        <v>0</v>
      </c>
      <c r="J527" s="1855"/>
      <c r="K527" s="1351">
        <f>K526+1</f>
        <v>401</v>
      </c>
      <c r="L527" s="1854" t="str" cm="1">
        <f t="array" ref="L527">_xlfn.IFS(
    I526=FALSE, "",
    Payment_Frequency="Monthly", EDATE(L526, 1),
    Payment_Frequency="Weekly", DATE(YEAR(L526), MONTH(L526), DAY(L526) + 7),
    Payment_Frequency="Fortnightly", DATE(YEAR(L526), MONTH(L526), DAY(L526) + 14),
    Payment_Frequency="Quarterly", DATE(YEAR(L526), MONTH(L526) + 3, DAY(L526)),
    Payment_Frequency="Yearly", DATE(YEAR(L526) + 1, MONTH(L526), DAY(L526)),
    TRUE, ""
)</f>
        <v/>
      </c>
      <c r="M527" s="1853">
        <f>IF(ISERROR(L527-L526),0,L527-L526)</f>
        <v>0</v>
      </c>
      <c r="N527" s="1851" cm="1">
        <f t="array" ref="N527">_xlfn.IFS(
    AND(I527=TRUE, K527&lt;=No_Regular_Payments), Repay_Amt,
    AND(I527=TRUE, K527=No_Regular_Payments+1), Tm_Balloon_Amt,
   TRUE, 0
)</f>
        <v>0</v>
      </c>
      <c r="O527" s="1850" cm="1">
        <f t="array" ref="O527">_xlfn.IFS(
    M527=0,0,
   ABS(N527 - S526 - P527-Q527) &lt; 1, N527 - S526-Q527,
    TRUE, P527
)</f>
        <v>0</v>
      </c>
      <c r="P527" s="1852">
        <f>IF(M527=0,0,ROUND(S526*EXP(Int_Rate/365.25 * M527)-S526,2))</f>
        <v>0</v>
      </c>
      <c r="Q527" s="1851" cm="1">
        <f t="array" ref="Q527">_xlfn.IFS(
    AND(I527=TRUE, K527&lt;=No_Regular_Payments), Periodic_Admin_Charge,
   TRUE, 0
)</f>
        <v>0</v>
      </c>
      <c r="R527" s="1850">
        <f>N527-O527-Q527</f>
        <v>0</v>
      </c>
      <c r="S527" s="1850">
        <f>ROUND(S526-R527,2)</f>
        <v>0</v>
      </c>
      <c r="T527" s="1850">
        <f>ROUND(T526-(N527-Q527),2)</f>
        <v>0</v>
      </c>
      <c r="U527" s="1849"/>
      <c r="W527" s="1848"/>
      <c r="X527" s="1848"/>
      <c r="Y527" s="1848"/>
    </row>
    <row r="528" spans="2:25" hidden="1">
      <c r="B528" s="1815" t="b">
        <f>AND(I528=FALSE,N527=0,Q527=0,L527="")</f>
        <v>1</v>
      </c>
      <c r="C528" s="1844" t="str" cm="1">
        <f t="array" ref="C528">_xlfn.IFS(
    L528="", "",
    MONTH(L528) &lt;= End_of_Year_Month, YEAR(L528),
    TRUE, YEAR(L528) + 1
)</f>
        <v/>
      </c>
      <c r="F528" s="1857">
        <f>IF(L528="",0,L528)</f>
        <v>0</v>
      </c>
      <c r="G528" s="1856">
        <f>-(N528-Q528)</f>
        <v>0</v>
      </c>
      <c r="I528" s="1815" t="b">
        <f>K528&lt;=Number_Payments</f>
        <v>0</v>
      </c>
      <c r="J528" s="1855"/>
      <c r="K528" s="1351">
        <f>K527+1</f>
        <v>402</v>
      </c>
      <c r="L528" s="1854" t="str" cm="1">
        <f t="array" ref="L528">_xlfn.IFS(
    I527=FALSE, "",
    Payment_Frequency="Monthly", EDATE(L527, 1),
    Payment_Frequency="Weekly", DATE(YEAR(L527), MONTH(L527), DAY(L527) + 7),
    Payment_Frequency="Fortnightly", DATE(YEAR(L527), MONTH(L527), DAY(L527) + 14),
    Payment_Frequency="Quarterly", DATE(YEAR(L527), MONTH(L527) + 3, DAY(L527)),
    Payment_Frequency="Yearly", DATE(YEAR(L527) + 1, MONTH(L527), DAY(L527)),
    TRUE, ""
)</f>
        <v/>
      </c>
      <c r="M528" s="1853">
        <f>IF(ISERROR(L528-L527),0,L528-L527)</f>
        <v>0</v>
      </c>
      <c r="N528" s="1851" cm="1">
        <f t="array" ref="N528">_xlfn.IFS(
    AND(I528=TRUE, K528&lt;=No_Regular_Payments), Repay_Amt,
    AND(I528=TRUE, K528=No_Regular_Payments+1), Tm_Balloon_Amt,
   TRUE, 0
)</f>
        <v>0</v>
      </c>
      <c r="O528" s="1850" cm="1">
        <f t="array" ref="O528">_xlfn.IFS(
    M528=0,0,
   ABS(N528 - S527 - P528-Q528) &lt; 1, N528 - S527-Q528,
    TRUE, P528
)</f>
        <v>0</v>
      </c>
      <c r="P528" s="1852">
        <f>IF(M528=0,0,ROUND(S527*EXP(Int_Rate/365.25 * M528)-S527,2))</f>
        <v>0</v>
      </c>
      <c r="Q528" s="1851" cm="1">
        <f t="array" ref="Q528">_xlfn.IFS(
    AND(I528=TRUE, K528&lt;=No_Regular_Payments), Periodic_Admin_Charge,
   TRUE, 0
)</f>
        <v>0</v>
      </c>
      <c r="R528" s="1850">
        <f>N528-O528-Q528</f>
        <v>0</v>
      </c>
      <c r="S528" s="1850">
        <f>ROUND(S527-R528,2)</f>
        <v>0</v>
      </c>
      <c r="T528" s="1850">
        <f>ROUND(T527-(N528-Q528),2)</f>
        <v>0</v>
      </c>
      <c r="U528" s="1849"/>
      <c r="W528" s="1848"/>
      <c r="X528" s="1848"/>
      <c r="Y528" s="1848"/>
    </row>
    <row r="529" spans="2:25" hidden="1">
      <c r="B529" s="1815" t="b">
        <f>AND(I529=FALSE,N528=0,Q528=0,L528="")</f>
        <v>1</v>
      </c>
      <c r="C529" s="1844" t="str" cm="1">
        <f t="array" ref="C529">_xlfn.IFS(
    L529="", "",
    MONTH(L529) &lt;= End_of_Year_Month, YEAR(L529),
    TRUE, YEAR(L529) + 1
)</f>
        <v/>
      </c>
      <c r="F529" s="1857">
        <f>IF(L529="",0,L529)</f>
        <v>0</v>
      </c>
      <c r="G529" s="1856">
        <f>-(N529-Q529)</f>
        <v>0</v>
      </c>
      <c r="I529" s="1815" t="b">
        <f>K529&lt;=Number_Payments</f>
        <v>0</v>
      </c>
      <c r="J529" s="1855"/>
      <c r="K529" s="1351">
        <f>K528+1</f>
        <v>403</v>
      </c>
      <c r="L529" s="1854" t="str" cm="1">
        <f t="array" ref="L529">_xlfn.IFS(
    I528=FALSE, "",
    Payment_Frequency="Monthly", EDATE(L528, 1),
    Payment_Frequency="Weekly", DATE(YEAR(L528), MONTH(L528), DAY(L528) + 7),
    Payment_Frequency="Fortnightly", DATE(YEAR(L528), MONTH(L528), DAY(L528) + 14),
    Payment_Frequency="Quarterly", DATE(YEAR(L528), MONTH(L528) + 3, DAY(L528)),
    Payment_Frequency="Yearly", DATE(YEAR(L528) + 1, MONTH(L528), DAY(L528)),
    TRUE, ""
)</f>
        <v/>
      </c>
      <c r="M529" s="1853">
        <f>IF(ISERROR(L529-L528),0,L529-L528)</f>
        <v>0</v>
      </c>
      <c r="N529" s="1851" cm="1">
        <f t="array" ref="N529">_xlfn.IFS(
    AND(I529=TRUE, K529&lt;=No_Regular_Payments), Repay_Amt,
    AND(I529=TRUE, K529=No_Regular_Payments+1), Tm_Balloon_Amt,
   TRUE, 0
)</f>
        <v>0</v>
      </c>
      <c r="O529" s="1850" cm="1">
        <f t="array" ref="O529">_xlfn.IFS(
    M529=0,0,
   ABS(N529 - S528 - P529-Q529) &lt; 1, N529 - S528-Q529,
    TRUE, P529
)</f>
        <v>0</v>
      </c>
      <c r="P529" s="1852">
        <f>IF(M529=0,0,ROUND(S528*EXP(Int_Rate/365.25 * M529)-S528,2))</f>
        <v>0</v>
      </c>
      <c r="Q529" s="1851" cm="1">
        <f t="array" ref="Q529">_xlfn.IFS(
    AND(I529=TRUE, K529&lt;=No_Regular_Payments), Periodic_Admin_Charge,
   TRUE, 0
)</f>
        <v>0</v>
      </c>
      <c r="R529" s="1850">
        <f>N529-O529-Q529</f>
        <v>0</v>
      </c>
      <c r="S529" s="1850">
        <f>ROUND(S528-R529,2)</f>
        <v>0</v>
      </c>
      <c r="T529" s="1850">
        <f>ROUND(T528-(N529-Q529),2)</f>
        <v>0</v>
      </c>
      <c r="U529" s="1849"/>
      <c r="W529" s="1848"/>
      <c r="X529" s="1848"/>
      <c r="Y529" s="1848"/>
    </row>
    <row r="530" spans="2:25" hidden="1">
      <c r="B530" s="1815" t="b">
        <f>AND(I530=FALSE,N529=0,Q529=0,L529="")</f>
        <v>1</v>
      </c>
      <c r="C530" s="1844" t="str" cm="1">
        <f t="array" ref="C530">_xlfn.IFS(
    L530="", "",
    MONTH(L530) &lt;= End_of_Year_Month, YEAR(L530),
    TRUE, YEAR(L530) + 1
)</f>
        <v/>
      </c>
      <c r="F530" s="1857">
        <f>IF(L530="",0,L530)</f>
        <v>0</v>
      </c>
      <c r="G530" s="1856">
        <f>-(N530-Q530)</f>
        <v>0</v>
      </c>
      <c r="I530" s="1815" t="b">
        <f>K530&lt;=Number_Payments</f>
        <v>0</v>
      </c>
      <c r="J530" s="1855"/>
      <c r="K530" s="1351">
        <f>K529+1</f>
        <v>404</v>
      </c>
      <c r="L530" s="1854" t="str" cm="1">
        <f t="array" ref="L530">_xlfn.IFS(
    I529=FALSE, "",
    Payment_Frequency="Monthly", EDATE(L529, 1),
    Payment_Frequency="Weekly", DATE(YEAR(L529), MONTH(L529), DAY(L529) + 7),
    Payment_Frequency="Fortnightly", DATE(YEAR(L529), MONTH(L529), DAY(L529) + 14),
    Payment_Frequency="Quarterly", DATE(YEAR(L529), MONTH(L529) + 3, DAY(L529)),
    Payment_Frequency="Yearly", DATE(YEAR(L529) + 1, MONTH(L529), DAY(L529)),
    TRUE, ""
)</f>
        <v/>
      </c>
      <c r="M530" s="1853">
        <f>IF(ISERROR(L530-L529),0,L530-L529)</f>
        <v>0</v>
      </c>
      <c r="N530" s="1851" cm="1">
        <f t="array" ref="N530">_xlfn.IFS(
    AND(I530=TRUE, K530&lt;=No_Regular_Payments), Repay_Amt,
    AND(I530=TRUE, K530=No_Regular_Payments+1), Tm_Balloon_Amt,
   TRUE, 0
)</f>
        <v>0</v>
      </c>
      <c r="O530" s="1850" cm="1">
        <f t="array" ref="O530">_xlfn.IFS(
    M530=0,0,
   ABS(N530 - S529 - P530-Q530) &lt; 1, N530 - S529-Q530,
    TRUE, P530
)</f>
        <v>0</v>
      </c>
      <c r="P530" s="1852">
        <f>IF(M530=0,0,ROUND(S529*EXP(Int_Rate/365.25 * M530)-S529,2))</f>
        <v>0</v>
      </c>
      <c r="Q530" s="1851" cm="1">
        <f t="array" ref="Q530">_xlfn.IFS(
    AND(I530=TRUE, K530&lt;=No_Regular_Payments), Periodic_Admin_Charge,
   TRUE, 0
)</f>
        <v>0</v>
      </c>
      <c r="R530" s="1850">
        <f>N530-O530-Q530</f>
        <v>0</v>
      </c>
      <c r="S530" s="1850">
        <f>ROUND(S529-R530,2)</f>
        <v>0</v>
      </c>
      <c r="T530" s="1850">
        <f>ROUND(T529-(N530-Q530),2)</f>
        <v>0</v>
      </c>
      <c r="U530" s="1849"/>
      <c r="W530" s="1848"/>
      <c r="X530" s="1848"/>
      <c r="Y530" s="1848"/>
    </row>
    <row r="531" spans="2:25" hidden="1">
      <c r="B531" s="1815" t="b">
        <f>AND(I531=FALSE,N530=0,Q530=0,L530="")</f>
        <v>1</v>
      </c>
      <c r="C531" s="1844" t="str" cm="1">
        <f t="array" ref="C531">_xlfn.IFS(
    L531="", "",
    MONTH(L531) &lt;= End_of_Year_Month, YEAR(L531),
    TRUE, YEAR(L531) + 1
)</f>
        <v/>
      </c>
      <c r="F531" s="1857">
        <f>IF(L531="",0,L531)</f>
        <v>0</v>
      </c>
      <c r="G531" s="1856">
        <f>-(N531-Q531)</f>
        <v>0</v>
      </c>
      <c r="I531" s="1815" t="b">
        <f>K531&lt;=Number_Payments</f>
        <v>0</v>
      </c>
      <c r="J531" s="1855"/>
      <c r="K531" s="1351">
        <f>K530+1</f>
        <v>405</v>
      </c>
      <c r="L531" s="1854" t="str" cm="1">
        <f t="array" ref="L531">_xlfn.IFS(
    I530=FALSE, "",
    Payment_Frequency="Monthly", EDATE(L530, 1),
    Payment_Frequency="Weekly", DATE(YEAR(L530), MONTH(L530), DAY(L530) + 7),
    Payment_Frequency="Fortnightly", DATE(YEAR(L530), MONTH(L530), DAY(L530) + 14),
    Payment_Frequency="Quarterly", DATE(YEAR(L530), MONTH(L530) + 3, DAY(L530)),
    Payment_Frequency="Yearly", DATE(YEAR(L530) + 1, MONTH(L530), DAY(L530)),
    TRUE, ""
)</f>
        <v/>
      </c>
      <c r="M531" s="1853">
        <f>IF(ISERROR(L531-L530),0,L531-L530)</f>
        <v>0</v>
      </c>
      <c r="N531" s="1851" cm="1">
        <f t="array" ref="N531">_xlfn.IFS(
    AND(I531=TRUE, K531&lt;=No_Regular_Payments), Repay_Amt,
    AND(I531=TRUE, K531=No_Regular_Payments+1), Tm_Balloon_Amt,
   TRUE, 0
)</f>
        <v>0</v>
      </c>
      <c r="O531" s="1850" cm="1">
        <f t="array" ref="O531">_xlfn.IFS(
    M531=0,0,
   ABS(N531 - S530 - P531-Q531) &lt; 1, N531 - S530-Q531,
    TRUE, P531
)</f>
        <v>0</v>
      </c>
      <c r="P531" s="1852">
        <f>IF(M531=0,0,ROUND(S530*EXP(Int_Rate/365.25 * M531)-S530,2))</f>
        <v>0</v>
      </c>
      <c r="Q531" s="1851" cm="1">
        <f t="array" ref="Q531">_xlfn.IFS(
    AND(I531=TRUE, K531&lt;=No_Regular_Payments), Periodic_Admin_Charge,
   TRUE, 0
)</f>
        <v>0</v>
      </c>
      <c r="R531" s="1850">
        <f>N531-O531-Q531</f>
        <v>0</v>
      </c>
      <c r="S531" s="1850">
        <f>ROUND(S530-R531,2)</f>
        <v>0</v>
      </c>
      <c r="T531" s="1850">
        <f>ROUND(T530-(N531-Q531),2)</f>
        <v>0</v>
      </c>
      <c r="U531" s="1849"/>
      <c r="W531" s="1848"/>
      <c r="X531" s="1848"/>
      <c r="Y531" s="1848"/>
    </row>
    <row r="532" spans="2:25" hidden="1">
      <c r="B532" s="1815" t="b">
        <f>AND(I532=FALSE,N531=0,Q531=0,L531="")</f>
        <v>1</v>
      </c>
      <c r="C532" s="1844" t="str" cm="1">
        <f t="array" ref="C532">_xlfn.IFS(
    L532="", "",
    MONTH(L532) &lt;= End_of_Year_Month, YEAR(L532),
    TRUE, YEAR(L532) + 1
)</f>
        <v/>
      </c>
      <c r="F532" s="1857">
        <f>IF(L532="",0,L532)</f>
        <v>0</v>
      </c>
      <c r="G532" s="1856">
        <f>-(N532-Q532)</f>
        <v>0</v>
      </c>
      <c r="I532" s="1815" t="b">
        <f>K532&lt;=Number_Payments</f>
        <v>0</v>
      </c>
      <c r="J532" s="1855"/>
      <c r="K532" s="1351">
        <f>K531+1</f>
        <v>406</v>
      </c>
      <c r="L532" s="1854" t="str" cm="1">
        <f t="array" ref="L532">_xlfn.IFS(
    I531=FALSE, "",
    Payment_Frequency="Monthly", EDATE(L531, 1),
    Payment_Frequency="Weekly", DATE(YEAR(L531), MONTH(L531), DAY(L531) + 7),
    Payment_Frequency="Fortnightly", DATE(YEAR(L531), MONTH(L531), DAY(L531) + 14),
    Payment_Frequency="Quarterly", DATE(YEAR(L531), MONTH(L531) + 3, DAY(L531)),
    Payment_Frequency="Yearly", DATE(YEAR(L531) + 1, MONTH(L531), DAY(L531)),
    TRUE, ""
)</f>
        <v/>
      </c>
      <c r="M532" s="1853">
        <f>IF(ISERROR(L532-L531),0,L532-L531)</f>
        <v>0</v>
      </c>
      <c r="N532" s="1851" cm="1">
        <f t="array" ref="N532">_xlfn.IFS(
    AND(I532=TRUE, K532&lt;=No_Regular_Payments), Repay_Amt,
    AND(I532=TRUE, K532=No_Regular_Payments+1), Tm_Balloon_Amt,
   TRUE, 0
)</f>
        <v>0</v>
      </c>
      <c r="O532" s="1850" cm="1">
        <f t="array" ref="O532">_xlfn.IFS(
    M532=0,0,
   ABS(N532 - S531 - P532-Q532) &lt; 1, N532 - S531-Q532,
    TRUE, P532
)</f>
        <v>0</v>
      </c>
      <c r="P532" s="1852">
        <f>IF(M532=0,0,ROUND(S531*EXP(Int_Rate/365.25 * M532)-S531,2))</f>
        <v>0</v>
      </c>
      <c r="Q532" s="1851" cm="1">
        <f t="array" ref="Q532">_xlfn.IFS(
    AND(I532=TRUE, K532&lt;=No_Regular_Payments), Periodic_Admin_Charge,
   TRUE, 0
)</f>
        <v>0</v>
      </c>
      <c r="R532" s="1850">
        <f>N532-O532-Q532</f>
        <v>0</v>
      </c>
      <c r="S532" s="1850">
        <f>ROUND(S531-R532,2)</f>
        <v>0</v>
      </c>
      <c r="T532" s="1850">
        <f>ROUND(T531-(N532-Q532),2)</f>
        <v>0</v>
      </c>
      <c r="U532" s="1849"/>
      <c r="W532" s="1848"/>
      <c r="X532" s="1848"/>
      <c r="Y532" s="1848"/>
    </row>
    <row r="533" spans="2:25" hidden="1">
      <c r="B533" s="1815" t="b">
        <f>AND(I533=FALSE,N532=0,Q532=0,L532="")</f>
        <v>1</v>
      </c>
      <c r="C533" s="1844" t="str" cm="1">
        <f t="array" ref="C533">_xlfn.IFS(
    L533="", "",
    MONTH(L533) &lt;= End_of_Year_Month, YEAR(L533),
    TRUE, YEAR(L533) + 1
)</f>
        <v/>
      </c>
      <c r="F533" s="1857">
        <f>IF(L533="",0,L533)</f>
        <v>0</v>
      </c>
      <c r="G533" s="1856">
        <f>-(N533-Q533)</f>
        <v>0</v>
      </c>
      <c r="I533" s="1815" t="b">
        <f>K533&lt;=Number_Payments</f>
        <v>0</v>
      </c>
      <c r="J533" s="1855"/>
      <c r="K533" s="1351">
        <f>K532+1</f>
        <v>407</v>
      </c>
      <c r="L533" s="1854" t="str" cm="1">
        <f t="array" ref="L533">_xlfn.IFS(
    I532=FALSE, "",
    Payment_Frequency="Monthly", EDATE(L532, 1),
    Payment_Frequency="Weekly", DATE(YEAR(L532), MONTH(L532), DAY(L532) + 7),
    Payment_Frequency="Fortnightly", DATE(YEAR(L532), MONTH(L532), DAY(L532) + 14),
    Payment_Frequency="Quarterly", DATE(YEAR(L532), MONTH(L532) + 3, DAY(L532)),
    Payment_Frequency="Yearly", DATE(YEAR(L532) + 1, MONTH(L532), DAY(L532)),
    TRUE, ""
)</f>
        <v/>
      </c>
      <c r="M533" s="1853">
        <f>IF(ISERROR(L533-L532),0,L533-L532)</f>
        <v>0</v>
      </c>
      <c r="N533" s="1851" cm="1">
        <f t="array" ref="N533">_xlfn.IFS(
    AND(I533=TRUE, K533&lt;=No_Regular_Payments), Repay_Amt,
    AND(I533=TRUE, K533=No_Regular_Payments+1), Tm_Balloon_Amt,
   TRUE, 0
)</f>
        <v>0</v>
      </c>
      <c r="O533" s="1850" cm="1">
        <f t="array" ref="O533">_xlfn.IFS(
    M533=0,0,
   ABS(N533 - S532 - P533-Q533) &lt; 1, N533 - S532-Q533,
    TRUE, P533
)</f>
        <v>0</v>
      </c>
      <c r="P533" s="1852">
        <f>IF(M533=0,0,ROUND(S532*EXP(Int_Rate/365.25 * M533)-S532,2))</f>
        <v>0</v>
      </c>
      <c r="Q533" s="1851" cm="1">
        <f t="array" ref="Q533">_xlfn.IFS(
    AND(I533=TRUE, K533&lt;=No_Regular_Payments), Periodic_Admin_Charge,
   TRUE, 0
)</f>
        <v>0</v>
      </c>
      <c r="R533" s="1850">
        <f>N533-O533-Q533</f>
        <v>0</v>
      </c>
      <c r="S533" s="1850">
        <f>ROUND(S532-R533,2)</f>
        <v>0</v>
      </c>
      <c r="T533" s="1850">
        <f>ROUND(T532-(N533-Q533),2)</f>
        <v>0</v>
      </c>
      <c r="U533" s="1849"/>
      <c r="W533" s="1848"/>
      <c r="X533" s="1848"/>
      <c r="Y533" s="1848"/>
    </row>
    <row r="534" spans="2:25" hidden="1">
      <c r="B534" s="1815" t="b">
        <f>AND(I534=FALSE,N533=0,Q533=0,L533="")</f>
        <v>1</v>
      </c>
      <c r="C534" s="1844" t="str" cm="1">
        <f t="array" ref="C534">_xlfn.IFS(
    L534="", "",
    MONTH(L534) &lt;= End_of_Year_Month, YEAR(L534),
    TRUE, YEAR(L534) + 1
)</f>
        <v/>
      </c>
      <c r="F534" s="1857">
        <f>IF(L534="",0,L534)</f>
        <v>0</v>
      </c>
      <c r="G534" s="1856">
        <f>-(N534-Q534)</f>
        <v>0</v>
      </c>
      <c r="I534" s="1815" t="b">
        <f>K534&lt;=Number_Payments</f>
        <v>0</v>
      </c>
      <c r="J534" s="1855"/>
      <c r="K534" s="1351">
        <f>K533+1</f>
        <v>408</v>
      </c>
      <c r="L534" s="1854" t="str" cm="1">
        <f t="array" ref="L534">_xlfn.IFS(
    I533=FALSE, "",
    Payment_Frequency="Monthly", EDATE(L533, 1),
    Payment_Frequency="Weekly", DATE(YEAR(L533), MONTH(L533), DAY(L533) + 7),
    Payment_Frequency="Fortnightly", DATE(YEAR(L533), MONTH(L533), DAY(L533) + 14),
    Payment_Frequency="Quarterly", DATE(YEAR(L533), MONTH(L533) + 3, DAY(L533)),
    Payment_Frequency="Yearly", DATE(YEAR(L533) + 1, MONTH(L533), DAY(L533)),
    TRUE, ""
)</f>
        <v/>
      </c>
      <c r="M534" s="1853">
        <f>IF(ISERROR(L534-L533),0,L534-L533)</f>
        <v>0</v>
      </c>
      <c r="N534" s="1851" cm="1">
        <f t="array" ref="N534">_xlfn.IFS(
    AND(I534=TRUE, K534&lt;=No_Regular_Payments), Repay_Amt,
    AND(I534=TRUE, K534=No_Regular_Payments+1), Tm_Balloon_Amt,
   TRUE, 0
)</f>
        <v>0</v>
      </c>
      <c r="O534" s="1850" cm="1">
        <f t="array" ref="O534">_xlfn.IFS(
    M534=0,0,
   ABS(N534 - S533 - P534-Q534) &lt; 1, N534 - S533-Q534,
    TRUE, P534
)</f>
        <v>0</v>
      </c>
      <c r="P534" s="1852">
        <f>IF(M534=0,0,ROUND(S533*EXP(Int_Rate/365.25 * M534)-S533,2))</f>
        <v>0</v>
      </c>
      <c r="Q534" s="1851" cm="1">
        <f t="array" ref="Q534">_xlfn.IFS(
    AND(I534=TRUE, K534&lt;=No_Regular_Payments), Periodic_Admin_Charge,
   TRUE, 0
)</f>
        <v>0</v>
      </c>
      <c r="R534" s="1850">
        <f>N534-O534-Q534</f>
        <v>0</v>
      </c>
      <c r="S534" s="1850">
        <f>ROUND(S533-R534,2)</f>
        <v>0</v>
      </c>
      <c r="T534" s="1850">
        <f>ROUND(T533-(N534-Q534),2)</f>
        <v>0</v>
      </c>
      <c r="U534" s="1849"/>
      <c r="W534" s="1848"/>
      <c r="X534" s="1848"/>
      <c r="Y534" s="1848"/>
    </row>
    <row r="535" spans="2:25" hidden="1">
      <c r="B535" s="1815" t="b">
        <f>AND(I535=FALSE,N534=0,Q534=0,L534="")</f>
        <v>1</v>
      </c>
      <c r="C535" s="1844" t="str" cm="1">
        <f t="array" ref="C535">_xlfn.IFS(
    L535="", "",
    MONTH(L535) &lt;= End_of_Year_Month, YEAR(L535),
    TRUE, YEAR(L535) + 1
)</f>
        <v/>
      </c>
      <c r="F535" s="1857">
        <f>IF(L535="",0,L535)</f>
        <v>0</v>
      </c>
      <c r="G535" s="1856">
        <f>-(N535-Q535)</f>
        <v>0</v>
      </c>
      <c r="I535" s="1815" t="b">
        <f>K535&lt;=Number_Payments</f>
        <v>0</v>
      </c>
      <c r="J535" s="1855"/>
      <c r="K535" s="1351">
        <f>K534+1</f>
        <v>409</v>
      </c>
      <c r="L535" s="1854" t="str" cm="1">
        <f t="array" ref="L535">_xlfn.IFS(
    I534=FALSE, "",
    Payment_Frequency="Monthly", EDATE(L534, 1),
    Payment_Frequency="Weekly", DATE(YEAR(L534), MONTH(L534), DAY(L534) + 7),
    Payment_Frequency="Fortnightly", DATE(YEAR(L534), MONTH(L534), DAY(L534) + 14),
    Payment_Frequency="Quarterly", DATE(YEAR(L534), MONTH(L534) + 3, DAY(L534)),
    Payment_Frequency="Yearly", DATE(YEAR(L534) + 1, MONTH(L534), DAY(L534)),
    TRUE, ""
)</f>
        <v/>
      </c>
      <c r="M535" s="1853">
        <f>IF(ISERROR(L535-L534),0,L535-L534)</f>
        <v>0</v>
      </c>
      <c r="N535" s="1851" cm="1">
        <f t="array" ref="N535">_xlfn.IFS(
    AND(I535=TRUE, K535&lt;=No_Regular_Payments), Repay_Amt,
    AND(I535=TRUE, K535=No_Regular_Payments+1), Tm_Balloon_Amt,
   TRUE, 0
)</f>
        <v>0</v>
      </c>
      <c r="O535" s="1850" cm="1">
        <f t="array" ref="O535">_xlfn.IFS(
    M535=0,0,
   ABS(N535 - S534 - P535-Q535) &lt; 1, N535 - S534-Q535,
    TRUE, P535
)</f>
        <v>0</v>
      </c>
      <c r="P535" s="1852">
        <f>IF(M535=0,0,ROUND(S534*EXP(Int_Rate/365.25 * M535)-S534,2))</f>
        <v>0</v>
      </c>
      <c r="Q535" s="1851" cm="1">
        <f t="array" ref="Q535">_xlfn.IFS(
    AND(I535=TRUE, K535&lt;=No_Regular_Payments), Periodic_Admin_Charge,
   TRUE, 0
)</f>
        <v>0</v>
      </c>
      <c r="R535" s="1850">
        <f>N535-O535-Q535</f>
        <v>0</v>
      </c>
      <c r="S535" s="1850">
        <f>ROUND(S534-R535,2)</f>
        <v>0</v>
      </c>
      <c r="T535" s="1850">
        <f>ROUND(T534-(N535-Q535),2)</f>
        <v>0</v>
      </c>
      <c r="U535" s="1849"/>
      <c r="W535" s="1848"/>
      <c r="X535" s="1848"/>
      <c r="Y535" s="1848"/>
    </row>
    <row r="536" spans="2:25" hidden="1">
      <c r="B536" s="1815" t="b">
        <f>AND(I536=FALSE,N535=0,Q535=0,L535="")</f>
        <v>1</v>
      </c>
      <c r="C536" s="1844" t="str" cm="1">
        <f t="array" ref="C536">_xlfn.IFS(
    L536="", "",
    MONTH(L536) &lt;= End_of_Year_Month, YEAR(L536),
    TRUE, YEAR(L536) + 1
)</f>
        <v/>
      </c>
      <c r="F536" s="1857">
        <f>IF(L536="",0,L536)</f>
        <v>0</v>
      </c>
      <c r="G536" s="1856">
        <f>-(N536-Q536)</f>
        <v>0</v>
      </c>
      <c r="I536" s="1815" t="b">
        <f>K536&lt;=Number_Payments</f>
        <v>0</v>
      </c>
      <c r="J536" s="1855"/>
      <c r="K536" s="1351">
        <f>K535+1</f>
        <v>410</v>
      </c>
      <c r="L536" s="1854" t="str" cm="1">
        <f t="array" ref="L536">_xlfn.IFS(
    I535=FALSE, "",
    Payment_Frequency="Monthly", EDATE(L535, 1),
    Payment_Frequency="Weekly", DATE(YEAR(L535), MONTH(L535), DAY(L535) + 7),
    Payment_Frequency="Fortnightly", DATE(YEAR(L535), MONTH(L535), DAY(L535) + 14),
    Payment_Frequency="Quarterly", DATE(YEAR(L535), MONTH(L535) + 3, DAY(L535)),
    Payment_Frequency="Yearly", DATE(YEAR(L535) + 1, MONTH(L535), DAY(L535)),
    TRUE, ""
)</f>
        <v/>
      </c>
      <c r="M536" s="1853">
        <f>IF(ISERROR(L536-L535),0,L536-L535)</f>
        <v>0</v>
      </c>
      <c r="N536" s="1851" cm="1">
        <f t="array" ref="N536">_xlfn.IFS(
    AND(I536=TRUE, K536&lt;=No_Regular_Payments), Repay_Amt,
    AND(I536=TRUE, K536=No_Regular_Payments+1), Tm_Balloon_Amt,
   TRUE, 0
)</f>
        <v>0</v>
      </c>
      <c r="O536" s="1850" cm="1">
        <f t="array" ref="O536">_xlfn.IFS(
    M536=0,0,
   ABS(N536 - S535 - P536-Q536) &lt; 1, N536 - S535-Q536,
    TRUE, P536
)</f>
        <v>0</v>
      </c>
      <c r="P536" s="1852">
        <f>IF(M536=0,0,ROUND(S535*EXP(Int_Rate/365.25 * M536)-S535,2))</f>
        <v>0</v>
      </c>
      <c r="Q536" s="1851" cm="1">
        <f t="array" ref="Q536">_xlfn.IFS(
    AND(I536=TRUE, K536&lt;=No_Regular_Payments), Periodic_Admin_Charge,
   TRUE, 0
)</f>
        <v>0</v>
      </c>
      <c r="R536" s="1850">
        <f>N536-O536-Q536</f>
        <v>0</v>
      </c>
      <c r="S536" s="1850">
        <f>ROUND(S535-R536,2)</f>
        <v>0</v>
      </c>
      <c r="T536" s="1850">
        <f>ROUND(T535-(N536-Q536),2)</f>
        <v>0</v>
      </c>
      <c r="U536" s="1849"/>
      <c r="W536" s="1848"/>
      <c r="X536" s="1848"/>
      <c r="Y536" s="1848"/>
    </row>
    <row r="537" spans="2:25" hidden="1">
      <c r="B537" s="1815" t="b">
        <f>AND(I537=FALSE,N536=0,Q536=0,L536="")</f>
        <v>1</v>
      </c>
      <c r="C537" s="1844" t="str" cm="1">
        <f t="array" ref="C537">_xlfn.IFS(
    L537="", "",
    MONTH(L537) &lt;= End_of_Year_Month, YEAR(L537),
    TRUE, YEAR(L537) + 1
)</f>
        <v/>
      </c>
      <c r="F537" s="1857">
        <f>IF(L537="",0,L537)</f>
        <v>0</v>
      </c>
      <c r="G537" s="1856">
        <f>-(N537-Q537)</f>
        <v>0</v>
      </c>
      <c r="I537" s="1815" t="b">
        <f>K537&lt;=Number_Payments</f>
        <v>0</v>
      </c>
      <c r="J537" s="1855"/>
      <c r="K537" s="1351">
        <f>K536+1</f>
        <v>411</v>
      </c>
      <c r="L537" s="1854" t="str" cm="1">
        <f t="array" ref="L537">_xlfn.IFS(
    I536=FALSE, "",
    Payment_Frequency="Monthly", EDATE(L536, 1),
    Payment_Frequency="Weekly", DATE(YEAR(L536), MONTH(L536), DAY(L536) + 7),
    Payment_Frequency="Fortnightly", DATE(YEAR(L536), MONTH(L536), DAY(L536) + 14),
    Payment_Frequency="Quarterly", DATE(YEAR(L536), MONTH(L536) + 3, DAY(L536)),
    Payment_Frequency="Yearly", DATE(YEAR(L536) + 1, MONTH(L536), DAY(L536)),
    TRUE, ""
)</f>
        <v/>
      </c>
      <c r="M537" s="1853">
        <f>IF(ISERROR(L537-L536),0,L537-L536)</f>
        <v>0</v>
      </c>
      <c r="N537" s="1851" cm="1">
        <f t="array" ref="N537">_xlfn.IFS(
    AND(I537=TRUE, K537&lt;=No_Regular_Payments), Repay_Amt,
    AND(I537=TRUE, K537=No_Regular_Payments+1), Tm_Balloon_Amt,
   TRUE, 0
)</f>
        <v>0</v>
      </c>
      <c r="O537" s="1850" cm="1">
        <f t="array" ref="O537">_xlfn.IFS(
    M537=0,0,
   ABS(N537 - S536 - P537-Q537) &lt; 1, N537 - S536-Q537,
    TRUE, P537
)</f>
        <v>0</v>
      </c>
      <c r="P537" s="1852">
        <f>IF(M537=0,0,ROUND(S536*EXP(Int_Rate/365.25 * M537)-S536,2))</f>
        <v>0</v>
      </c>
      <c r="Q537" s="1851" cm="1">
        <f t="array" ref="Q537">_xlfn.IFS(
    AND(I537=TRUE, K537&lt;=No_Regular_Payments), Periodic_Admin_Charge,
   TRUE, 0
)</f>
        <v>0</v>
      </c>
      <c r="R537" s="1850">
        <f>N537-O537-Q537</f>
        <v>0</v>
      </c>
      <c r="S537" s="1850">
        <f>ROUND(S536-R537,2)</f>
        <v>0</v>
      </c>
      <c r="T537" s="1850">
        <f>ROUND(T536-(N537-Q537),2)</f>
        <v>0</v>
      </c>
      <c r="U537" s="1849"/>
      <c r="W537" s="1848"/>
      <c r="X537" s="1848"/>
      <c r="Y537" s="1848"/>
    </row>
    <row r="538" spans="2:25" hidden="1">
      <c r="B538" s="1815" t="b">
        <f>AND(I538=FALSE,N537=0,Q537=0,L537="")</f>
        <v>1</v>
      </c>
      <c r="C538" s="1844" t="str" cm="1">
        <f t="array" ref="C538">_xlfn.IFS(
    L538="", "",
    MONTH(L538) &lt;= End_of_Year_Month, YEAR(L538),
    TRUE, YEAR(L538) + 1
)</f>
        <v/>
      </c>
      <c r="F538" s="1857">
        <f>IF(L538="",0,L538)</f>
        <v>0</v>
      </c>
      <c r="G538" s="1856">
        <f>-(N538-Q538)</f>
        <v>0</v>
      </c>
      <c r="I538" s="1815" t="b">
        <f>K538&lt;=Number_Payments</f>
        <v>0</v>
      </c>
      <c r="J538" s="1855"/>
      <c r="K538" s="1351">
        <f>K537+1</f>
        <v>412</v>
      </c>
      <c r="L538" s="1854" t="str" cm="1">
        <f t="array" ref="L538">_xlfn.IFS(
    I537=FALSE, "",
    Payment_Frequency="Monthly", EDATE(L537, 1),
    Payment_Frequency="Weekly", DATE(YEAR(L537), MONTH(L537), DAY(L537) + 7),
    Payment_Frequency="Fortnightly", DATE(YEAR(L537), MONTH(L537), DAY(L537) + 14),
    Payment_Frequency="Quarterly", DATE(YEAR(L537), MONTH(L537) + 3, DAY(L537)),
    Payment_Frequency="Yearly", DATE(YEAR(L537) + 1, MONTH(L537), DAY(L537)),
    TRUE, ""
)</f>
        <v/>
      </c>
      <c r="M538" s="1853">
        <f>IF(ISERROR(L538-L537),0,L538-L537)</f>
        <v>0</v>
      </c>
      <c r="N538" s="1851" cm="1">
        <f t="array" ref="N538">_xlfn.IFS(
    AND(I538=TRUE, K538&lt;=No_Regular_Payments), Repay_Amt,
    AND(I538=TRUE, K538=No_Regular_Payments+1), Tm_Balloon_Amt,
   TRUE, 0
)</f>
        <v>0</v>
      </c>
      <c r="O538" s="1850" cm="1">
        <f t="array" ref="O538">_xlfn.IFS(
    M538=0,0,
   ABS(N538 - S537 - P538-Q538) &lt; 1, N538 - S537-Q538,
    TRUE, P538
)</f>
        <v>0</v>
      </c>
      <c r="P538" s="1852">
        <f>IF(M538=0,0,ROUND(S537*EXP(Int_Rate/365.25 * M538)-S537,2))</f>
        <v>0</v>
      </c>
      <c r="Q538" s="1851" cm="1">
        <f t="array" ref="Q538">_xlfn.IFS(
    AND(I538=TRUE, K538&lt;=No_Regular_Payments), Periodic_Admin_Charge,
   TRUE, 0
)</f>
        <v>0</v>
      </c>
      <c r="R538" s="1850">
        <f>N538-O538-Q538</f>
        <v>0</v>
      </c>
      <c r="S538" s="1850">
        <f>ROUND(S537-R538,2)</f>
        <v>0</v>
      </c>
      <c r="T538" s="1850">
        <f>ROUND(T537-(N538-Q538),2)</f>
        <v>0</v>
      </c>
      <c r="U538" s="1849"/>
      <c r="W538" s="1848"/>
      <c r="X538" s="1848"/>
      <c r="Y538" s="1848"/>
    </row>
    <row r="539" spans="2:25" hidden="1">
      <c r="B539" s="1815" t="b">
        <f>AND(I539=FALSE,N538=0,Q538=0,L538="")</f>
        <v>1</v>
      </c>
      <c r="C539" s="1844" t="str" cm="1">
        <f t="array" ref="C539">_xlfn.IFS(
    L539="", "",
    MONTH(L539) &lt;= End_of_Year_Month, YEAR(L539),
    TRUE, YEAR(L539) + 1
)</f>
        <v/>
      </c>
      <c r="F539" s="1857">
        <f>IF(L539="",0,L539)</f>
        <v>0</v>
      </c>
      <c r="G539" s="1856">
        <f>-(N539-Q539)</f>
        <v>0</v>
      </c>
      <c r="I539" s="1815" t="b">
        <f>K539&lt;=Number_Payments</f>
        <v>0</v>
      </c>
      <c r="J539" s="1855"/>
      <c r="K539" s="1351">
        <f>K538+1</f>
        <v>413</v>
      </c>
      <c r="L539" s="1854" t="str" cm="1">
        <f t="array" ref="L539">_xlfn.IFS(
    I538=FALSE, "",
    Payment_Frequency="Monthly", EDATE(L538, 1),
    Payment_Frequency="Weekly", DATE(YEAR(L538), MONTH(L538), DAY(L538) + 7),
    Payment_Frequency="Fortnightly", DATE(YEAR(L538), MONTH(L538), DAY(L538) + 14),
    Payment_Frequency="Quarterly", DATE(YEAR(L538), MONTH(L538) + 3, DAY(L538)),
    Payment_Frequency="Yearly", DATE(YEAR(L538) + 1, MONTH(L538), DAY(L538)),
    TRUE, ""
)</f>
        <v/>
      </c>
      <c r="M539" s="1853">
        <f>IF(ISERROR(L539-L538),0,L539-L538)</f>
        <v>0</v>
      </c>
      <c r="N539" s="1851" cm="1">
        <f t="array" ref="N539">_xlfn.IFS(
    AND(I539=TRUE, K539&lt;=No_Regular_Payments), Repay_Amt,
    AND(I539=TRUE, K539=No_Regular_Payments+1), Tm_Balloon_Amt,
   TRUE, 0
)</f>
        <v>0</v>
      </c>
      <c r="O539" s="1850" cm="1">
        <f t="array" ref="O539">_xlfn.IFS(
    M539=0,0,
   ABS(N539 - S538 - P539-Q539) &lt; 1, N539 - S538-Q539,
    TRUE, P539
)</f>
        <v>0</v>
      </c>
      <c r="P539" s="1852">
        <f>IF(M539=0,0,ROUND(S538*EXP(Int_Rate/365.25 * M539)-S538,2))</f>
        <v>0</v>
      </c>
      <c r="Q539" s="1851" cm="1">
        <f t="array" ref="Q539">_xlfn.IFS(
    AND(I539=TRUE, K539&lt;=No_Regular_Payments), Periodic_Admin_Charge,
   TRUE, 0
)</f>
        <v>0</v>
      </c>
      <c r="R539" s="1850">
        <f>N539-O539-Q539</f>
        <v>0</v>
      </c>
      <c r="S539" s="1850">
        <f>ROUND(S538-R539,2)</f>
        <v>0</v>
      </c>
      <c r="T539" s="1850">
        <f>ROUND(T538-(N539-Q539),2)</f>
        <v>0</v>
      </c>
      <c r="U539" s="1849"/>
      <c r="W539" s="1848"/>
      <c r="X539" s="1848"/>
      <c r="Y539" s="1848"/>
    </row>
    <row r="540" spans="2:25" hidden="1">
      <c r="B540" s="1815" t="b">
        <f>AND(I540=FALSE,N539=0,Q539=0,L539="")</f>
        <v>1</v>
      </c>
      <c r="C540" s="1844" t="str" cm="1">
        <f t="array" ref="C540">_xlfn.IFS(
    L540="", "",
    MONTH(L540) &lt;= End_of_Year_Month, YEAR(L540),
    TRUE, YEAR(L540) + 1
)</f>
        <v/>
      </c>
      <c r="F540" s="1857">
        <f>IF(L540="",0,L540)</f>
        <v>0</v>
      </c>
      <c r="G540" s="1856">
        <f>-(N540-Q540)</f>
        <v>0</v>
      </c>
      <c r="I540" s="1815" t="b">
        <f>K540&lt;=Number_Payments</f>
        <v>0</v>
      </c>
      <c r="J540" s="1855"/>
      <c r="K540" s="1351">
        <f>K539+1</f>
        <v>414</v>
      </c>
      <c r="L540" s="1854" t="str" cm="1">
        <f t="array" ref="L540">_xlfn.IFS(
    I539=FALSE, "",
    Payment_Frequency="Monthly", EDATE(L539, 1),
    Payment_Frequency="Weekly", DATE(YEAR(L539), MONTH(L539), DAY(L539) + 7),
    Payment_Frequency="Fortnightly", DATE(YEAR(L539), MONTH(L539), DAY(L539) + 14),
    Payment_Frequency="Quarterly", DATE(YEAR(L539), MONTH(L539) + 3, DAY(L539)),
    Payment_Frequency="Yearly", DATE(YEAR(L539) + 1, MONTH(L539), DAY(L539)),
    TRUE, ""
)</f>
        <v/>
      </c>
      <c r="M540" s="1853">
        <f>IF(ISERROR(L540-L539),0,L540-L539)</f>
        <v>0</v>
      </c>
      <c r="N540" s="1851" cm="1">
        <f t="array" ref="N540">_xlfn.IFS(
    AND(I540=TRUE, K540&lt;=No_Regular_Payments), Repay_Amt,
    AND(I540=TRUE, K540=No_Regular_Payments+1), Tm_Balloon_Amt,
   TRUE, 0
)</f>
        <v>0</v>
      </c>
      <c r="O540" s="1850" cm="1">
        <f t="array" ref="O540">_xlfn.IFS(
    M540=0,0,
   ABS(N540 - S539 - P540-Q540) &lt; 1, N540 - S539-Q540,
    TRUE, P540
)</f>
        <v>0</v>
      </c>
      <c r="P540" s="1852">
        <f>IF(M540=0,0,ROUND(S539*EXP(Int_Rate/365.25 * M540)-S539,2))</f>
        <v>0</v>
      </c>
      <c r="Q540" s="1851" cm="1">
        <f t="array" ref="Q540">_xlfn.IFS(
    AND(I540=TRUE, K540&lt;=No_Regular_Payments), Periodic_Admin_Charge,
   TRUE, 0
)</f>
        <v>0</v>
      </c>
      <c r="R540" s="1850">
        <f>N540-O540-Q540</f>
        <v>0</v>
      </c>
      <c r="S540" s="1850">
        <f>ROUND(S539-R540,2)</f>
        <v>0</v>
      </c>
      <c r="T540" s="1850">
        <f>ROUND(T539-(N540-Q540),2)</f>
        <v>0</v>
      </c>
      <c r="U540" s="1849"/>
      <c r="W540" s="1848"/>
      <c r="X540" s="1848"/>
      <c r="Y540" s="1848"/>
    </row>
    <row r="541" spans="2:25" hidden="1">
      <c r="B541" s="1815" t="b">
        <f>AND(I541=FALSE,N540=0,Q540=0,L540="")</f>
        <v>1</v>
      </c>
      <c r="C541" s="1844" t="str" cm="1">
        <f t="array" ref="C541">_xlfn.IFS(
    L541="", "",
    MONTH(L541) &lt;= End_of_Year_Month, YEAR(L541),
    TRUE, YEAR(L541) + 1
)</f>
        <v/>
      </c>
      <c r="F541" s="1857">
        <f>IF(L541="",0,L541)</f>
        <v>0</v>
      </c>
      <c r="G541" s="1856">
        <f>-(N541-Q541)</f>
        <v>0</v>
      </c>
      <c r="I541" s="1815" t="b">
        <f>K541&lt;=Number_Payments</f>
        <v>0</v>
      </c>
      <c r="J541" s="1855"/>
      <c r="K541" s="1351">
        <f>K540+1</f>
        <v>415</v>
      </c>
      <c r="L541" s="1854" t="str" cm="1">
        <f t="array" ref="L541">_xlfn.IFS(
    I540=FALSE, "",
    Payment_Frequency="Monthly", EDATE(L540, 1),
    Payment_Frequency="Weekly", DATE(YEAR(L540), MONTH(L540), DAY(L540) + 7),
    Payment_Frequency="Fortnightly", DATE(YEAR(L540), MONTH(L540), DAY(L540) + 14),
    Payment_Frequency="Quarterly", DATE(YEAR(L540), MONTH(L540) + 3, DAY(L540)),
    Payment_Frequency="Yearly", DATE(YEAR(L540) + 1, MONTH(L540), DAY(L540)),
    TRUE, ""
)</f>
        <v/>
      </c>
      <c r="M541" s="1853">
        <f>IF(ISERROR(L541-L540),0,L541-L540)</f>
        <v>0</v>
      </c>
      <c r="N541" s="1851" cm="1">
        <f t="array" ref="N541">_xlfn.IFS(
    AND(I541=TRUE, K541&lt;=No_Regular_Payments), Repay_Amt,
    AND(I541=TRUE, K541=No_Regular_Payments+1), Tm_Balloon_Amt,
   TRUE, 0
)</f>
        <v>0</v>
      </c>
      <c r="O541" s="1850" cm="1">
        <f t="array" ref="O541">_xlfn.IFS(
    M541=0,0,
   ABS(N541 - S540 - P541-Q541) &lt; 1, N541 - S540-Q541,
    TRUE, P541
)</f>
        <v>0</v>
      </c>
      <c r="P541" s="1852">
        <f>IF(M541=0,0,ROUND(S540*EXP(Int_Rate/365.25 * M541)-S540,2))</f>
        <v>0</v>
      </c>
      <c r="Q541" s="1851" cm="1">
        <f t="array" ref="Q541">_xlfn.IFS(
    AND(I541=TRUE, K541&lt;=No_Regular_Payments), Periodic_Admin_Charge,
   TRUE, 0
)</f>
        <v>0</v>
      </c>
      <c r="R541" s="1850">
        <f>N541-O541-Q541</f>
        <v>0</v>
      </c>
      <c r="S541" s="1850">
        <f>ROUND(S540-R541,2)</f>
        <v>0</v>
      </c>
      <c r="T541" s="1850">
        <f>ROUND(T540-(N541-Q541),2)</f>
        <v>0</v>
      </c>
      <c r="U541" s="1849"/>
      <c r="W541" s="1848"/>
      <c r="X541" s="1848"/>
      <c r="Y541" s="1848"/>
    </row>
    <row r="542" spans="2:25" hidden="1">
      <c r="B542" s="1815" t="b">
        <f>AND(I542=FALSE,N541=0,Q541=0,L541="")</f>
        <v>1</v>
      </c>
      <c r="C542" s="1844" t="str" cm="1">
        <f t="array" ref="C542">_xlfn.IFS(
    L542="", "",
    MONTH(L542) &lt;= End_of_Year_Month, YEAR(L542),
    TRUE, YEAR(L542) + 1
)</f>
        <v/>
      </c>
      <c r="F542" s="1857">
        <f>IF(L542="",0,L542)</f>
        <v>0</v>
      </c>
      <c r="G542" s="1856">
        <f>-(N542-Q542)</f>
        <v>0</v>
      </c>
      <c r="I542" s="1815" t="b">
        <f>K542&lt;=Number_Payments</f>
        <v>0</v>
      </c>
      <c r="J542" s="1855"/>
      <c r="K542" s="1351">
        <f>K541+1</f>
        <v>416</v>
      </c>
      <c r="L542" s="1854" t="str" cm="1">
        <f t="array" ref="L542">_xlfn.IFS(
    I541=FALSE, "",
    Payment_Frequency="Monthly", EDATE(L541, 1),
    Payment_Frequency="Weekly", DATE(YEAR(L541), MONTH(L541), DAY(L541) + 7),
    Payment_Frequency="Fortnightly", DATE(YEAR(L541), MONTH(L541), DAY(L541) + 14),
    Payment_Frequency="Quarterly", DATE(YEAR(L541), MONTH(L541) + 3, DAY(L541)),
    Payment_Frequency="Yearly", DATE(YEAR(L541) + 1, MONTH(L541), DAY(L541)),
    TRUE, ""
)</f>
        <v/>
      </c>
      <c r="M542" s="1853">
        <f>IF(ISERROR(L542-L541),0,L542-L541)</f>
        <v>0</v>
      </c>
      <c r="N542" s="1851" cm="1">
        <f t="array" ref="N542">_xlfn.IFS(
    AND(I542=TRUE, K542&lt;=No_Regular_Payments), Repay_Amt,
    AND(I542=TRUE, K542=No_Regular_Payments+1), Tm_Balloon_Amt,
   TRUE, 0
)</f>
        <v>0</v>
      </c>
      <c r="O542" s="1850" cm="1">
        <f t="array" ref="O542">_xlfn.IFS(
    M542=0,0,
   ABS(N542 - S541 - P542-Q542) &lt; 1, N542 - S541-Q542,
    TRUE, P542
)</f>
        <v>0</v>
      </c>
      <c r="P542" s="1852">
        <f>IF(M542=0,0,ROUND(S541*EXP(Int_Rate/365.25 * M542)-S541,2))</f>
        <v>0</v>
      </c>
      <c r="Q542" s="1851" cm="1">
        <f t="array" ref="Q542">_xlfn.IFS(
    AND(I542=TRUE, K542&lt;=No_Regular_Payments), Periodic_Admin_Charge,
   TRUE, 0
)</f>
        <v>0</v>
      </c>
      <c r="R542" s="1850">
        <f>N542-O542-Q542</f>
        <v>0</v>
      </c>
      <c r="S542" s="1850">
        <f>ROUND(S541-R542,2)</f>
        <v>0</v>
      </c>
      <c r="T542" s="1850">
        <f>ROUND(T541-(N542-Q542),2)</f>
        <v>0</v>
      </c>
      <c r="U542" s="1849"/>
      <c r="W542" s="1848"/>
      <c r="X542" s="1848"/>
      <c r="Y542" s="1848"/>
    </row>
    <row r="543" spans="2:25" hidden="1">
      <c r="B543" s="1815" t="b">
        <f>AND(I543=FALSE,N542=0,Q542=0,L542="")</f>
        <v>1</v>
      </c>
      <c r="C543" s="1844" t="str" cm="1">
        <f t="array" ref="C543">_xlfn.IFS(
    L543="", "",
    MONTH(L543) &lt;= End_of_Year_Month, YEAR(L543),
    TRUE, YEAR(L543) + 1
)</f>
        <v/>
      </c>
      <c r="F543" s="1857">
        <f>IF(L543="",0,L543)</f>
        <v>0</v>
      </c>
      <c r="G543" s="1856">
        <f>-(N543-Q543)</f>
        <v>0</v>
      </c>
      <c r="I543" s="1815" t="b">
        <f>K543&lt;=Number_Payments</f>
        <v>0</v>
      </c>
      <c r="J543" s="1855"/>
      <c r="K543" s="1351">
        <f>K542+1</f>
        <v>417</v>
      </c>
      <c r="L543" s="1854" t="str" cm="1">
        <f t="array" ref="L543">_xlfn.IFS(
    I542=FALSE, "",
    Payment_Frequency="Monthly", EDATE(L542, 1),
    Payment_Frequency="Weekly", DATE(YEAR(L542), MONTH(L542), DAY(L542) + 7),
    Payment_Frequency="Fortnightly", DATE(YEAR(L542), MONTH(L542), DAY(L542) + 14),
    Payment_Frequency="Quarterly", DATE(YEAR(L542), MONTH(L542) + 3, DAY(L542)),
    Payment_Frequency="Yearly", DATE(YEAR(L542) + 1, MONTH(L542), DAY(L542)),
    TRUE, ""
)</f>
        <v/>
      </c>
      <c r="M543" s="1853">
        <f>IF(ISERROR(L543-L542),0,L543-L542)</f>
        <v>0</v>
      </c>
      <c r="N543" s="1851" cm="1">
        <f t="array" ref="N543">_xlfn.IFS(
    AND(I543=TRUE, K543&lt;=No_Regular_Payments), Repay_Amt,
    AND(I543=TRUE, K543=No_Regular_Payments+1), Tm_Balloon_Amt,
   TRUE, 0
)</f>
        <v>0</v>
      </c>
      <c r="O543" s="1850" cm="1">
        <f t="array" ref="O543">_xlfn.IFS(
    M543=0,0,
   ABS(N543 - S542 - P543-Q543) &lt; 1, N543 - S542-Q543,
    TRUE, P543
)</f>
        <v>0</v>
      </c>
      <c r="P543" s="1852">
        <f>IF(M543=0,0,ROUND(S542*EXP(Int_Rate/365.25 * M543)-S542,2))</f>
        <v>0</v>
      </c>
      <c r="Q543" s="1851" cm="1">
        <f t="array" ref="Q543">_xlfn.IFS(
    AND(I543=TRUE, K543&lt;=No_Regular_Payments), Periodic_Admin_Charge,
   TRUE, 0
)</f>
        <v>0</v>
      </c>
      <c r="R543" s="1850">
        <f>N543-O543-Q543</f>
        <v>0</v>
      </c>
      <c r="S543" s="1850">
        <f>ROUND(S542-R543,2)</f>
        <v>0</v>
      </c>
      <c r="T543" s="1850">
        <f>ROUND(T542-(N543-Q543),2)</f>
        <v>0</v>
      </c>
      <c r="U543" s="1849"/>
      <c r="W543" s="1848"/>
      <c r="X543" s="1848"/>
      <c r="Y543" s="1848"/>
    </row>
    <row r="544" spans="2:25" hidden="1">
      <c r="B544" s="1815" t="b">
        <f>AND(I544=FALSE,N543=0,Q543=0,L543="")</f>
        <v>1</v>
      </c>
      <c r="C544" s="1844" t="str" cm="1">
        <f t="array" ref="C544">_xlfn.IFS(
    L544="", "",
    MONTH(L544) &lt;= End_of_Year_Month, YEAR(L544),
    TRUE, YEAR(L544) + 1
)</f>
        <v/>
      </c>
      <c r="F544" s="1857">
        <f>IF(L544="",0,L544)</f>
        <v>0</v>
      </c>
      <c r="G544" s="1856">
        <f>-(N544-Q544)</f>
        <v>0</v>
      </c>
      <c r="I544" s="1815" t="b">
        <f>K544&lt;=Number_Payments</f>
        <v>0</v>
      </c>
      <c r="J544" s="1855"/>
      <c r="K544" s="1351">
        <f>K543+1</f>
        <v>418</v>
      </c>
      <c r="L544" s="1854" t="str" cm="1">
        <f t="array" ref="L544">_xlfn.IFS(
    I543=FALSE, "",
    Payment_Frequency="Monthly", EDATE(L543, 1),
    Payment_Frequency="Weekly", DATE(YEAR(L543), MONTH(L543), DAY(L543) + 7),
    Payment_Frequency="Fortnightly", DATE(YEAR(L543), MONTH(L543), DAY(L543) + 14),
    Payment_Frequency="Quarterly", DATE(YEAR(L543), MONTH(L543) + 3, DAY(L543)),
    Payment_Frequency="Yearly", DATE(YEAR(L543) + 1, MONTH(L543), DAY(L543)),
    TRUE, ""
)</f>
        <v/>
      </c>
      <c r="M544" s="1853">
        <f>IF(ISERROR(L544-L543),0,L544-L543)</f>
        <v>0</v>
      </c>
      <c r="N544" s="1851" cm="1">
        <f t="array" ref="N544">_xlfn.IFS(
    AND(I544=TRUE, K544&lt;=No_Regular_Payments), Repay_Amt,
    AND(I544=TRUE, K544=No_Regular_Payments+1), Tm_Balloon_Amt,
   TRUE, 0
)</f>
        <v>0</v>
      </c>
      <c r="O544" s="1850" cm="1">
        <f t="array" ref="O544">_xlfn.IFS(
    M544=0,0,
   ABS(N544 - S543 - P544-Q544) &lt; 1, N544 - S543-Q544,
    TRUE, P544
)</f>
        <v>0</v>
      </c>
      <c r="P544" s="1852">
        <f>IF(M544=0,0,ROUND(S543*EXP(Int_Rate/365.25 * M544)-S543,2))</f>
        <v>0</v>
      </c>
      <c r="Q544" s="1851" cm="1">
        <f t="array" ref="Q544">_xlfn.IFS(
    AND(I544=TRUE, K544&lt;=No_Regular_Payments), Periodic_Admin_Charge,
   TRUE, 0
)</f>
        <v>0</v>
      </c>
      <c r="R544" s="1850">
        <f>N544-O544-Q544</f>
        <v>0</v>
      </c>
      <c r="S544" s="1850">
        <f>ROUND(S543-R544,2)</f>
        <v>0</v>
      </c>
      <c r="T544" s="1850">
        <f>ROUND(T543-(N544-Q544),2)</f>
        <v>0</v>
      </c>
      <c r="U544" s="1849"/>
      <c r="W544" s="1848"/>
      <c r="X544" s="1848"/>
      <c r="Y544" s="1848"/>
    </row>
    <row r="545" spans="2:25" hidden="1">
      <c r="B545" s="1815" t="b">
        <f>AND(I545=FALSE,N544=0,Q544=0,L544="")</f>
        <v>1</v>
      </c>
      <c r="C545" s="1844" t="str" cm="1">
        <f t="array" ref="C545">_xlfn.IFS(
    L545="", "",
    MONTH(L545) &lt;= End_of_Year_Month, YEAR(L545),
    TRUE, YEAR(L545) + 1
)</f>
        <v/>
      </c>
      <c r="F545" s="1857">
        <f>IF(L545="",0,L545)</f>
        <v>0</v>
      </c>
      <c r="G545" s="1856">
        <f>-(N545-Q545)</f>
        <v>0</v>
      </c>
      <c r="I545" s="1815" t="b">
        <f>K545&lt;=Number_Payments</f>
        <v>0</v>
      </c>
      <c r="J545" s="1855"/>
      <c r="K545" s="1351">
        <f>K544+1</f>
        <v>419</v>
      </c>
      <c r="L545" s="1854" t="str" cm="1">
        <f t="array" ref="L545">_xlfn.IFS(
    I544=FALSE, "",
    Payment_Frequency="Monthly", EDATE(L544, 1),
    Payment_Frequency="Weekly", DATE(YEAR(L544), MONTH(L544), DAY(L544) + 7),
    Payment_Frequency="Fortnightly", DATE(YEAR(L544), MONTH(L544), DAY(L544) + 14),
    Payment_Frequency="Quarterly", DATE(YEAR(L544), MONTH(L544) + 3, DAY(L544)),
    Payment_Frequency="Yearly", DATE(YEAR(L544) + 1, MONTH(L544), DAY(L544)),
    TRUE, ""
)</f>
        <v/>
      </c>
      <c r="M545" s="1853">
        <f>IF(ISERROR(L545-L544),0,L545-L544)</f>
        <v>0</v>
      </c>
      <c r="N545" s="1851" cm="1">
        <f t="array" ref="N545">_xlfn.IFS(
    AND(I545=TRUE, K545&lt;=No_Regular_Payments), Repay_Amt,
    AND(I545=TRUE, K545=No_Regular_Payments+1), Tm_Balloon_Amt,
   TRUE, 0
)</f>
        <v>0</v>
      </c>
      <c r="O545" s="1850" cm="1">
        <f t="array" ref="O545">_xlfn.IFS(
    M545=0,0,
   ABS(N545 - S544 - P545-Q545) &lt; 1, N545 - S544-Q545,
    TRUE, P545
)</f>
        <v>0</v>
      </c>
      <c r="P545" s="1852">
        <f>IF(M545=0,0,ROUND(S544*EXP(Int_Rate/365.25 * M545)-S544,2))</f>
        <v>0</v>
      </c>
      <c r="Q545" s="1851" cm="1">
        <f t="array" ref="Q545">_xlfn.IFS(
    AND(I545=TRUE, K545&lt;=No_Regular_Payments), Periodic_Admin_Charge,
   TRUE, 0
)</f>
        <v>0</v>
      </c>
      <c r="R545" s="1850">
        <f>N545-O545-Q545</f>
        <v>0</v>
      </c>
      <c r="S545" s="1850">
        <f>ROUND(S544-R545,2)</f>
        <v>0</v>
      </c>
      <c r="T545" s="1850">
        <f>ROUND(T544-(N545-Q545),2)</f>
        <v>0</v>
      </c>
      <c r="U545" s="1849"/>
      <c r="W545" s="1848"/>
      <c r="X545" s="1848"/>
      <c r="Y545" s="1848"/>
    </row>
    <row r="546" spans="2:25" hidden="1">
      <c r="B546" s="1815" t="b">
        <f>AND(I546=FALSE,N545=0,Q545=0,L545="")</f>
        <v>1</v>
      </c>
      <c r="C546" s="1844" t="str" cm="1">
        <f t="array" ref="C546">_xlfn.IFS(
    L546="", "",
    MONTH(L546) &lt;= End_of_Year_Month, YEAR(L546),
    TRUE, YEAR(L546) + 1
)</f>
        <v/>
      </c>
      <c r="F546" s="1857">
        <f>IF(L546="",0,L546)</f>
        <v>0</v>
      </c>
      <c r="G546" s="1856">
        <f>-(N546-Q546)</f>
        <v>0</v>
      </c>
      <c r="I546" s="1815" t="b">
        <f>K546&lt;=Number_Payments</f>
        <v>0</v>
      </c>
      <c r="J546" s="1855"/>
      <c r="K546" s="1351">
        <f>K545+1</f>
        <v>420</v>
      </c>
      <c r="L546" s="1854" t="str" cm="1">
        <f t="array" ref="L546">_xlfn.IFS(
    I545=FALSE, "",
    Payment_Frequency="Monthly", EDATE(L545, 1),
    Payment_Frequency="Weekly", DATE(YEAR(L545), MONTH(L545), DAY(L545) + 7),
    Payment_Frequency="Fortnightly", DATE(YEAR(L545), MONTH(L545), DAY(L545) + 14),
    Payment_Frequency="Quarterly", DATE(YEAR(L545), MONTH(L545) + 3, DAY(L545)),
    Payment_Frequency="Yearly", DATE(YEAR(L545) + 1, MONTH(L545), DAY(L545)),
    TRUE, ""
)</f>
        <v/>
      </c>
      <c r="M546" s="1853">
        <f>IF(ISERROR(L546-L545),0,L546-L545)</f>
        <v>0</v>
      </c>
      <c r="N546" s="1851" cm="1">
        <f t="array" ref="N546">_xlfn.IFS(
    AND(I546=TRUE, K546&lt;=No_Regular_Payments), Repay_Amt,
    AND(I546=TRUE, K546=No_Regular_Payments+1), Tm_Balloon_Amt,
   TRUE, 0
)</f>
        <v>0</v>
      </c>
      <c r="O546" s="1850" cm="1">
        <f t="array" ref="O546">_xlfn.IFS(
    M546=0,0,
   ABS(N546 - S545 - P546-Q546) &lt; 1, N546 - S545-Q546,
    TRUE, P546
)</f>
        <v>0</v>
      </c>
      <c r="P546" s="1852">
        <f>IF(M546=0,0,ROUND(S545*EXP(Int_Rate/365.25 * M546)-S545,2))</f>
        <v>0</v>
      </c>
      <c r="Q546" s="1851" cm="1">
        <f t="array" ref="Q546">_xlfn.IFS(
    AND(I546=TRUE, K546&lt;=No_Regular_Payments), Periodic_Admin_Charge,
   TRUE, 0
)</f>
        <v>0</v>
      </c>
      <c r="R546" s="1850">
        <f>N546-O546-Q546</f>
        <v>0</v>
      </c>
      <c r="S546" s="1850">
        <f>ROUND(S545-R546,2)</f>
        <v>0</v>
      </c>
      <c r="T546" s="1850">
        <f>ROUND(T545-(N546-Q546),2)</f>
        <v>0</v>
      </c>
      <c r="U546" s="1849"/>
      <c r="W546" s="1848"/>
      <c r="X546" s="1848"/>
      <c r="Y546" s="1848"/>
    </row>
    <row r="547" spans="2:25" hidden="1">
      <c r="B547" s="1815" t="b">
        <f>AND(I547=FALSE,N546=0,Q546=0,L546="")</f>
        <v>1</v>
      </c>
      <c r="C547" s="1844" t="str" cm="1">
        <f t="array" ref="C547">_xlfn.IFS(
    L547="", "",
    MONTH(L547) &lt;= End_of_Year_Month, YEAR(L547),
    TRUE, YEAR(L547) + 1
)</f>
        <v/>
      </c>
      <c r="F547" s="1857">
        <f>IF(L547="",0,L547)</f>
        <v>0</v>
      </c>
      <c r="G547" s="1856">
        <f>-(N547-Q547)</f>
        <v>0</v>
      </c>
      <c r="I547" s="1815" t="b">
        <f>K547&lt;=Number_Payments</f>
        <v>0</v>
      </c>
      <c r="J547" s="1855"/>
      <c r="K547" s="1351">
        <f>K546+1</f>
        <v>421</v>
      </c>
      <c r="L547" s="1854" t="str" cm="1">
        <f t="array" ref="L547">_xlfn.IFS(
    I546=FALSE, "",
    Payment_Frequency="Monthly", EDATE(L546, 1),
    Payment_Frequency="Weekly", DATE(YEAR(L546), MONTH(L546), DAY(L546) + 7),
    Payment_Frequency="Fortnightly", DATE(YEAR(L546), MONTH(L546), DAY(L546) + 14),
    Payment_Frequency="Quarterly", DATE(YEAR(L546), MONTH(L546) + 3, DAY(L546)),
    Payment_Frequency="Yearly", DATE(YEAR(L546) + 1, MONTH(L546), DAY(L546)),
    TRUE, ""
)</f>
        <v/>
      </c>
      <c r="M547" s="1853">
        <f>IF(ISERROR(L547-L546),0,L547-L546)</f>
        <v>0</v>
      </c>
      <c r="N547" s="1851" cm="1">
        <f t="array" ref="N547">_xlfn.IFS(
    AND(I547=TRUE, K547&lt;=No_Regular_Payments), Repay_Amt,
    AND(I547=TRUE, K547=No_Regular_Payments+1), Tm_Balloon_Amt,
   TRUE, 0
)</f>
        <v>0</v>
      </c>
      <c r="O547" s="1850" cm="1">
        <f t="array" ref="O547">_xlfn.IFS(
    M547=0,0,
   ABS(N547 - S546 - P547-Q547) &lt; 1, N547 - S546-Q547,
    TRUE, P547
)</f>
        <v>0</v>
      </c>
      <c r="P547" s="1852">
        <f>IF(M547=0,0,ROUND(S546*EXP(Int_Rate/365.25 * M547)-S546,2))</f>
        <v>0</v>
      </c>
      <c r="Q547" s="1851" cm="1">
        <f t="array" ref="Q547">_xlfn.IFS(
    AND(I547=TRUE, K547&lt;=No_Regular_Payments), Periodic_Admin_Charge,
   TRUE, 0
)</f>
        <v>0</v>
      </c>
      <c r="R547" s="1850">
        <f>N547-O547-Q547</f>
        <v>0</v>
      </c>
      <c r="S547" s="1850">
        <f>ROUND(S546-R547,2)</f>
        <v>0</v>
      </c>
      <c r="T547" s="1850">
        <f>ROUND(T546-(N547-Q547),2)</f>
        <v>0</v>
      </c>
      <c r="U547" s="1849"/>
      <c r="W547" s="1848"/>
      <c r="X547" s="1848"/>
      <c r="Y547" s="1848"/>
    </row>
    <row r="548" spans="2:25" hidden="1">
      <c r="B548" s="1815" t="b">
        <f>AND(I548=FALSE,N547=0,Q547=0,L547="")</f>
        <v>1</v>
      </c>
      <c r="C548" s="1844" t="str" cm="1">
        <f t="array" ref="C548">_xlfn.IFS(
    L548="", "",
    MONTH(L548) &lt;= End_of_Year_Month, YEAR(L548),
    TRUE, YEAR(L548) + 1
)</f>
        <v/>
      </c>
      <c r="F548" s="1857">
        <f>IF(L548="",0,L548)</f>
        <v>0</v>
      </c>
      <c r="G548" s="1856">
        <f>-(N548-Q548)</f>
        <v>0</v>
      </c>
      <c r="I548" s="1815" t="b">
        <f>K548&lt;=Number_Payments</f>
        <v>0</v>
      </c>
      <c r="J548" s="1855"/>
      <c r="K548" s="1351">
        <f>K547+1</f>
        <v>422</v>
      </c>
      <c r="L548" s="1854" t="str" cm="1">
        <f t="array" ref="L548">_xlfn.IFS(
    I547=FALSE, "",
    Payment_Frequency="Monthly", EDATE(L547, 1),
    Payment_Frequency="Weekly", DATE(YEAR(L547), MONTH(L547), DAY(L547) + 7),
    Payment_Frequency="Fortnightly", DATE(YEAR(L547), MONTH(L547), DAY(L547) + 14),
    Payment_Frequency="Quarterly", DATE(YEAR(L547), MONTH(L547) + 3, DAY(L547)),
    Payment_Frequency="Yearly", DATE(YEAR(L547) + 1, MONTH(L547), DAY(L547)),
    TRUE, ""
)</f>
        <v/>
      </c>
      <c r="M548" s="1853">
        <f>IF(ISERROR(L548-L547),0,L548-L547)</f>
        <v>0</v>
      </c>
      <c r="N548" s="1851" cm="1">
        <f t="array" ref="N548">_xlfn.IFS(
    AND(I548=TRUE, K548&lt;=No_Regular_Payments), Repay_Amt,
    AND(I548=TRUE, K548=No_Regular_Payments+1), Tm_Balloon_Amt,
   TRUE, 0
)</f>
        <v>0</v>
      </c>
      <c r="O548" s="1850" cm="1">
        <f t="array" ref="O548">_xlfn.IFS(
    M548=0,0,
   ABS(N548 - S547 - P548-Q548) &lt; 1, N548 - S547-Q548,
    TRUE, P548
)</f>
        <v>0</v>
      </c>
      <c r="P548" s="1852">
        <f>IF(M548=0,0,ROUND(S547*EXP(Int_Rate/365.25 * M548)-S547,2))</f>
        <v>0</v>
      </c>
      <c r="Q548" s="1851" cm="1">
        <f t="array" ref="Q548">_xlfn.IFS(
    AND(I548=TRUE, K548&lt;=No_Regular_Payments), Periodic_Admin_Charge,
   TRUE, 0
)</f>
        <v>0</v>
      </c>
      <c r="R548" s="1850">
        <f>N548-O548-Q548</f>
        <v>0</v>
      </c>
      <c r="S548" s="1850">
        <f>ROUND(S547-R548,2)</f>
        <v>0</v>
      </c>
      <c r="T548" s="1850">
        <f>ROUND(T547-(N548-Q548),2)</f>
        <v>0</v>
      </c>
      <c r="U548" s="1849"/>
      <c r="W548" s="1848"/>
      <c r="X548" s="1848"/>
      <c r="Y548" s="1848"/>
    </row>
    <row r="549" spans="2:25" hidden="1">
      <c r="B549" s="1815" t="b">
        <f>AND(I549=FALSE,N548=0,Q548=0,L548="")</f>
        <v>1</v>
      </c>
      <c r="C549" s="1844" t="str" cm="1">
        <f t="array" ref="C549">_xlfn.IFS(
    L549="", "",
    MONTH(L549) &lt;= End_of_Year_Month, YEAR(L549),
    TRUE, YEAR(L549) + 1
)</f>
        <v/>
      </c>
      <c r="F549" s="1857">
        <f>IF(L549="",0,L549)</f>
        <v>0</v>
      </c>
      <c r="G549" s="1856">
        <f>-(N549-Q549)</f>
        <v>0</v>
      </c>
      <c r="I549" s="1815" t="b">
        <f>K549&lt;=Number_Payments</f>
        <v>0</v>
      </c>
      <c r="J549" s="1855"/>
      <c r="K549" s="1351">
        <f>K548+1</f>
        <v>423</v>
      </c>
      <c r="L549" s="1854" t="str" cm="1">
        <f t="array" ref="L549">_xlfn.IFS(
    I548=FALSE, "",
    Payment_Frequency="Monthly", EDATE(L548, 1),
    Payment_Frequency="Weekly", DATE(YEAR(L548), MONTH(L548), DAY(L548) + 7),
    Payment_Frequency="Fortnightly", DATE(YEAR(L548), MONTH(L548), DAY(L548) + 14),
    Payment_Frequency="Quarterly", DATE(YEAR(L548), MONTH(L548) + 3, DAY(L548)),
    Payment_Frequency="Yearly", DATE(YEAR(L548) + 1, MONTH(L548), DAY(L548)),
    TRUE, ""
)</f>
        <v/>
      </c>
      <c r="M549" s="1853">
        <f>IF(ISERROR(L549-L548),0,L549-L548)</f>
        <v>0</v>
      </c>
      <c r="N549" s="1851" cm="1">
        <f t="array" ref="N549">_xlfn.IFS(
    AND(I549=TRUE, K549&lt;=No_Regular_Payments), Repay_Amt,
    AND(I549=TRUE, K549=No_Regular_Payments+1), Tm_Balloon_Amt,
   TRUE, 0
)</f>
        <v>0</v>
      </c>
      <c r="O549" s="1850" cm="1">
        <f t="array" ref="O549">_xlfn.IFS(
    M549=0,0,
   ABS(N549 - S548 - P549-Q549) &lt; 1, N549 - S548-Q549,
    TRUE, P549
)</f>
        <v>0</v>
      </c>
      <c r="P549" s="1852">
        <f>IF(M549=0,0,ROUND(S548*EXP(Int_Rate/365.25 * M549)-S548,2))</f>
        <v>0</v>
      </c>
      <c r="Q549" s="1851" cm="1">
        <f t="array" ref="Q549">_xlfn.IFS(
    AND(I549=TRUE, K549&lt;=No_Regular_Payments), Periodic_Admin_Charge,
   TRUE, 0
)</f>
        <v>0</v>
      </c>
      <c r="R549" s="1850">
        <f>N549-O549-Q549</f>
        <v>0</v>
      </c>
      <c r="S549" s="1850">
        <f>ROUND(S548-R549,2)</f>
        <v>0</v>
      </c>
      <c r="T549" s="1850">
        <f>ROUND(T548-(N549-Q549),2)</f>
        <v>0</v>
      </c>
      <c r="U549" s="1849"/>
      <c r="W549" s="1848"/>
      <c r="X549" s="1848"/>
      <c r="Y549" s="1848"/>
    </row>
    <row r="550" spans="2:25" hidden="1">
      <c r="B550" s="1815" t="b">
        <f>AND(I550=FALSE,N549=0,Q549=0,L549="")</f>
        <v>1</v>
      </c>
      <c r="C550" s="1844" t="str" cm="1">
        <f t="array" ref="C550">_xlfn.IFS(
    L550="", "",
    MONTH(L550) &lt;= End_of_Year_Month, YEAR(L550),
    TRUE, YEAR(L550) + 1
)</f>
        <v/>
      </c>
      <c r="F550" s="1857">
        <f>IF(L550="",0,L550)</f>
        <v>0</v>
      </c>
      <c r="G550" s="1856">
        <f>-(N550-Q550)</f>
        <v>0</v>
      </c>
      <c r="I550" s="1815" t="b">
        <f>K550&lt;=Number_Payments</f>
        <v>0</v>
      </c>
      <c r="J550" s="1855"/>
      <c r="K550" s="1351">
        <f>K549+1</f>
        <v>424</v>
      </c>
      <c r="L550" s="1854" t="str" cm="1">
        <f t="array" ref="L550">_xlfn.IFS(
    I549=FALSE, "",
    Payment_Frequency="Monthly", EDATE(L549, 1),
    Payment_Frequency="Weekly", DATE(YEAR(L549), MONTH(L549), DAY(L549) + 7),
    Payment_Frequency="Fortnightly", DATE(YEAR(L549), MONTH(L549), DAY(L549) + 14),
    Payment_Frequency="Quarterly", DATE(YEAR(L549), MONTH(L549) + 3, DAY(L549)),
    Payment_Frequency="Yearly", DATE(YEAR(L549) + 1, MONTH(L549), DAY(L549)),
    TRUE, ""
)</f>
        <v/>
      </c>
      <c r="M550" s="1853">
        <f>IF(ISERROR(L550-L549),0,L550-L549)</f>
        <v>0</v>
      </c>
      <c r="N550" s="1851" cm="1">
        <f t="array" ref="N550">_xlfn.IFS(
    AND(I550=TRUE, K550&lt;=No_Regular_Payments), Repay_Amt,
    AND(I550=TRUE, K550=No_Regular_Payments+1), Tm_Balloon_Amt,
   TRUE, 0
)</f>
        <v>0</v>
      </c>
      <c r="O550" s="1850" cm="1">
        <f t="array" ref="O550">_xlfn.IFS(
    M550=0,0,
   ABS(N550 - S549 - P550-Q550) &lt; 1, N550 - S549-Q550,
    TRUE, P550
)</f>
        <v>0</v>
      </c>
      <c r="P550" s="1852">
        <f>IF(M550=0,0,ROUND(S549*EXP(Int_Rate/365.25 * M550)-S549,2))</f>
        <v>0</v>
      </c>
      <c r="Q550" s="1851" cm="1">
        <f t="array" ref="Q550">_xlfn.IFS(
    AND(I550=TRUE, K550&lt;=No_Regular_Payments), Periodic_Admin_Charge,
   TRUE, 0
)</f>
        <v>0</v>
      </c>
      <c r="R550" s="1850">
        <f>N550-O550-Q550</f>
        <v>0</v>
      </c>
      <c r="S550" s="1850">
        <f>ROUND(S549-R550,2)</f>
        <v>0</v>
      </c>
      <c r="T550" s="1850">
        <f>ROUND(T549-(N550-Q550),2)</f>
        <v>0</v>
      </c>
      <c r="U550" s="1849"/>
      <c r="W550" s="1848"/>
      <c r="X550" s="1848"/>
      <c r="Y550" s="1848"/>
    </row>
    <row r="551" spans="2:25" hidden="1">
      <c r="B551" s="1815" t="b">
        <f>AND(I551=FALSE,N550=0,Q550=0,L550="")</f>
        <v>1</v>
      </c>
      <c r="C551" s="1844" t="str" cm="1">
        <f t="array" ref="C551">_xlfn.IFS(
    L551="", "",
    MONTH(L551) &lt;= End_of_Year_Month, YEAR(L551),
    TRUE, YEAR(L551) + 1
)</f>
        <v/>
      </c>
      <c r="F551" s="1857">
        <f>IF(L551="",0,L551)</f>
        <v>0</v>
      </c>
      <c r="G551" s="1856">
        <f>-(N551-Q551)</f>
        <v>0</v>
      </c>
      <c r="I551" s="1815" t="b">
        <f>K551&lt;=Number_Payments</f>
        <v>0</v>
      </c>
      <c r="J551" s="1855"/>
      <c r="K551" s="1351">
        <f>K550+1</f>
        <v>425</v>
      </c>
      <c r="L551" s="1854" t="str" cm="1">
        <f t="array" ref="L551">_xlfn.IFS(
    I550=FALSE, "",
    Payment_Frequency="Monthly", EDATE(L550, 1),
    Payment_Frequency="Weekly", DATE(YEAR(L550), MONTH(L550), DAY(L550) + 7),
    Payment_Frequency="Fortnightly", DATE(YEAR(L550), MONTH(L550), DAY(L550) + 14),
    Payment_Frequency="Quarterly", DATE(YEAR(L550), MONTH(L550) + 3, DAY(L550)),
    Payment_Frequency="Yearly", DATE(YEAR(L550) + 1, MONTH(L550), DAY(L550)),
    TRUE, ""
)</f>
        <v/>
      </c>
      <c r="M551" s="1853">
        <f>IF(ISERROR(L551-L550),0,L551-L550)</f>
        <v>0</v>
      </c>
      <c r="N551" s="1851" cm="1">
        <f t="array" ref="N551">_xlfn.IFS(
    AND(I551=TRUE, K551&lt;=No_Regular_Payments), Repay_Amt,
    AND(I551=TRUE, K551=No_Regular_Payments+1), Tm_Balloon_Amt,
   TRUE, 0
)</f>
        <v>0</v>
      </c>
      <c r="O551" s="1850" cm="1">
        <f t="array" ref="O551">_xlfn.IFS(
    M551=0,0,
   ABS(N551 - S550 - P551-Q551) &lt; 1, N551 - S550-Q551,
    TRUE, P551
)</f>
        <v>0</v>
      </c>
      <c r="P551" s="1852">
        <f>IF(M551=0,0,ROUND(S550*EXP(Int_Rate/365.25 * M551)-S550,2))</f>
        <v>0</v>
      </c>
      <c r="Q551" s="1851" cm="1">
        <f t="array" ref="Q551">_xlfn.IFS(
    AND(I551=TRUE, K551&lt;=No_Regular_Payments), Periodic_Admin_Charge,
   TRUE, 0
)</f>
        <v>0</v>
      </c>
      <c r="R551" s="1850">
        <f>N551-O551-Q551</f>
        <v>0</v>
      </c>
      <c r="S551" s="1850">
        <f>ROUND(S550-R551,2)</f>
        <v>0</v>
      </c>
      <c r="T551" s="1850">
        <f>ROUND(T550-(N551-Q551),2)</f>
        <v>0</v>
      </c>
      <c r="U551" s="1849"/>
      <c r="W551" s="1848"/>
      <c r="X551" s="1848"/>
      <c r="Y551" s="1848"/>
    </row>
    <row r="552" spans="2:25" hidden="1">
      <c r="B552" s="1815" t="b">
        <f>AND(I552=FALSE,N551=0,Q551=0,L551="")</f>
        <v>1</v>
      </c>
      <c r="C552" s="1844" t="str" cm="1">
        <f t="array" ref="C552">_xlfn.IFS(
    L552="", "",
    MONTH(L552) &lt;= End_of_Year_Month, YEAR(L552),
    TRUE, YEAR(L552) + 1
)</f>
        <v/>
      </c>
      <c r="F552" s="1857">
        <f>IF(L552="",0,L552)</f>
        <v>0</v>
      </c>
      <c r="G552" s="1856">
        <f>-(N552-Q552)</f>
        <v>0</v>
      </c>
      <c r="I552" s="1815" t="b">
        <f>K552&lt;=Number_Payments</f>
        <v>0</v>
      </c>
      <c r="J552" s="1855"/>
      <c r="K552" s="1351">
        <f>K551+1</f>
        <v>426</v>
      </c>
      <c r="L552" s="1854" t="str" cm="1">
        <f t="array" ref="L552">_xlfn.IFS(
    I551=FALSE, "",
    Payment_Frequency="Monthly", EDATE(L551, 1),
    Payment_Frequency="Weekly", DATE(YEAR(L551), MONTH(L551), DAY(L551) + 7),
    Payment_Frequency="Fortnightly", DATE(YEAR(L551), MONTH(L551), DAY(L551) + 14),
    Payment_Frequency="Quarterly", DATE(YEAR(L551), MONTH(L551) + 3, DAY(L551)),
    Payment_Frequency="Yearly", DATE(YEAR(L551) + 1, MONTH(L551), DAY(L551)),
    TRUE, ""
)</f>
        <v/>
      </c>
      <c r="M552" s="1853">
        <f>IF(ISERROR(L552-L551),0,L552-L551)</f>
        <v>0</v>
      </c>
      <c r="N552" s="1851" cm="1">
        <f t="array" ref="N552">_xlfn.IFS(
    AND(I552=TRUE, K552&lt;=No_Regular_Payments), Repay_Amt,
    AND(I552=TRUE, K552=No_Regular_Payments+1), Tm_Balloon_Amt,
   TRUE, 0
)</f>
        <v>0</v>
      </c>
      <c r="O552" s="1850" cm="1">
        <f t="array" ref="O552">_xlfn.IFS(
    M552=0,0,
   ABS(N552 - S551 - P552-Q552) &lt; 1, N552 - S551-Q552,
    TRUE, P552
)</f>
        <v>0</v>
      </c>
      <c r="P552" s="1852">
        <f>IF(M552=0,0,ROUND(S551*EXP(Int_Rate/365.25 * M552)-S551,2))</f>
        <v>0</v>
      </c>
      <c r="Q552" s="1851" cm="1">
        <f t="array" ref="Q552">_xlfn.IFS(
    AND(I552=TRUE, K552&lt;=No_Regular_Payments), Periodic_Admin_Charge,
   TRUE, 0
)</f>
        <v>0</v>
      </c>
      <c r="R552" s="1850">
        <f>N552-O552-Q552</f>
        <v>0</v>
      </c>
      <c r="S552" s="1850">
        <f>ROUND(S551-R552,2)</f>
        <v>0</v>
      </c>
      <c r="T552" s="1850">
        <f>ROUND(T551-(N552-Q552),2)</f>
        <v>0</v>
      </c>
      <c r="U552" s="1849"/>
      <c r="W552" s="1848"/>
      <c r="X552" s="1848"/>
      <c r="Y552" s="1848"/>
    </row>
    <row r="553" spans="2:25" hidden="1">
      <c r="B553" s="1815" t="b">
        <f>AND(I553=FALSE,N552=0,Q552=0,L552="")</f>
        <v>1</v>
      </c>
      <c r="C553" s="1844" t="str" cm="1">
        <f t="array" ref="C553">_xlfn.IFS(
    L553="", "",
    MONTH(L553) &lt;= End_of_Year_Month, YEAR(L553),
    TRUE, YEAR(L553) + 1
)</f>
        <v/>
      </c>
      <c r="F553" s="1857">
        <f>IF(L553="",0,L553)</f>
        <v>0</v>
      </c>
      <c r="G553" s="1856">
        <f>-(N553-Q553)</f>
        <v>0</v>
      </c>
      <c r="I553" s="1815" t="b">
        <f>K553&lt;=Number_Payments</f>
        <v>0</v>
      </c>
      <c r="J553" s="1855"/>
      <c r="K553" s="1351">
        <f>K552+1</f>
        <v>427</v>
      </c>
      <c r="L553" s="1854" t="str" cm="1">
        <f t="array" ref="L553">_xlfn.IFS(
    I552=FALSE, "",
    Payment_Frequency="Monthly", EDATE(L552, 1),
    Payment_Frequency="Weekly", DATE(YEAR(L552), MONTH(L552), DAY(L552) + 7),
    Payment_Frequency="Fortnightly", DATE(YEAR(L552), MONTH(L552), DAY(L552) + 14),
    Payment_Frequency="Quarterly", DATE(YEAR(L552), MONTH(L552) + 3, DAY(L552)),
    Payment_Frequency="Yearly", DATE(YEAR(L552) + 1, MONTH(L552), DAY(L552)),
    TRUE, ""
)</f>
        <v/>
      </c>
      <c r="M553" s="1853">
        <f>IF(ISERROR(L553-L552),0,L553-L552)</f>
        <v>0</v>
      </c>
      <c r="N553" s="1851" cm="1">
        <f t="array" ref="N553">_xlfn.IFS(
    AND(I553=TRUE, K553&lt;=No_Regular_Payments), Repay_Amt,
    AND(I553=TRUE, K553=No_Regular_Payments+1), Tm_Balloon_Amt,
   TRUE, 0
)</f>
        <v>0</v>
      </c>
      <c r="O553" s="1850" cm="1">
        <f t="array" ref="O553">_xlfn.IFS(
    M553=0,0,
   ABS(N553 - S552 - P553-Q553) &lt; 1, N553 - S552-Q553,
    TRUE, P553
)</f>
        <v>0</v>
      </c>
      <c r="P553" s="1852">
        <f>IF(M553=0,0,ROUND(S552*EXP(Int_Rate/365.25 * M553)-S552,2))</f>
        <v>0</v>
      </c>
      <c r="Q553" s="1851" cm="1">
        <f t="array" ref="Q553">_xlfn.IFS(
    AND(I553=TRUE, K553&lt;=No_Regular_Payments), Periodic_Admin_Charge,
   TRUE, 0
)</f>
        <v>0</v>
      </c>
      <c r="R553" s="1850">
        <f>N553-O553-Q553</f>
        <v>0</v>
      </c>
      <c r="S553" s="1850">
        <f>ROUND(S552-R553,2)</f>
        <v>0</v>
      </c>
      <c r="T553" s="1850">
        <f>ROUND(T552-(N553-Q553),2)</f>
        <v>0</v>
      </c>
      <c r="U553" s="1849"/>
      <c r="W553" s="1848"/>
      <c r="X553" s="1848"/>
      <c r="Y553" s="1848"/>
    </row>
    <row r="554" spans="2:25" hidden="1">
      <c r="B554" s="1815" t="b">
        <f>AND(I554=FALSE,N553=0,Q553=0,L553="")</f>
        <v>1</v>
      </c>
      <c r="C554" s="1844" t="str" cm="1">
        <f t="array" ref="C554">_xlfn.IFS(
    L554="", "",
    MONTH(L554) &lt;= End_of_Year_Month, YEAR(L554),
    TRUE, YEAR(L554) + 1
)</f>
        <v/>
      </c>
      <c r="F554" s="1857">
        <f>IF(L554="",0,L554)</f>
        <v>0</v>
      </c>
      <c r="G554" s="1856">
        <f>-(N554-Q554)</f>
        <v>0</v>
      </c>
      <c r="I554" s="1815" t="b">
        <f>K554&lt;=Number_Payments</f>
        <v>0</v>
      </c>
      <c r="J554" s="1855"/>
      <c r="K554" s="1351">
        <f>K553+1</f>
        <v>428</v>
      </c>
      <c r="L554" s="1854" t="str" cm="1">
        <f t="array" ref="L554">_xlfn.IFS(
    I553=FALSE, "",
    Payment_Frequency="Monthly", EDATE(L553, 1),
    Payment_Frequency="Weekly", DATE(YEAR(L553), MONTH(L553), DAY(L553) + 7),
    Payment_Frequency="Fortnightly", DATE(YEAR(L553), MONTH(L553), DAY(L553) + 14),
    Payment_Frequency="Quarterly", DATE(YEAR(L553), MONTH(L553) + 3, DAY(L553)),
    Payment_Frequency="Yearly", DATE(YEAR(L553) + 1, MONTH(L553), DAY(L553)),
    TRUE, ""
)</f>
        <v/>
      </c>
      <c r="M554" s="1853">
        <f>IF(ISERROR(L554-L553),0,L554-L553)</f>
        <v>0</v>
      </c>
      <c r="N554" s="1851" cm="1">
        <f t="array" ref="N554">_xlfn.IFS(
    AND(I554=TRUE, K554&lt;=No_Regular_Payments), Repay_Amt,
    AND(I554=TRUE, K554=No_Regular_Payments+1), Tm_Balloon_Amt,
   TRUE, 0
)</f>
        <v>0</v>
      </c>
      <c r="O554" s="1850" cm="1">
        <f t="array" ref="O554">_xlfn.IFS(
    M554=0,0,
   ABS(N554 - S553 - P554-Q554) &lt; 1, N554 - S553-Q554,
    TRUE, P554
)</f>
        <v>0</v>
      </c>
      <c r="P554" s="1852">
        <f>IF(M554=0,0,ROUND(S553*EXP(Int_Rate/365.25 * M554)-S553,2))</f>
        <v>0</v>
      </c>
      <c r="Q554" s="1851" cm="1">
        <f t="array" ref="Q554">_xlfn.IFS(
    AND(I554=TRUE, K554&lt;=No_Regular_Payments), Periodic_Admin_Charge,
   TRUE, 0
)</f>
        <v>0</v>
      </c>
      <c r="R554" s="1850">
        <f>N554-O554-Q554</f>
        <v>0</v>
      </c>
      <c r="S554" s="1850">
        <f>ROUND(S553-R554,2)</f>
        <v>0</v>
      </c>
      <c r="T554" s="1850">
        <f>ROUND(T553-(N554-Q554),2)</f>
        <v>0</v>
      </c>
      <c r="U554" s="1849"/>
      <c r="W554" s="1848"/>
      <c r="X554" s="1848"/>
      <c r="Y554" s="1848"/>
    </row>
    <row r="555" spans="2:25" hidden="1">
      <c r="B555" s="1815" t="b">
        <f>AND(I555=FALSE,N554=0,Q554=0,L554="")</f>
        <v>1</v>
      </c>
      <c r="C555" s="1844" t="str" cm="1">
        <f t="array" ref="C555">_xlfn.IFS(
    L555="", "",
    MONTH(L555) &lt;= End_of_Year_Month, YEAR(L555),
    TRUE, YEAR(L555) + 1
)</f>
        <v/>
      </c>
      <c r="F555" s="1857">
        <f>IF(L555="",0,L555)</f>
        <v>0</v>
      </c>
      <c r="G555" s="1856">
        <f>-(N555-Q555)</f>
        <v>0</v>
      </c>
      <c r="I555" s="1815" t="b">
        <f>K555&lt;=Number_Payments</f>
        <v>0</v>
      </c>
      <c r="J555" s="1855"/>
      <c r="K555" s="1351">
        <f>K554+1</f>
        <v>429</v>
      </c>
      <c r="L555" s="1854" t="str" cm="1">
        <f t="array" ref="L555">_xlfn.IFS(
    I554=FALSE, "",
    Payment_Frequency="Monthly", EDATE(L554, 1),
    Payment_Frequency="Weekly", DATE(YEAR(L554), MONTH(L554), DAY(L554) + 7),
    Payment_Frequency="Fortnightly", DATE(YEAR(L554), MONTH(L554), DAY(L554) + 14),
    Payment_Frequency="Quarterly", DATE(YEAR(L554), MONTH(L554) + 3, DAY(L554)),
    Payment_Frequency="Yearly", DATE(YEAR(L554) + 1, MONTH(L554), DAY(L554)),
    TRUE, ""
)</f>
        <v/>
      </c>
      <c r="M555" s="1853">
        <f>IF(ISERROR(L555-L554),0,L555-L554)</f>
        <v>0</v>
      </c>
      <c r="N555" s="1851" cm="1">
        <f t="array" ref="N555">_xlfn.IFS(
    AND(I555=TRUE, K555&lt;=No_Regular_Payments), Repay_Amt,
    AND(I555=TRUE, K555=No_Regular_Payments+1), Tm_Balloon_Amt,
   TRUE, 0
)</f>
        <v>0</v>
      </c>
      <c r="O555" s="1850" cm="1">
        <f t="array" ref="O555">_xlfn.IFS(
    M555=0,0,
   ABS(N555 - S554 - P555-Q555) &lt; 1, N555 - S554-Q555,
    TRUE, P555
)</f>
        <v>0</v>
      </c>
      <c r="P555" s="1852">
        <f>IF(M555=0,0,ROUND(S554*EXP(Int_Rate/365.25 * M555)-S554,2))</f>
        <v>0</v>
      </c>
      <c r="Q555" s="1851" cm="1">
        <f t="array" ref="Q555">_xlfn.IFS(
    AND(I555=TRUE, K555&lt;=No_Regular_Payments), Periodic_Admin_Charge,
   TRUE, 0
)</f>
        <v>0</v>
      </c>
      <c r="R555" s="1850">
        <f>N555-O555-Q555</f>
        <v>0</v>
      </c>
      <c r="S555" s="1850">
        <f>ROUND(S554-R555,2)</f>
        <v>0</v>
      </c>
      <c r="T555" s="1850">
        <f>ROUND(T554-(N555-Q555),2)</f>
        <v>0</v>
      </c>
      <c r="U555" s="1849"/>
      <c r="W555" s="1848"/>
      <c r="X555" s="1848"/>
      <c r="Y555" s="1848"/>
    </row>
    <row r="556" spans="2:25" hidden="1">
      <c r="B556" s="1815" t="b">
        <f>AND(I556=FALSE,N555=0,Q555=0,L555="")</f>
        <v>1</v>
      </c>
      <c r="C556" s="1844" t="str" cm="1">
        <f t="array" ref="C556">_xlfn.IFS(
    L556="", "",
    MONTH(L556) &lt;= End_of_Year_Month, YEAR(L556),
    TRUE, YEAR(L556) + 1
)</f>
        <v/>
      </c>
      <c r="F556" s="1857">
        <f>IF(L556="",0,L556)</f>
        <v>0</v>
      </c>
      <c r="G556" s="1856">
        <f>-(N556-Q556)</f>
        <v>0</v>
      </c>
      <c r="I556" s="1815" t="b">
        <f>K556&lt;=Number_Payments</f>
        <v>0</v>
      </c>
      <c r="J556" s="1855"/>
      <c r="K556" s="1351">
        <f>K555+1</f>
        <v>430</v>
      </c>
      <c r="L556" s="1854" t="str" cm="1">
        <f t="array" ref="L556">_xlfn.IFS(
    I555=FALSE, "",
    Payment_Frequency="Monthly", EDATE(L555, 1),
    Payment_Frequency="Weekly", DATE(YEAR(L555), MONTH(L555), DAY(L555) + 7),
    Payment_Frequency="Fortnightly", DATE(YEAR(L555), MONTH(L555), DAY(L555) + 14),
    Payment_Frequency="Quarterly", DATE(YEAR(L555), MONTH(L555) + 3, DAY(L555)),
    Payment_Frequency="Yearly", DATE(YEAR(L555) + 1, MONTH(L555), DAY(L555)),
    TRUE, ""
)</f>
        <v/>
      </c>
      <c r="M556" s="1853">
        <f>IF(ISERROR(L556-L555),0,L556-L555)</f>
        <v>0</v>
      </c>
      <c r="N556" s="1851" cm="1">
        <f t="array" ref="N556">_xlfn.IFS(
    AND(I556=TRUE, K556&lt;=No_Regular_Payments), Repay_Amt,
    AND(I556=TRUE, K556=No_Regular_Payments+1), Tm_Balloon_Amt,
   TRUE, 0
)</f>
        <v>0</v>
      </c>
      <c r="O556" s="1850" cm="1">
        <f t="array" ref="O556">_xlfn.IFS(
    M556=0,0,
   ABS(N556 - S555 - P556-Q556) &lt; 1, N556 - S555-Q556,
    TRUE, P556
)</f>
        <v>0</v>
      </c>
      <c r="P556" s="1852">
        <f>IF(M556=0,0,ROUND(S555*EXP(Int_Rate/365.25 * M556)-S555,2))</f>
        <v>0</v>
      </c>
      <c r="Q556" s="1851" cm="1">
        <f t="array" ref="Q556">_xlfn.IFS(
    AND(I556=TRUE, K556&lt;=No_Regular_Payments), Periodic_Admin_Charge,
   TRUE, 0
)</f>
        <v>0</v>
      </c>
      <c r="R556" s="1850">
        <f>N556-O556-Q556</f>
        <v>0</v>
      </c>
      <c r="S556" s="1850">
        <f>ROUND(S555-R556,2)</f>
        <v>0</v>
      </c>
      <c r="T556" s="1850">
        <f>ROUND(T555-(N556-Q556),2)</f>
        <v>0</v>
      </c>
      <c r="U556" s="1849"/>
      <c r="W556" s="1848"/>
      <c r="X556" s="1848"/>
      <c r="Y556" s="1848"/>
    </row>
    <row r="557" spans="2:25" hidden="1">
      <c r="B557" s="1815" t="b">
        <f>AND(I557=FALSE,N556=0,Q556=0,L556="")</f>
        <v>1</v>
      </c>
      <c r="C557" s="1844" t="str" cm="1">
        <f t="array" ref="C557">_xlfn.IFS(
    L557="", "",
    MONTH(L557) &lt;= End_of_Year_Month, YEAR(L557),
    TRUE, YEAR(L557) + 1
)</f>
        <v/>
      </c>
      <c r="F557" s="1857">
        <f>IF(L557="",0,L557)</f>
        <v>0</v>
      </c>
      <c r="G557" s="1856">
        <f>-(N557-Q557)</f>
        <v>0</v>
      </c>
      <c r="I557" s="1815" t="b">
        <f>K557&lt;=Number_Payments</f>
        <v>0</v>
      </c>
      <c r="J557" s="1855"/>
      <c r="K557" s="1351">
        <f>K556+1</f>
        <v>431</v>
      </c>
      <c r="L557" s="1854" t="str" cm="1">
        <f t="array" ref="L557">_xlfn.IFS(
    I556=FALSE, "",
    Payment_Frequency="Monthly", EDATE(L556, 1),
    Payment_Frequency="Weekly", DATE(YEAR(L556), MONTH(L556), DAY(L556) + 7),
    Payment_Frequency="Fortnightly", DATE(YEAR(L556), MONTH(L556), DAY(L556) + 14),
    Payment_Frequency="Quarterly", DATE(YEAR(L556), MONTH(L556) + 3, DAY(L556)),
    Payment_Frequency="Yearly", DATE(YEAR(L556) + 1, MONTH(L556), DAY(L556)),
    TRUE, ""
)</f>
        <v/>
      </c>
      <c r="M557" s="1853">
        <f>IF(ISERROR(L557-L556),0,L557-L556)</f>
        <v>0</v>
      </c>
      <c r="N557" s="1851" cm="1">
        <f t="array" ref="N557">_xlfn.IFS(
    AND(I557=TRUE, K557&lt;=No_Regular_Payments), Repay_Amt,
    AND(I557=TRUE, K557=No_Regular_Payments+1), Tm_Balloon_Amt,
   TRUE, 0
)</f>
        <v>0</v>
      </c>
      <c r="O557" s="1850" cm="1">
        <f t="array" ref="O557">_xlfn.IFS(
    M557=0,0,
   ABS(N557 - S556 - P557-Q557) &lt; 1, N557 - S556-Q557,
    TRUE, P557
)</f>
        <v>0</v>
      </c>
      <c r="P557" s="1852">
        <f>IF(M557=0,0,ROUND(S556*EXP(Int_Rate/365.25 * M557)-S556,2))</f>
        <v>0</v>
      </c>
      <c r="Q557" s="1851" cm="1">
        <f t="array" ref="Q557">_xlfn.IFS(
    AND(I557=TRUE, K557&lt;=No_Regular_Payments), Periodic_Admin_Charge,
   TRUE, 0
)</f>
        <v>0</v>
      </c>
      <c r="R557" s="1850">
        <f>N557-O557-Q557</f>
        <v>0</v>
      </c>
      <c r="S557" s="1850">
        <f>ROUND(S556-R557,2)</f>
        <v>0</v>
      </c>
      <c r="T557" s="1850">
        <f>ROUND(T556-(N557-Q557),2)</f>
        <v>0</v>
      </c>
      <c r="U557" s="1849"/>
      <c r="W557" s="1848"/>
      <c r="X557" s="1848"/>
      <c r="Y557" s="1848"/>
    </row>
    <row r="558" spans="2:25" hidden="1">
      <c r="B558" s="1815" t="b">
        <f>AND(I558=FALSE,N557=0,Q557=0,L557="")</f>
        <v>1</v>
      </c>
      <c r="C558" s="1844" t="str" cm="1">
        <f t="array" ref="C558">_xlfn.IFS(
    L558="", "",
    MONTH(L558) &lt;= End_of_Year_Month, YEAR(L558),
    TRUE, YEAR(L558) + 1
)</f>
        <v/>
      </c>
      <c r="F558" s="1857">
        <f>IF(L558="",0,L558)</f>
        <v>0</v>
      </c>
      <c r="G558" s="1856">
        <f>-(N558-Q558)</f>
        <v>0</v>
      </c>
      <c r="I558" s="1815" t="b">
        <f>K558&lt;=Number_Payments</f>
        <v>0</v>
      </c>
      <c r="J558" s="1855"/>
      <c r="K558" s="1351">
        <f>K557+1</f>
        <v>432</v>
      </c>
      <c r="L558" s="1854" t="str" cm="1">
        <f t="array" ref="L558">_xlfn.IFS(
    I557=FALSE, "",
    Payment_Frequency="Monthly", EDATE(L557, 1),
    Payment_Frequency="Weekly", DATE(YEAR(L557), MONTH(L557), DAY(L557) + 7),
    Payment_Frequency="Fortnightly", DATE(YEAR(L557), MONTH(L557), DAY(L557) + 14),
    Payment_Frequency="Quarterly", DATE(YEAR(L557), MONTH(L557) + 3, DAY(L557)),
    Payment_Frequency="Yearly", DATE(YEAR(L557) + 1, MONTH(L557), DAY(L557)),
    TRUE, ""
)</f>
        <v/>
      </c>
      <c r="M558" s="1853">
        <f>IF(ISERROR(L558-L557),0,L558-L557)</f>
        <v>0</v>
      </c>
      <c r="N558" s="1851" cm="1">
        <f t="array" ref="N558">_xlfn.IFS(
    AND(I558=TRUE, K558&lt;=No_Regular_Payments), Repay_Amt,
    AND(I558=TRUE, K558=No_Regular_Payments+1), Tm_Balloon_Amt,
   TRUE, 0
)</f>
        <v>0</v>
      </c>
      <c r="O558" s="1850" cm="1">
        <f t="array" ref="O558">_xlfn.IFS(
    M558=0,0,
   ABS(N558 - S557 - P558-Q558) &lt; 1, N558 - S557-Q558,
    TRUE, P558
)</f>
        <v>0</v>
      </c>
      <c r="P558" s="1852">
        <f>IF(M558=0,0,ROUND(S557*EXP(Int_Rate/365.25 * M558)-S557,2))</f>
        <v>0</v>
      </c>
      <c r="Q558" s="1851" cm="1">
        <f t="array" ref="Q558">_xlfn.IFS(
    AND(I558=TRUE, K558&lt;=No_Regular_Payments), Periodic_Admin_Charge,
   TRUE, 0
)</f>
        <v>0</v>
      </c>
      <c r="R558" s="1850">
        <f>N558-O558-Q558</f>
        <v>0</v>
      </c>
      <c r="S558" s="1850">
        <f>ROUND(S557-R558,2)</f>
        <v>0</v>
      </c>
      <c r="T558" s="1850">
        <f>ROUND(T557-(N558-Q558),2)</f>
        <v>0</v>
      </c>
      <c r="U558" s="1849"/>
      <c r="W558" s="1848"/>
      <c r="X558" s="1848"/>
      <c r="Y558" s="1848"/>
    </row>
    <row r="559" spans="2:25" hidden="1">
      <c r="B559" s="1815" t="b">
        <f>AND(I559=FALSE,N558=0,Q558=0,L558="")</f>
        <v>1</v>
      </c>
      <c r="C559" s="1844" t="str" cm="1">
        <f t="array" ref="C559">_xlfn.IFS(
    L559="", "",
    MONTH(L559) &lt;= End_of_Year_Month, YEAR(L559),
    TRUE, YEAR(L559) + 1
)</f>
        <v/>
      </c>
      <c r="F559" s="1857">
        <f>IF(L559="",0,L559)</f>
        <v>0</v>
      </c>
      <c r="G559" s="1856">
        <f>-(N559-Q559)</f>
        <v>0</v>
      </c>
      <c r="I559" s="1815" t="b">
        <f>K559&lt;=Number_Payments</f>
        <v>0</v>
      </c>
      <c r="J559" s="1855"/>
      <c r="K559" s="1351">
        <f>K558+1</f>
        <v>433</v>
      </c>
      <c r="L559" s="1854" t="str" cm="1">
        <f t="array" ref="L559">_xlfn.IFS(
    I558=FALSE, "",
    Payment_Frequency="Monthly", EDATE(L558, 1),
    Payment_Frequency="Weekly", DATE(YEAR(L558), MONTH(L558), DAY(L558) + 7),
    Payment_Frequency="Fortnightly", DATE(YEAR(L558), MONTH(L558), DAY(L558) + 14),
    Payment_Frequency="Quarterly", DATE(YEAR(L558), MONTH(L558) + 3, DAY(L558)),
    Payment_Frequency="Yearly", DATE(YEAR(L558) + 1, MONTH(L558), DAY(L558)),
    TRUE, ""
)</f>
        <v/>
      </c>
      <c r="M559" s="1853">
        <f>IF(ISERROR(L559-L558),0,L559-L558)</f>
        <v>0</v>
      </c>
      <c r="N559" s="1851" cm="1">
        <f t="array" ref="N559">_xlfn.IFS(
    AND(I559=TRUE, K559&lt;=No_Regular_Payments), Repay_Amt,
    AND(I559=TRUE, K559=No_Regular_Payments+1), Tm_Balloon_Amt,
   TRUE, 0
)</f>
        <v>0</v>
      </c>
      <c r="O559" s="1850" cm="1">
        <f t="array" ref="O559">_xlfn.IFS(
    M559=0,0,
   ABS(N559 - S558 - P559-Q559) &lt; 1, N559 - S558-Q559,
    TRUE, P559
)</f>
        <v>0</v>
      </c>
      <c r="P559" s="1852">
        <f>IF(M559=0,0,ROUND(S558*EXP(Int_Rate/365.25 * M559)-S558,2))</f>
        <v>0</v>
      </c>
      <c r="Q559" s="1851" cm="1">
        <f t="array" ref="Q559">_xlfn.IFS(
    AND(I559=TRUE, K559&lt;=No_Regular_Payments), Periodic_Admin_Charge,
   TRUE, 0
)</f>
        <v>0</v>
      </c>
      <c r="R559" s="1850">
        <f>N559-O559-Q559</f>
        <v>0</v>
      </c>
      <c r="S559" s="1850">
        <f>ROUND(S558-R559,2)</f>
        <v>0</v>
      </c>
      <c r="T559" s="1850">
        <f>ROUND(T558-(N559-Q559),2)</f>
        <v>0</v>
      </c>
      <c r="U559" s="1849"/>
      <c r="W559" s="1848"/>
      <c r="X559" s="1848"/>
      <c r="Y559" s="1848"/>
    </row>
    <row r="560" spans="2:25" hidden="1">
      <c r="B560" s="1815" t="b">
        <f>AND(I560=FALSE,N559=0,Q559=0,L559="")</f>
        <v>1</v>
      </c>
      <c r="C560" s="1844" t="str" cm="1">
        <f t="array" ref="C560">_xlfn.IFS(
    L560="", "",
    MONTH(L560) &lt;= End_of_Year_Month, YEAR(L560),
    TRUE, YEAR(L560) + 1
)</f>
        <v/>
      </c>
      <c r="F560" s="1857">
        <f>IF(L560="",0,L560)</f>
        <v>0</v>
      </c>
      <c r="G560" s="1856">
        <f>-(N560-Q560)</f>
        <v>0</v>
      </c>
      <c r="I560" s="1815" t="b">
        <f>K560&lt;=Number_Payments</f>
        <v>0</v>
      </c>
      <c r="J560" s="1855"/>
      <c r="K560" s="1351">
        <f>K559+1</f>
        <v>434</v>
      </c>
      <c r="L560" s="1854" t="str" cm="1">
        <f t="array" ref="L560">_xlfn.IFS(
    I559=FALSE, "",
    Payment_Frequency="Monthly", EDATE(L559, 1),
    Payment_Frequency="Weekly", DATE(YEAR(L559), MONTH(L559), DAY(L559) + 7),
    Payment_Frequency="Fortnightly", DATE(YEAR(L559), MONTH(L559), DAY(L559) + 14),
    Payment_Frequency="Quarterly", DATE(YEAR(L559), MONTH(L559) + 3, DAY(L559)),
    Payment_Frequency="Yearly", DATE(YEAR(L559) + 1, MONTH(L559), DAY(L559)),
    TRUE, ""
)</f>
        <v/>
      </c>
      <c r="M560" s="1853">
        <f>IF(ISERROR(L560-L559),0,L560-L559)</f>
        <v>0</v>
      </c>
      <c r="N560" s="1851" cm="1">
        <f t="array" ref="N560">_xlfn.IFS(
    AND(I560=TRUE, K560&lt;=No_Regular_Payments), Repay_Amt,
    AND(I560=TRUE, K560=No_Regular_Payments+1), Tm_Balloon_Amt,
   TRUE, 0
)</f>
        <v>0</v>
      </c>
      <c r="O560" s="1850" cm="1">
        <f t="array" ref="O560">_xlfn.IFS(
    M560=0,0,
   ABS(N560 - S559 - P560-Q560) &lt; 1, N560 - S559-Q560,
    TRUE, P560
)</f>
        <v>0</v>
      </c>
      <c r="P560" s="1852">
        <f>IF(M560=0,0,ROUND(S559*EXP(Int_Rate/365.25 * M560)-S559,2))</f>
        <v>0</v>
      </c>
      <c r="Q560" s="1851" cm="1">
        <f t="array" ref="Q560">_xlfn.IFS(
    AND(I560=TRUE, K560&lt;=No_Regular_Payments), Periodic_Admin_Charge,
   TRUE, 0
)</f>
        <v>0</v>
      </c>
      <c r="R560" s="1850">
        <f>N560-O560-Q560</f>
        <v>0</v>
      </c>
      <c r="S560" s="1850">
        <f>ROUND(S559-R560,2)</f>
        <v>0</v>
      </c>
      <c r="T560" s="1850">
        <f>ROUND(T559-(N560-Q560),2)</f>
        <v>0</v>
      </c>
      <c r="U560" s="1849"/>
      <c r="W560" s="1848"/>
      <c r="X560" s="1848"/>
      <c r="Y560" s="1848"/>
    </row>
    <row r="561" spans="2:25" hidden="1">
      <c r="B561" s="1815" t="b">
        <f>AND(I561=FALSE,N560=0,Q560=0,L560="")</f>
        <v>1</v>
      </c>
      <c r="C561" s="1844" t="str" cm="1">
        <f t="array" ref="C561">_xlfn.IFS(
    L561="", "",
    MONTH(L561) &lt;= End_of_Year_Month, YEAR(L561),
    TRUE, YEAR(L561) + 1
)</f>
        <v/>
      </c>
      <c r="F561" s="1857">
        <f>IF(L561="",0,L561)</f>
        <v>0</v>
      </c>
      <c r="G561" s="1856">
        <f>-(N561-Q561)</f>
        <v>0</v>
      </c>
      <c r="I561" s="1815" t="b">
        <f>K561&lt;=Number_Payments</f>
        <v>0</v>
      </c>
      <c r="J561" s="1855"/>
      <c r="K561" s="1351">
        <f>K560+1</f>
        <v>435</v>
      </c>
      <c r="L561" s="1854" t="str" cm="1">
        <f t="array" ref="L561">_xlfn.IFS(
    I560=FALSE, "",
    Payment_Frequency="Monthly", EDATE(L560, 1),
    Payment_Frequency="Weekly", DATE(YEAR(L560), MONTH(L560), DAY(L560) + 7),
    Payment_Frequency="Fortnightly", DATE(YEAR(L560), MONTH(L560), DAY(L560) + 14),
    Payment_Frequency="Quarterly", DATE(YEAR(L560), MONTH(L560) + 3, DAY(L560)),
    Payment_Frequency="Yearly", DATE(YEAR(L560) + 1, MONTH(L560), DAY(L560)),
    TRUE, ""
)</f>
        <v/>
      </c>
      <c r="M561" s="1853">
        <f>IF(ISERROR(L561-L560),0,L561-L560)</f>
        <v>0</v>
      </c>
      <c r="N561" s="1851" cm="1">
        <f t="array" ref="N561">_xlfn.IFS(
    AND(I561=TRUE, K561&lt;=No_Regular_Payments), Repay_Amt,
    AND(I561=TRUE, K561=No_Regular_Payments+1), Tm_Balloon_Amt,
   TRUE, 0
)</f>
        <v>0</v>
      </c>
      <c r="O561" s="1850" cm="1">
        <f t="array" ref="O561">_xlfn.IFS(
    M561=0,0,
   ABS(N561 - S560 - P561-Q561) &lt; 1, N561 - S560-Q561,
    TRUE, P561
)</f>
        <v>0</v>
      </c>
      <c r="P561" s="1852">
        <f>IF(M561=0,0,ROUND(S560*EXP(Int_Rate/365.25 * M561)-S560,2))</f>
        <v>0</v>
      </c>
      <c r="Q561" s="1851" cm="1">
        <f t="array" ref="Q561">_xlfn.IFS(
    AND(I561=TRUE, K561&lt;=No_Regular_Payments), Periodic_Admin_Charge,
   TRUE, 0
)</f>
        <v>0</v>
      </c>
      <c r="R561" s="1850">
        <f>N561-O561-Q561</f>
        <v>0</v>
      </c>
      <c r="S561" s="1850">
        <f>ROUND(S560-R561,2)</f>
        <v>0</v>
      </c>
      <c r="T561" s="1850">
        <f>ROUND(T560-(N561-Q561),2)</f>
        <v>0</v>
      </c>
      <c r="U561" s="1849"/>
      <c r="W561" s="1848"/>
      <c r="X561" s="1848"/>
      <c r="Y561" s="1848"/>
    </row>
    <row r="562" spans="2:25" hidden="1">
      <c r="B562" s="1815" t="b">
        <f>AND(I562=FALSE,N561=0,Q561=0,L561="")</f>
        <v>1</v>
      </c>
      <c r="C562" s="1844" t="str" cm="1">
        <f t="array" ref="C562">_xlfn.IFS(
    L562="", "",
    MONTH(L562) &lt;= End_of_Year_Month, YEAR(L562),
    TRUE, YEAR(L562) + 1
)</f>
        <v/>
      </c>
      <c r="F562" s="1857">
        <f>IF(L562="",0,L562)</f>
        <v>0</v>
      </c>
      <c r="G562" s="1856">
        <f>-(N562-Q562)</f>
        <v>0</v>
      </c>
      <c r="I562" s="1815" t="b">
        <f>K562&lt;=Number_Payments</f>
        <v>0</v>
      </c>
      <c r="J562" s="1855"/>
      <c r="K562" s="1351">
        <f>K561+1</f>
        <v>436</v>
      </c>
      <c r="L562" s="1854" t="str" cm="1">
        <f t="array" ref="L562">_xlfn.IFS(
    I561=FALSE, "",
    Payment_Frequency="Monthly", EDATE(L561, 1),
    Payment_Frequency="Weekly", DATE(YEAR(L561), MONTH(L561), DAY(L561) + 7),
    Payment_Frequency="Fortnightly", DATE(YEAR(L561), MONTH(L561), DAY(L561) + 14),
    Payment_Frequency="Quarterly", DATE(YEAR(L561), MONTH(L561) + 3, DAY(L561)),
    Payment_Frequency="Yearly", DATE(YEAR(L561) + 1, MONTH(L561), DAY(L561)),
    TRUE, ""
)</f>
        <v/>
      </c>
      <c r="M562" s="1853">
        <f>IF(ISERROR(L562-L561),0,L562-L561)</f>
        <v>0</v>
      </c>
      <c r="N562" s="1851" cm="1">
        <f t="array" ref="N562">_xlfn.IFS(
    AND(I562=TRUE, K562&lt;=No_Regular_Payments), Repay_Amt,
    AND(I562=TRUE, K562=No_Regular_Payments+1), Tm_Balloon_Amt,
   TRUE, 0
)</f>
        <v>0</v>
      </c>
      <c r="O562" s="1850" cm="1">
        <f t="array" ref="O562">_xlfn.IFS(
    M562=0,0,
   ABS(N562 - S561 - P562-Q562) &lt; 1, N562 - S561-Q562,
    TRUE, P562
)</f>
        <v>0</v>
      </c>
      <c r="P562" s="1852">
        <f>IF(M562=0,0,ROUND(S561*EXP(Int_Rate/365.25 * M562)-S561,2))</f>
        <v>0</v>
      </c>
      <c r="Q562" s="1851" cm="1">
        <f t="array" ref="Q562">_xlfn.IFS(
    AND(I562=TRUE, K562&lt;=No_Regular_Payments), Periodic_Admin_Charge,
   TRUE, 0
)</f>
        <v>0</v>
      </c>
      <c r="R562" s="1850">
        <f>N562-O562-Q562</f>
        <v>0</v>
      </c>
      <c r="S562" s="1850">
        <f>ROUND(S561-R562,2)</f>
        <v>0</v>
      </c>
      <c r="T562" s="1850">
        <f>ROUND(T561-(N562-Q562),2)</f>
        <v>0</v>
      </c>
      <c r="U562" s="1849"/>
      <c r="W562" s="1848"/>
      <c r="X562" s="1848"/>
      <c r="Y562" s="1848"/>
    </row>
    <row r="563" spans="2:25" hidden="1">
      <c r="B563" s="1815" t="b">
        <f>AND(I563=FALSE,N562=0,Q562=0,L562="")</f>
        <v>1</v>
      </c>
      <c r="C563" s="1844" t="str" cm="1">
        <f t="array" ref="C563">_xlfn.IFS(
    L563="", "",
    MONTH(L563) &lt;= End_of_Year_Month, YEAR(L563),
    TRUE, YEAR(L563) + 1
)</f>
        <v/>
      </c>
      <c r="F563" s="1857">
        <f>IF(L563="",0,L563)</f>
        <v>0</v>
      </c>
      <c r="G563" s="1856">
        <f>-(N563-Q563)</f>
        <v>0</v>
      </c>
      <c r="I563" s="1815" t="b">
        <f>K563&lt;=Number_Payments</f>
        <v>0</v>
      </c>
      <c r="J563" s="1855"/>
      <c r="K563" s="1351">
        <f>K562+1</f>
        <v>437</v>
      </c>
      <c r="L563" s="1854" t="str" cm="1">
        <f t="array" ref="L563">_xlfn.IFS(
    I562=FALSE, "",
    Payment_Frequency="Monthly", EDATE(L562, 1),
    Payment_Frequency="Weekly", DATE(YEAR(L562), MONTH(L562), DAY(L562) + 7),
    Payment_Frequency="Fortnightly", DATE(YEAR(L562), MONTH(L562), DAY(L562) + 14),
    Payment_Frequency="Quarterly", DATE(YEAR(L562), MONTH(L562) + 3, DAY(L562)),
    Payment_Frequency="Yearly", DATE(YEAR(L562) + 1, MONTH(L562), DAY(L562)),
    TRUE, ""
)</f>
        <v/>
      </c>
      <c r="M563" s="1853">
        <f>IF(ISERROR(L563-L562),0,L563-L562)</f>
        <v>0</v>
      </c>
      <c r="N563" s="1851" cm="1">
        <f t="array" ref="N563">_xlfn.IFS(
    AND(I563=TRUE, K563&lt;=No_Regular_Payments), Repay_Amt,
    AND(I563=TRUE, K563=No_Regular_Payments+1), Tm_Balloon_Amt,
   TRUE, 0
)</f>
        <v>0</v>
      </c>
      <c r="O563" s="1850" cm="1">
        <f t="array" ref="O563">_xlfn.IFS(
    M563=0,0,
   ABS(N563 - S562 - P563-Q563) &lt; 1, N563 - S562-Q563,
    TRUE, P563
)</f>
        <v>0</v>
      </c>
      <c r="P563" s="1852">
        <f>IF(M563=0,0,ROUND(S562*EXP(Int_Rate/365.25 * M563)-S562,2))</f>
        <v>0</v>
      </c>
      <c r="Q563" s="1851" cm="1">
        <f t="array" ref="Q563">_xlfn.IFS(
    AND(I563=TRUE, K563&lt;=No_Regular_Payments), Periodic_Admin_Charge,
   TRUE, 0
)</f>
        <v>0</v>
      </c>
      <c r="R563" s="1850">
        <f>N563-O563-Q563</f>
        <v>0</v>
      </c>
      <c r="S563" s="1850">
        <f>ROUND(S562-R563,2)</f>
        <v>0</v>
      </c>
      <c r="T563" s="1850">
        <f>ROUND(T562-(N563-Q563),2)</f>
        <v>0</v>
      </c>
      <c r="U563" s="1849"/>
      <c r="W563" s="1848"/>
      <c r="X563" s="1848"/>
      <c r="Y563" s="1848"/>
    </row>
    <row r="564" spans="2:25" hidden="1">
      <c r="B564" s="1815" t="b">
        <f>AND(I564=FALSE,N563=0,Q563=0,L563="")</f>
        <v>1</v>
      </c>
      <c r="C564" s="1844" t="str" cm="1">
        <f t="array" ref="C564">_xlfn.IFS(
    L564="", "",
    MONTH(L564) &lt;= End_of_Year_Month, YEAR(L564),
    TRUE, YEAR(L564) + 1
)</f>
        <v/>
      </c>
      <c r="F564" s="1857">
        <f>IF(L564="",0,L564)</f>
        <v>0</v>
      </c>
      <c r="G564" s="1856">
        <f>-(N564-Q564)</f>
        <v>0</v>
      </c>
      <c r="I564" s="1815" t="b">
        <f>K564&lt;=Number_Payments</f>
        <v>0</v>
      </c>
      <c r="J564" s="1855"/>
      <c r="K564" s="1351">
        <f>K563+1</f>
        <v>438</v>
      </c>
      <c r="L564" s="1854" t="str" cm="1">
        <f t="array" ref="L564">_xlfn.IFS(
    I563=FALSE, "",
    Payment_Frequency="Monthly", EDATE(L563, 1),
    Payment_Frequency="Weekly", DATE(YEAR(L563), MONTH(L563), DAY(L563) + 7),
    Payment_Frequency="Fortnightly", DATE(YEAR(L563), MONTH(L563), DAY(L563) + 14),
    Payment_Frequency="Quarterly", DATE(YEAR(L563), MONTH(L563) + 3, DAY(L563)),
    Payment_Frequency="Yearly", DATE(YEAR(L563) + 1, MONTH(L563), DAY(L563)),
    TRUE, ""
)</f>
        <v/>
      </c>
      <c r="M564" s="1853">
        <f>IF(ISERROR(L564-L563),0,L564-L563)</f>
        <v>0</v>
      </c>
      <c r="N564" s="1851" cm="1">
        <f t="array" ref="N564">_xlfn.IFS(
    AND(I564=TRUE, K564&lt;=No_Regular_Payments), Repay_Amt,
    AND(I564=TRUE, K564=No_Regular_Payments+1), Tm_Balloon_Amt,
   TRUE, 0
)</f>
        <v>0</v>
      </c>
      <c r="O564" s="1850" cm="1">
        <f t="array" ref="O564">_xlfn.IFS(
    M564=0,0,
   ABS(N564 - S563 - P564-Q564) &lt; 1, N564 - S563-Q564,
    TRUE, P564
)</f>
        <v>0</v>
      </c>
      <c r="P564" s="1852">
        <f>IF(M564=0,0,ROUND(S563*EXP(Int_Rate/365.25 * M564)-S563,2))</f>
        <v>0</v>
      </c>
      <c r="Q564" s="1851" cm="1">
        <f t="array" ref="Q564">_xlfn.IFS(
    AND(I564=TRUE, K564&lt;=No_Regular_Payments), Periodic_Admin_Charge,
   TRUE, 0
)</f>
        <v>0</v>
      </c>
      <c r="R564" s="1850">
        <f>N564-O564-Q564</f>
        <v>0</v>
      </c>
      <c r="S564" s="1850">
        <f>ROUND(S563-R564,2)</f>
        <v>0</v>
      </c>
      <c r="T564" s="1850">
        <f>ROUND(T563-(N564-Q564),2)</f>
        <v>0</v>
      </c>
      <c r="U564" s="1849"/>
      <c r="W564" s="1848"/>
      <c r="X564" s="1848"/>
      <c r="Y564" s="1848"/>
    </row>
    <row r="565" spans="2:25" hidden="1">
      <c r="B565" s="1815" t="b">
        <f>AND(I565=FALSE,N564=0,Q564=0,L564="")</f>
        <v>1</v>
      </c>
      <c r="C565" s="1844" t="str" cm="1">
        <f t="array" ref="C565">_xlfn.IFS(
    L565="", "",
    MONTH(L565) &lt;= End_of_Year_Month, YEAR(L565),
    TRUE, YEAR(L565) + 1
)</f>
        <v/>
      </c>
      <c r="F565" s="1857">
        <f>IF(L565="",0,L565)</f>
        <v>0</v>
      </c>
      <c r="G565" s="1856">
        <f>-(N565-Q565)</f>
        <v>0</v>
      </c>
      <c r="I565" s="1815" t="b">
        <f>K565&lt;=Number_Payments</f>
        <v>0</v>
      </c>
      <c r="J565" s="1855"/>
      <c r="K565" s="1351">
        <f>K564+1</f>
        <v>439</v>
      </c>
      <c r="L565" s="1854" t="str" cm="1">
        <f t="array" ref="L565">_xlfn.IFS(
    I564=FALSE, "",
    Payment_Frequency="Monthly", EDATE(L564, 1),
    Payment_Frequency="Weekly", DATE(YEAR(L564), MONTH(L564), DAY(L564) + 7),
    Payment_Frequency="Fortnightly", DATE(YEAR(L564), MONTH(L564), DAY(L564) + 14),
    Payment_Frequency="Quarterly", DATE(YEAR(L564), MONTH(L564) + 3, DAY(L564)),
    Payment_Frequency="Yearly", DATE(YEAR(L564) + 1, MONTH(L564), DAY(L564)),
    TRUE, ""
)</f>
        <v/>
      </c>
      <c r="M565" s="1853">
        <f>IF(ISERROR(L565-L564),0,L565-L564)</f>
        <v>0</v>
      </c>
      <c r="N565" s="1851" cm="1">
        <f t="array" ref="N565">_xlfn.IFS(
    AND(I565=TRUE, K565&lt;=No_Regular_Payments), Repay_Amt,
    AND(I565=TRUE, K565=No_Regular_Payments+1), Tm_Balloon_Amt,
   TRUE, 0
)</f>
        <v>0</v>
      </c>
      <c r="O565" s="1850" cm="1">
        <f t="array" ref="O565">_xlfn.IFS(
    M565=0,0,
   ABS(N565 - S564 - P565-Q565) &lt; 1, N565 - S564-Q565,
    TRUE, P565
)</f>
        <v>0</v>
      </c>
      <c r="P565" s="1852">
        <f>IF(M565=0,0,ROUND(S564*EXP(Int_Rate/365.25 * M565)-S564,2))</f>
        <v>0</v>
      </c>
      <c r="Q565" s="1851" cm="1">
        <f t="array" ref="Q565">_xlfn.IFS(
    AND(I565=TRUE, K565&lt;=No_Regular_Payments), Periodic_Admin_Charge,
   TRUE, 0
)</f>
        <v>0</v>
      </c>
      <c r="R565" s="1850">
        <f>N565-O565-Q565</f>
        <v>0</v>
      </c>
      <c r="S565" s="1850">
        <f>ROUND(S564-R565,2)</f>
        <v>0</v>
      </c>
      <c r="T565" s="1850">
        <f>ROUND(T564-(N565-Q565),2)</f>
        <v>0</v>
      </c>
      <c r="U565" s="1849"/>
      <c r="W565" s="1848"/>
      <c r="X565" s="1848"/>
      <c r="Y565" s="1848"/>
    </row>
    <row r="566" spans="2:25" hidden="1">
      <c r="B566" s="1815" t="b">
        <f>AND(I566=FALSE,N565=0,Q565=0,L565="")</f>
        <v>1</v>
      </c>
      <c r="C566" s="1844" t="str" cm="1">
        <f t="array" ref="C566">_xlfn.IFS(
    L566="", "",
    MONTH(L566) &lt;= End_of_Year_Month, YEAR(L566),
    TRUE, YEAR(L566) + 1
)</f>
        <v/>
      </c>
      <c r="F566" s="1857">
        <f>IF(L566="",0,L566)</f>
        <v>0</v>
      </c>
      <c r="G566" s="1856">
        <f>-(N566-Q566)</f>
        <v>0</v>
      </c>
      <c r="I566" s="1815" t="b">
        <f>K566&lt;=Number_Payments</f>
        <v>0</v>
      </c>
      <c r="J566" s="1855"/>
      <c r="K566" s="1351">
        <f>K565+1</f>
        <v>440</v>
      </c>
      <c r="L566" s="1854" t="str" cm="1">
        <f t="array" ref="L566">_xlfn.IFS(
    I565=FALSE, "",
    Payment_Frequency="Monthly", EDATE(L565, 1),
    Payment_Frequency="Weekly", DATE(YEAR(L565), MONTH(L565), DAY(L565) + 7),
    Payment_Frequency="Fortnightly", DATE(YEAR(L565), MONTH(L565), DAY(L565) + 14),
    Payment_Frequency="Quarterly", DATE(YEAR(L565), MONTH(L565) + 3, DAY(L565)),
    Payment_Frequency="Yearly", DATE(YEAR(L565) + 1, MONTH(L565), DAY(L565)),
    TRUE, ""
)</f>
        <v/>
      </c>
      <c r="M566" s="1853">
        <f>IF(ISERROR(L566-L565),0,L566-L565)</f>
        <v>0</v>
      </c>
      <c r="N566" s="1851" cm="1">
        <f t="array" ref="N566">_xlfn.IFS(
    AND(I566=TRUE, K566&lt;=No_Regular_Payments), Repay_Amt,
    AND(I566=TRUE, K566=No_Regular_Payments+1), Tm_Balloon_Amt,
   TRUE, 0
)</f>
        <v>0</v>
      </c>
      <c r="O566" s="1850" cm="1">
        <f t="array" ref="O566">_xlfn.IFS(
    M566=0,0,
   ABS(N566 - S565 - P566-Q566) &lt; 1, N566 - S565-Q566,
    TRUE, P566
)</f>
        <v>0</v>
      </c>
      <c r="P566" s="1852">
        <f>IF(M566=0,0,ROUND(S565*EXP(Int_Rate/365.25 * M566)-S565,2))</f>
        <v>0</v>
      </c>
      <c r="Q566" s="1851" cm="1">
        <f t="array" ref="Q566">_xlfn.IFS(
    AND(I566=TRUE, K566&lt;=No_Regular_Payments), Periodic_Admin_Charge,
   TRUE, 0
)</f>
        <v>0</v>
      </c>
      <c r="R566" s="1850">
        <f>N566-O566-Q566</f>
        <v>0</v>
      </c>
      <c r="S566" s="1850">
        <f>ROUND(S565-R566,2)</f>
        <v>0</v>
      </c>
      <c r="T566" s="1850">
        <f>ROUND(T565-(N566-Q566),2)</f>
        <v>0</v>
      </c>
      <c r="U566" s="1849"/>
      <c r="W566" s="1848"/>
      <c r="X566" s="1848"/>
      <c r="Y566" s="1848"/>
    </row>
    <row r="567" spans="2:25" hidden="1">
      <c r="B567" s="1815" t="b">
        <f>AND(I567=FALSE,N566=0,Q566=0,L566="")</f>
        <v>1</v>
      </c>
      <c r="C567" s="1844" t="str" cm="1">
        <f t="array" ref="C567">_xlfn.IFS(
    L567="", "",
    MONTH(L567) &lt;= End_of_Year_Month, YEAR(L567),
    TRUE, YEAR(L567) + 1
)</f>
        <v/>
      </c>
      <c r="F567" s="1857">
        <f>IF(L567="",0,L567)</f>
        <v>0</v>
      </c>
      <c r="G567" s="1856">
        <f>-(N567-Q567)</f>
        <v>0</v>
      </c>
      <c r="I567" s="1815" t="b">
        <f>K567&lt;=Number_Payments</f>
        <v>0</v>
      </c>
      <c r="J567" s="1855"/>
      <c r="K567" s="1351">
        <f>K566+1</f>
        <v>441</v>
      </c>
      <c r="L567" s="1854" t="str" cm="1">
        <f t="array" ref="L567">_xlfn.IFS(
    I566=FALSE, "",
    Payment_Frequency="Monthly", EDATE(L566, 1),
    Payment_Frequency="Weekly", DATE(YEAR(L566), MONTH(L566), DAY(L566) + 7),
    Payment_Frequency="Fortnightly", DATE(YEAR(L566), MONTH(L566), DAY(L566) + 14),
    Payment_Frequency="Quarterly", DATE(YEAR(L566), MONTH(L566) + 3, DAY(L566)),
    Payment_Frequency="Yearly", DATE(YEAR(L566) + 1, MONTH(L566), DAY(L566)),
    TRUE, ""
)</f>
        <v/>
      </c>
      <c r="M567" s="1853">
        <f>IF(ISERROR(L567-L566),0,L567-L566)</f>
        <v>0</v>
      </c>
      <c r="N567" s="1851" cm="1">
        <f t="array" ref="N567">_xlfn.IFS(
    AND(I567=TRUE, K567&lt;=No_Regular_Payments), Repay_Amt,
    AND(I567=TRUE, K567=No_Regular_Payments+1), Tm_Balloon_Amt,
   TRUE, 0
)</f>
        <v>0</v>
      </c>
      <c r="O567" s="1850" cm="1">
        <f t="array" ref="O567">_xlfn.IFS(
    M567=0,0,
   ABS(N567 - S566 - P567-Q567) &lt; 1, N567 - S566-Q567,
    TRUE, P567
)</f>
        <v>0</v>
      </c>
      <c r="P567" s="1852">
        <f>IF(M567=0,0,ROUND(S566*EXP(Int_Rate/365.25 * M567)-S566,2))</f>
        <v>0</v>
      </c>
      <c r="Q567" s="1851" cm="1">
        <f t="array" ref="Q567">_xlfn.IFS(
    AND(I567=TRUE, K567&lt;=No_Regular_Payments), Periodic_Admin_Charge,
   TRUE, 0
)</f>
        <v>0</v>
      </c>
      <c r="R567" s="1850">
        <f>N567-O567-Q567</f>
        <v>0</v>
      </c>
      <c r="S567" s="1850">
        <f>ROUND(S566-R567,2)</f>
        <v>0</v>
      </c>
      <c r="T567" s="1850">
        <f>ROUND(T566-(N567-Q567),2)</f>
        <v>0</v>
      </c>
      <c r="U567" s="1849"/>
      <c r="W567" s="1848"/>
      <c r="X567" s="1848"/>
      <c r="Y567" s="1848"/>
    </row>
    <row r="568" spans="2:25" hidden="1">
      <c r="B568" s="1815" t="b">
        <f>AND(I568=FALSE,N567=0,Q567=0,L567="")</f>
        <v>1</v>
      </c>
      <c r="C568" s="1844" t="str" cm="1">
        <f t="array" ref="C568">_xlfn.IFS(
    L568="", "",
    MONTH(L568) &lt;= End_of_Year_Month, YEAR(L568),
    TRUE, YEAR(L568) + 1
)</f>
        <v/>
      </c>
      <c r="F568" s="1857">
        <f>IF(L568="",0,L568)</f>
        <v>0</v>
      </c>
      <c r="G568" s="1856">
        <f>-(N568-Q568)</f>
        <v>0</v>
      </c>
      <c r="I568" s="1815" t="b">
        <f>K568&lt;=Number_Payments</f>
        <v>0</v>
      </c>
      <c r="J568" s="1855"/>
      <c r="K568" s="1351">
        <f>K567+1</f>
        <v>442</v>
      </c>
      <c r="L568" s="1854" t="str" cm="1">
        <f t="array" ref="L568">_xlfn.IFS(
    I567=FALSE, "",
    Payment_Frequency="Monthly", EDATE(L567, 1),
    Payment_Frequency="Weekly", DATE(YEAR(L567), MONTH(L567), DAY(L567) + 7),
    Payment_Frequency="Fortnightly", DATE(YEAR(L567), MONTH(L567), DAY(L567) + 14),
    Payment_Frequency="Quarterly", DATE(YEAR(L567), MONTH(L567) + 3, DAY(L567)),
    Payment_Frequency="Yearly", DATE(YEAR(L567) + 1, MONTH(L567), DAY(L567)),
    TRUE, ""
)</f>
        <v/>
      </c>
      <c r="M568" s="1853">
        <f>IF(ISERROR(L568-L567),0,L568-L567)</f>
        <v>0</v>
      </c>
      <c r="N568" s="1851" cm="1">
        <f t="array" ref="N568">_xlfn.IFS(
    AND(I568=TRUE, K568&lt;=No_Regular_Payments), Repay_Amt,
    AND(I568=TRUE, K568=No_Regular_Payments+1), Tm_Balloon_Amt,
   TRUE, 0
)</f>
        <v>0</v>
      </c>
      <c r="O568" s="1850" cm="1">
        <f t="array" ref="O568">_xlfn.IFS(
    M568=0,0,
   ABS(N568 - S567 - P568-Q568) &lt; 1, N568 - S567-Q568,
    TRUE, P568
)</f>
        <v>0</v>
      </c>
      <c r="P568" s="1852">
        <f>IF(M568=0,0,ROUND(S567*EXP(Int_Rate/365.25 * M568)-S567,2))</f>
        <v>0</v>
      </c>
      <c r="Q568" s="1851" cm="1">
        <f t="array" ref="Q568">_xlfn.IFS(
    AND(I568=TRUE, K568&lt;=No_Regular_Payments), Periodic_Admin_Charge,
   TRUE, 0
)</f>
        <v>0</v>
      </c>
      <c r="R568" s="1850">
        <f>N568-O568-Q568</f>
        <v>0</v>
      </c>
      <c r="S568" s="1850">
        <f>ROUND(S567-R568,2)</f>
        <v>0</v>
      </c>
      <c r="T568" s="1850">
        <f>ROUND(T567-(N568-Q568),2)</f>
        <v>0</v>
      </c>
      <c r="U568" s="1849"/>
      <c r="W568" s="1848"/>
      <c r="X568" s="1848"/>
      <c r="Y568" s="1848"/>
    </row>
    <row r="569" spans="2:25" hidden="1">
      <c r="B569" s="1815" t="b">
        <f>AND(I569=FALSE,N568=0,Q568=0,L568="")</f>
        <v>1</v>
      </c>
      <c r="C569" s="1844" t="str" cm="1">
        <f t="array" ref="C569">_xlfn.IFS(
    L569="", "",
    MONTH(L569) &lt;= End_of_Year_Month, YEAR(L569),
    TRUE, YEAR(L569) + 1
)</f>
        <v/>
      </c>
      <c r="F569" s="1857">
        <f>IF(L569="",0,L569)</f>
        <v>0</v>
      </c>
      <c r="G569" s="1856">
        <f>-(N569-Q569)</f>
        <v>0</v>
      </c>
      <c r="I569" s="1815" t="b">
        <f>K569&lt;=Number_Payments</f>
        <v>0</v>
      </c>
      <c r="J569" s="1855"/>
      <c r="K569" s="1351">
        <f>K568+1</f>
        <v>443</v>
      </c>
      <c r="L569" s="1854" t="str" cm="1">
        <f t="array" ref="L569">_xlfn.IFS(
    I568=FALSE, "",
    Payment_Frequency="Monthly", EDATE(L568, 1),
    Payment_Frequency="Weekly", DATE(YEAR(L568), MONTH(L568), DAY(L568) + 7),
    Payment_Frequency="Fortnightly", DATE(YEAR(L568), MONTH(L568), DAY(L568) + 14),
    Payment_Frequency="Quarterly", DATE(YEAR(L568), MONTH(L568) + 3, DAY(L568)),
    Payment_Frequency="Yearly", DATE(YEAR(L568) + 1, MONTH(L568), DAY(L568)),
    TRUE, ""
)</f>
        <v/>
      </c>
      <c r="M569" s="1853">
        <f>IF(ISERROR(L569-L568),0,L569-L568)</f>
        <v>0</v>
      </c>
      <c r="N569" s="1851" cm="1">
        <f t="array" ref="N569">_xlfn.IFS(
    AND(I569=TRUE, K569&lt;=No_Regular_Payments), Repay_Amt,
    AND(I569=TRUE, K569=No_Regular_Payments+1), Tm_Balloon_Amt,
   TRUE, 0
)</f>
        <v>0</v>
      </c>
      <c r="O569" s="1850" cm="1">
        <f t="array" ref="O569">_xlfn.IFS(
    M569=0,0,
   ABS(N569 - S568 - P569-Q569) &lt; 1, N569 - S568-Q569,
    TRUE, P569
)</f>
        <v>0</v>
      </c>
      <c r="P569" s="1852">
        <f>IF(M569=0,0,ROUND(S568*EXP(Int_Rate/365.25 * M569)-S568,2))</f>
        <v>0</v>
      </c>
      <c r="Q569" s="1851" cm="1">
        <f t="array" ref="Q569">_xlfn.IFS(
    AND(I569=TRUE, K569&lt;=No_Regular_Payments), Periodic_Admin_Charge,
   TRUE, 0
)</f>
        <v>0</v>
      </c>
      <c r="R569" s="1850">
        <f>N569-O569-Q569</f>
        <v>0</v>
      </c>
      <c r="S569" s="1850">
        <f>ROUND(S568-R569,2)</f>
        <v>0</v>
      </c>
      <c r="T569" s="1850">
        <f>ROUND(T568-(N569-Q569),2)</f>
        <v>0</v>
      </c>
      <c r="U569" s="1849"/>
      <c r="W569" s="1848"/>
      <c r="X569" s="1848"/>
      <c r="Y569" s="1848"/>
    </row>
    <row r="570" spans="2:25" hidden="1">
      <c r="B570" s="1815" t="b">
        <f>AND(I570=FALSE,N569=0,Q569=0,L569="")</f>
        <v>1</v>
      </c>
      <c r="C570" s="1844" t="str" cm="1">
        <f t="array" ref="C570">_xlfn.IFS(
    L570="", "",
    MONTH(L570) &lt;= End_of_Year_Month, YEAR(L570),
    TRUE, YEAR(L570) + 1
)</f>
        <v/>
      </c>
      <c r="F570" s="1857">
        <f>IF(L570="",0,L570)</f>
        <v>0</v>
      </c>
      <c r="G570" s="1856">
        <f>-(N570-Q570)</f>
        <v>0</v>
      </c>
      <c r="I570" s="1815" t="b">
        <f>K570&lt;=Number_Payments</f>
        <v>0</v>
      </c>
      <c r="J570" s="1855"/>
      <c r="K570" s="1351">
        <f>K569+1</f>
        <v>444</v>
      </c>
      <c r="L570" s="1854" t="str" cm="1">
        <f t="array" ref="L570">_xlfn.IFS(
    I569=FALSE, "",
    Payment_Frequency="Monthly", EDATE(L569, 1),
    Payment_Frequency="Weekly", DATE(YEAR(L569), MONTH(L569), DAY(L569) + 7),
    Payment_Frequency="Fortnightly", DATE(YEAR(L569), MONTH(L569), DAY(L569) + 14),
    Payment_Frequency="Quarterly", DATE(YEAR(L569), MONTH(L569) + 3, DAY(L569)),
    Payment_Frequency="Yearly", DATE(YEAR(L569) + 1, MONTH(L569), DAY(L569)),
    TRUE, ""
)</f>
        <v/>
      </c>
      <c r="M570" s="1853">
        <f>IF(ISERROR(L570-L569),0,L570-L569)</f>
        <v>0</v>
      </c>
      <c r="N570" s="1851" cm="1">
        <f t="array" ref="N570">_xlfn.IFS(
    AND(I570=TRUE, K570&lt;=No_Regular_Payments), Repay_Amt,
    AND(I570=TRUE, K570=No_Regular_Payments+1), Tm_Balloon_Amt,
   TRUE, 0
)</f>
        <v>0</v>
      </c>
      <c r="O570" s="1850" cm="1">
        <f t="array" ref="O570">_xlfn.IFS(
    M570=0,0,
   ABS(N570 - S569 - P570-Q570) &lt; 1, N570 - S569-Q570,
    TRUE, P570
)</f>
        <v>0</v>
      </c>
      <c r="P570" s="1852">
        <f>IF(M570=0,0,ROUND(S569*EXP(Int_Rate/365.25 * M570)-S569,2))</f>
        <v>0</v>
      </c>
      <c r="Q570" s="1851" cm="1">
        <f t="array" ref="Q570">_xlfn.IFS(
    AND(I570=TRUE, K570&lt;=No_Regular_Payments), Periodic_Admin_Charge,
   TRUE, 0
)</f>
        <v>0</v>
      </c>
      <c r="R570" s="1850">
        <f>N570-O570-Q570</f>
        <v>0</v>
      </c>
      <c r="S570" s="1850">
        <f>ROUND(S569-R570,2)</f>
        <v>0</v>
      </c>
      <c r="T570" s="1850">
        <f>ROUND(T569-(N570-Q570),2)</f>
        <v>0</v>
      </c>
      <c r="U570" s="1849"/>
      <c r="W570" s="1848"/>
      <c r="X570" s="1848"/>
      <c r="Y570" s="1848"/>
    </row>
    <row r="571" spans="2:25" hidden="1">
      <c r="B571" s="1815" t="b">
        <f>AND(I571=FALSE,N570=0,Q570=0,L570="")</f>
        <v>1</v>
      </c>
      <c r="C571" s="1844" t="str" cm="1">
        <f t="array" ref="C571">_xlfn.IFS(
    L571="", "",
    MONTH(L571) &lt;= End_of_Year_Month, YEAR(L571),
    TRUE, YEAR(L571) + 1
)</f>
        <v/>
      </c>
      <c r="F571" s="1857">
        <f>IF(L571="",0,L571)</f>
        <v>0</v>
      </c>
      <c r="G571" s="1856">
        <f>-(N571-Q571)</f>
        <v>0</v>
      </c>
      <c r="I571" s="1815" t="b">
        <f>K571&lt;=Number_Payments</f>
        <v>0</v>
      </c>
      <c r="J571" s="1855"/>
      <c r="K571" s="1351">
        <f>K570+1</f>
        <v>445</v>
      </c>
      <c r="L571" s="1854" t="str" cm="1">
        <f t="array" ref="L571">_xlfn.IFS(
    I570=FALSE, "",
    Payment_Frequency="Monthly", EDATE(L570, 1),
    Payment_Frequency="Weekly", DATE(YEAR(L570), MONTH(L570), DAY(L570) + 7),
    Payment_Frequency="Fortnightly", DATE(YEAR(L570), MONTH(L570), DAY(L570) + 14),
    Payment_Frequency="Quarterly", DATE(YEAR(L570), MONTH(L570) + 3, DAY(L570)),
    Payment_Frequency="Yearly", DATE(YEAR(L570) + 1, MONTH(L570), DAY(L570)),
    TRUE, ""
)</f>
        <v/>
      </c>
      <c r="M571" s="1853">
        <f>IF(ISERROR(L571-L570),0,L571-L570)</f>
        <v>0</v>
      </c>
      <c r="N571" s="1851" cm="1">
        <f t="array" ref="N571">_xlfn.IFS(
    AND(I571=TRUE, K571&lt;=No_Regular_Payments), Repay_Amt,
    AND(I571=TRUE, K571=No_Regular_Payments+1), Tm_Balloon_Amt,
   TRUE, 0
)</f>
        <v>0</v>
      </c>
      <c r="O571" s="1850" cm="1">
        <f t="array" ref="O571">_xlfn.IFS(
    M571=0,0,
   ABS(N571 - S570 - P571-Q571) &lt; 1, N571 - S570-Q571,
    TRUE, P571
)</f>
        <v>0</v>
      </c>
      <c r="P571" s="1852">
        <f>IF(M571=0,0,ROUND(S570*EXP(Int_Rate/365.25 * M571)-S570,2))</f>
        <v>0</v>
      </c>
      <c r="Q571" s="1851" cm="1">
        <f t="array" ref="Q571">_xlfn.IFS(
    AND(I571=TRUE, K571&lt;=No_Regular_Payments), Periodic_Admin_Charge,
   TRUE, 0
)</f>
        <v>0</v>
      </c>
      <c r="R571" s="1850">
        <f>N571-O571-Q571</f>
        <v>0</v>
      </c>
      <c r="S571" s="1850">
        <f>ROUND(S570-R571,2)</f>
        <v>0</v>
      </c>
      <c r="T571" s="1850">
        <f>ROUND(T570-(N571-Q571),2)</f>
        <v>0</v>
      </c>
      <c r="U571" s="1849"/>
      <c r="W571" s="1848"/>
      <c r="X571" s="1848"/>
      <c r="Y571" s="1848"/>
    </row>
    <row r="572" spans="2:25" hidden="1">
      <c r="B572" s="1815" t="b">
        <f>AND(I572=FALSE,N571=0,Q571=0,L571="")</f>
        <v>1</v>
      </c>
      <c r="C572" s="1844" t="str" cm="1">
        <f t="array" ref="C572">_xlfn.IFS(
    L572="", "",
    MONTH(L572) &lt;= End_of_Year_Month, YEAR(L572),
    TRUE, YEAR(L572) + 1
)</f>
        <v/>
      </c>
      <c r="F572" s="1857">
        <f>IF(L572="",0,L572)</f>
        <v>0</v>
      </c>
      <c r="G572" s="1856">
        <f>-(N572-Q572)</f>
        <v>0</v>
      </c>
      <c r="I572" s="1815" t="b">
        <f>K572&lt;=Number_Payments</f>
        <v>0</v>
      </c>
      <c r="J572" s="1855"/>
      <c r="K572" s="1351">
        <f>K571+1</f>
        <v>446</v>
      </c>
      <c r="L572" s="1854" t="str" cm="1">
        <f t="array" ref="L572">_xlfn.IFS(
    I571=FALSE, "",
    Payment_Frequency="Monthly", EDATE(L571, 1),
    Payment_Frequency="Weekly", DATE(YEAR(L571), MONTH(L571), DAY(L571) + 7),
    Payment_Frequency="Fortnightly", DATE(YEAR(L571), MONTH(L571), DAY(L571) + 14),
    Payment_Frequency="Quarterly", DATE(YEAR(L571), MONTH(L571) + 3, DAY(L571)),
    Payment_Frequency="Yearly", DATE(YEAR(L571) + 1, MONTH(L571), DAY(L571)),
    TRUE, ""
)</f>
        <v/>
      </c>
      <c r="M572" s="1853">
        <f>IF(ISERROR(L572-L571),0,L572-L571)</f>
        <v>0</v>
      </c>
      <c r="N572" s="1851" cm="1">
        <f t="array" ref="N572">_xlfn.IFS(
    AND(I572=TRUE, K572&lt;=No_Regular_Payments), Repay_Amt,
    AND(I572=TRUE, K572=No_Regular_Payments+1), Tm_Balloon_Amt,
   TRUE, 0
)</f>
        <v>0</v>
      </c>
      <c r="O572" s="1850" cm="1">
        <f t="array" ref="O572">_xlfn.IFS(
    M572=0,0,
   ABS(N572 - S571 - P572-Q572) &lt; 1, N572 - S571-Q572,
    TRUE, P572
)</f>
        <v>0</v>
      </c>
      <c r="P572" s="1852">
        <f>IF(M572=0,0,ROUND(S571*EXP(Int_Rate/365.25 * M572)-S571,2))</f>
        <v>0</v>
      </c>
      <c r="Q572" s="1851" cm="1">
        <f t="array" ref="Q572">_xlfn.IFS(
    AND(I572=TRUE, K572&lt;=No_Regular_Payments), Periodic_Admin_Charge,
   TRUE, 0
)</f>
        <v>0</v>
      </c>
      <c r="R572" s="1850">
        <f>N572-O572-Q572</f>
        <v>0</v>
      </c>
      <c r="S572" s="1850">
        <f>ROUND(S571-R572,2)</f>
        <v>0</v>
      </c>
      <c r="T572" s="1850">
        <f>ROUND(T571-(N572-Q572),2)</f>
        <v>0</v>
      </c>
      <c r="U572" s="1849"/>
      <c r="W572" s="1848"/>
      <c r="X572" s="1848"/>
      <c r="Y572" s="1848"/>
    </row>
    <row r="573" spans="2:25" hidden="1">
      <c r="B573" s="1815" t="b">
        <f>AND(I573=FALSE,N572=0,Q572=0,L572="")</f>
        <v>1</v>
      </c>
      <c r="C573" s="1844" t="str" cm="1">
        <f t="array" ref="C573">_xlfn.IFS(
    L573="", "",
    MONTH(L573) &lt;= End_of_Year_Month, YEAR(L573),
    TRUE, YEAR(L573) + 1
)</f>
        <v/>
      </c>
      <c r="F573" s="1857">
        <f>IF(L573="",0,L573)</f>
        <v>0</v>
      </c>
      <c r="G573" s="1856">
        <f>-(N573-Q573)</f>
        <v>0</v>
      </c>
      <c r="I573" s="1815" t="b">
        <f>K573&lt;=Number_Payments</f>
        <v>0</v>
      </c>
      <c r="J573" s="1855"/>
      <c r="K573" s="1351">
        <f>K572+1</f>
        <v>447</v>
      </c>
      <c r="L573" s="1854" t="str" cm="1">
        <f t="array" ref="L573">_xlfn.IFS(
    I572=FALSE, "",
    Payment_Frequency="Monthly", EDATE(L572, 1),
    Payment_Frequency="Weekly", DATE(YEAR(L572), MONTH(L572), DAY(L572) + 7),
    Payment_Frequency="Fortnightly", DATE(YEAR(L572), MONTH(L572), DAY(L572) + 14),
    Payment_Frequency="Quarterly", DATE(YEAR(L572), MONTH(L572) + 3, DAY(L572)),
    Payment_Frequency="Yearly", DATE(YEAR(L572) + 1, MONTH(L572), DAY(L572)),
    TRUE, ""
)</f>
        <v/>
      </c>
      <c r="M573" s="1853">
        <f>IF(ISERROR(L573-L572),0,L573-L572)</f>
        <v>0</v>
      </c>
      <c r="N573" s="1851" cm="1">
        <f t="array" ref="N573">_xlfn.IFS(
    AND(I573=TRUE, K573&lt;=No_Regular_Payments), Repay_Amt,
    AND(I573=TRUE, K573=No_Regular_Payments+1), Tm_Balloon_Amt,
   TRUE, 0
)</f>
        <v>0</v>
      </c>
      <c r="O573" s="1850" cm="1">
        <f t="array" ref="O573">_xlfn.IFS(
    M573=0,0,
   ABS(N573 - S572 - P573-Q573) &lt; 1, N573 - S572-Q573,
    TRUE, P573
)</f>
        <v>0</v>
      </c>
      <c r="P573" s="1852">
        <f>IF(M573=0,0,ROUND(S572*EXP(Int_Rate/365.25 * M573)-S572,2))</f>
        <v>0</v>
      </c>
      <c r="Q573" s="1851" cm="1">
        <f t="array" ref="Q573">_xlfn.IFS(
    AND(I573=TRUE, K573&lt;=No_Regular_Payments), Periodic_Admin_Charge,
   TRUE, 0
)</f>
        <v>0</v>
      </c>
      <c r="R573" s="1850">
        <f>N573-O573-Q573</f>
        <v>0</v>
      </c>
      <c r="S573" s="1850">
        <f>ROUND(S572-R573,2)</f>
        <v>0</v>
      </c>
      <c r="T573" s="1850">
        <f>ROUND(T572-(N573-Q573),2)</f>
        <v>0</v>
      </c>
      <c r="U573" s="1849"/>
      <c r="W573" s="1848"/>
      <c r="X573" s="1848"/>
      <c r="Y573" s="1848"/>
    </row>
    <row r="574" spans="2:25" hidden="1">
      <c r="B574" s="1815" t="b">
        <f>AND(I574=FALSE,N573=0,Q573=0,L573="")</f>
        <v>1</v>
      </c>
      <c r="C574" s="1844" t="str" cm="1">
        <f t="array" ref="C574">_xlfn.IFS(
    L574="", "",
    MONTH(L574) &lt;= End_of_Year_Month, YEAR(L574),
    TRUE, YEAR(L574) + 1
)</f>
        <v/>
      </c>
      <c r="F574" s="1857">
        <f>IF(L574="",0,L574)</f>
        <v>0</v>
      </c>
      <c r="G574" s="1856">
        <f>-(N574-Q574)</f>
        <v>0</v>
      </c>
      <c r="I574" s="1815" t="b">
        <f>K574&lt;=Number_Payments</f>
        <v>0</v>
      </c>
      <c r="J574" s="1855"/>
      <c r="K574" s="1351">
        <f>K573+1</f>
        <v>448</v>
      </c>
      <c r="L574" s="1854" t="str" cm="1">
        <f t="array" ref="L574">_xlfn.IFS(
    I573=FALSE, "",
    Payment_Frequency="Monthly", EDATE(L573, 1),
    Payment_Frequency="Weekly", DATE(YEAR(L573), MONTH(L573), DAY(L573) + 7),
    Payment_Frequency="Fortnightly", DATE(YEAR(L573), MONTH(L573), DAY(L573) + 14),
    Payment_Frequency="Quarterly", DATE(YEAR(L573), MONTH(L573) + 3, DAY(L573)),
    Payment_Frequency="Yearly", DATE(YEAR(L573) + 1, MONTH(L573), DAY(L573)),
    TRUE, ""
)</f>
        <v/>
      </c>
      <c r="M574" s="1853">
        <f>IF(ISERROR(L574-L573),0,L574-L573)</f>
        <v>0</v>
      </c>
      <c r="N574" s="1851" cm="1">
        <f t="array" ref="N574">_xlfn.IFS(
    AND(I574=TRUE, K574&lt;=No_Regular_Payments), Repay_Amt,
    AND(I574=TRUE, K574=No_Regular_Payments+1), Tm_Balloon_Amt,
   TRUE, 0
)</f>
        <v>0</v>
      </c>
      <c r="O574" s="1850" cm="1">
        <f t="array" ref="O574">_xlfn.IFS(
    M574=0,0,
   ABS(N574 - S573 - P574-Q574) &lt; 1, N574 - S573-Q574,
    TRUE, P574
)</f>
        <v>0</v>
      </c>
      <c r="P574" s="1852">
        <f>IF(M574=0,0,ROUND(S573*EXP(Int_Rate/365.25 * M574)-S573,2))</f>
        <v>0</v>
      </c>
      <c r="Q574" s="1851" cm="1">
        <f t="array" ref="Q574">_xlfn.IFS(
    AND(I574=TRUE, K574&lt;=No_Regular_Payments), Periodic_Admin_Charge,
   TRUE, 0
)</f>
        <v>0</v>
      </c>
      <c r="R574" s="1850">
        <f>N574-O574-Q574</f>
        <v>0</v>
      </c>
      <c r="S574" s="1850">
        <f>ROUND(S573-R574,2)</f>
        <v>0</v>
      </c>
      <c r="T574" s="1850">
        <f>ROUND(T573-(N574-Q574),2)</f>
        <v>0</v>
      </c>
      <c r="U574" s="1849"/>
      <c r="W574" s="1848"/>
      <c r="X574" s="1848"/>
      <c r="Y574" s="1848"/>
    </row>
    <row r="575" spans="2:25" hidden="1">
      <c r="B575" s="1815" t="b">
        <f>AND(I575=FALSE,N574=0,Q574=0,L574="")</f>
        <v>1</v>
      </c>
      <c r="C575" s="1844" t="str" cm="1">
        <f t="array" ref="C575">_xlfn.IFS(
    L575="", "",
    MONTH(L575) &lt;= End_of_Year_Month, YEAR(L575),
    TRUE, YEAR(L575) + 1
)</f>
        <v/>
      </c>
      <c r="F575" s="1857">
        <f>IF(L575="",0,L575)</f>
        <v>0</v>
      </c>
      <c r="G575" s="1856">
        <f>-(N575-Q575)</f>
        <v>0</v>
      </c>
      <c r="I575" s="1815" t="b">
        <f>K575&lt;=Number_Payments</f>
        <v>0</v>
      </c>
      <c r="J575" s="1855"/>
      <c r="K575" s="1351">
        <f>K574+1</f>
        <v>449</v>
      </c>
      <c r="L575" s="1854" t="str" cm="1">
        <f t="array" ref="L575">_xlfn.IFS(
    I574=FALSE, "",
    Payment_Frequency="Monthly", EDATE(L574, 1),
    Payment_Frequency="Weekly", DATE(YEAR(L574), MONTH(L574), DAY(L574) + 7),
    Payment_Frequency="Fortnightly", DATE(YEAR(L574), MONTH(L574), DAY(L574) + 14),
    Payment_Frequency="Quarterly", DATE(YEAR(L574), MONTH(L574) + 3, DAY(L574)),
    Payment_Frequency="Yearly", DATE(YEAR(L574) + 1, MONTH(L574), DAY(L574)),
    TRUE, ""
)</f>
        <v/>
      </c>
      <c r="M575" s="1853">
        <f>IF(ISERROR(L575-L574),0,L575-L574)</f>
        <v>0</v>
      </c>
      <c r="N575" s="1851" cm="1">
        <f t="array" ref="N575">_xlfn.IFS(
    AND(I575=TRUE, K575&lt;=No_Regular_Payments), Repay_Amt,
    AND(I575=TRUE, K575=No_Regular_Payments+1), Tm_Balloon_Amt,
   TRUE, 0
)</f>
        <v>0</v>
      </c>
      <c r="O575" s="1850" cm="1">
        <f t="array" ref="O575">_xlfn.IFS(
    M575=0,0,
   ABS(N575 - S574 - P575-Q575) &lt; 1, N575 - S574-Q575,
    TRUE, P575
)</f>
        <v>0</v>
      </c>
      <c r="P575" s="1852">
        <f>IF(M575=0,0,ROUND(S574*EXP(Int_Rate/365.25 * M575)-S574,2))</f>
        <v>0</v>
      </c>
      <c r="Q575" s="1851" cm="1">
        <f t="array" ref="Q575">_xlfn.IFS(
    AND(I575=TRUE, K575&lt;=No_Regular_Payments), Periodic_Admin_Charge,
   TRUE, 0
)</f>
        <v>0</v>
      </c>
      <c r="R575" s="1850">
        <f>N575-O575-Q575</f>
        <v>0</v>
      </c>
      <c r="S575" s="1850">
        <f>ROUND(S574-R575,2)</f>
        <v>0</v>
      </c>
      <c r="T575" s="1850">
        <f>ROUND(T574-(N575-Q575),2)</f>
        <v>0</v>
      </c>
      <c r="U575" s="1849"/>
      <c r="W575" s="1848"/>
      <c r="X575" s="1848"/>
      <c r="Y575" s="1848"/>
    </row>
    <row r="576" spans="2:25" hidden="1">
      <c r="B576" s="1815" t="b">
        <f>AND(I576=FALSE,N575=0,Q575=0,L575="")</f>
        <v>1</v>
      </c>
      <c r="C576" s="1844" t="str" cm="1">
        <f t="array" ref="C576">_xlfn.IFS(
    L576="", "",
    MONTH(L576) &lt;= End_of_Year_Month, YEAR(L576),
    TRUE, YEAR(L576) + 1
)</f>
        <v/>
      </c>
      <c r="F576" s="1857">
        <f>IF(L576="",0,L576)</f>
        <v>0</v>
      </c>
      <c r="G576" s="1856">
        <f>-(N576-Q576)</f>
        <v>0</v>
      </c>
      <c r="I576" s="1815" t="b">
        <f>K576&lt;=Number_Payments</f>
        <v>0</v>
      </c>
      <c r="J576" s="1855"/>
      <c r="K576" s="1351">
        <f>K575+1</f>
        <v>450</v>
      </c>
      <c r="L576" s="1854" t="str" cm="1">
        <f t="array" ref="L576">_xlfn.IFS(
    I575=FALSE, "",
    Payment_Frequency="Monthly", EDATE(L575, 1),
    Payment_Frequency="Weekly", DATE(YEAR(L575), MONTH(L575), DAY(L575) + 7),
    Payment_Frequency="Fortnightly", DATE(YEAR(L575), MONTH(L575), DAY(L575) + 14),
    Payment_Frequency="Quarterly", DATE(YEAR(L575), MONTH(L575) + 3, DAY(L575)),
    Payment_Frequency="Yearly", DATE(YEAR(L575) + 1, MONTH(L575), DAY(L575)),
    TRUE, ""
)</f>
        <v/>
      </c>
      <c r="M576" s="1853">
        <f>IF(ISERROR(L576-L575),0,L576-L575)</f>
        <v>0</v>
      </c>
      <c r="N576" s="1851" cm="1">
        <f t="array" ref="N576">_xlfn.IFS(
    AND(I576=TRUE, K576&lt;=No_Regular_Payments), Repay_Amt,
    AND(I576=TRUE, K576=No_Regular_Payments+1), Tm_Balloon_Amt,
   TRUE, 0
)</f>
        <v>0</v>
      </c>
      <c r="O576" s="1850" cm="1">
        <f t="array" ref="O576">_xlfn.IFS(
    M576=0,0,
   ABS(N576 - S575 - P576-Q576) &lt; 1, N576 - S575-Q576,
    TRUE, P576
)</f>
        <v>0</v>
      </c>
      <c r="P576" s="1852">
        <f>IF(M576=0,0,ROUND(S575*EXP(Int_Rate/365.25 * M576)-S575,2))</f>
        <v>0</v>
      </c>
      <c r="Q576" s="1851" cm="1">
        <f t="array" ref="Q576">_xlfn.IFS(
    AND(I576=TRUE, K576&lt;=No_Regular_Payments), Periodic_Admin_Charge,
   TRUE, 0
)</f>
        <v>0</v>
      </c>
      <c r="R576" s="1850">
        <f>N576-O576-Q576</f>
        <v>0</v>
      </c>
      <c r="S576" s="1850">
        <f>ROUND(S575-R576,2)</f>
        <v>0</v>
      </c>
      <c r="T576" s="1850">
        <f>ROUND(T575-(N576-Q576),2)</f>
        <v>0</v>
      </c>
      <c r="U576" s="1849"/>
      <c r="W576" s="1848"/>
      <c r="X576" s="1848"/>
      <c r="Y576" s="1848"/>
    </row>
    <row r="577" spans="2:25" hidden="1">
      <c r="B577" s="1815" t="b">
        <f>AND(I577=FALSE,N576=0,Q576=0,L576="")</f>
        <v>1</v>
      </c>
      <c r="C577" s="1844" t="str" cm="1">
        <f t="array" ref="C577">_xlfn.IFS(
    L577="", "",
    MONTH(L577) &lt;= End_of_Year_Month, YEAR(L577),
    TRUE, YEAR(L577) + 1
)</f>
        <v/>
      </c>
      <c r="F577" s="1857">
        <f>IF(L577="",0,L577)</f>
        <v>0</v>
      </c>
      <c r="G577" s="1856">
        <f>-(N577-Q577)</f>
        <v>0</v>
      </c>
      <c r="I577" s="1815" t="b">
        <f>K577&lt;=Number_Payments</f>
        <v>0</v>
      </c>
      <c r="J577" s="1855"/>
      <c r="K577" s="1351">
        <f>K576+1</f>
        <v>451</v>
      </c>
      <c r="L577" s="1854" t="str" cm="1">
        <f t="array" ref="L577">_xlfn.IFS(
    I576=FALSE, "",
    Payment_Frequency="Monthly", EDATE(L576, 1),
    Payment_Frequency="Weekly", DATE(YEAR(L576), MONTH(L576), DAY(L576) + 7),
    Payment_Frequency="Fortnightly", DATE(YEAR(L576), MONTH(L576), DAY(L576) + 14),
    Payment_Frequency="Quarterly", DATE(YEAR(L576), MONTH(L576) + 3, DAY(L576)),
    Payment_Frequency="Yearly", DATE(YEAR(L576) + 1, MONTH(L576), DAY(L576)),
    TRUE, ""
)</f>
        <v/>
      </c>
      <c r="M577" s="1853">
        <f>IF(ISERROR(L577-L576),0,L577-L576)</f>
        <v>0</v>
      </c>
      <c r="N577" s="1851" cm="1">
        <f t="array" ref="N577">_xlfn.IFS(
    AND(I577=TRUE, K577&lt;=No_Regular_Payments), Repay_Amt,
    AND(I577=TRUE, K577=No_Regular_Payments+1), Tm_Balloon_Amt,
   TRUE, 0
)</f>
        <v>0</v>
      </c>
      <c r="O577" s="1850" cm="1">
        <f t="array" ref="O577">_xlfn.IFS(
    M577=0,0,
   ABS(N577 - S576 - P577-Q577) &lt; 1, N577 - S576-Q577,
    TRUE, P577
)</f>
        <v>0</v>
      </c>
      <c r="P577" s="1852">
        <f>IF(M577=0,0,ROUND(S576*EXP(Int_Rate/365.25 * M577)-S576,2))</f>
        <v>0</v>
      </c>
      <c r="Q577" s="1851" cm="1">
        <f t="array" ref="Q577">_xlfn.IFS(
    AND(I577=TRUE, K577&lt;=No_Regular_Payments), Periodic_Admin_Charge,
   TRUE, 0
)</f>
        <v>0</v>
      </c>
      <c r="R577" s="1850">
        <f>N577-O577-Q577</f>
        <v>0</v>
      </c>
      <c r="S577" s="1850">
        <f>ROUND(S576-R577,2)</f>
        <v>0</v>
      </c>
      <c r="T577" s="1850">
        <f>ROUND(T576-(N577-Q577),2)</f>
        <v>0</v>
      </c>
      <c r="U577" s="1849"/>
      <c r="W577" s="1848"/>
      <c r="X577" s="1848"/>
      <c r="Y577" s="1848"/>
    </row>
    <row r="578" spans="2:25" hidden="1">
      <c r="B578" s="1815" t="b">
        <f>AND(I578=FALSE,N577=0,Q577=0,L577="")</f>
        <v>1</v>
      </c>
      <c r="C578" s="1844" t="str" cm="1">
        <f t="array" ref="C578">_xlfn.IFS(
    L578="", "",
    MONTH(L578) &lt;= End_of_Year_Month, YEAR(L578),
    TRUE, YEAR(L578) + 1
)</f>
        <v/>
      </c>
      <c r="F578" s="1857">
        <f>IF(L578="",0,L578)</f>
        <v>0</v>
      </c>
      <c r="G578" s="1856">
        <f>-(N578-Q578)</f>
        <v>0</v>
      </c>
      <c r="I578" s="1815" t="b">
        <f>K578&lt;=Number_Payments</f>
        <v>0</v>
      </c>
      <c r="J578" s="1855"/>
      <c r="K578" s="1351">
        <f>K577+1</f>
        <v>452</v>
      </c>
      <c r="L578" s="1854" t="str" cm="1">
        <f t="array" ref="L578">_xlfn.IFS(
    I577=FALSE, "",
    Payment_Frequency="Monthly", EDATE(L577, 1),
    Payment_Frequency="Weekly", DATE(YEAR(L577), MONTH(L577), DAY(L577) + 7),
    Payment_Frequency="Fortnightly", DATE(YEAR(L577), MONTH(L577), DAY(L577) + 14),
    Payment_Frequency="Quarterly", DATE(YEAR(L577), MONTH(L577) + 3, DAY(L577)),
    Payment_Frequency="Yearly", DATE(YEAR(L577) + 1, MONTH(L577), DAY(L577)),
    TRUE, ""
)</f>
        <v/>
      </c>
      <c r="M578" s="1853">
        <f>IF(ISERROR(L578-L577),0,L578-L577)</f>
        <v>0</v>
      </c>
      <c r="N578" s="1851" cm="1">
        <f t="array" ref="N578">_xlfn.IFS(
    AND(I578=TRUE, K578&lt;=No_Regular_Payments), Repay_Amt,
    AND(I578=TRUE, K578=No_Regular_Payments+1), Tm_Balloon_Amt,
   TRUE, 0
)</f>
        <v>0</v>
      </c>
      <c r="O578" s="1850" cm="1">
        <f t="array" ref="O578">_xlfn.IFS(
    M578=0,0,
   ABS(N578 - S577 - P578-Q578) &lt; 1, N578 - S577-Q578,
    TRUE, P578
)</f>
        <v>0</v>
      </c>
      <c r="P578" s="1852">
        <f>IF(M578=0,0,ROUND(S577*EXP(Int_Rate/365.25 * M578)-S577,2))</f>
        <v>0</v>
      </c>
      <c r="Q578" s="1851" cm="1">
        <f t="array" ref="Q578">_xlfn.IFS(
    AND(I578=TRUE, K578&lt;=No_Regular_Payments), Periodic_Admin_Charge,
   TRUE, 0
)</f>
        <v>0</v>
      </c>
      <c r="R578" s="1850">
        <f>N578-O578-Q578</f>
        <v>0</v>
      </c>
      <c r="S578" s="1850">
        <f>ROUND(S577-R578,2)</f>
        <v>0</v>
      </c>
      <c r="T578" s="1850">
        <f>ROUND(T577-(N578-Q578),2)</f>
        <v>0</v>
      </c>
      <c r="U578" s="1849"/>
      <c r="W578" s="1848"/>
      <c r="X578" s="1848"/>
      <c r="Y578" s="1848"/>
    </row>
    <row r="579" spans="2:25" hidden="1">
      <c r="B579" s="1815" t="b">
        <f>AND(I579=FALSE,N578=0,Q578=0,L578="")</f>
        <v>1</v>
      </c>
      <c r="C579" s="1844" t="str" cm="1">
        <f t="array" ref="C579">_xlfn.IFS(
    L579="", "",
    MONTH(L579) &lt;= End_of_Year_Month, YEAR(L579),
    TRUE, YEAR(L579) + 1
)</f>
        <v/>
      </c>
      <c r="F579" s="1857">
        <f>IF(L579="",0,L579)</f>
        <v>0</v>
      </c>
      <c r="G579" s="1856">
        <f>-(N579-Q579)</f>
        <v>0</v>
      </c>
      <c r="I579" s="1815" t="b">
        <f>K579&lt;=Number_Payments</f>
        <v>0</v>
      </c>
      <c r="J579" s="1855"/>
      <c r="K579" s="1351">
        <f>K578+1</f>
        <v>453</v>
      </c>
      <c r="L579" s="1854" t="str" cm="1">
        <f t="array" ref="L579">_xlfn.IFS(
    I578=FALSE, "",
    Payment_Frequency="Monthly", EDATE(L578, 1),
    Payment_Frequency="Weekly", DATE(YEAR(L578), MONTH(L578), DAY(L578) + 7),
    Payment_Frequency="Fortnightly", DATE(YEAR(L578), MONTH(L578), DAY(L578) + 14),
    Payment_Frequency="Quarterly", DATE(YEAR(L578), MONTH(L578) + 3, DAY(L578)),
    Payment_Frequency="Yearly", DATE(YEAR(L578) + 1, MONTH(L578), DAY(L578)),
    TRUE, ""
)</f>
        <v/>
      </c>
      <c r="M579" s="1853">
        <f>IF(ISERROR(L579-L578),0,L579-L578)</f>
        <v>0</v>
      </c>
      <c r="N579" s="1851" cm="1">
        <f t="array" ref="N579">_xlfn.IFS(
    AND(I579=TRUE, K579&lt;=No_Regular_Payments), Repay_Amt,
    AND(I579=TRUE, K579=No_Regular_Payments+1), Tm_Balloon_Amt,
   TRUE, 0
)</f>
        <v>0</v>
      </c>
      <c r="O579" s="1850" cm="1">
        <f t="array" ref="O579">_xlfn.IFS(
    M579=0,0,
   ABS(N579 - S578 - P579-Q579) &lt; 1, N579 - S578-Q579,
    TRUE, P579
)</f>
        <v>0</v>
      </c>
      <c r="P579" s="1852">
        <f>IF(M579=0,0,ROUND(S578*EXP(Int_Rate/365.25 * M579)-S578,2))</f>
        <v>0</v>
      </c>
      <c r="Q579" s="1851" cm="1">
        <f t="array" ref="Q579">_xlfn.IFS(
    AND(I579=TRUE, K579&lt;=No_Regular_Payments), Periodic_Admin_Charge,
   TRUE, 0
)</f>
        <v>0</v>
      </c>
      <c r="R579" s="1850">
        <f>N579-O579-Q579</f>
        <v>0</v>
      </c>
      <c r="S579" s="1850">
        <f>ROUND(S578-R579,2)</f>
        <v>0</v>
      </c>
      <c r="T579" s="1850">
        <f>ROUND(T578-(N579-Q579),2)</f>
        <v>0</v>
      </c>
      <c r="U579" s="1849"/>
      <c r="W579" s="1848"/>
      <c r="X579" s="1848"/>
      <c r="Y579" s="1848"/>
    </row>
    <row r="580" spans="2:25" hidden="1">
      <c r="B580" s="1815" t="b">
        <f>AND(I580=FALSE,N579=0,Q579=0,L579="")</f>
        <v>1</v>
      </c>
      <c r="C580" s="1844" t="str" cm="1">
        <f t="array" ref="C580">_xlfn.IFS(
    L580="", "",
    MONTH(L580) &lt;= End_of_Year_Month, YEAR(L580),
    TRUE, YEAR(L580) + 1
)</f>
        <v/>
      </c>
      <c r="F580" s="1857">
        <f>IF(L580="",0,L580)</f>
        <v>0</v>
      </c>
      <c r="G580" s="1856">
        <f>-(N580-Q580)</f>
        <v>0</v>
      </c>
      <c r="I580" s="1815" t="b">
        <f>K580&lt;=Number_Payments</f>
        <v>0</v>
      </c>
      <c r="J580" s="1855"/>
      <c r="K580" s="1351">
        <f>K579+1</f>
        <v>454</v>
      </c>
      <c r="L580" s="1854" t="str" cm="1">
        <f t="array" ref="L580">_xlfn.IFS(
    I579=FALSE, "",
    Payment_Frequency="Monthly", EDATE(L579, 1),
    Payment_Frequency="Weekly", DATE(YEAR(L579), MONTH(L579), DAY(L579) + 7),
    Payment_Frequency="Fortnightly", DATE(YEAR(L579), MONTH(L579), DAY(L579) + 14),
    Payment_Frequency="Quarterly", DATE(YEAR(L579), MONTH(L579) + 3, DAY(L579)),
    Payment_Frequency="Yearly", DATE(YEAR(L579) + 1, MONTH(L579), DAY(L579)),
    TRUE, ""
)</f>
        <v/>
      </c>
      <c r="M580" s="1853">
        <f>IF(ISERROR(L580-L579),0,L580-L579)</f>
        <v>0</v>
      </c>
      <c r="N580" s="1851" cm="1">
        <f t="array" ref="N580">_xlfn.IFS(
    AND(I580=TRUE, K580&lt;=No_Regular_Payments), Repay_Amt,
    AND(I580=TRUE, K580=No_Regular_Payments+1), Tm_Balloon_Amt,
   TRUE, 0
)</f>
        <v>0</v>
      </c>
      <c r="O580" s="1850" cm="1">
        <f t="array" ref="O580">_xlfn.IFS(
    M580=0,0,
   ABS(N580 - S579 - P580-Q580) &lt; 1, N580 - S579-Q580,
    TRUE, P580
)</f>
        <v>0</v>
      </c>
      <c r="P580" s="1852">
        <f>IF(M580=0,0,ROUND(S579*EXP(Int_Rate/365.25 * M580)-S579,2))</f>
        <v>0</v>
      </c>
      <c r="Q580" s="1851" cm="1">
        <f t="array" ref="Q580">_xlfn.IFS(
    AND(I580=TRUE, K580&lt;=No_Regular_Payments), Periodic_Admin_Charge,
   TRUE, 0
)</f>
        <v>0</v>
      </c>
      <c r="R580" s="1850">
        <f>N580-O580-Q580</f>
        <v>0</v>
      </c>
      <c r="S580" s="1850">
        <f>ROUND(S579-R580,2)</f>
        <v>0</v>
      </c>
      <c r="T580" s="1850">
        <f>ROUND(T579-(N580-Q580),2)</f>
        <v>0</v>
      </c>
      <c r="U580" s="1849"/>
      <c r="W580" s="1848"/>
      <c r="X580" s="1848"/>
      <c r="Y580" s="1848"/>
    </row>
    <row r="581" spans="2:25" hidden="1">
      <c r="B581" s="1815" t="b">
        <f>AND(I581=FALSE,N580=0,Q580=0,L580="")</f>
        <v>1</v>
      </c>
      <c r="C581" s="1844" t="str" cm="1">
        <f t="array" ref="C581">_xlfn.IFS(
    L581="", "",
    MONTH(L581) &lt;= End_of_Year_Month, YEAR(L581),
    TRUE, YEAR(L581) + 1
)</f>
        <v/>
      </c>
      <c r="F581" s="1857">
        <f>IF(L581="",0,L581)</f>
        <v>0</v>
      </c>
      <c r="G581" s="1856">
        <f>-(N581-Q581)</f>
        <v>0</v>
      </c>
      <c r="I581" s="1815" t="b">
        <f>K581&lt;=Number_Payments</f>
        <v>0</v>
      </c>
      <c r="J581" s="1855"/>
      <c r="K581" s="1351">
        <f>K580+1</f>
        <v>455</v>
      </c>
      <c r="L581" s="1854" t="str" cm="1">
        <f t="array" ref="L581">_xlfn.IFS(
    I580=FALSE, "",
    Payment_Frequency="Monthly", EDATE(L580, 1),
    Payment_Frequency="Weekly", DATE(YEAR(L580), MONTH(L580), DAY(L580) + 7),
    Payment_Frequency="Fortnightly", DATE(YEAR(L580), MONTH(L580), DAY(L580) + 14),
    Payment_Frequency="Quarterly", DATE(YEAR(L580), MONTH(L580) + 3, DAY(L580)),
    Payment_Frequency="Yearly", DATE(YEAR(L580) + 1, MONTH(L580), DAY(L580)),
    TRUE, ""
)</f>
        <v/>
      </c>
      <c r="M581" s="1853">
        <f>IF(ISERROR(L581-L580),0,L581-L580)</f>
        <v>0</v>
      </c>
      <c r="N581" s="1851" cm="1">
        <f t="array" ref="N581">_xlfn.IFS(
    AND(I581=TRUE, K581&lt;=No_Regular_Payments), Repay_Amt,
    AND(I581=TRUE, K581=No_Regular_Payments+1), Tm_Balloon_Amt,
   TRUE, 0
)</f>
        <v>0</v>
      </c>
      <c r="O581" s="1850" cm="1">
        <f t="array" ref="O581">_xlfn.IFS(
    M581=0,0,
   ABS(N581 - S580 - P581-Q581) &lt; 1, N581 - S580-Q581,
    TRUE, P581
)</f>
        <v>0</v>
      </c>
      <c r="P581" s="1852">
        <f>IF(M581=0,0,ROUND(S580*EXP(Int_Rate/365.25 * M581)-S580,2))</f>
        <v>0</v>
      </c>
      <c r="Q581" s="1851" cm="1">
        <f t="array" ref="Q581">_xlfn.IFS(
    AND(I581=TRUE, K581&lt;=No_Regular_Payments), Periodic_Admin_Charge,
   TRUE, 0
)</f>
        <v>0</v>
      </c>
      <c r="R581" s="1850">
        <f>N581-O581-Q581</f>
        <v>0</v>
      </c>
      <c r="S581" s="1850">
        <f>ROUND(S580-R581,2)</f>
        <v>0</v>
      </c>
      <c r="T581" s="1850">
        <f>ROUND(T580-(N581-Q581),2)</f>
        <v>0</v>
      </c>
      <c r="U581" s="1849"/>
      <c r="W581" s="1848"/>
      <c r="X581" s="1848"/>
      <c r="Y581" s="1848"/>
    </row>
    <row r="582" spans="2:25" hidden="1">
      <c r="B582" s="1815" t="b">
        <f>AND(I582=FALSE,N581=0,Q581=0,L581="")</f>
        <v>1</v>
      </c>
      <c r="C582" s="1844" t="str" cm="1">
        <f t="array" ref="C582">_xlfn.IFS(
    L582="", "",
    MONTH(L582) &lt;= End_of_Year_Month, YEAR(L582),
    TRUE, YEAR(L582) + 1
)</f>
        <v/>
      </c>
      <c r="F582" s="1857">
        <f>IF(L582="",0,L582)</f>
        <v>0</v>
      </c>
      <c r="G582" s="1856">
        <f>-(N582-Q582)</f>
        <v>0</v>
      </c>
      <c r="I582" s="1815" t="b">
        <f>K582&lt;=Number_Payments</f>
        <v>0</v>
      </c>
      <c r="J582" s="1855"/>
      <c r="K582" s="1351">
        <f>K581+1</f>
        <v>456</v>
      </c>
      <c r="L582" s="1854" t="str" cm="1">
        <f t="array" ref="L582">_xlfn.IFS(
    I581=FALSE, "",
    Payment_Frequency="Monthly", EDATE(L581, 1),
    Payment_Frequency="Weekly", DATE(YEAR(L581), MONTH(L581), DAY(L581) + 7),
    Payment_Frequency="Fortnightly", DATE(YEAR(L581), MONTH(L581), DAY(L581) + 14),
    Payment_Frequency="Quarterly", DATE(YEAR(L581), MONTH(L581) + 3, DAY(L581)),
    Payment_Frequency="Yearly", DATE(YEAR(L581) + 1, MONTH(L581), DAY(L581)),
    TRUE, ""
)</f>
        <v/>
      </c>
      <c r="M582" s="1853">
        <f>IF(ISERROR(L582-L581),0,L582-L581)</f>
        <v>0</v>
      </c>
      <c r="N582" s="1851" cm="1">
        <f t="array" ref="N582">_xlfn.IFS(
    AND(I582=TRUE, K582&lt;=No_Regular_Payments), Repay_Amt,
    AND(I582=TRUE, K582=No_Regular_Payments+1), Tm_Balloon_Amt,
   TRUE, 0
)</f>
        <v>0</v>
      </c>
      <c r="O582" s="1850" cm="1">
        <f t="array" ref="O582">_xlfn.IFS(
    M582=0,0,
   ABS(N582 - S581 - P582-Q582) &lt; 1, N582 - S581-Q582,
    TRUE, P582
)</f>
        <v>0</v>
      </c>
      <c r="P582" s="1852">
        <f>IF(M582=0,0,ROUND(S581*EXP(Int_Rate/365.25 * M582)-S581,2))</f>
        <v>0</v>
      </c>
      <c r="Q582" s="1851" cm="1">
        <f t="array" ref="Q582">_xlfn.IFS(
    AND(I582=TRUE, K582&lt;=No_Regular_Payments), Periodic_Admin_Charge,
   TRUE, 0
)</f>
        <v>0</v>
      </c>
      <c r="R582" s="1850">
        <f>N582-O582-Q582</f>
        <v>0</v>
      </c>
      <c r="S582" s="1850">
        <f>ROUND(S581-R582,2)</f>
        <v>0</v>
      </c>
      <c r="T582" s="1850">
        <f>ROUND(T581-(N582-Q582),2)</f>
        <v>0</v>
      </c>
      <c r="U582" s="1849"/>
      <c r="W582" s="1848"/>
      <c r="X582" s="1848"/>
      <c r="Y582" s="1848"/>
    </row>
    <row r="583" spans="2:25" hidden="1">
      <c r="B583" s="1815" t="b">
        <f>AND(I583=FALSE,N582=0,Q582=0,L582="")</f>
        <v>1</v>
      </c>
      <c r="C583" s="1844" t="str" cm="1">
        <f t="array" ref="C583">_xlfn.IFS(
    L583="", "",
    MONTH(L583) &lt;= End_of_Year_Month, YEAR(L583),
    TRUE, YEAR(L583) + 1
)</f>
        <v/>
      </c>
      <c r="F583" s="1857">
        <f>IF(L583="",0,L583)</f>
        <v>0</v>
      </c>
      <c r="G583" s="1856">
        <f>-(N583-Q583)</f>
        <v>0</v>
      </c>
      <c r="I583" s="1815" t="b">
        <f>K583&lt;=Number_Payments</f>
        <v>0</v>
      </c>
      <c r="J583" s="1855"/>
      <c r="K583" s="1351">
        <f>K582+1</f>
        <v>457</v>
      </c>
      <c r="L583" s="1854" t="str" cm="1">
        <f t="array" ref="L583">_xlfn.IFS(
    I582=FALSE, "",
    Payment_Frequency="Monthly", EDATE(L582, 1),
    Payment_Frequency="Weekly", DATE(YEAR(L582), MONTH(L582), DAY(L582) + 7),
    Payment_Frequency="Fortnightly", DATE(YEAR(L582), MONTH(L582), DAY(L582) + 14),
    Payment_Frequency="Quarterly", DATE(YEAR(L582), MONTH(L582) + 3, DAY(L582)),
    Payment_Frequency="Yearly", DATE(YEAR(L582) + 1, MONTH(L582), DAY(L582)),
    TRUE, ""
)</f>
        <v/>
      </c>
      <c r="M583" s="1853">
        <f>IF(ISERROR(L583-L582),0,L583-L582)</f>
        <v>0</v>
      </c>
      <c r="N583" s="1851" cm="1">
        <f t="array" ref="N583">_xlfn.IFS(
    AND(I583=TRUE, K583&lt;=No_Regular_Payments), Repay_Amt,
    AND(I583=TRUE, K583=No_Regular_Payments+1), Tm_Balloon_Amt,
   TRUE, 0
)</f>
        <v>0</v>
      </c>
      <c r="O583" s="1850" cm="1">
        <f t="array" ref="O583">_xlfn.IFS(
    M583=0,0,
   ABS(N583 - S582 - P583-Q583) &lt; 1, N583 - S582-Q583,
    TRUE, P583
)</f>
        <v>0</v>
      </c>
      <c r="P583" s="1852">
        <f>IF(M583=0,0,ROUND(S582*EXP(Int_Rate/365.25 * M583)-S582,2))</f>
        <v>0</v>
      </c>
      <c r="Q583" s="1851" cm="1">
        <f t="array" ref="Q583">_xlfn.IFS(
    AND(I583=TRUE, K583&lt;=No_Regular_Payments), Periodic_Admin_Charge,
   TRUE, 0
)</f>
        <v>0</v>
      </c>
      <c r="R583" s="1850">
        <f>N583-O583-Q583</f>
        <v>0</v>
      </c>
      <c r="S583" s="1850">
        <f>ROUND(S582-R583,2)</f>
        <v>0</v>
      </c>
      <c r="T583" s="1850">
        <f>ROUND(T582-(N583-Q583),2)</f>
        <v>0</v>
      </c>
      <c r="U583" s="1849"/>
      <c r="W583" s="1848"/>
      <c r="X583" s="1848"/>
      <c r="Y583" s="1848"/>
    </row>
    <row r="584" spans="2:25" hidden="1">
      <c r="B584" s="1815" t="b">
        <f>AND(I584=FALSE,N583=0,Q583=0,L583="")</f>
        <v>1</v>
      </c>
      <c r="C584" s="1844" t="str" cm="1">
        <f t="array" ref="C584">_xlfn.IFS(
    L584="", "",
    MONTH(L584) &lt;= End_of_Year_Month, YEAR(L584),
    TRUE, YEAR(L584) + 1
)</f>
        <v/>
      </c>
      <c r="F584" s="1857">
        <f>IF(L584="",0,L584)</f>
        <v>0</v>
      </c>
      <c r="G584" s="1856">
        <f>-(N584-Q584)</f>
        <v>0</v>
      </c>
      <c r="I584" s="1815" t="b">
        <f>K584&lt;=Number_Payments</f>
        <v>0</v>
      </c>
      <c r="J584" s="1855"/>
      <c r="K584" s="1351">
        <f>K583+1</f>
        <v>458</v>
      </c>
      <c r="L584" s="1854" t="str" cm="1">
        <f t="array" ref="L584">_xlfn.IFS(
    I583=FALSE, "",
    Payment_Frequency="Monthly", EDATE(L583, 1),
    Payment_Frequency="Weekly", DATE(YEAR(L583), MONTH(L583), DAY(L583) + 7),
    Payment_Frequency="Fortnightly", DATE(YEAR(L583), MONTH(L583), DAY(L583) + 14),
    Payment_Frequency="Quarterly", DATE(YEAR(L583), MONTH(L583) + 3, DAY(L583)),
    Payment_Frequency="Yearly", DATE(YEAR(L583) + 1, MONTH(L583), DAY(L583)),
    TRUE, ""
)</f>
        <v/>
      </c>
      <c r="M584" s="1853">
        <f>IF(ISERROR(L584-L583),0,L584-L583)</f>
        <v>0</v>
      </c>
      <c r="N584" s="1851" cm="1">
        <f t="array" ref="N584">_xlfn.IFS(
    AND(I584=TRUE, K584&lt;=No_Regular_Payments), Repay_Amt,
    AND(I584=TRUE, K584=No_Regular_Payments+1), Tm_Balloon_Amt,
   TRUE, 0
)</f>
        <v>0</v>
      </c>
      <c r="O584" s="1850" cm="1">
        <f t="array" ref="O584">_xlfn.IFS(
    M584=0,0,
   ABS(N584 - S583 - P584-Q584) &lt; 1, N584 - S583-Q584,
    TRUE, P584
)</f>
        <v>0</v>
      </c>
      <c r="P584" s="1852">
        <f>IF(M584=0,0,ROUND(S583*EXP(Int_Rate/365.25 * M584)-S583,2))</f>
        <v>0</v>
      </c>
      <c r="Q584" s="1851" cm="1">
        <f t="array" ref="Q584">_xlfn.IFS(
    AND(I584=TRUE, K584&lt;=No_Regular_Payments), Periodic_Admin_Charge,
   TRUE, 0
)</f>
        <v>0</v>
      </c>
      <c r="R584" s="1850">
        <f>N584-O584-Q584</f>
        <v>0</v>
      </c>
      <c r="S584" s="1850">
        <f>ROUND(S583-R584,2)</f>
        <v>0</v>
      </c>
      <c r="T584" s="1850">
        <f>ROUND(T583-(N584-Q584),2)</f>
        <v>0</v>
      </c>
      <c r="U584" s="1849"/>
      <c r="W584" s="1848"/>
      <c r="X584" s="1848"/>
      <c r="Y584" s="1848"/>
    </row>
    <row r="585" spans="2:25" hidden="1">
      <c r="B585" s="1815" t="b">
        <f>AND(I585=FALSE,N584=0,Q584=0,L584="")</f>
        <v>1</v>
      </c>
      <c r="C585" s="1844" t="str" cm="1">
        <f t="array" ref="C585">_xlfn.IFS(
    L585="", "",
    MONTH(L585) &lt;= End_of_Year_Month, YEAR(L585),
    TRUE, YEAR(L585) + 1
)</f>
        <v/>
      </c>
      <c r="F585" s="1857">
        <f>IF(L585="",0,L585)</f>
        <v>0</v>
      </c>
      <c r="G585" s="1856">
        <f>-(N585-Q585)</f>
        <v>0</v>
      </c>
      <c r="I585" s="1815" t="b">
        <f>K585&lt;=Number_Payments</f>
        <v>0</v>
      </c>
      <c r="J585" s="1855"/>
      <c r="K585" s="1351">
        <f>K584+1</f>
        <v>459</v>
      </c>
      <c r="L585" s="1854" t="str" cm="1">
        <f t="array" ref="L585">_xlfn.IFS(
    I584=FALSE, "",
    Payment_Frequency="Monthly", EDATE(L584, 1),
    Payment_Frequency="Weekly", DATE(YEAR(L584), MONTH(L584), DAY(L584) + 7),
    Payment_Frequency="Fortnightly", DATE(YEAR(L584), MONTH(L584), DAY(L584) + 14),
    Payment_Frequency="Quarterly", DATE(YEAR(L584), MONTH(L584) + 3, DAY(L584)),
    Payment_Frequency="Yearly", DATE(YEAR(L584) + 1, MONTH(L584), DAY(L584)),
    TRUE, ""
)</f>
        <v/>
      </c>
      <c r="M585" s="1853">
        <f>IF(ISERROR(L585-L584),0,L585-L584)</f>
        <v>0</v>
      </c>
      <c r="N585" s="1851" cm="1">
        <f t="array" ref="N585">_xlfn.IFS(
    AND(I585=TRUE, K585&lt;=No_Regular_Payments), Repay_Amt,
    AND(I585=TRUE, K585=No_Regular_Payments+1), Tm_Balloon_Amt,
   TRUE, 0
)</f>
        <v>0</v>
      </c>
      <c r="O585" s="1850" cm="1">
        <f t="array" ref="O585">_xlfn.IFS(
    M585=0,0,
   ABS(N585 - S584 - P585-Q585) &lt; 1, N585 - S584-Q585,
    TRUE, P585
)</f>
        <v>0</v>
      </c>
      <c r="P585" s="1852">
        <f>IF(M585=0,0,ROUND(S584*EXP(Int_Rate/365.25 * M585)-S584,2))</f>
        <v>0</v>
      </c>
      <c r="Q585" s="1851" cm="1">
        <f t="array" ref="Q585">_xlfn.IFS(
    AND(I585=TRUE, K585&lt;=No_Regular_Payments), Periodic_Admin_Charge,
   TRUE, 0
)</f>
        <v>0</v>
      </c>
      <c r="R585" s="1850">
        <f>N585-O585-Q585</f>
        <v>0</v>
      </c>
      <c r="S585" s="1850">
        <f>ROUND(S584-R585,2)</f>
        <v>0</v>
      </c>
      <c r="T585" s="1850">
        <f>ROUND(T584-(N585-Q585),2)</f>
        <v>0</v>
      </c>
      <c r="U585" s="1849"/>
      <c r="W585" s="1848"/>
      <c r="X585" s="1848"/>
      <c r="Y585" s="1848"/>
    </row>
    <row r="586" spans="2:25" hidden="1">
      <c r="B586" s="1815" t="b">
        <f>AND(I586=FALSE,N585=0,Q585=0,L585="")</f>
        <v>1</v>
      </c>
      <c r="C586" s="1844" t="str" cm="1">
        <f t="array" ref="C586">_xlfn.IFS(
    L586="", "",
    MONTH(L586) &lt;= End_of_Year_Month, YEAR(L586),
    TRUE, YEAR(L586) + 1
)</f>
        <v/>
      </c>
      <c r="F586" s="1857">
        <f>IF(L586="",0,L586)</f>
        <v>0</v>
      </c>
      <c r="G586" s="1856">
        <f>-(N586-Q586)</f>
        <v>0</v>
      </c>
      <c r="I586" s="1815" t="b">
        <f>K586&lt;=Number_Payments</f>
        <v>0</v>
      </c>
      <c r="J586" s="1855"/>
      <c r="K586" s="1351">
        <f>K585+1</f>
        <v>460</v>
      </c>
      <c r="L586" s="1854" t="str" cm="1">
        <f t="array" ref="L586">_xlfn.IFS(
    I585=FALSE, "",
    Payment_Frequency="Monthly", EDATE(L585, 1),
    Payment_Frequency="Weekly", DATE(YEAR(L585), MONTH(L585), DAY(L585) + 7),
    Payment_Frequency="Fortnightly", DATE(YEAR(L585), MONTH(L585), DAY(L585) + 14),
    Payment_Frequency="Quarterly", DATE(YEAR(L585), MONTH(L585) + 3, DAY(L585)),
    Payment_Frequency="Yearly", DATE(YEAR(L585) + 1, MONTH(L585), DAY(L585)),
    TRUE, ""
)</f>
        <v/>
      </c>
      <c r="M586" s="1853">
        <f>IF(ISERROR(L586-L585),0,L586-L585)</f>
        <v>0</v>
      </c>
      <c r="N586" s="1851" cm="1">
        <f t="array" ref="N586">_xlfn.IFS(
    AND(I586=TRUE, K586&lt;=No_Regular_Payments), Repay_Amt,
    AND(I586=TRUE, K586=No_Regular_Payments+1), Tm_Balloon_Amt,
   TRUE, 0
)</f>
        <v>0</v>
      </c>
      <c r="O586" s="1850" cm="1">
        <f t="array" ref="O586">_xlfn.IFS(
    M586=0,0,
   ABS(N586 - S585 - P586-Q586) &lt; 1, N586 - S585-Q586,
    TRUE, P586
)</f>
        <v>0</v>
      </c>
      <c r="P586" s="1852">
        <f>IF(M586=0,0,ROUND(S585*EXP(Int_Rate/365.25 * M586)-S585,2))</f>
        <v>0</v>
      </c>
      <c r="Q586" s="1851" cm="1">
        <f t="array" ref="Q586">_xlfn.IFS(
    AND(I586=TRUE, K586&lt;=No_Regular_Payments), Periodic_Admin_Charge,
   TRUE, 0
)</f>
        <v>0</v>
      </c>
      <c r="R586" s="1850">
        <f>N586-O586-Q586</f>
        <v>0</v>
      </c>
      <c r="S586" s="1850">
        <f>ROUND(S585-R586,2)</f>
        <v>0</v>
      </c>
      <c r="T586" s="1850">
        <f>ROUND(T585-(N586-Q586),2)</f>
        <v>0</v>
      </c>
      <c r="U586" s="1849"/>
      <c r="W586" s="1848"/>
      <c r="X586" s="1848"/>
      <c r="Y586" s="1848"/>
    </row>
    <row r="587" spans="2:25" hidden="1">
      <c r="B587" s="1815" t="b">
        <f>AND(I587=FALSE,N586=0,Q586=0,L586="")</f>
        <v>1</v>
      </c>
      <c r="C587" s="1844" t="str" cm="1">
        <f t="array" ref="C587">_xlfn.IFS(
    L587="", "",
    MONTH(L587) &lt;= End_of_Year_Month, YEAR(L587),
    TRUE, YEAR(L587) + 1
)</f>
        <v/>
      </c>
      <c r="F587" s="1857">
        <f>IF(L587="",0,L587)</f>
        <v>0</v>
      </c>
      <c r="G587" s="1856">
        <f>-(N587-Q587)</f>
        <v>0</v>
      </c>
      <c r="I587" s="1815" t="b">
        <f>K587&lt;=Number_Payments</f>
        <v>0</v>
      </c>
      <c r="J587" s="1855"/>
      <c r="K587" s="1351">
        <f>K586+1</f>
        <v>461</v>
      </c>
      <c r="L587" s="1854" t="str" cm="1">
        <f t="array" ref="L587">_xlfn.IFS(
    I586=FALSE, "",
    Payment_Frequency="Monthly", EDATE(L586, 1),
    Payment_Frequency="Weekly", DATE(YEAR(L586), MONTH(L586), DAY(L586) + 7),
    Payment_Frequency="Fortnightly", DATE(YEAR(L586), MONTH(L586), DAY(L586) + 14),
    Payment_Frequency="Quarterly", DATE(YEAR(L586), MONTH(L586) + 3, DAY(L586)),
    Payment_Frequency="Yearly", DATE(YEAR(L586) + 1, MONTH(L586), DAY(L586)),
    TRUE, ""
)</f>
        <v/>
      </c>
      <c r="M587" s="1853">
        <f>IF(ISERROR(L587-L586),0,L587-L586)</f>
        <v>0</v>
      </c>
      <c r="N587" s="1851" cm="1">
        <f t="array" ref="N587">_xlfn.IFS(
    AND(I587=TRUE, K587&lt;=No_Regular_Payments), Repay_Amt,
    AND(I587=TRUE, K587=No_Regular_Payments+1), Tm_Balloon_Amt,
   TRUE, 0
)</f>
        <v>0</v>
      </c>
      <c r="O587" s="1850" cm="1">
        <f t="array" ref="O587">_xlfn.IFS(
    M587=0,0,
   ABS(N587 - S586 - P587-Q587) &lt; 1, N587 - S586-Q587,
    TRUE, P587
)</f>
        <v>0</v>
      </c>
      <c r="P587" s="1852">
        <f>IF(M587=0,0,ROUND(S586*EXP(Int_Rate/365.25 * M587)-S586,2))</f>
        <v>0</v>
      </c>
      <c r="Q587" s="1851" cm="1">
        <f t="array" ref="Q587">_xlfn.IFS(
    AND(I587=TRUE, K587&lt;=No_Regular_Payments), Periodic_Admin_Charge,
   TRUE, 0
)</f>
        <v>0</v>
      </c>
      <c r="R587" s="1850">
        <f>N587-O587-Q587</f>
        <v>0</v>
      </c>
      <c r="S587" s="1850">
        <f>ROUND(S586-R587,2)</f>
        <v>0</v>
      </c>
      <c r="T587" s="1850">
        <f>ROUND(T586-(N587-Q587),2)</f>
        <v>0</v>
      </c>
      <c r="U587" s="1849"/>
      <c r="W587" s="1848"/>
      <c r="X587" s="1848"/>
      <c r="Y587" s="1848"/>
    </row>
    <row r="588" spans="2:25" hidden="1">
      <c r="B588" s="1815" t="b">
        <f>AND(I588=FALSE,N587=0,Q587=0,L587="")</f>
        <v>1</v>
      </c>
      <c r="C588" s="1844" t="str" cm="1">
        <f t="array" ref="C588">_xlfn.IFS(
    L588="", "",
    MONTH(L588) &lt;= End_of_Year_Month, YEAR(L588),
    TRUE, YEAR(L588) + 1
)</f>
        <v/>
      </c>
      <c r="F588" s="1857">
        <f>IF(L588="",0,L588)</f>
        <v>0</v>
      </c>
      <c r="G588" s="1856">
        <f>-(N588-Q588)</f>
        <v>0</v>
      </c>
      <c r="I588" s="1815" t="b">
        <f>K588&lt;=Number_Payments</f>
        <v>0</v>
      </c>
      <c r="J588" s="1855"/>
      <c r="K588" s="1351">
        <f>K587+1</f>
        <v>462</v>
      </c>
      <c r="L588" s="1854" t="str" cm="1">
        <f t="array" ref="L588">_xlfn.IFS(
    I587=FALSE, "",
    Payment_Frequency="Monthly", EDATE(L587, 1),
    Payment_Frequency="Weekly", DATE(YEAR(L587), MONTH(L587), DAY(L587) + 7),
    Payment_Frequency="Fortnightly", DATE(YEAR(L587), MONTH(L587), DAY(L587) + 14),
    Payment_Frequency="Quarterly", DATE(YEAR(L587), MONTH(L587) + 3, DAY(L587)),
    Payment_Frequency="Yearly", DATE(YEAR(L587) + 1, MONTH(L587), DAY(L587)),
    TRUE, ""
)</f>
        <v/>
      </c>
      <c r="M588" s="1853">
        <f>IF(ISERROR(L588-L587),0,L588-L587)</f>
        <v>0</v>
      </c>
      <c r="N588" s="1851" cm="1">
        <f t="array" ref="N588">_xlfn.IFS(
    AND(I588=TRUE, K588&lt;=No_Regular_Payments), Repay_Amt,
    AND(I588=TRUE, K588=No_Regular_Payments+1), Tm_Balloon_Amt,
   TRUE, 0
)</f>
        <v>0</v>
      </c>
      <c r="O588" s="1850" cm="1">
        <f t="array" ref="O588">_xlfn.IFS(
    M588=0,0,
   ABS(N588 - S587 - P588-Q588) &lt; 1, N588 - S587-Q588,
    TRUE, P588
)</f>
        <v>0</v>
      </c>
      <c r="P588" s="1852">
        <f>IF(M588=0,0,ROUND(S587*EXP(Int_Rate/365.25 * M588)-S587,2))</f>
        <v>0</v>
      </c>
      <c r="Q588" s="1851" cm="1">
        <f t="array" ref="Q588">_xlfn.IFS(
    AND(I588=TRUE, K588&lt;=No_Regular_Payments), Periodic_Admin_Charge,
   TRUE, 0
)</f>
        <v>0</v>
      </c>
      <c r="R588" s="1850">
        <f>N588-O588-Q588</f>
        <v>0</v>
      </c>
      <c r="S588" s="1850">
        <f>ROUND(S587-R588,2)</f>
        <v>0</v>
      </c>
      <c r="T588" s="1850">
        <f>ROUND(T587-(N588-Q588),2)</f>
        <v>0</v>
      </c>
      <c r="U588" s="1849"/>
      <c r="W588" s="1848"/>
      <c r="X588" s="1848"/>
      <c r="Y588" s="1848"/>
    </row>
    <row r="589" spans="2:25" hidden="1">
      <c r="B589" s="1815" t="b">
        <f>AND(I589=FALSE,N588=0,Q588=0,L588="")</f>
        <v>1</v>
      </c>
      <c r="C589" s="1844" t="str" cm="1">
        <f t="array" ref="C589">_xlfn.IFS(
    L589="", "",
    MONTH(L589) &lt;= End_of_Year_Month, YEAR(L589),
    TRUE, YEAR(L589) + 1
)</f>
        <v/>
      </c>
      <c r="F589" s="1857">
        <f>IF(L589="",0,L589)</f>
        <v>0</v>
      </c>
      <c r="G589" s="1856">
        <f>-(N589-Q589)</f>
        <v>0</v>
      </c>
      <c r="I589" s="1815" t="b">
        <f>K589&lt;=Number_Payments</f>
        <v>0</v>
      </c>
      <c r="J589" s="1855"/>
      <c r="K589" s="1351">
        <f>K588+1</f>
        <v>463</v>
      </c>
      <c r="L589" s="1854" t="str" cm="1">
        <f t="array" ref="L589">_xlfn.IFS(
    I588=FALSE, "",
    Payment_Frequency="Monthly", EDATE(L588, 1),
    Payment_Frequency="Weekly", DATE(YEAR(L588), MONTH(L588), DAY(L588) + 7),
    Payment_Frequency="Fortnightly", DATE(YEAR(L588), MONTH(L588), DAY(L588) + 14),
    Payment_Frequency="Quarterly", DATE(YEAR(L588), MONTH(L588) + 3, DAY(L588)),
    Payment_Frequency="Yearly", DATE(YEAR(L588) + 1, MONTH(L588), DAY(L588)),
    TRUE, ""
)</f>
        <v/>
      </c>
      <c r="M589" s="1853">
        <f>IF(ISERROR(L589-L588),0,L589-L588)</f>
        <v>0</v>
      </c>
      <c r="N589" s="1851" cm="1">
        <f t="array" ref="N589">_xlfn.IFS(
    AND(I589=TRUE, K589&lt;=No_Regular_Payments), Repay_Amt,
    AND(I589=TRUE, K589=No_Regular_Payments+1), Tm_Balloon_Amt,
   TRUE, 0
)</f>
        <v>0</v>
      </c>
      <c r="O589" s="1850" cm="1">
        <f t="array" ref="O589">_xlfn.IFS(
    M589=0,0,
   ABS(N589 - S588 - P589-Q589) &lt; 1, N589 - S588-Q589,
    TRUE, P589
)</f>
        <v>0</v>
      </c>
      <c r="P589" s="1852">
        <f>IF(M589=0,0,ROUND(S588*EXP(Int_Rate/365.25 * M589)-S588,2))</f>
        <v>0</v>
      </c>
      <c r="Q589" s="1851" cm="1">
        <f t="array" ref="Q589">_xlfn.IFS(
    AND(I589=TRUE, K589&lt;=No_Regular_Payments), Periodic_Admin_Charge,
   TRUE, 0
)</f>
        <v>0</v>
      </c>
      <c r="R589" s="1850">
        <f>N589-O589-Q589</f>
        <v>0</v>
      </c>
      <c r="S589" s="1850">
        <f>ROUND(S588-R589,2)</f>
        <v>0</v>
      </c>
      <c r="T589" s="1850">
        <f>ROUND(T588-(N589-Q589),2)</f>
        <v>0</v>
      </c>
      <c r="U589" s="1849"/>
      <c r="W589" s="1848"/>
      <c r="X589" s="1848"/>
      <c r="Y589" s="1848"/>
    </row>
    <row r="590" spans="2:25" hidden="1">
      <c r="B590" s="1815" t="b">
        <f>AND(I590=FALSE,N589=0,Q589=0,L589="")</f>
        <v>1</v>
      </c>
      <c r="C590" s="1844" t="str" cm="1">
        <f t="array" ref="C590">_xlfn.IFS(
    L590="", "",
    MONTH(L590) &lt;= End_of_Year_Month, YEAR(L590),
    TRUE, YEAR(L590) + 1
)</f>
        <v/>
      </c>
      <c r="F590" s="1857">
        <f>IF(L590="",0,L590)</f>
        <v>0</v>
      </c>
      <c r="G590" s="1856">
        <f>-(N590-Q590)</f>
        <v>0</v>
      </c>
      <c r="I590" s="1815" t="b">
        <f>K590&lt;=Number_Payments</f>
        <v>0</v>
      </c>
      <c r="J590" s="1855"/>
      <c r="K590" s="1351">
        <f>K589+1</f>
        <v>464</v>
      </c>
      <c r="L590" s="1854" t="str" cm="1">
        <f t="array" ref="L590">_xlfn.IFS(
    I589=FALSE, "",
    Payment_Frequency="Monthly", EDATE(L589, 1),
    Payment_Frequency="Weekly", DATE(YEAR(L589), MONTH(L589), DAY(L589) + 7),
    Payment_Frequency="Fortnightly", DATE(YEAR(L589), MONTH(L589), DAY(L589) + 14),
    Payment_Frequency="Quarterly", DATE(YEAR(L589), MONTH(L589) + 3, DAY(L589)),
    Payment_Frequency="Yearly", DATE(YEAR(L589) + 1, MONTH(L589), DAY(L589)),
    TRUE, ""
)</f>
        <v/>
      </c>
      <c r="M590" s="1853">
        <f>IF(ISERROR(L590-L589),0,L590-L589)</f>
        <v>0</v>
      </c>
      <c r="N590" s="1851" cm="1">
        <f t="array" ref="N590">_xlfn.IFS(
    AND(I590=TRUE, K590&lt;=No_Regular_Payments), Repay_Amt,
    AND(I590=TRUE, K590=No_Regular_Payments+1), Tm_Balloon_Amt,
   TRUE, 0
)</f>
        <v>0</v>
      </c>
      <c r="O590" s="1850" cm="1">
        <f t="array" ref="O590">_xlfn.IFS(
    M590=0,0,
   ABS(N590 - S589 - P590-Q590) &lt; 1, N590 - S589-Q590,
    TRUE, P590
)</f>
        <v>0</v>
      </c>
      <c r="P590" s="1852">
        <f>IF(M590=0,0,ROUND(S589*EXP(Int_Rate/365.25 * M590)-S589,2))</f>
        <v>0</v>
      </c>
      <c r="Q590" s="1851" cm="1">
        <f t="array" ref="Q590">_xlfn.IFS(
    AND(I590=TRUE, K590&lt;=No_Regular_Payments), Periodic_Admin_Charge,
   TRUE, 0
)</f>
        <v>0</v>
      </c>
      <c r="R590" s="1850">
        <f>N590-O590-Q590</f>
        <v>0</v>
      </c>
      <c r="S590" s="1850">
        <f>ROUND(S589-R590,2)</f>
        <v>0</v>
      </c>
      <c r="T590" s="1850">
        <f>ROUND(T589-(N590-Q590),2)</f>
        <v>0</v>
      </c>
      <c r="U590" s="1849"/>
      <c r="W590" s="1848"/>
      <c r="X590" s="1848"/>
      <c r="Y590" s="1848"/>
    </row>
    <row r="591" spans="2:25" hidden="1">
      <c r="B591" s="1815" t="b">
        <f>AND(I591=FALSE,N590=0,Q590=0,L590="")</f>
        <v>1</v>
      </c>
      <c r="C591" s="1844" t="str" cm="1">
        <f t="array" ref="C591">_xlfn.IFS(
    L591="", "",
    MONTH(L591) &lt;= End_of_Year_Month, YEAR(L591),
    TRUE, YEAR(L591) + 1
)</f>
        <v/>
      </c>
      <c r="F591" s="1857">
        <f>IF(L591="",0,L591)</f>
        <v>0</v>
      </c>
      <c r="G591" s="1856">
        <f>-(N591-Q591)</f>
        <v>0</v>
      </c>
      <c r="I591" s="1815" t="b">
        <f>K591&lt;=Number_Payments</f>
        <v>0</v>
      </c>
      <c r="J591" s="1855"/>
      <c r="K591" s="1351">
        <f>K590+1</f>
        <v>465</v>
      </c>
      <c r="L591" s="1854" t="str" cm="1">
        <f t="array" ref="L591">_xlfn.IFS(
    I590=FALSE, "",
    Payment_Frequency="Monthly", EDATE(L590, 1),
    Payment_Frequency="Weekly", DATE(YEAR(L590), MONTH(L590), DAY(L590) + 7),
    Payment_Frequency="Fortnightly", DATE(YEAR(L590), MONTH(L590), DAY(L590) + 14),
    Payment_Frequency="Quarterly", DATE(YEAR(L590), MONTH(L590) + 3, DAY(L590)),
    Payment_Frequency="Yearly", DATE(YEAR(L590) + 1, MONTH(L590), DAY(L590)),
    TRUE, ""
)</f>
        <v/>
      </c>
      <c r="M591" s="1853">
        <f>IF(ISERROR(L591-L590),0,L591-L590)</f>
        <v>0</v>
      </c>
      <c r="N591" s="1851" cm="1">
        <f t="array" ref="N591">_xlfn.IFS(
    AND(I591=TRUE, K591&lt;=No_Regular_Payments), Repay_Amt,
    AND(I591=TRUE, K591=No_Regular_Payments+1), Tm_Balloon_Amt,
   TRUE, 0
)</f>
        <v>0</v>
      </c>
      <c r="O591" s="1850" cm="1">
        <f t="array" ref="O591">_xlfn.IFS(
    M591=0,0,
   ABS(N591 - S590 - P591-Q591) &lt; 1, N591 - S590-Q591,
    TRUE, P591
)</f>
        <v>0</v>
      </c>
      <c r="P591" s="1852">
        <f>IF(M591=0,0,ROUND(S590*EXP(Int_Rate/365.25 * M591)-S590,2))</f>
        <v>0</v>
      </c>
      <c r="Q591" s="1851" cm="1">
        <f t="array" ref="Q591">_xlfn.IFS(
    AND(I591=TRUE, K591&lt;=No_Regular_Payments), Periodic_Admin_Charge,
   TRUE, 0
)</f>
        <v>0</v>
      </c>
      <c r="R591" s="1850">
        <f>N591-O591-Q591</f>
        <v>0</v>
      </c>
      <c r="S591" s="1850">
        <f>ROUND(S590-R591,2)</f>
        <v>0</v>
      </c>
      <c r="T591" s="1850">
        <f>ROUND(T590-(N591-Q591),2)</f>
        <v>0</v>
      </c>
      <c r="U591" s="1849"/>
      <c r="W591" s="1848"/>
      <c r="X591" s="1848"/>
      <c r="Y591" s="1848"/>
    </row>
    <row r="592" spans="2:25" hidden="1">
      <c r="B592" s="1815" t="b">
        <f>AND(I592=FALSE,N591=0,Q591=0,L591="")</f>
        <v>1</v>
      </c>
      <c r="C592" s="1844" t="str" cm="1">
        <f t="array" ref="C592">_xlfn.IFS(
    L592="", "",
    MONTH(L592) &lt;= End_of_Year_Month, YEAR(L592),
    TRUE, YEAR(L592) + 1
)</f>
        <v/>
      </c>
      <c r="F592" s="1857">
        <f>IF(L592="",0,L592)</f>
        <v>0</v>
      </c>
      <c r="G592" s="1856">
        <f>-(N592-Q592)</f>
        <v>0</v>
      </c>
      <c r="I592" s="1815" t="b">
        <f>K592&lt;=Number_Payments</f>
        <v>0</v>
      </c>
      <c r="J592" s="1855"/>
      <c r="K592" s="1351">
        <f>K591+1</f>
        <v>466</v>
      </c>
      <c r="L592" s="1854" t="str" cm="1">
        <f t="array" ref="L592">_xlfn.IFS(
    I591=FALSE, "",
    Payment_Frequency="Monthly", EDATE(L591, 1),
    Payment_Frequency="Weekly", DATE(YEAR(L591), MONTH(L591), DAY(L591) + 7),
    Payment_Frequency="Fortnightly", DATE(YEAR(L591), MONTH(L591), DAY(L591) + 14),
    Payment_Frequency="Quarterly", DATE(YEAR(L591), MONTH(L591) + 3, DAY(L591)),
    Payment_Frequency="Yearly", DATE(YEAR(L591) + 1, MONTH(L591), DAY(L591)),
    TRUE, ""
)</f>
        <v/>
      </c>
      <c r="M592" s="1853">
        <f>IF(ISERROR(L592-L591),0,L592-L591)</f>
        <v>0</v>
      </c>
      <c r="N592" s="1851" cm="1">
        <f t="array" ref="N592">_xlfn.IFS(
    AND(I592=TRUE, K592&lt;=No_Regular_Payments), Repay_Amt,
    AND(I592=TRUE, K592=No_Regular_Payments+1), Tm_Balloon_Amt,
   TRUE, 0
)</f>
        <v>0</v>
      </c>
      <c r="O592" s="1850" cm="1">
        <f t="array" ref="O592">_xlfn.IFS(
    M592=0,0,
   ABS(N592 - S591 - P592-Q592) &lt; 1, N592 - S591-Q592,
    TRUE, P592
)</f>
        <v>0</v>
      </c>
      <c r="P592" s="1852">
        <f>IF(M592=0,0,ROUND(S591*EXP(Int_Rate/365.25 * M592)-S591,2))</f>
        <v>0</v>
      </c>
      <c r="Q592" s="1851" cm="1">
        <f t="array" ref="Q592">_xlfn.IFS(
    AND(I592=TRUE, K592&lt;=No_Regular_Payments), Periodic_Admin_Charge,
   TRUE, 0
)</f>
        <v>0</v>
      </c>
      <c r="R592" s="1850">
        <f>N592-O592-Q592</f>
        <v>0</v>
      </c>
      <c r="S592" s="1850">
        <f>ROUND(S591-R592,2)</f>
        <v>0</v>
      </c>
      <c r="T592" s="1850">
        <f>ROUND(T591-(N592-Q592),2)</f>
        <v>0</v>
      </c>
      <c r="U592" s="1849"/>
      <c r="W592" s="1848"/>
      <c r="X592" s="1848"/>
      <c r="Y592" s="1848"/>
    </row>
    <row r="593" spans="2:25" hidden="1">
      <c r="B593" s="1815" t="b">
        <f>AND(I593=FALSE,N592=0,Q592=0,L592="")</f>
        <v>1</v>
      </c>
      <c r="C593" s="1844" t="str" cm="1">
        <f t="array" ref="C593">_xlfn.IFS(
    L593="", "",
    MONTH(L593) &lt;= End_of_Year_Month, YEAR(L593),
    TRUE, YEAR(L593) + 1
)</f>
        <v/>
      </c>
      <c r="F593" s="1857">
        <f>IF(L593="",0,L593)</f>
        <v>0</v>
      </c>
      <c r="G593" s="1856">
        <f>-(N593-Q593)</f>
        <v>0</v>
      </c>
      <c r="I593" s="1815" t="b">
        <f>K593&lt;=Number_Payments</f>
        <v>0</v>
      </c>
      <c r="J593" s="1855"/>
      <c r="K593" s="1351">
        <f>K592+1</f>
        <v>467</v>
      </c>
      <c r="L593" s="1854" t="str" cm="1">
        <f t="array" ref="L593">_xlfn.IFS(
    I592=FALSE, "",
    Payment_Frequency="Monthly", EDATE(L592, 1),
    Payment_Frequency="Weekly", DATE(YEAR(L592), MONTH(L592), DAY(L592) + 7),
    Payment_Frequency="Fortnightly", DATE(YEAR(L592), MONTH(L592), DAY(L592) + 14),
    Payment_Frequency="Quarterly", DATE(YEAR(L592), MONTH(L592) + 3, DAY(L592)),
    Payment_Frequency="Yearly", DATE(YEAR(L592) + 1, MONTH(L592), DAY(L592)),
    TRUE, ""
)</f>
        <v/>
      </c>
      <c r="M593" s="1853">
        <f>IF(ISERROR(L593-L592),0,L593-L592)</f>
        <v>0</v>
      </c>
      <c r="N593" s="1851" cm="1">
        <f t="array" ref="N593">_xlfn.IFS(
    AND(I593=TRUE, K593&lt;=No_Regular_Payments), Repay_Amt,
    AND(I593=TRUE, K593=No_Regular_Payments+1), Tm_Balloon_Amt,
   TRUE, 0
)</f>
        <v>0</v>
      </c>
      <c r="O593" s="1850" cm="1">
        <f t="array" ref="O593">_xlfn.IFS(
    M593=0,0,
   ABS(N593 - S592 - P593-Q593) &lt; 1, N593 - S592-Q593,
    TRUE, P593
)</f>
        <v>0</v>
      </c>
      <c r="P593" s="1852">
        <f>IF(M593=0,0,ROUND(S592*EXP(Int_Rate/365.25 * M593)-S592,2))</f>
        <v>0</v>
      </c>
      <c r="Q593" s="1851" cm="1">
        <f t="array" ref="Q593">_xlfn.IFS(
    AND(I593=TRUE, K593&lt;=No_Regular_Payments), Periodic_Admin_Charge,
   TRUE, 0
)</f>
        <v>0</v>
      </c>
      <c r="R593" s="1850">
        <f>N593-O593-Q593</f>
        <v>0</v>
      </c>
      <c r="S593" s="1850">
        <f>ROUND(S592-R593,2)</f>
        <v>0</v>
      </c>
      <c r="T593" s="1850">
        <f>ROUND(T592-(N593-Q593),2)</f>
        <v>0</v>
      </c>
      <c r="U593" s="1849"/>
      <c r="W593" s="1848"/>
      <c r="X593" s="1848"/>
      <c r="Y593" s="1848"/>
    </row>
    <row r="594" spans="2:25" hidden="1">
      <c r="B594" s="1815" t="b">
        <f>AND(I594=FALSE,N593=0,Q593=0,L593="")</f>
        <v>1</v>
      </c>
      <c r="C594" s="1844" t="str" cm="1">
        <f t="array" ref="C594">_xlfn.IFS(
    L594="", "",
    MONTH(L594) &lt;= End_of_Year_Month, YEAR(L594),
    TRUE, YEAR(L594) + 1
)</f>
        <v/>
      </c>
      <c r="F594" s="1857">
        <f>IF(L594="",0,L594)</f>
        <v>0</v>
      </c>
      <c r="G594" s="1856">
        <f>-(N594-Q594)</f>
        <v>0</v>
      </c>
      <c r="I594" s="1815" t="b">
        <f>K594&lt;=Number_Payments</f>
        <v>0</v>
      </c>
      <c r="J594" s="1855"/>
      <c r="K594" s="1351">
        <f>K593+1</f>
        <v>468</v>
      </c>
      <c r="L594" s="1854" t="str" cm="1">
        <f t="array" ref="L594">_xlfn.IFS(
    I593=FALSE, "",
    Payment_Frequency="Monthly", EDATE(L593, 1),
    Payment_Frequency="Weekly", DATE(YEAR(L593), MONTH(L593), DAY(L593) + 7),
    Payment_Frequency="Fortnightly", DATE(YEAR(L593), MONTH(L593), DAY(L593) + 14),
    Payment_Frequency="Quarterly", DATE(YEAR(L593), MONTH(L593) + 3, DAY(L593)),
    Payment_Frequency="Yearly", DATE(YEAR(L593) + 1, MONTH(L593), DAY(L593)),
    TRUE, ""
)</f>
        <v/>
      </c>
      <c r="M594" s="1853">
        <f>IF(ISERROR(L594-L593),0,L594-L593)</f>
        <v>0</v>
      </c>
      <c r="N594" s="1851" cm="1">
        <f t="array" ref="N594">_xlfn.IFS(
    AND(I594=TRUE, K594&lt;=No_Regular_Payments), Repay_Amt,
    AND(I594=TRUE, K594=No_Regular_Payments+1), Tm_Balloon_Amt,
   TRUE, 0
)</f>
        <v>0</v>
      </c>
      <c r="O594" s="1850" cm="1">
        <f t="array" ref="O594">_xlfn.IFS(
    M594=0,0,
   ABS(N594 - S593 - P594-Q594) &lt; 1, N594 - S593-Q594,
    TRUE, P594
)</f>
        <v>0</v>
      </c>
      <c r="P594" s="1852">
        <f>IF(M594=0,0,ROUND(S593*EXP(Int_Rate/365.25 * M594)-S593,2))</f>
        <v>0</v>
      </c>
      <c r="Q594" s="1851" cm="1">
        <f t="array" ref="Q594">_xlfn.IFS(
    AND(I594=TRUE, K594&lt;=No_Regular_Payments), Periodic_Admin_Charge,
   TRUE, 0
)</f>
        <v>0</v>
      </c>
      <c r="R594" s="1850">
        <f>N594-O594-Q594</f>
        <v>0</v>
      </c>
      <c r="S594" s="1850">
        <f>ROUND(S593-R594,2)</f>
        <v>0</v>
      </c>
      <c r="T594" s="1850">
        <f>ROUND(T593-(N594-Q594),2)</f>
        <v>0</v>
      </c>
      <c r="U594" s="1849"/>
      <c r="W594" s="1848"/>
      <c r="X594" s="1848"/>
      <c r="Y594" s="1848"/>
    </row>
    <row r="595" spans="2:25" hidden="1">
      <c r="B595" s="1815" t="b">
        <f>AND(I595=FALSE,N594=0,Q594=0,L594="")</f>
        <v>1</v>
      </c>
      <c r="C595" s="1844" t="str" cm="1">
        <f t="array" ref="C595">_xlfn.IFS(
    L595="", "",
    MONTH(L595) &lt;= End_of_Year_Month, YEAR(L595),
    TRUE, YEAR(L595) + 1
)</f>
        <v/>
      </c>
      <c r="F595" s="1857">
        <f>IF(L595="",0,L595)</f>
        <v>0</v>
      </c>
      <c r="G595" s="1856">
        <f>-(N595-Q595)</f>
        <v>0</v>
      </c>
      <c r="I595" s="1815" t="b">
        <f>K595&lt;=Number_Payments</f>
        <v>0</v>
      </c>
      <c r="J595" s="1855"/>
      <c r="K595" s="1351">
        <f>K594+1</f>
        <v>469</v>
      </c>
      <c r="L595" s="1854" t="str" cm="1">
        <f t="array" ref="L595">_xlfn.IFS(
    I594=FALSE, "",
    Payment_Frequency="Monthly", EDATE(L594, 1),
    Payment_Frequency="Weekly", DATE(YEAR(L594), MONTH(L594), DAY(L594) + 7),
    Payment_Frequency="Fortnightly", DATE(YEAR(L594), MONTH(L594), DAY(L594) + 14),
    Payment_Frequency="Quarterly", DATE(YEAR(L594), MONTH(L594) + 3, DAY(L594)),
    Payment_Frequency="Yearly", DATE(YEAR(L594) + 1, MONTH(L594), DAY(L594)),
    TRUE, ""
)</f>
        <v/>
      </c>
      <c r="M595" s="1853">
        <f>IF(ISERROR(L595-L594),0,L595-L594)</f>
        <v>0</v>
      </c>
      <c r="N595" s="1851" cm="1">
        <f t="array" ref="N595">_xlfn.IFS(
    AND(I595=TRUE, K595&lt;=No_Regular_Payments), Repay_Amt,
    AND(I595=TRUE, K595=No_Regular_Payments+1), Tm_Balloon_Amt,
   TRUE, 0
)</f>
        <v>0</v>
      </c>
      <c r="O595" s="1850" cm="1">
        <f t="array" ref="O595">_xlfn.IFS(
    M595=0,0,
   ABS(N595 - S594 - P595-Q595) &lt; 1, N595 - S594-Q595,
    TRUE, P595
)</f>
        <v>0</v>
      </c>
      <c r="P595" s="1852">
        <f>IF(M595=0,0,ROUND(S594*EXP(Int_Rate/365.25 * M595)-S594,2))</f>
        <v>0</v>
      </c>
      <c r="Q595" s="1851" cm="1">
        <f t="array" ref="Q595">_xlfn.IFS(
    AND(I595=TRUE, K595&lt;=No_Regular_Payments), Periodic_Admin_Charge,
   TRUE, 0
)</f>
        <v>0</v>
      </c>
      <c r="R595" s="1850">
        <f>N595-O595-Q595</f>
        <v>0</v>
      </c>
      <c r="S595" s="1850">
        <f>ROUND(S594-R595,2)</f>
        <v>0</v>
      </c>
      <c r="T595" s="1850">
        <f>ROUND(T594-(N595-Q595),2)</f>
        <v>0</v>
      </c>
      <c r="U595" s="1849"/>
      <c r="W595" s="1848"/>
      <c r="X595" s="1848"/>
      <c r="Y595" s="1848"/>
    </row>
    <row r="596" spans="2:25" hidden="1">
      <c r="B596" s="1815" t="b">
        <f>AND(I596=FALSE,N595=0,Q595=0,L595="")</f>
        <v>1</v>
      </c>
      <c r="C596" s="1844" t="str" cm="1">
        <f t="array" ref="C596">_xlfn.IFS(
    L596="", "",
    MONTH(L596) &lt;= End_of_Year_Month, YEAR(L596),
    TRUE, YEAR(L596) + 1
)</f>
        <v/>
      </c>
      <c r="F596" s="1857">
        <f>IF(L596="",0,L596)</f>
        <v>0</v>
      </c>
      <c r="G596" s="1856">
        <f>-(N596-Q596)</f>
        <v>0</v>
      </c>
      <c r="I596" s="1815" t="b">
        <f>K596&lt;=Number_Payments</f>
        <v>0</v>
      </c>
      <c r="J596" s="1855"/>
      <c r="K596" s="1351">
        <f>K595+1</f>
        <v>470</v>
      </c>
      <c r="L596" s="1854" t="str" cm="1">
        <f t="array" ref="L596">_xlfn.IFS(
    I595=FALSE, "",
    Payment_Frequency="Monthly", EDATE(L595, 1),
    Payment_Frequency="Weekly", DATE(YEAR(L595), MONTH(L595), DAY(L595) + 7),
    Payment_Frequency="Fortnightly", DATE(YEAR(L595), MONTH(L595), DAY(L595) + 14),
    Payment_Frequency="Quarterly", DATE(YEAR(L595), MONTH(L595) + 3, DAY(L595)),
    Payment_Frequency="Yearly", DATE(YEAR(L595) + 1, MONTH(L595), DAY(L595)),
    TRUE, ""
)</f>
        <v/>
      </c>
      <c r="M596" s="1853">
        <f>IF(ISERROR(L596-L595),0,L596-L595)</f>
        <v>0</v>
      </c>
      <c r="N596" s="1851" cm="1">
        <f t="array" ref="N596">_xlfn.IFS(
    AND(I596=TRUE, K596&lt;=No_Regular_Payments), Repay_Amt,
    AND(I596=TRUE, K596=No_Regular_Payments+1), Tm_Balloon_Amt,
   TRUE, 0
)</f>
        <v>0</v>
      </c>
      <c r="O596" s="1850" cm="1">
        <f t="array" ref="O596">_xlfn.IFS(
    M596=0,0,
   ABS(N596 - S595 - P596-Q596) &lt; 1, N596 - S595-Q596,
    TRUE, P596
)</f>
        <v>0</v>
      </c>
      <c r="P596" s="1852">
        <f>IF(M596=0,0,ROUND(S595*EXP(Int_Rate/365.25 * M596)-S595,2))</f>
        <v>0</v>
      </c>
      <c r="Q596" s="1851" cm="1">
        <f t="array" ref="Q596">_xlfn.IFS(
    AND(I596=TRUE, K596&lt;=No_Regular_Payments), Periodic_Admin_Charge,
   TRUE, 0
)</f>
        <v>0</v>
      </c>
      <c r="R596" s="1850">
        <f>N596-O596-Q596</f>
        <v>0</v>
      </c>
      <c r="S596" s="1850">
        <f>ROUND(S595-R596,2)</f>
        <v>0</v>
      </c>
      <c r="T596" s="1850">
        <f>ROUND(T595-(N596-Q596),2)</f>
        <v>0</v>
      </c>
      <c r="U596" s="1849"/>
      <c r="W596" s="1848"/>
      <c r="X596" s="1848"/>
      <c r="Y596" s="1848"/>
    </row>
    <row r="597" spans="2:25" hidden="1">
      <c r="B597" s="1815" t="b">
        <f>AND(I597=FALSE,N596=0,Q596=0,L596="")</f>
        <v>1</v>
      </c>
      <c r="C597" s="1844" t="str" cm="1">
        <f t="array" ref="C597">_xlfn.IFS(
    L597="", "",
    MONTH(L597) &lt;= End_of_Year_Month, YEAR(L597),
    TRUE, YEAR(L597) + 1
)</f>
        <v/>
      </c>
      <c r="F597" s="1857">
        <f>IF(L597="",0,L597)</f>
        <v>0</v>
      </c>
      <c r="G597" s="1856">
        <f>-(N597-Q597)</f>
        <v>0</v>
      </c>
      <c r="I597" s="1815" t="b">
        <f>K597&lt;=Number_Payments</f>
        <v>0</v>
      </c>
      <c r="J597" s="1855"/>
      <c r="K597" s="1351">
        <f>K596+1</f>
        <v>471</v>
      </c>
      <c r="L597" s="1854" t="str" cm="1">
        <f t="array" ref="L597">_xlfn.IFS(
    I596=FALSE, "",
    Payment_Frequency="Monthly", EDATE(L596, 1),
    Payment_Frequency="Weekly", DATE(YEAR(L596), MONTH(L596), DAY(L596) + 7),
    Payment_Frequency="Fortnightly", DATE(YEAR(L596), MONTH(L596), DAY(L596) + 14),
    Payment_Frequency="Quarterly", DATE(YEAR(L596), MONTH(L596) + 3, DAY(L596)),
    Payment_Frequency="Yearly", DATE(YEAR(L596) + 1, MONTH(L596), DAY(L596)),
    TRUE, ""
)</f>
        <v/>
      </c>
      <c r="M597" s="1853">
        <f>IF(ISERROR(L597-L596),0,L597-L596)</f>
        <v>0</v>
      </c>
      <c r="N597" s="1851" cm="1">
        <f t="array" ref="N597">_xlfn.IFS(
    AND(I597=TRUE, K597&lt;=No_Regular_Payments), Repay_Amt,
    AND(I597=TRUE, K597=No_Regular_Payments+1), Tm_Balloon_Amt,
   TRUE, 0
)</f>
        <v>0</v>
      </c>
      <c r="O597" s="1850" cm="1">
        <f t="array" ref="O597">_xlfn.IFS(
    M597=0,0,
   ABS(N597 - S596 - P597-Q597) &lt; 1, N597 - S596-Q597,
    TRUE, P597
)</f>
        <v>0</v>
      </c>
      <c r="P597" s="1852">
        <f>IF(M597=0,0,ROUND(S596*EXP(Int_Rate/365.25 * M597)-S596,2))</f>
        <v>0</v>
      </c>
      <c r="Q597" s="1851" cm="1">
        <f t="array" ref="Q597">_xlfn.IFS(
    AND(I597=TRUE, K597&lt;=No_Regular_Payments), Periodic_Admin_Charge,
   TRUE, 0
)</f>
        <v>0</v>
      </c>
      <c r="R597" s="1850">
        <f>N597-O597-Q597</f>
        <v>0</v>
      </c>
      <c r="S597" s="1850">
        <f>ROUND(S596-R597,2)</f>
        <v>0</v>
      </c>
      <c r="T597" s="1850">
        <f>ROUND(T596-(N597-Q597),2)</f>
        <v>0</v>
      </c>
      <c r="U597" s="1849"/>
      <c r="W597" s="1848"/>
      <c r="X597" s="1848"/>
      <c r="Y597" s="1848"/>
    </row>
    <row r="598" spans="2:25" hidden="1">
      <c r="B598" s="1815" t="b">
        <f>AND(I598=FALSE,N597=0,Q597=0,L597="")</f>
        <v>1</v>
      </c>
      <c r="C598" s="1844" t="str" cm="1">
        <f t="array" ref="C598">_xlfn.IFS(
    L598="", "",
    MONTH(L598) &lt;= End_of_Year_Month, YEAR(L598),
    TRUE, YEAR(L598) + 1
)</f>
        <v/>
      </c>
      <c r="F598" s="1857">
        <f>IF(L598="",0,L598)</f>
        <v>0</v>
      </c>
      <c r="G598" s="1856">
        <f>-(N598-Q598)</f>
        <v>0</v>
      </c>
      <c r="I598" s="1815" t="b">
        <f>K598&lt;=Number_Payments</f>
        <v>0</v>
      </c>
      <c r="J598" s="1855"/>
      <c r="K598" s="1351">
        <f>K597+1</f>
        <v>472</v>
      </c>
      <c r="L598" s="1854" t="str" cm="1">
        <f t="array" ref="L598">_xlfn.IFS(
    I597=FALSE, "",
    Payment_Frequency="Monthly", EDATE(L597, 1),
    Payment_Frequency="Weekly", DATE(YEAR(L597), MONTH(L597), DAY(L597) + 7),
    Payment_Frequency="Fortnightly", DATE(YEAR(L597), MONTH(L597), DAY(L597) + 14),
    Payment_Frequency="Quarterly", DATE(YEAR(L597), MONTH(L597) + 3, DAY(L597)),
    Payment_Frequency="Yearly", DATE(YEAR(L597) + 1, MONTH(L597), DAY(L597)),
    TRUE, ""
)</f>
        <v/>
      </c>
      <c r="M598" s="1853">
        <f>IF(ISERROR(L598-L597),0,L598-L597)</f>
        <v>0</v>
      </c>
      <c r="N598" s="1851" cm="1">
        <f t="array" ref="N598">_xlfn.IFS(
    AND(I598=TRUE, K598&lt;=No_Regular_Payments), Repay_Amt,
    AND(I598=TRUE, K598=No_Regular_Payments+1), Tm_Balloon_Amt,
   TRUE, 0
)</f>
        <v>0</v>
      </c>
      <c r="O598" s="1850" cm="1">
        <f t="array" ref="O598">_xlfn.IFS(
    M598=0,0,
   ABS(N598 - S597 - P598-Q598) &lt; 1, N598 - S597-Q598,
    TRUE, P598
)</f>
        <v>0</v>
      </c>
      <c r="P598" s="1852">
        <f>IF(M598=0,0,ROUND(S597*EXP(Int_Rate/365.25 * M598)-S597,2))</f>
        <v>0</v>
      </c>
      <c r="Q598" s="1851" cm="1">
        <f t="array" ref="Q598">_xlfn.IFS(
    AND(I598=TRUE, K598&lt;=No_Regular_Payments), Periodic_Admin_Charge,
   TRUE, 0
)</f>
        <v>0</v>
      </c>
      <c r="R598" s="1850">
        <f>N598-O598-Q598</f>
        <v>0</v>
      </c>
      <c r="S598" s="1850">
        <f>ROUND(S597-R598,2)</f>
        <v>0</v>
      </c>
      <c r="T598" s="1850">
        <f>ROUND(T597-(N598-Q598),2)</f>
        <v>0</v>
      </c>
      <c r="U598" s="1849"/>
      <c r="W598" s="1848"/>
      <c r="X598" s="1848"/>
      <c r="Y598" s="1848"/>
    </row>
    <row r="599" spans="2:25" hidden="1">
      <c r="B599" s="1815" t="b">
        <f>AND(I599=FALSE,N598=0,Q598=0,L598="")</f>
        <v>1</v>
      </c>
      <c r="C599" s="1844" t="str" cm="1">
        <f t="array" ref="C599">_xlfn.IFS(
    L599="", "",
    MONTH(L599) &lt;= End_of_Year_Month, YEAR(L599),
    TRUE, YEAR(L599) + 1
)</f>
        <v/>
      </c>
      <c r="F599" s="1857">
        <f>IF(L599="",0,L599)</f>
        <v>0</v>
      </c>
      <c r="G599" s="1856">
        <f>-(N599-Q599)</f>
        <v>0</v>
      </c>
      <c r="I599" s="1815" t="b">
        <f>K599&lt;=Number_Payments</f>
        <v>0</v>
      </c>
      <c r="J599" s="1855"/>
      <c r="K599" s="1351">
        <f>K598+1</f>
        <v>473</v>
      </c>
      <c r="L599" s="1854" t="str" cm="1">
        <f t="array" ref="L599">_xlfn.IFS(
    I598=FALSE, "",
    Payment_Frequency="Monthly", EDATE(L598, 1),
    Payment_Frequency="Weekly", DATE(YEAR(L598), MONTH(L598), DAY(L598) + 7),
    Payment_Frequency="Fortnightly", DATE(YEAR(L598), MONTH(L598), DAY(L598) + 14),
    Payment_Frequency="Quarterly", DATE(YEAR(L598), MONTH(L598) + 3, DAY(L598)),
    Payment_Frequency="Yearly", DATE(YEAR(L598) + 1, MONTH(L598), DAY(L598)),
    TRUE, ""
)</f>
        <v/>
      </c>
      <c r="M599" s="1853">
        <f>IF(ISERROR(L599-L598),0,L599-L598)</f>
        <v>0</v>
      </c>
      <c r="N599" s="1851" cm="1">
        <f t="array" ref="N599">_xlfn.IFS(
    AND(I599=TRUE, K599&lt;=No_Regular_Payments), Repay_Amt,
    AND(I599=TRUE, K599=No_Regular_Payments+1), Tm_Balloon_Amt,
   TRUE, 0
)</f>
        <v>0</v>
      </c>
      <c r="O599" s="1850" cm="1">
        <f t="array" ref="O599">_xlfn.IFS(
    M599=0,0,
   ABS(N599 - S598 - P599-Q599) &lt; 1, N599 - S598-Q599,
    TRUE, P599
)</f>
        <v>0</v>
      </c>
      <c r="P599" s="1852">
        <f>IF(M599=0,0,ROUND(S598*EXP(Int_Rate/365.25 * M599)-S598,2))</f>
        <v>0</v>
      </c>
      <c r="Q599" s="1851" cm="1">
        <f t="array" ref="Q599">_xlfn.IFS(
    AND(I599=TRUE, K599&lt;=No_Regular_Payments), Periodic_Admin_Charge,
   TRUE, 0
)</f>
        <v>0</v>
      </c>
      <c r="R599" s="1850">
        <f>N599-O599-Q599</f>
        <v>0</v>
      </c>
      <c r="S599" s="1850">
        <f>ROUND(S598-R599,2)</f>
        <v>0</v>
      </c>
      <c r="T599" s="1850">
        <f>ROUND(T598-(N599-Q599),2)</f>
        <v>0</v>
      </c>
      <c r="U599" s="1849"/>
      <c r="W599" s="1848"/>
      <c r="X599" s="1848"/>
      <c r="Y599" s="1848"/>
    </row>
    <row r="600" spans="2:25" hidden="1">
      <c r="B600" s="1815" t="b">
        <f>AND(I600=FALSE,N599=0,Q599=0,L599="")</f>
        <v>1</v>
      </c>
      <c r="C600" s="1844" t="str" cm="1">
        <f t="array" ref="C600">_xlfn.IFS(
    L600="", "",
    MONTH(L600) &lt;= End_of_Year_Month, YEAR(L600),
    TRUE, YEAR(L600) + 1
)</f>
        <v/>
      </c>
      <c r="F600" s="1857">
        <f>IF(L600="",0,L600)</f>
        <v>0</v>
      </c>
      <c r="G600" s="1856">
        <f>-(N600-Q600)</f>
        <v>0</v>
      </c>
      <c r="I600" s="1815" t="b">
        <f>K600&lt;=Number_Payments</f>
        <v>0</v>
      </c>
      <c r="J600" s="1855"/>
      <c r="K600" s="1351">
        <f>K599+1</f>
        <v>474</v>
      </c>
      <c r="L600" s="1854" t="str" cm="1">
        <f t="array" ref="L600">_xlfn.IFS(
    I599=FALSE, "",
    Payment_Frequency="Monthly", EDATE(L599, 1),
    Payment_Frequency="Weekly", DATE(YEAR(L599), MONTH(L599), DAY(L599) + 7),
    Payment_Frequency="Fortnightly", DATE(YEAR(L599), MONTH(L599), DAY(L599) + 14),
    Payment_Frequency="Quarterly", DATE(YEAR(L599), MONTH(L599) + 3, DAY(L599)),
    Payment_Frequency="Yearly", DATE(YEAR(L599) + 1, MONTH(L599), DAY(L599)),
    TRUE, ""
)</f>
        <v/>
      </c>
      <c r="M600" s="1853">
        <f>IF(ISERROR(L600-L599),0,L600-L599)</f>
        <v>0</v>
      </c>
      <c r="N600" s="1851" cm="1">
        <f t="array" ref="N600">_xlfn.IFS(
    AND(I600=TRUE, K600&lt;=No_Regular_Payments), Repay_Amt,
    AND(I600=TRUE, K600=No_Regular_Payments+1), Tm_Balloon_Amt,
   TRUE, 0
)</f>
        <v>0</v>
      </c>
      <c r="O600" s="1850" cm="1">
        <f t="array" ref="O600">_xlfn.IFS(
    M600=0,0,
   ABS(N600 - S599 - P600-Q600) &lt; 1, N600 - S599-Q600,
    TRUE, P600
)</f>
        <v>0</v>
      </c>
      <c r="P600" s="1852">
        <f>IF(M600=0,0,ROUND(S599*EXP(Int_Rate/365.25 * M600)-S599,2))</f>
        <v>0</v>
      </c>
      <c r="Q600" s="1851" cm="1">
        <f t="array" ref="Q600">_xlfn.IFS(
    AND(I600=TRUE, K600&lt;=No_Regular_Payments), Periodic_Admin_Charge,
   TRUE, 0
)</f>
        <v>0</v>
      </c>
      <c r="R600" s="1850">
        <f>N600-O600-Q600</f>
        <v>0</v>
      </c>
      <c r="S600" s="1850">
        <f>ROUND(S599-R600,2)</f>
        <v>0</v>
      </c>
      <c r="T600" s="1850">
        <f>ROUND(T599-(N600-Q600),2)</f>
        <v>0</v>
      </c>
      <c r="U600" s="1849"/>
      <c r="W600" s="1848"/>
      <c r="X600" s="1848"/>
      <c r="Y600" s="1848"/>
    </row>
    <row r="601" spans="2:25" hidden="1">
      <c r="B601" s="1815" t="b">
        <f>AND(I601=FALSE,N600=0,Q600=0,L600="")</f>
        <v>1</v>
      </c>
      <c r="C601" s="1844" t="str" cm="1">
        <f t="array" ref="C601">_xlfn.IFS(
    L601="", "",
    MONTH(L601) &lt;= End_of_Year_Month, YEAR(L601),
    TRUE, YEAR(L601) + 1
)</f>
        <v/>
      </c>
      <c r="F601" s="1857">
        <f>IF(L601="",0,L601)</f>
        <v>0</v>
      </c>
      <c r="G601" s="1856">
        <f>-(N601-Q601)</f>
        <v>0</v>
      </c>
      <c r="I601" s="1815" t="b">
        <f>K601&lt;=Number_Payments</f>
        <v>0</v>
      </c>
      <c r="J601" s="1855"/>
      <c r="K601" s="1351">
        <f>K600+1</f>
        <v>475</v>
      </c>
      <c r="L601" s="1854" t="str" cm="1">
        <f t="array" ref="L601">_xlfn.IFS(
    I600=FALSE, "",
    Payment_Frequency="Monthly", EDATE(L600, 1),
    Payment_Frequency="Weekly", DATE(YEAR(L600), MONTH(L600), DAY(L600) + 7),
    Payment_Frequency="Fortnightly", DATE(YEAR(L600), MONTH(L600), DAY(L600) + 14),
    Payment_Frequency="Quarterly", DATE(YEAR(L600), MONTH(L600) + 3, DAY(L600)),
    Payment_Frequency="Yearly", DATE(YEAR(L600) + 1, MONTH(L600), DAY(L600)),
    TRUE, ""
)</f>
        <v/>
      </c>
      <c r="M601" s="1853">
        <f>IF(ISERROR(L601-L600),0,L601-L600)</f>
        <v>0</v>
      </c>
      <c r="N601" s="1851" cm="1">
        <f t="array" ref="N601">_xlfn.IFS(
    AND(I601=TRUE, K601&lt;=No_Regular_Payments), Repay_Amt,
    AND(I601=TRUE, K601=No_Regular_Payments+1), Tm_Balloon_Amt,
   TRUE, 0
)</f>
        <v>0</v>
      </c>
      <c r="O601" s="1850" cm="1">
        <f t="array" ref="O601">_xlfn.IFS(
    M601=0,0,
   ABS(N601 - S600 - P601-Q601) &lt; 1, N601 - S600-Q601,
    TRUE, P601
)</f>
        <v>0</v>
      </c>
      <c r="P601" s="1852">
        <f>IF(M601=0,0,ROUND(S600*EXP(Int_Rate/365.25 * M601)-S600,2))</f>
        <v>0</v>
      </c>
      <c r="Q601" s="1851" cm="1">
        <f t="array" ref="Q601">_xlfn.IFS(
    AND(I601=TRUE, K601&lt;=No_Regular_Payments), Periodic_Admin_Charge,
   TRUE, 0
)</f>
        <v>0</v>
      </c>
      <c r="R601" s="1850">
        <f>N601-O601-Q601</f>
        <v>0</v>
      </c>
      <c r="S601" s="1850">
        <f>ROUND(S600-R601,2)</f>
        <v>0</v>
      </c>
      <c r="T601" s="1850">
        <f>ROUND(T600-(N601-Q601),2)</f>
        <v>0</v>
      </c>
      <c r="U601" s="1849"/>
      <c r="W601" s="1848"/>
      <c r="X601" s="1848"/>
      <c r="Y601" s="1848"/>
    </row>
    <row r="602" spans="2:25" hidden="1">
      <c r="B602" s="1815" t="b">
        <f>AND(I602=FALSE,N601=0,Q601=0,L601="")</f>
        <v>1</v>
      </c>
      <c r="C602" s="1844" t="str" cm="1">
        <f t="array" ref="C602">_xlfn.IFS(
    L602="", "",
    MONTH(L602) &lt;= End_of_Year_Month, YEAR(L602),
    TRUE, YEAR(L602) + 1
)</f>
        <v/>
      </c>
      <c r="F602" s="1857">
        <f>IF(L602="",0,L602)</f>
        <v>0</v>
      </c>
      <c r="G602" s="1856">
        <f>-(N602-Q602)</f>
        <v>0</v>
      </c>
      <c r="I602" s="1815" t="b">
        <f>K602&lt;=Number_Payments</f>
        <v>0</v>
      </c>
      <c r="J602" s="1855"/>
      <c r="K602" s="1351">
        <f>K601+1</f>
        <v>476</v>
      </c>
      <c r="L602" s="1854" t="str" cm="1">
        <f t="array" ref="L602">_xlfn.IFS(
    I601=FALSE, "",
    Payment_Frequency="Monthly", EDATE(L601, 1),
    Payment_Frequency="Weekly", DATE(YEAR(L601), MONTH(L601), DAY(L601) + 7),
    Payment_Frequency="Fortnightly", DATE(YEAR(L601), MONTH(L601), DAY(L601) + 14),
    Payment_Frequency="Quarterly", DATE(YEAR(L601), MONTH(L601) + 3, DAY(L601)),
    Payment_Frequency="Yearly", DATE(YEAR(L601) + 1, MONTH(L601), DAY(L601)),
    TRUE, ""
)</f>
        <v/>
      </c>
      <c r="M602" s="1853">
        <f>IF(ISERROR(L602-L601),0,L602-L601)</f>
        <v>0</v>
      </c>
      <c r="N602" s="1851" cm="1">
        <f t="array" ref="N602">_xlfn.IFS(
    AND(I602=TRUE, K602&lt;=No_Regular_Payments), Repay_Amt,
    AND(I602=TRUE, K602=No_Regular_Payments+1), Tm_Balloon_Amt,
   TRUE, 0
)</f>
        <v>0</v>
      </c>
      <c r="O602" s="1850" cm="1">
        <f t="array" ref="O602">_xlfn.IFS(
    M602=0,0,
   ABS(N602 - S601 - P602-Q602) &lt; 1, N602 - S601-Q602,
    TRUE, P602
)</f>
        <v>0</v>
      </c>
      <c r="P602" s="1852">
        <f>IF(M602=0,0,ROUND(S601*EXP(Int_Rate/365.25 * M602)-S601,2))</f>
        <v>0</v>
      </c>
      <c r="Q602" s="1851" cm="1">
        <f t="array" ref="Q602">_xlfn.IFS(
    AND(I602=TRUE, K602&lt;=No_Regular_Payments), Periodic_Admin_Charge,
   TRUE, 0
)</f>
        <v>0</v>
      </c>
      <c r="R602" s="1850">
        <f>N602-O602-Q602</f>
        <v>0</v>
      </c>
      <c r="S602" s="1850">
        <f>ROUND(S601-R602,2)</f>
        <v>0</v>
      </c>
      <c r="T602" s="1850">
        <f>ROUND(T601-(N602-Q602),2)</f>
        <v>0</v>
      </c>
      <c r="U602" s="1849"/>
      <c r="W602" s="1848"/>
      <c r="X602" s="1848"/>
      <c r="Y602" s="1848"/>
    </row>
    <row r="603" spans="2:25" hidden="1">
      <c r="B603" s="1815" t="b">
        <f>AND(I603=FALSE,N602=0,Q602=0,L602="")</f>
        <v>1</v>
      </c>
      <c r="C603" s="1844" t="str" cm="1">
        <f t="array" ref="C603">_xlfn.IFS(
    L603="", "",
    MONTH(L603) &lt;= End_of_Year_Month, YEAR(L603),
    TRUE, YEAR(L603) + 1
)</f>
        <v/>
      </c>
      <c r="F603" s="1857">
        <f>IF(L603="",0,L603)</f>
        <v>0</v>
      </c>
      <c r="G603" s="1856">
        <f>-(N603-Q603)</f>
        <v>0</v>
      </c>
      <c r="I603" s="1815" t="b">
        <f>K603&lt;=Number_Payments</f>
        <v>0</v>
      </c>
      <c r="J603" s="1855"/>
      <c r="K603" s="1351">
        <f>K602+1</f>
        <v>477</v>
      </c>
      <c r="L603" s="1854" t="str" cm="1">
        <f t="array" ref="L603">_xlfn.IFS(
    I602=FALSE, "",
    Payment_Frequency="Monthly", EDATE(L602, 1),
    Payment_Frequency="Weekly", DATE(YEAR(L602), MONTH(L602), DAY(L602) + 7),
    Payment_Frequency="Fortnightly", DATE(YEAR(L602), MONTH(L602), DAY(L602) + 14),
    Payment_Frequency="Quarterly", DATE(YEAR(L602), MONTH(L602) + 3, DAY(L602)),
    Payment_Frequency="Yearly", DATE(YEAR(L602) + 1, MONTH(L602), DAY(L602)),
    TRUE, ""
)</f>
        <v/>
      </c>
      <c r="M603" s="1853">
        <f>IF(ISERROR(L603-L602),0,L603-L602)</f>
        <v>0</v>
      </c>
      <c r="N603" s="1851" cm="1">
        <f t="array" ref="N603">_xlfn.IFS(
    AND(I603=TRUE, K603&lt;=No_Regular_Payments), Repay_Amt,
    AND(I603=TRUE, K603=No_Regular_Payments+1), Tm_Balloon_Amt,
   TRUE, 0
)</f>
        <v>0</v>
      </c>
      <c r="O603" s="1850" cm="1">
        <f t="array" ref="O603">_xlfn.IFS(
    M603=0,0,
   ABS(N603 - S602 - P603-Q603) &lt; 1, N603 - S602-Q603,
    TRUE, P603
)</f>
        <v>0</v>
      </c>
      <c r="P603" s="1852">
        <f>IF(M603=0,0,ROUND(S602*EXP(Int_Rate/365.25 * M603)-S602,2))</f>
        <v>0</v>
      </c>
      <c r="Q603" s="1851" cm="1">
        <f t="array" ref="Q603">_xlfn.IFS(
    AND(I603=TRUE, K603&lt;=No_Regular_Payments), Periodic_Admin_Charge,
   TRUE, 0
)</f>
        <v>0</v>
      </c>
      <c r="R603" s="1850">
        <f>N603-O603-Q603</f>
        <v>0</v>
      </c>
      <c r="S603" s="1850">
        <f>ROUND(S602-R603,2)</f>
        <v>0</v>
      </c>
      <c r="T603" s="1850">
        <f>ROUND(T602-(N603-Q603),2)</f>
        <v>0</v>
      </c>
      <c r="U603" s="1849"/>
      <c r="W603" s="1848"/>
      <c r="X603" s="1848"/>
      <c r="Y603" s="1848"/>
    </row>
    <row r="604" spans="2:25" hidden="1">
      <c r="B604" s="1815" t="b">
        <f>AND(I604=FALSE,N603=0,Q603=0,L603="")</f>
        <v>1</v>
      </c>
      <c r="C604" s="1844" t="str" cm="1">
        <f t="array" ref="C604">_xlfn.IFS(
    L604="", "",
    MONTH(L604) &lt;= End_of_Year_Month, YEAR(L604),
    TRUE, YEAR(L604) + 1
)</f>
        <v/>
      </c>
      <c r="F604" s="1857">
        <f>IF(L604="",0,L604)</f>
        <v>0</v>
      </c>
      <c r="G604" s="1856">
        <f>-(N604-Q604)</f>
        <v>0</v>
      </c>
      <c r="I604" s="1815" t="b">
        <f>K604&lt;=Number_Payments</f>
        <v>0</v>
      </c>
      <c r="J604" s="1855"/>
      <c r="K604" s="1351">
        <f>K603+1</f>
        <v>478</v>
      </c>
      <c r="L604" s="1854" t="str" cm="1">
        <f t="array" ref="L604">_xlfn.IFS(
    I603=FALSE, "",
    Payment_Frequency="Monthly", EDATE(L603, 1),
    Payment_Frequency="Weekly", DATE(YEAR(L603), MONTH(L603), DAY(L603) + 7),
    Payment_Frequency="Fortnightly", DATE(YEAR(L603), MONTH(L603), DAY(L603) + 14),
    Payment_Frequency="Quarterly", DATE(YEAR(L603), MONTH(L603) + 3, DAY(L603)),
    Payment_Frequency="Yearly", DATE(YEAR(L603) + 1, MONTH(L603), DAY(L603)),
    TRUE, ""
)</f>
        <v/>
      </c>
      <c r="M604" s="1853">
        <f>IF(ISERROR(L604-L603),0,L604-L603)</f>
        <v>0</v>
      </c>
      <c r="N604" s="1851" cm="1">
        <f t="array" ref="N604">_xlfn.IFS(
    AND(I604=TRUE, K604&lt;=No_Regular_Payments), Repay_Amt,
    AND(I604=TRUE, K604=No_Regular_Payments+1), Tm_Balloon_Amt,
   TRUE, 0
)</f>
        <v>0</v>
      </c>
      <c r="O604" s="1850" cm="1">
        <f t="array" ref="O604">_xlfn.IFS(
    M604=0,0,
   ABS(N604 - S603 - P604-Q604) &lt; 1, N604 - S603-Q604,
    TRUE, P604
)</f>
        <v>0</v>
      </c>
      <c r="P604" s="1852">
        <f>IF(M604=0,0,ROUND(S603*EXP(Int_Rate/365.25 * M604)-S603,2))</f>
        <v>0</v>
      </c>
      <c r="Q604" s="1851" cm="1">
        <f t="array" ref="Q604">_xlfn.IFS(
    AND(I604=TRUE, K604&lt;=No_Regular_Payments), Periodic_Admin_Charge,
   TRUE, 0
)</f>
        <v>0</v>
      </c>
      <c r="R604" s="1850">
        <f>N604-O604-Q604</f>
        <v>0</v>
      </c>
      <c r="S604" s="1850">
        <f>ROUND(S603-R604,2)</f>
        <v>0</v>
      </c>
      <c r="T604" s="1850">
        <f>ROUND(T603-(N604-Q604),2)</f>
        <v>0</v>
      </c>
      <c r="U604" s="1849"/>
      <c r="W604" s="1848"/>
      <c r="X604" s="1848"/>
      <c r="Y604" s="1848"/>
    </row>
    <row r="605" spans="2:25" hidden="1">
      <c r="B605" s="1815" t="b">
        <f>AND(I605=FALSE,N604=0,Q604=0,L604="")</f>
        <v>1</v>
      </c>
      <c r="C605" s="1844" t="str" cm="1">
        <f t="array" ref="C605">_xlfn.IFS(
    L605="", "",
    MONTH(L605) &lt;= End_of_Year_Month, YEAR(L605),
    TRUE, YEAR(L605) + 1
)</f>
        <v/>
      </c>
      <c r="F605" s="1857">
        <f>IF(L605="",0,L605)</f>
        <v>0</v>
      </c>
      <c r="G605" s="1856">
        <f>-(N605-Q605)</f>
        <v>0</v>
      </c>
      <c r="I605" s="1815" t="b">
        <f>K605&lt;=Number_Payments</f>
        <v>0</v>
      </c>
      <c r="J605" s="1855"/>
      <c r="K605" s="1351">
        <f>K604+1</f>
        <v>479</v>
      </c>
      <c r="L605" s="1854" t="str" cm="1">
        <f t="array" ref="L605">_xlfn.IFS(
    I604=FALSE, "",
    Payment_Frequency="Monthly", EDATE(L604, 1),
    Payment_Frequency="Weekly", DATE(YEAR(L604), MONTH(L604), DAY(L604) + 7),
    Payment_Frequency="Fortnightly", DATE(YEAR(L604), MONTH(L604), DAY(L604) + 14),
    Payment_Frequency="Quarterly", DATE(YEAR(L604), MONTH(L604) + 3, DAY(L604)),
    Payment_Frequency="Yearly", DATE(YEAR(L604) + 1, MONTH(L604), DAY(L604)),
    TRUE, ""
)</f>
        <v/>
      </c>
      <c r="M605" s="1853">
        <f>IF(ISERROR(L605-L604),0,L605-L604)</f>
        <v>0</v>
      </c>
      <c r="N605" s="1851" cm="1">
        <f t="array" ref="N605">_xlfn.IFS(
    AND(I605=TRUE, K605&lt;=No_Regular_Payments), Repay_Amt,
    AND(I605=TRUE, K605=No_Regular_Payments+1), Tm_Balloon_Amt,
   TRUE, 0
)</f>
        <v>0</v>
      </c>
      <c r="O605" s="1850" cm="1">
        <f t="array" ref="O605">_xlfn.IFS(
    M605=0,0,
   ABS(N605 - S604 - P605-Q605) &lt; 1, N605 - S604-Q605,
    TRUE, P605
)</f>
        <v>0</v>
      </c>
      <c r="P605" s="1852">
        <f>IF(M605=0,0,ROUND(S604*EXP(Int_Rate/365.25 * M605)-S604,2))</f>
        <v>0</v>
      </c>
      <c r="Q605" s="1851" cm="1">
        <f t="array" ref="Q605">_xlfn.IFS(
    AND(I605=TRUE, K605&lt;=No_Regular_Payments), Periodic_Admin_Charge,
   TRUE, 0
)</f>
        <v>0</v>
      </c>
      <c r="R605" s="1850">
        <f>N605-O605-Q605</f>
        <v>0</v>
      </c>
      <c r="S605" s="1850">
        <f>ROUND(S604-R605,2)</f>
        <v>0</v>
      </c>
      <c r="T605" s="1850">
        <f>ROUND(T604-(N605-Q605),2)</f>
        <v>0</v>
      </c>
      <c r="U605" s="1849"/>
      <c r="W605" s="1848"/>
      <c r="X605" s="1848"/>
      <c r="Y605" s="1848"/>
    </row>
    <row r="606" spans="2:25" hidden="1">
      <c r="B606" s="1815" t="b">
        <f>AND(I606=FALSE,N605=0,Q605=0,L605="")</f>
        <v>1</v>
      </c>
      <c r="C606" s="1844" t="str" cm="1">
        <f t="array" ref="C606">_xlfn.IFS(
    L606="", "",
    MONTH(L606) &lt;= End_of_Year_Month, YEAR(L606),
    TRUE, YEAR(L606) + 1
)</f>
        <v/>
      </c>
      <c r="F606" s="1857">
        <f>IF(L606="",0,L606)</f>
        <v>0</v>
      </c>
      <c r="G606" s="1856">
        <f>-(N606-Q606)</f>
        <v>0</v>
      </c>
      <c r="I606" s="1815" t="b">
        <f>K606&lt;=Number_Payments</f>
        <v>0</v>
      </c>
      <c r="J606" s="1855"/>
      <c r="K606" s="1351">
        <f>K605+1</f>
        <v>480</v>
      </c>
      <c r="L606" s="1854" t="str" cm="1">
        <f t="array" ref="L606">_xlfn.IFS(
    I605=FALSE, "",
    Payment_Frequency="Monthly", EDATE(L605, 1),
    Payment_Frequency="Weekly", DATE(YEAR(L605), MONTH(L605), DAY(L605) + 7),
    Payment_Frequency="Fortnightly", DATE(YEAR(L605), MONTH(L605), DAY(L605) + 14),
    Payment_Frequency="Quarterly", DATE(YEAR(L605), MONTH(L605) + 3, DAY(L605)),
    Payment_Frequency="Yearly", DATE(YEAR(L605) + 1, MONTH(L605), DAY(L605)),
    TRUE, ""
)</f>
        <v/>
      </c>
      <c r="M606" s="1853">
        <f>IF(ISERROR(L606-L605),0,L606-L605)</f>
        <v>0</v>
      </c>
      <c r="N606" s="1851" cm="1">
        <f t="array" ref="N606">_xlfn.IFS(
    AND(I606=TRUE, K606&lt;=No_Regular_Payments), Repay_Amt,
    AND(I606=TRUE, K606=No_Regular_Payments+1), Tm_Balloon_Amt,
   TRUE, 0
)</f>
        <v>0</v>
      </c>
      <c r="O606" s="1850" cm="1">
        <f t="array" ref="O606">_xlfn.IFS(
    M606=0,0,
   ABS(N606 - S605 - P606-Q606) &lt; 1, N606 - S605-Q606,
    TRUE, P606
)</f>
        <v>0</v>
      </c>
      <c r="P606" s="1852">
        <f>IF(M606=0,0,ROUND(S605*EXP(Int_Rate/365.25 * M606)-S605,2))</f>
        <v>0</v>
      </c>
      <c r="Q606" s="1851" cm="1">
        <f t="array" ref="Q606">_xlfn.IFS(
    AND(I606=TRUE, K606&lt;=No_Regular_Payments), Periodic_Admin_Charge,
   TRUE, 0
)</f>
        <v>0</v>
      </c>
      <c r="R606" s="1850">
        <f>N606-O606-Q606</f>
        <v>0</v>
      </c>
      <c r="S606" s="1850">
        <f>ROUND(S605-R606,2)</f>
        <v>0</v>
      </c>
      <c r="T606" s="1850">
        <f>ROUND(T605-(N606-Q606),2)</f>
        <v>0</v>
      </c>
      <c r="U606" s="1849"/>
      <c r="W606" s="1848"/>
      <c r="X606" s="1848"/>
      <c r="Y606" s="1848"/>
    </row>
    <row r="607" spans="2:25" hidden="1">
      <c r="B607" s="1815" t="b">
        <f>AND(I607=FALSE,N606=0,Q606=0,L606="")</f>
        <v>1</v>
      </c>
      <c r="C607" s="1844" t="str" cm="1">
        <f t="array" ref="C607">_xlfn.IFS(
    L607="", "",
    MONTH(L607) &lt;= End_of_Year_Month, YEAR(L607),
    TRUE, YEAR(L607) + 1
)</f>
        <v/>
      </c>
      <c r="F607" s="1857">
        <f>IF(L607="",0,L607)</f>
        <v>0</v>
      </c>
      <c r="G607" s="1856">
        <f>-(N607-Q607)</f>
        <v>0</v>
      </c>
      <c r="I607" s="1815" t="b">
        <f>K607&lt;=Number_Payments</f>
        <v>0</v>
      </c>
      <c r="J607" s="1855"/>
      <c r="K607" s="1351">
        <f>K606+1</f>
        <v>481</v>
      </c>
      <c r="L607" s="1854" t="str" cm="1">
        <f t="array" ref="L607">_xlfn.IFS(
    I606=FALSE, "",
    Payment_Frequency="Monthly", EDATE(L606, 1),
    Payment_Frequency="Weekly", DATE(YEAR(L606), MONTH(L606), DAY(L606) + 7),
    Payment_Frequency="Fortnightly", DATE(YEAR(L606), MONTH(L606), DAY(L606) + 14),
    Payment_Frequency="Quarterly", DATE(YEAR(L606), MONTH(L606) + 3, DAY(L606)),
    Payment_Frequency="Yearly", DATE(YEAR(L606) + 1, MONTH(L606), DAY(L606)),
    TRUE, ""
)</f>
        <v/>
      </c>
      <c r="M607" s="1853">
        <f>IF(ISERROR(L607-L606),0,L607-L606)</f>
        <v>0</v>
      </c>
      <c r="N607" s="1851" cm="1">
        <f t="array" ref="N607">_xlfn.IFS(
    AND(I607=TRUE, K607&lt;=No_Regular_Payments), Repay_Amt,
    AND(I607=TRUE, K607=No_Regular_Payments+1), Tm_Balloon_Amt,
   TRUE, 0
)</f>
        <v>0</v>
      </c>
      <c r="O607" s="1850" cm="1">
        <f t="array" ref="O607">_xlfn.IFS(
    M607=0,0,
   ABS(N607 - S606 - P607-Q607) &lt; 1, N607 - S606-Q607,
    TRUE, P607
)</f>
        <v>0</v>
      </c>
      <c r="P607" s="1852">
        <f>IF(M607=0,0,ROUND(S606*EXP(Int_Rate/365.25 * M607)-S606,2))</f>
        <v>0</v>
      </c>
      <c r="Q607" s="1851" cm="1">
        <f t="array" ref="Q607">_xlfn.IFS(
    AND(I607=TRUE, K607&lt;=No_Regular_Payments), Periodic_Admin_Charge,
   TRUE, 0
)</f>
        <v>0</v>
      </c>
      <c r="R607" s="1850">
        <f>N607-O607-Q607</f>
        <v>0</v>
      </c>
      <c r="S607" s="1850">
        <f>ROUND(S606-R607,2)</f>
        <v>0</v>
      </c>
      <c r="T607" s="1850">
        <f>ROUND(T606-(N607-Q607),2)</f>
        <v>0</v>
      </c>
      <c r="U607" s="1849"/>
      <c r="W607" s="1848"/>
      <c r="X607" s="1848"/>
      <c r="Y607" s="1848"/>
    </row>
    <row r="608" spans="2:25" hidden="1">
      <c r="B608" s="1815" t="b">
        <f>AND(I608=FALSE,N607=0,Q607=0,L607="")</f>
        <v>1</v>
      </c>
      <c r="C608" s="1844" t="str" cm="1">
        <f t="array" ref="C608">_xlfn.IFS(
    L608="", "",
    MONTH(L608) &lt;= End_of_Year_Month, YEAR(L608),
    TRUE, YEAR(L608) + 1
)</f>
        <v/>
      </c>
      <c r="F608" s="1857">
        <f>IF(L608="",0,L608)</f>
        <v>0</v>
      </c>
      <c r="G608" s="1856">
        <f>-(N608-Q608)</f>
        <v>0</v>
      </c>
      <c r="I608" s="1815" t="b">
        <f>K608&lt;=Number_Payments</f>
        <v>0</v>
      </c>
      <c r="J608" s="1855"/>
      <c r="K608" s="1351">
        <f>K607+1</f>
        <v>482</v>
      </c>
      <c r="L608" s="1854" t="str" cm="1">
        <f t="array" ref="L608">_xlfn.IFS(
    I607=FALSE, "",
    Payment_Frequency="Monthly", EDATE(L607, 1),
    Payment_Frequency="Weekly", DATE(YEAR(L607), MONTH(L607), DAY(L607) + 7),
    Payment_Frequency="Fortnightly", DATE(YEAR(L607), MONTH(L607), DAY(L607) + 14),
    Payment_Frequency="Quarterly", DATE(YEAR(L607), MONTH(L607) + 3, DAY(L607)),
    Payment_Frequency="Yearly", DATE(YEAR(L607) + 1, MONTH(L607), DAY(L607)),
    TRUE, ""
)</f>
        <v/>
      </c>
      <c r="M608" s="1853">
        <f>IF(ISERROR(L608-L607),0,L608-L607)</f>
        <v>0</v>
      </c>
      <c r="N608" s="1851" cm="1">
        <f t="array" ref="N608">_xlfn.IFS(
    AND(I608=TRUE, K608&lt;=No_Regular_Payments), Repay_Amt,
    AND(I608=TRUE, K608=No_Regular_Payments+1), Tm_Balloon_Amt,
   TRUE, 0
)</f>
        <v>0</v>
      </c>
      <c r="O608" s="1850" cm="1">
        <f t="array" ref="O608">_xlfn.IFS(
    M608=0,0,
   ABS(N608 - S607 - P608-Q608) &lt; 1, N608 - S607-Q608,
    TRUE, P608
)</f>
        <v>0</v>
      </c>
      <c r="P608" s="1852">
        <f>IF(M608=0,0,ROUND(S607*EXP(Int_Rate/365.25 * M608)-S607,2))</f>
        <v>0</v>
      </c>
      <c r="Q608" s="1851" cm="1">
        <f t="array" ref="Q608">_xlfn.IFS(
    AND(I608=TRUE, K608&lt;=No_Regular_Payments), Periodic_Admin_Charge,
   TRUE, 0
)</f>
        <v>0</v>
      </c>
      <c r="R608" s="1850">
        <f>N608-O608-Q608</f>
        <v>0</v>
      </c>
      <c r="S608" s="1850">
        <f>ROUND(S607-R608,2)</f>
        <v>0</v>
      </c>
      <c r="T608" s="1850">
        <f>ROUND(T607-(N608-Q608),2)</f>
        <v>0</v>
      </c>
      <c r="U608" s="1849"/>
      <c r="W608" s="1848"/>
      <c r="X608" s="1848"/>
      <c r="Y608" s="1848"/>
    </row>
    <row r="609" spans="2:25" hidden="1">
      <c r="B609" s="1815" t="b">
        <f>AND(I609=FALSE,N608=0,Q608=0,L608="")</f>
        <v>1</v>
      </c>
      <c r="C609" s="1844" t="str" cm="1">
        <f t="array" ref="C609">_xlfn.IFS(
    L609="", "",
    MONTH(L609) &lt;= End_of_Year_Month, YEAR(L609),
    TRUE, YEAR(L609) + 1
)</f>
        <v/>
      </c>
      <c r="F609" s="1857">
        <f>IF(L609="",0,L609)</f>
        <v>0</v>
      </c>
      <c r="G609" s="1856">
        <f>-(N609-Q609)</f>
        <v>0</v>
      </c>
      <c r="I609" s="1815" t="b">
        <f>K609&lt;=Number_Payments</f>
        <v>0</v>
      </c>
      <c r="J609" s="1855"/>
      <c r="K609" s="1351">
        <f>K608+1</f>
        <v>483</v>
      </c>
      <c r="L609" s="1854" t="str" cm="1">
        <f t="array" ref="L609">_xlfn.IFS(
    I608=FALSE, "",
    Payment_Frequency="Monthly", EDATE(L608, 1),
    Payment_Frequency="Weekly", DATE(YEAR(L608), MONTH(L608), DAY(L608) + 7),
    Payment_Frequency="Fortnightly", DATE(YEAR(L608), MONTH(L608), DAY(L608) + 14),
    Payment_Frequency="Quarterly", DATE(YEAR(L608), MONTH(L608) + 3, DAY(L608)),
    Payment_Frequency="Yearly", DATE(YEAR(L608) + 1, MONTH(L608), DAY(L608)),
    TRUE, ""
)</f>
        <v/>
      </c>
      <c r="M609" s="1853">
        <f>IF(ISERROR(L609-L608),0,L609-L608)</f>
        <v>0</v>
      </c>
      <c r="N609" s="1851" cm="1">
        <f t="array" ref="N609">_xlfn.IFS(
    AND(I609=TRUE, K609&lt;=No_Regular_Payments), Repay_Amt,
    AND(I609=TRUE, K609=No_Regular_Payments+1), Tm_Balloon_Amt,
   TRUE, 0
)</f>
        <v>0</v>
      </c>
      <c r="O609" s="1850" cm="1">
        <f t="array" ref="O609">_xlfn.IFS(
    M609=0,0,
   ABS(N609 - S608 - P609-Q609) &lt; 1, N609 - S608-Q609,
    TRUE, P609
)</f>
        <v>0</v>
      </c>
      <c r="P609" s="1852">
        <f>IF(M609=0,0,ROUND(S608*EXP(Int_Rate/365.25 * M609)-S608,2))</f>
        <v>0</v>
      </c>
      <c r="Q609" s="1851" cm="1">
        <f t="array" ref="Q609">_xlfn.IFS(
    AND(I609=TRUE, K609&lt;=No_Regular_Payments), Periodic_Admin_Charge,
   TRUE, 0
)</f>
        <v>0</v>
      </c>
      <c r="R609" s="1850">
        <f>N609-O609-Q609</f>
        <v>0</v>
      </c>
      <c r="S609" s="1850">
        <f>ROUND(S608-R609,2)</f>
        <v>0</v>
      </c>
      <c r="T609" s="1850">
        <f>ROUND(T608-(N609-Q609),2)</f>
        <v>0</v>
      </c>
      <c r="U609" s="1849"/>
      <c r="W609" s="1848"/>
      <c r="X609" s="1848"/>
      <c r="Y609" s="1848"/>
    </row>
    <row r="610" spans="2:25" hidden="1">
      <c r="B610" s="1815" t="b">
        <f>AND(I610=FALSE,N609=0,Q609=0,L609="")</f>
        <v>1</v>
      </c>
      <c r="C610" s="1844" t="str" cm="1">
        <f t="array" ref="C610">_xlfn.IFS(
    L610="", "",
    MONTH(L610) &lt;= End_of_Year_Month, YEAR(L610),
    TRUE, YEAR(L610) + 1
)</f>
        <v/>
      </c>
      <c r="F610" s="1857">
        <f>IF(L610="",0,L610)</f>
        <v>0</v>
      </c>
      <c r="G610" s="1856">
        <f>-(N610-Q610)</f>
        <v>0</v>
      </c>
      <c r="I610" s="1815" t="b">
        <f>K610&lt;=Number_Payments</f>
        <v>0</v>
      </c>
      <c r="J610" s="1855"/>
      <c r="K610" s="1351">
        <f>K609+1</f>
        <v>484</v>
      </c>
      <c r="L610" s="1854" t="str" cm="1">
        <f t="array" ref="L610">_xlfn.IFS(
    I609=FALSE, "",
    Payment_Frequency="Monthly", EDATE(L609, 1),
    Payment_Frequency="Weekly", DATE(YEAR(L609), MONTH(L609), DAY(L609) + 7),
    Payment_Frequency="Fortnightly", DATE(YEAR(L609), MONTH(L609), DAY(L609) + 14),
    Payment_Frequency="Quarterly", DATE(YEAR(L609), MONTH(L609) + 3, DAY(L609)),
    Payment_Frequency="Yearly", DATE(YEAR(L609) + 1, MONTH(L609), DAY(L609)),
    TRUE, ""
)</f>
        <v/>
      </c>
      <c r="M610" s="1853">
        <f>IF(ISERROR(L610-L609),0,L610-L609)</f>
        <v>0</v>
      </c>
      <c r="N610" s="1851" cm="1">
        <f t="array" ref="N610">_xlfn.IFS(
    AND(I610=TRUE, K610&lt;=No_Regular_Payments), Repay_Amt,
    AND(I610=TRUE, K610=No_Regular_Payments+1), Tm_Balloon_Amt,
   TRUE, 0
)</f>
        <v>0</v>
      </c>
      <c r="O610" s="1850" cm="1">
        <f t="array" ref="O610">_xlfn.IFS(
    M610=0,0,
   ABS(N610 - S609 - P610-Q610) &lt; 1, N610 - S609-Q610,
    TRUE, P610
)</f>
        <v>0</v>
      </c>
      <c r="P610" s="1852">
        <f>IF(M610=0,0,ROUND(S609*EXP(Int_Rate/365.25 * M610)-S609,2))</f>
        <v>0</v>
      </c>
      <c r="Q610" s="1851" cm="1">
        <f t="array" ref="Q610">_xlfn.IFS(
    AND(I610=TRUE, K610&lt;=No_Regular_Payments), Periodic_Admin_Charge,
   TRUE, 0
)</f>
        <v>0</v>
      </c>
      <c r="R610" s="1850">
        <f>N610-O610-Q610</f>
        <v>0</v>
      </c>
      <c r="S610" s="1850">
        <f>ROUND(S609-R610,2)</f>
        <v>0</v>
      </c>
      <c r="T610" s="1850">
        <f>ROUND(T609-(N610-Q610),2)</f>
        <v>0</v>
      </c>
      <c r="U610" s="1849"/>
      <c r="W610" s="1848"/>
      <c r="X610" s="1848"/>
      <c r="Y610" s="1848"/>
    </row>
    <row r="611" spans="2:25" hidden="1">
      <c r="B611" s="1815" t="b">
        <f>AND(I611=FALSE,N610=0,Q610=0,L610="")</f>
        <v>1</v>
      </c>
      <c r="C611" s="1844" t="str" cm="1">
        <f t="array" ref="C611">_xlfn.IFS(
    L611="", "",
    MONTH(L611) &lt;= End_of_Year_Month, YEAR(L611),
    TRUE, YEAR(L611) + 1
)</f>
        <v/>
      </c>
      <c r="F611" s="1857">
        <f>IF(L611="",0,L611)</f>
        <v>0</v>
      </c>
      <c r="G611" s="1856">
        <f>-(N611-Q611)</f>
        <v>0</v>
      </c>
      <c r="I611" s="1815" t="b">
        <f>K611&lt;=Number_Payments</f>
        <v>0</v>
      </c>
      <c r="J611" s="1855"/>
      <c r="K611" s="1351">
        <f>K610+1</f>
        <v>485</v>
      </c>
      <c r="L611" s="1854" t="str" cm="1">
        <f t="array" ref="L611">_xlfn.IFS(
    I610=FALSE, "",
    Payment_Frequency="Monthly", EDATE(L610, 1),
    Payment_Frequency="Weekly", DATE(YEAR(L610), MONTH(L610), DAY(L610) + 7),
    Payment_Frequency="Fortnightly", DATE(YEAR(L610), MONTH(L610), DAY(L610) + 14),
    Payment_Frequency="Quarterly", DATE(YEAR(L610), MONTH(L610) + 3, DAY(L610)),
    Payment_Frequency="Yearly", DATE(YEAR(L610) + 1, MONTH(L610), DAY(L610)),
    TRUE, ""
)</f>
        <v/>
      </c>
      <c r="M611" s="1853">
        <f>IF(ISERROR(L611-L610),0,L611-L610)</f>
        <v>0</v>
      </c>
      <c r="N611" s="1851" cm="1">
        <f t="array" ref="N611">_xlfn.IFS(
    AND(I611=TRUE, K611&lt;=No_Regular_Payments), Repay_Amt,
    AND(I611=TRUE, K611=No_Regular_Payments+1), Tm_Balloon_Amt,
   TRUE, 0
)</f>
        <v>0</v>
      </c>
      <c r="O611" s="1850" cm="1">
        <f t="array" ref="O611">_xlfn.IFS(
    M611=0,0,
   ABS(N611 - S610 - P611-Q611) &lt; 1, N611 - S610-Q611,
    TRUE, P611
)</f>
        <v>0</v>
      </c>
      <c r="P611" s="1852">
        <f>IF(M611=0,0,ROUND(S610*EXP(Int_Rate/365.25 * M611)-S610,2))</f>
        <v>0</v>
      </c>
      <c r="Q611" s="1851" cm="1">
        <f t="array" ref="Q611">_xlfn.IFS(
    AND(I611=TRUE, K611&lt;=No_Regular_Payments), Periodic_Admin_Charge,
   TRUE, 0
)</f>
        <v>0</v>
      </c>
      <c r="R611" s="1850">
        <f>N611-O611-Q611</f>
        <v>0</v>
      </c>
      <c r="S611" s="1850">
        <f>ROUND(S610-R611,2)</f>
        <v>0</v>
      </c>
      <c r="T611" s="1850">
        <f>ROUND(T610-(N611-Q611),2)</f>
        <v>0</v>
      </c>
      <c r="U611" s="1849"/>
      <c r="W611" s="1848"/>
      <c r="X611" s="1848"/>
      <c r="Y611" s="1848"/>
    </row>
    <row r="612" spans="2:25" hidden="1">
      <c r="B612" s="1815" t="b">
        <f>AND(I612=FALSE,N611=0,Q611=0,L611="")</f>
        <v>1</v>
      </c>
      <c r="C612" s="1844" t="str" cm="1">
        <f t="array" ref="C612">_xlfn.IFS(
    L612="", "",
    MONTH(L612) &lt;= End_of_Year_Month, YEAR(L612),
    TRUE, YEAR(L612) + 1
)</f>
        <v/>
      </c>
      <c r="F612" s="1857">
        <f>IF(L612="",0,L612)</f>
        <v>0</v>
      </c>
      <c r="G612" s="1856">
        <f>-(N612-Q612)</f>
        <v>0</v>
      </c>
      <c r="I612" s="1815" t="b">
        <f>K612&lt;=Number_Payments</f>
        <v>0</v>
      </c>
      <c r="J612" s="1855"/>
      <c r="K612" s="1351">
        <f>K611+1</f>
        <v>486</v>
      </c>
      <c r="L612" s="1854" t="str" cm="1">
        <f t="array" ref="L612">_xlfn.IFS(
    I611=FALSE, "",
    Payment_Frequency="Monthly", EDATE(L611, 1),
    Payment_Frequency="Weekly", DATE(YEAR(L611), MONTH(L611), DAY(L611) + 7),
    Payment_Frequency="Fortnightly", DATE(YEAR(L611), MONTH(L611), DAY(L611) + 14),
    Payment_Frequency="Quarterly", DATE(YEAR(L611), MONTH(L611) + 3, DAY(L611)),
    Payment_Frequency="Yearly", DATE(YEAR(L611) + 1, MONTH(L611), DAY(L611)),
    TRUE, ""
)</f>
        <v/>
      </c>
      <c r="M612" s="1853">
        <f>IF(ISERROR(L612-L611),0,L612-L611)</f>
        <v>0</v>
      </c>
      <c r="N612" s="1851" cm="1">
        <f t="array" ref="N612">_xlfn.IFS(
    AND(I612=TRUE, K612&lt;=No_Regular_Payments), Repay_Amt,
    AND(I612=TRUE, K612=No_Regular_Payments+1), Tm_Balloon_Amt,
   TRUE, 0
)</f>
        <v>0</v>
      </c>
      <c r="O612" s="1850" cm="1">
        <f t="array" ref="O612">_xlfn.IFS(
    M612=0,0,
   ABS(N612 - S611 - P612-Q612) &lt; 1, N612 - S611-Q612,
    TRUE, P612
)</f>
        <v>0</v>
      </c>
      <c r="P612" s="1852">
        <f>IF(M612=0,0,ROUND(S611*EXP(Int_Rate/365.25 * M612)-S611,2))</f>
        <v>0</v>
      </c>
      <c r="Q612" s="1851" cm="1">
        <f t="array" ref="Q612">_xlfn.IFS(
    AND(I612=TRUE, K612&lt;=No_Regular_Payments), Periodic_Admin_Charge,
   TRUE, 0
)</f>
        <v>0</v>
      </c>
      <c r="R612" s="1850">
        <f>N612-O612-Q612</f>
        <v>0</v>
      </c>
      <c r="S612" s="1850">
        <f>ROUND(S611-R612,2)</f>
        <v>0</v>
      </c>
      <c r="T612" s="1850">
        <f>ROUND(T611-(N612-Q612),2)</f>
        <v>0</v>
      </c>
      <c r="U612" s="1849"/>
      <c r="W612" s="1848"/>
      <c r="X612" s="1848"/>
      <c r="Y612" s="1848"/>
    </row>
    <row r="613" spans="2:25" hidden="1">
      <c r="B613" s="1815" t="b">
        <f>AND(I613=FALSE,N612=0,Q612=0,L612="")</f>
        <v>1</v>
      </c>
      <c r="C613" s="1844" t="str" cm="1">
        <f t="array" ref="C613">_xlfn.IFS(
    L613="", "",
    MONTH(L613) &lt;= End_of_Year_Month, YEAR(L613),
    TRUE, YEAR(L613) + 1
)</f>
        <v/>
      </c>
      <c r="F613" s="1857">
        <f>IF(L613="",0,L613)</f>
        <v>0</v>
      </c>
      <c r="G613" s="1856">
        <f>-(N613-Q613)</f>
        <v>0</v>
      </c>
      <c r="I613" s="1815" t="b">
        <f>K613&lt;=Number_Payments</f>
        <v>0</v>
      </c>
      <c r="J613" s="1855"/>
      <c r="K613" s="1351">
        <f>K612+1</f>
        <v>487</v>
      </c>
      <c r="L613" s="1854" t="str" cm="1">
        <f t="array" ref="L613">_xlfn.IFS(
    I612=FALSE, "",
    Payment_Frequency="Monthly", EDATE(L612, 1),
    Payment_Frequency="Weekly", DATE(YEAR(L612), MONTH(L612), DAY(L612) + 7),
    Payment_Frequency="Fortnightly", DATE(YEAR(L612), MONTH(L612), DAY(L612) + 14),
    Payment_Frequency="Quarterly", DATE(YEAR(L612), MONTH(L612) + 3, DAY(L612)),
    Payment_Frequency="Yearly", DATE(YEAR(L612) + 1, MONTH(L612), DAY(L612)),
    TRUE, ""
)</f>
        <v/>
      </c>
      <c r="M613" s="1853">
        <f>IF(ISERROR(L613-L612),0,L613-L612)</f>
        <v>0</v>
      </c>
      <c r="N613" s="1851" cm="1">
        <f t="array" ref="N613">_xlfn.IFS(
    AND(I613=TRUE, K613&lt;=No_Regular_Payments), Repay_Amt,
    AND(I613=TRUE, K613=No_Regular_Payments+1), Tm_Balloon_Amt,
   TRUE, 0
)</f>
        <v>0</v>
      </c>
      <c r="O613" s="1850" cm="1">
        <f t="array" ref="O613">_xlfn.IFS(
    M613=0,0,
   ABS(N613 - S612 - P613-Q613) &lt; 1, N613 - S612-Q613,
    TRUE, P613
)</f>
        <v>0</v>
      </c>
      <c r="P613" s="1852">
        <f>IF(M613=0,0,ROUND(S612*EXP(Int_Rate/365.25 * M613)-S612,2))</f>
        <v>0</v>
      </c>
      <c r="Q613" s="1851" cm="1">
        <f t="array" ref="Q613">_xlfn.IFS(
    AND(I613=TRUE, K613&lt;=No_Regular_Payments), Periodic_Admin_Charge,
   TRUE, 0
)</f>
        <v>0</v>
      </c>
      <c r="R613" s="1850">
        <f>N613-O613-Q613</f>
        <v>0</v>
      </c>
      <c r="S613" s="1850">
        <f>ROUND(S612-R613,2)</f>
        <v>0</v>
      </c>
      <c r="T613" s="1850">
        <f>ROUND(T612-(N613-Q613),2)</f>
        <v>0</v>
      </c>
      <c r="U613" s="1849"/>
      <c r="W613" s="1848"/>
      <c r="X613" s="1848"/>
      <c r="Y613" s="1848"/>
    </row>
    <row r="614" spans="2:25" hidden="1">
      <c r="B614" s="1815" t="b">
        <f>AND(I614=FALSE,N613=0,Q613=0,L613="")</f>
        <v>1</v>
      </c>
      <c r="C614" s="1844" t="str" cm="1">
        <f t="array" ref="C614">_xlfn.IFS(
    L614="", "",
    MONTH(L614) &lt;= End_of_Year_Month, YEAR(L614),
    TRUE, YEAR(L614) + 1
)</f>
        <v/>
      </c>
      <c r="F614" s="1857">
        <f>IF(L614="",0,L614)</f>
        <v>0</v>
      </c>
      <c r="G614" s="1856">
        <f>-(N614-Q614)</f>
        <v>0</v>
      </c>
      <c r="I614" s="1815" t="b">
        <f>K614&lt;=Number_Payments</f>
        <v>0</v>
      </c>
      <c r="J614" s="1855"/>
      <c r="K614" s="1351">
        <f>K613+1</f>
        <v>488</v>
      </c>
      <c r="L614" s="1854" t="str" cm="1">
        <f t="array" ref="L614">_xlfn.IFS(
    I613=FALSE, "",
    Payment_Frequency="Monthly", EDATE(L613, 1),
    Payment_Frequency="Weekly", DATE(YEAR(L613), MONTH(L613), DAY(L613) + 7),
    Payment_Frequency="Fortnightly", DATE(YEAR(L613), MONTH(L613), DAY(L613) + 14),
    Payment_Frequency="Quarterly", DATE(YEAR(L613), MONTH(L613) + 3, DAY(L613)),
    Payment_Frequency="Yearly", DATE(YEAR(L613) + 1, MONTH(L613), DAY(L613)),
    TRUE, ""
)</f>
        <v/>
      </c>
      <c r="M614" s="1853">
        <f>IF(ISERROR(L614-L613),0,L614-L613)</f>
        <v>0</v>
      </c>
      <c r="N614" s="1851" cm="1">
        <f t="array" ref="N614">_xlfn.IFS(
    AND(I614=TRUE, K614&lt;=No_Regular_Payments), Repay_Amt,
    AND(I614=TRUE, K614=No_Regular_Payments+1), Tm_Balloon_Amt,
   TRUE, 0
)</f>
        <v>0</v>
      </c>
      <c r="O614" s="1850" cm="1">
        <f t="array" ref="O614">_xlfn.IFS(
    M614=0,0,
   ABS(N614 - S613 - P614-Q614) &lt; 1, N614 - S613-Q614,
    TRUE, P614
)</f>
        <v>0</v>
      </c>
      <c r="P614" s="1852">
        <f>IF(M614=0,0,ROUND(S613*EXP(Int_Rate/365.25 * M614)-S613,2))</f>
        <v>0</v>
      </c>
      <c r="Q614" s="1851" cm="1">
        <f t="array" ref="Q614">_xlfn.IFS(
    AND(I614=TRUE, K614&lt;=No_Regular_Payments), Periodic_Admin_Charge,
   TRUE, 0
)</f>
        <v>0</v>
      </c>
      <c r="R614" s="1850">
        <f>N614-O614-Q614</f>
        <v>0</v>
      </c>
      <c r="S614" s="1850">
        <f>ROUND(S613-R614,2)</f>
        <v>0</v>
      </c>
      <c r="T614" s="1850">
        <f>ROUND(T613-(N614-Q614),2)</f>
        <v>0</v>
      </c>
      <c r="U614" s="1849"/>
      <c r="W614" s="1848"/>
      <c r="X614" s="1848"/>
      <c r="Y614" s="1848"/>
    </row>
    <row r="615" spans="2:25" hidden="1">
      <c r="B615" s="1815" t="b">
        <f>AND(I615=FALSE,N614=0,Q614=0,L614="")</f>
        <v>1</v>
      </c>
      <c r="C615" s="1844" t="str" cm="1">
        <f t="array" ref="C615">_xlfn.IFS(
    L615="", "",
    MONTH(L615) &lt;= End_of_Year_Month, YEAR(L615),
    TRUE, YEAR(L615) + 1
)</f>
        <v/>
      </c>
      <c r="F615" s="1857">
        <f>IF(L615="",0,L615)</f>
        <v>0</v>
      </c>
      <c r="G615" s="1856">
        <f>-(N615-Q615)</f>
        <v>0</v>
      </c>
      <c r="I615" s="1815" t="b">
        <f>K615&lt;=Number_Payments</f>
        <v>0</v>
      </c>
      <c r="J615" s="1855"/>
      <c r="K615" s="1351">
        <f>K614+1</f>
        <v>489</v>
      </c>
      <c r="L615" s="1854" t="str" cm="1">
        <f t="array" ref="L615">_xlfn.IFS(
    I614=FALSE, "",
    Payment_Frequency="Monthly", EDATE(L614, 1),
    Payment_Frequency="Weekly", DATE(YEAR(L614), MONTH(L614), DAY(L614) + 7),
    Payment_Frequency="Fortnightly", DATE(YEAR(L614), MONTH(L614), DAY(L614) + 14),
    Payment_Frequency="Quarterly", DATE(YEAR(L614), MONTH(L614) + 3, DAY(L614)),
    Payment_Frequency="Yearly", DATE(YEAR(L614) + 1, MONTH(L614), DAY(L614)),
    TRUE, ""
)</f>
        <v/>
      </c>
      <c r="M615" s="1853">
        <f>IF(ISERROR(L615-L614),0,L615-L614)</f>
        <v>0</v>
      </c>
      <c r="N615" s="1851" cm="1">
        <f t="array" ref="N615">_xlfn.IFS(
    AND(I615=TRUE, K615&lt;=No_Regular_Payments), Repay_Amt,
    AND(I615=TRUE, K615=No_Regular_Payments+1), Tm_Balloon_Amt,
   TRUE, 0
)</f>
        <v>0</v>
      </c>
      <c r="O615" s="1850" cm="1">
        <f t="array" ref="O615">_xlfn.IFS(
    M615=0,0,
   ABS(N615 - S614 - P615-Q615) &lt; 1, N615 - S614-Q615,
    TRUE, P615
)</f>
        <v>0</v>
      </c>
      <c r="P615" s="1852">
        <f>IF(M615=0,0,ROUND(S614*EXP(Int_Rate/365.25 * M615)-S614,2))</f>
        <v>0</v>
      </c>
      <c r="Q615" s="1851" cm="1">
        <f t="array" ref="Q615">_xlfn.IFS(
    AND(I615=TRUE, K615&lt;=No_Regular_Payments), Periodic_Admin_Charge,
   TRUE, 0
)</f>
        <v>0</v>
      </c>
      <c r="R615" s="1850">
        <f>N615-O615-Q615</f>
        <v>0</v>
      </c>
      <c r="S615" s="1850">
        <f>ROUND(S614-R615,2)</f>
        <v>0</v>
      </c>
      <c r="T615" s="1850">
        <f>ROUND(T614-(N615-Q615),2)</f>
        <v>0</v>
      </c>
      <c r="U615" s="1849"/>
      <c r="W615" s="1848"/>
      <c r="X615" s="1848"/>
      <c r="Y615" s="1848"/>
    </row>
    <row r="616" spans="2:25" hidden="1">
      <c r="B616" s="1815" t="b">
        <f>AND(I616=FALSE,N615=0,Q615=0,L615="")</f>
        <v>1</v>
      </c>
      <c r="C616" s="1844" t="str" cm="1">
        <f t="array" ref="C616">_xlfn.IFS(
    L616="", "",
    MONTH(L616) &lt;= End_of_Year_Month, YEAR(L616),
    TRUE, YEAR(L616) + 1
)</f>
        <v/>
      </c>
      <c r="F616" s="1857">
        <f>IF(L616="",0,L616)</f>
        <v>0</v>
      </c>
      <c r="G616" s="1856">
        <f>-(N616-Q616)</f>
        <v>0</v>
      </c>
      <c r="I616" s="1815" t="b">
        <f>K616&lt;=Number_Payments</f>
        <v>0</v>
      </c>
      <c r="J616" s="1855"/>
      <c r="K616" s="1351">
        <f>K615+1</f>
        <v>490</v>
      </c>
      <c r="L616" s="1854" t="str" cm="1">
        <f t="array" ref="L616">_xlfn.IFS(
    I615=FALSE, "",
    Payment_Frequency="Monthly", EDATE(L615, 1),
    Payment_Frequency="Weekly", DATE(YEAR(L615), MONTH(L615), DAY(L615) + 7),
    Payment_Frequency="Fortnightly", DATE(YEAR(L615), MONTH(L615), DAY(L615) + 14),
    Payment_Frequency="Quarterly", DATE(YEAR(L615), MONTH(L615) + 3, DAY(L615)),
    Payment_Frequency="Yearly", DATE(YEAR(L615) + 1, MONTH(L615), DAY(L615)),
    TRUE, ""
)</f>
        <v/>
      </c>
      <c r="M616" s="1853">
        <f>IF(ISERROR(L616-L615),0,L616-L615)</f>
        <v>0</v>
      </c>
      <c r="N616" s="1851" cm="1">
        <f t="array" ref="N616">_xlfn.IFS(
    AND(I616=TRUE, K616&lt;=No_Regular_Payments), Repay_Amt,
    AND(I616=TRUE, K616=No_Regular_Payments+1), Tm_Balloon_Amt,
   TRUE, 0
)</f>
        <v>0</v>
      </c>
      <c r="O616" s="1850" cm="1">
        <f t="array" ref="O616">_xlfn.IFS(
    M616=0,0,
   ABS(N616 - S615 - P616-Q616) &lt; 1, N616 - S615-Q616,
    TRUE, P616
)</f>
        <v>0</v>
      </c>
      <c r="P616" s="1852">
        <f>IF(M616=0,0,ROUND(S615*EXP(Int_Rate/365.25 * M616)-S615,2))</f>
        <v>0</v>
      </c>
      <c r="Q616" s="1851" cm="1">
        <f t="array" ref="Q616">_xlfn.IFS(
    AND(I616=TRUE, K616&lt;=No_Regular_Payments), Periodic_Admin_Charge,
   TRUE, 0
)</f>
        <v>0</v>
      </c>
      <c r="R616" s="1850">
        <f>N616-O616-Q616</f>
        <v>0</v>
      </c>
      <c r="S616" s="1850">
        <f>ROUND(S615-R616,2)</f>
        <v>0</v>
      </c>
      <c r="T616" s="1850">
        <f>ROUND(T615-(N616-Q616),2)</f>
        <v>0</v>
      </c>
      <c r="U616" s="1849"/>
      <c r="W616" s="1848"/>
      <c r="X616" s="1848"/>
      <c r="Y616" s="1848"/>
    </row>
    <row r="617" spans="2:25" hidden="1">
      <c r="B617" s="1815" t="b">
        <f>AND(I617=FALSE,N616=0,Q616=0,L616="")</f>
        <v>1</v>
      </c>
      <c r="C617" s="1844" t="str" cm="1">
        <f t="array" ref="C617">_xlfn.IFS(
    L617="", "",
    MONTH(L617) &lt;= End_of_Year_Month, YEAR(L617),
    TRUE, YEAR(L617) + 1
)</f>
        <v/>
      </c>
      <c r="F617" s="1857">
        <f>IF(L617="",0,L617)</f>
        <v>0</v>
      </c>
      <c r="G617" s="1856">
        <f>-(N617-Q617)</f>
        <v>0</v>
      </c>
      <c r="I617" s="1815" t="b">
        <f>K617&lt;=Number_Payments</f>
        <v>0</v>
      </c>
      <c r="J617" s="1855"/>
      <c r="K617" s="1351">
        <f>K616+1</f>
        <v>491</v>
      </c>
      <c r="L617" s="1854" t="str" cm="1">
        <f t="array" ref="L617">_xlfn.IFS(
    I616=FALSE, "",
    Payment_Frequency="Monthly", EDATE(L616, 1),
    Payment_Frequency="Weekly", DATE(YEAR(L616), MONTH(L616), DAY(L616) + 7),
    Payment_Frequency="Fortnightly", DATE(YEAR(L616), MONTH(L616), DAY(L616) + 14),
    Payment_Frequency="Quarterly", DATE(YEAR(L616), MONTH(L616) + 3, DAY(L616)),
    Payment_Frequency="Yearly", DATE(YEAR(L616) + 1, MONTH(L616), DAY(L616)),
    TRUE, ""
)</f>
        <v/>
      </c>
      <c r="M617" s="1853">
        <f>IF(ISERROR(L617-L616),0,L617-L616)</f>
        <v>0</v>
      </c>
      <c r="N617" s="1851" cm="1">
        <f t="array" ref="N617">_xlfn.IFS(
    AND(I617=TRUE, K617&lt;=No_Regular_Payments), Repay_Amt,
    AND(I617=TRUE, K617=No_Regular_Payments+1), Tm_Balloon_Amt,
   TRUE, 0
)</f>
        <v>0</v>
      </c>
      <c r="O617" s="1850" cm="1">
        <f t="array" ref="O617">_xlfn.IFS(
    M617=0,0,
   ABS(N617 - S616 - P617-Q617) &lt; 1, N617 - S616-Q617,
    TRUE, P617
)</f>
        <v>0</v>
      </c>
      <c r="P617" s="1852">
        <f>IF(M617=0,0,ROUND(S616*EXP(Int_Rate/365.25 * M617)-S616,2))</f>
        <v>0</v>
      </c>
      <c r="Q617" s="1851" cm="1">
        <f t="array" ref="Q617">_xlfn.IFS(
    AND(I617=TRUE, K617&lt;=No_Regular_Payments), Periodic_Admin_Charge,
   TRUE, 0
)</f>
        <v>0</v>
      </c>
      <c r="R617" s="1850">
        <f>N617-O617-Q617</f>
        <v>0</v>
      </c>
      <c r="S617" s="1850">
        <f>ROUND(S616-R617,2)</f>
        <v>0</v>
      </c>
      <c r="T617" s="1850">
        <f>ROUND(T616-(N617-Q617),2)</f>
        <v>0</v>
      </c>
      <c r="U617" s="1849"/>
      <c r="W617" s="1848"/>
      <c r="X617" s="1848"/>
      <c r="Y617" s="1848"/>
    </row>
    <row r="618" spans="2:25" hidden="1">
      <c r="B618" s="1815" t="b">
        <f>AND(I618=FALSE,N617=0,Q617=0,L617="")</f>
        <v>1</v>
      </c>
      <c r="C618" s="1844" t="str" cm="1">
        <f t="array" ref="C618">_xlfn.IFS(
    L618="", "",
    MONTH(L618) &lt;= End_of_Year_Month, YEAR(L618),
    TRUE, YEAR(L618) + 1
)</f>
        <v/>
      </c>
      <c r="F618" s="1857">
        <f>IF(L618="",0,L618)</f>
        <v>0</v>
      </c>
      <c r="G618" s="1856">
        <f>-(N618-Q618)</f>
        <v>0</v>
      </c>
      <c r="I618" s="1815" t="b">
        <f>K618&lt;=Number_Payments</f>
        <v>0</v>
      </c>
      <c r="J618" s="1855"/>
      <c r="K618" s="1351">
        <f>K617+1</f>
        <v>492</v>
      </c>
      <c r="L618" s="1854" t="str" cm="1">
        <f t="array" ref="L618">_xlfn.IFS(
    I617=FALSE, "",
    Payment_Frequency="Monthly", EDATE(L617, 1),
    Payment_Frequency="Weekly", DATE(YEAR(L617), MONTH(L617), DAY(L617) + 7),
    Payment_Frequency="Fortnightly", DATE(YEAR(L617), MONTH(L617), DAY(L617) + 14),
    Payment_Frequency="Quarterly", DATE(YEAR(L617), MONTH(L617) + 3, DAY(L617)),
    Payment_Frequency="Yearly", DATE(YEAR(L617) + 1, MONTH(L617), DAY(L617)),
    TRUE, ""
)</f>
        <v/>
      </c>
      <c r="M618" s="1853">
        <f>IF(ISERROR(L618-L617),0,L618-L617)</f>
        <v>0</v>
      </c>
      <c r="N618" s="1851" cm="1">
        <f t="array" ref="N618">_xlfn.IFS(
    AND(I618=TRUE, K618&lt;=No_Regular_Payments), Repay_Amt,
    AND(I618=TRUE, K618=No_Regular_Payments+1), Tm_Balloon_Amt,
   TRUE, 0
)</f>
        <v>0</v>
      </c>
      <c r="O618" s="1850" cm="1">
        <f t="array" ref="O618">_xlfn.IFS(
    M618=0,0,
   ABS(N618 - S617 - P618-Q618) &lt; 1, N618 - S617-Q618,
    TRUE, P618
)</f>
        <v>0</v>
      </c>
      <c r="P618" s="1852">
        <f>IF(M618=0,0,ROUND(S617*EXP(Int_Rate/365.25 * M618)-S617,2))</f>
        <v>0</v>
      </c>
      <c r="Q618" s="1851" cm="1">
        <f t="array" ref="Q618">_xlfn.IFS(
    AND(I618=TRUE, K618&lt;=No_Regular_Payments), Periodic_Admin_Charge,
   TRUE, 0
)</f>
        <v>0</v>
      </c>
      <c r="R618" s="1850">
        <f>N618-O618-Q618</f>
        <v>0</v>
      </c>
      <c r="S618" s="1850">
        <f>ROUND(S617-R618,2)</f>
        <v>0</v>
      </c>
      <c r="T618" s="1850">
        <f>ROUND(T617-(N618-Q618),2)</f>
        <v>0</v>
      </c>
      <c r="U618" s="1849"/>
      <c r="W618" s="1848"/>
      <c r="X618" s="1848"/>
      <c r="Y618" s="1848"/>
    </row>
    <row r="619" spans="2:25" hidden="1">
      <c r="B619" s="1815" t="b">
        <f>AND(I619=FALSE,N618=0,Q618=0,L618="")</f>
        <v>1</v>
      </c>
      <c r="C619" s="1844" t="str" cm="1">
        <f t="array" ref="C619">_xlfn.IFS(
    L619="", "",
    MONTH(L619) &lt;= End_of_Year_Month, YEAR(L619),
    TRUE, YEAR(L619) + 1
)</f>
        <v/>
      </c>
      <c r="F619" s="1857">
        <f>IF(L619="",0,L619)</f>
        <v>0</v>
      </c>
      <c r="G619" s="1856">
        <f>-(N619-Q619)</f>
        <v>0</v>
      </c>
      <c r="I619" s="1815" t="b">
        <f>K619&lt;=Number_Payments</f>
        <v>0</v>
      </c>
      <c r="J619" s="1855"/>
      <c r="K619" s="1351">
        <f>K618+1</f>
        <v>493</v>
      </c>
      <c r="L619" s="1854" t="str" cm="1">
        <f t="array" ref="L619">_xlfn.IFS(
    I618=FALSE, "",
    Payment_Frequency="Monthly", EDATE(L618, 1),
    Payment_Frequency="Weekly", DATE(YEAR(L618), MONTH(L618), DAY(L618) + 7),
    Payment_Frequency="Fortnightly", DATE(YEAR(L618), MONTH(L618), DAY(L618) + 14),
    Payment_Frequency="Quarterly", DATE(YEAR(L618), MONTH(L618) + 3, DAY(L618)),
    Payment_Frequency="Yearly", DATE(YEAR(L618) + 1, MONTH(L618), DAY(L618)),
    TRUE, ""
)</f>
        <v/>
      </c>
      <c r="M619" s="1853">
        <f>IF(ISERROR(L619-L618),0,L619-L618)</f>
        <v>0</v>
      </c>
      <c r="N619" s="1851" cm="1">
        <f t="array" ref="N619">_xlfn.IFS(
    AND(I619=TRUE, K619&lt;=No_Regular_Payments), Repay_Amt,
    AND(I619=TRUE, K619=No_Regular_Payments+1), Tm_Balloon_Amt,
   TRUE, 0
)</f>
        <v>0</v>
      </c>
      <c r="O619" s="1850" cm="1">
        <f t="array" ref="O619">_xlfn.IFS(
    M619=0,0,
   ABS(N619 - S618 - P619-Q619) &lt; 1, N619 - S618-Q619,
    TRUE, P619
)</f>
        <v>0</v>
      </c>
      <c r="P619" s="1852">
        <f>IF(M619=0,0,ROUND(S618*EXP(Int_Rate/365.25 * M619)-S618,2))</f>
        <v>0</v>
      </c>
      <c r="Q619" s="1851" cm="1">
        <f t="array" ref="Q619">_xlfn.IFS(
    AND(I619=TRUE, K619&lt;=No_Regular_Payments), Periodic_Admin_Charge,
   TRUE, 0
)</f>
        <v>0</v>
      </c>
      <c r="R619" s="1850">
        <f>N619-O619-Q619</f>
        <v>0</v>
      </c>
      <c r="S619" s="1850">
        <f>ROUND(S618-R619,2)</f>
        <v>0</v>
      </c>
      <c r="T619" s="1850">
        <f>ROUND(T618-(N619-Q619),2)</f>
        <v>0</v>
      </c>
      <c r="U619" s="1849"/>
      <c r="W619" s="1848"/>
      <c r="X619" s="1848"/>
      <c r="Y619" s="1848"/>
    </row>
    <row r="620" spans="2:25" hidden="1">
      <c r="B620" s="1815" t="b">
        <f>AND(I620=FALSE,N619=0,Q619=0,L619="")</f>
        <v>1</v>
      </c>
      <c r="C620" s="1844" t="str" cm="1">
        <f t="array" ref="C620">_xlfn.IFS(
    L620="", "",
    MONTH(L620) &lt;= End_of_Year_Month, YEAR(L620),
    TRUE, YEAR(L620) + 1
)</f>
        <v/>
      </c>
      <c r="F620" s="1857">
        <f>IF(L620="",0,L620)</f>
        <v>0</v>
      </c>
      <c r="G620" s="1856">
        <f>-(N620-Q620)</f>
        <v>0</v>
      </c>
      <c r="I620" s="1815" t="b">
        <f>K620&lt;=Number_Payments</f>
        <v>0</v>
      </c>
      <c r="J620" s="1855"/>
      <c r="K620" s="1351">
        <f>K619+1</f>
        <v>494</v>
      </c>
      <c r="L620" s="1854" t="str" cm="1">
        <f t="array" ref="L620">_xlfn.IFS(
    I619=FALSE, "",
    Payment_Frequency="Monthly", EDATE(L619, 1),
    Payment_Frequency="Weekly", DATE(YEAR(L619), MONTH(L619), DAY(L619) + 7),
    Payment_Frequency="Fortnightly", DATE(YEAR(L619), MONTH(L619), DAY(L619) + 14),
    Payment_Frequency="Quarterly", DATE(YEAR(L619), MONTH(L619) + 3, DAY(L619)),
    Payment_Frequency="Yearly", DATE(YEAR(L619) + 1, MONTH(L619), DAY(L619)),
    TRUE, ""
)</f>
        <v/>
      </c>
      <c r="M620" s="1853">
        <f>IF(ISERROR(L620-L619),0,L620-L619)</f>
        <v>0</v>
      </c>
      <c r="N620" s="1851" cm="1">
        <f t="array" ref="N620">_xlfn.IFS(
    AND(I620=TRUE, K620&lt;=No_Regular_Payments), Repay_Amt,
    AND(I620=TRUE, K620=No_Regular_Payments+1), Tm_Balloon_Amt,
   TRUE, 0
)</f>
        <v>0</v>
      </c>
      <c r="O620" s="1850" cm="1">
        <f t="array" ref="O620">_xlfn.IFS(
    M620=0,0,
   ABS(N620 - S619 - P620-Q620) &lt; 1, N620 - S619-Q620,
    TRUE, P620
)</f>
        <v>0</v>
      </c>
      <c r="P620" s="1852">
        <f>IF(M620=0,0,ROUND(S619*EXP(Int_Rate/365.25 * M620)-S619,2))</f>
        <v>0</v>
      </c>
      <c r="Q620" s="1851" cm="1">
        <f t="array" ref="Q620">_xlfn.IFS(
    AND(I620=TRUE, K620&lt;=No_Regular_Payments), Periodic_Admin_Charge,
   TRUE, 0
)</f>
        <v>0</v>
      </c>
      <c r="R620" s="1850">
        <f>N620-O620-Q620</f>
        <v>0</v>
      </c>
      <c r="S620" s="1850">
        <f>ROUND(S619-R620,2)</f>
        <v>0</v>
      </c>
      <c r="T620" s="1850">
        <f>ROUND(T619-(N620-Q620),2)</f>
        <v>0</v>
      </c>
      <c r="U620" s="1849"/>
      <c r="W620" s="1848"/>
      <c r="X620" s="1848"/>
      <c r="Y620" s="1848"/>
    </row>
    <row r="621" spans="2:25" hidden="1">
      <c r="B621" s="1815" t="b">
        <f>AND(I621=FALSE,N620=0,Q620=0,L620="")</f>
        <v>1</v>
      </c>
      <c r="C621" s="1844" t="str" cm="1">
        <f t="array" ref="C621">_xlfn.IFS(
    L621="", "",
    MONTH(L621) &lt;= End_of_Year_Month, YEAR(L621),
    TRUE, YEAR(L621) + 1
)</f>
        <v/>
      </c>
      <c r="F621" s="1857">
        <f>IF(L621="",0,L621)</f>
        <v>0</v>
      </c>
      <c r="G621" s="1856">
        <f>-(N621-Q621)</f>
        <v>0</v>
      </c>
      <c r="I621" s="1815" t="b">
        <f>K621&lt;=Number_Payments</f>
        <v>0</v>
      </c>
      <c r="J621" s="1855"/>
      <c r="K621" s="1351">
        <f>K620+1</f>
        <v>495</v>
      </c>
      <c r="L621" s="1854" t="str" cm="1">
        <f t="array" ref="L621">_xlfn.IFS(
    I620=FALSE, "",
    Payment_Frequency="Monthly", EDATE(L620, 1),
    Payment_Frequency="Weekly", DATE(YEAR(L620), MONTH(L620), DAY(L620) + 7),
    Payment_Frequency="Fortnightly", DATE(YEAR(L620), MONTH(L620), DAY(L620) + 14),
    Payment_Frequency="Quarterly", DATE(YEAR(L620), MONTH(L620) + 3, DAY(L620)),
    Payment_Frequency="Yearly", DATE(YEAR(L620) + 1, MONTH(L620), DAY(L620)),
    TRUE, ""
)</f>
        <v/>
      </c>
      <c r="M621" s="1853">
        <f>IF(ISERROR(L621-L620),0,L621-L620)</f>
        <v>0</v>
      </c>
      <c r="N621" s="1851" cm="1">
        <f t="array" ref="N621">_xlfn.IFS(
    AND(I621=TRUE, K621&lt;=No_Regular_Payments), Repay_Amt,
    AND(I621=TRUE, K621=No_Regular_Payments+1), Tm_Balloon_Amt,
   TRUE, 0
)</f>
        <v>0</v>
      </c>
      <c r="O621" s="1850" cm="1">
        <f t="array" ref="O621">_xlfn.IFS(
    M621=0,0,
   ABS(N621 - S620 - P621-Q621) &lt; 1, N621 - S620-Q621,
    TRUE, P621
)</f>
        <v>0</v>
      </c>
      <c r="P621" s="1852">
        <f>IF(M621=0,0,ROUND(S620*EXP(Int_Rate/365.25 * M621)-S620,2))</f>
        <v>0</v>
      </c>
      <c r="Q621" s="1851" cm="1">
        <f t="array" ref="Q621">_xlfn.IFS(
    AND(I621=TRUE, K621&lt;=No_Regular_Payments), Periodic_Admin_Charge,
   TRUE, 0
)</f>
        <v>0</v>
      </c>
      <c r="R621" s="1850">
        <f>N621-O621-Q621</f>
        <v>0</v>
      </c>
      <c r="S621" s="1850">
        <f>ROUND(S620-R621,2)</f>
        <v>0</v>
      </c>
      <c r="T621" s="1850">
        <f>ROUND(T620-(N621-Q621),2)</f>
        <v>0</v>
      </c>
      <c r="U621" s="1849"/>
      <c r="W621" s="1848"/>
      <c r="X621" s="1848"/>
      <c r="Y621" s="1848"/>
    </row>
    <row r="622" spans="2:25" hidden="1">
      <c r="B622" s="1815" t="b">
        <f>AND(I622=FALSE,N621=0,Q621=0,L621="")</f>
        <v>1</v>
      </c>
      <c r="C622" s="1844" t="str" cm="1">
        <f t="array" ref="C622">_xlfn.IFS(
    L622="", "",
    MONTH(L622) &lt;= End_of_Year_Month, YEAR(L622),
    TRUE, YEAR(L622) + 1
)</f>
        <v/>
      </c>
      <c r="F622" s="1857">
        <f>IF(L622="",0,L622)</f>
        <v>0</v>
      </c>
      <c r="G622" s="1856">
        <f>-(N622-Q622)</f>
        <v>0</v>
      </c>
      <c r="I622" s="1815" t="b">
        <f>K622&lt;=Number_Payments</f>
        <v>0</v>
      </c>
      <c r="J622" s="1855"/>
      <c r="K622" s="1351">
        <f>K621+1</f>
        <v>496</v>
      </c>
      <c r="L622" s="1854" t="str" cm="1">
        <f t="array" ref="L622">_xlfn.IFS(
    I621=FALSE, "",
    Payment_Frequency="Monthly", EDATE(L621, 1),
    Payment_Frequency="Weekly", DATE(YEAR(L621), MONTH(L621), DAY(L621) + 7),
    Payment_Frequency="Fortnightly", DATE(YEAR(L621), MONTH(L621), DAY(L621) + 14),
    Payment_Frequency="Quarterly", DATE(YEAR(L621), MONTH(L621) + 3, DAY(L621)),
    Payment_Frequency="Yearly", DATE(YEAR(L621) + 1, MONTH(L621), DAY(L621)),
    TRUE, ""
)</f>
        <v/>
      </c>
      <c r="M622" s="1853">
        <f>IF(ISERROR(L622-L621),0,L622-L621)</f>
        <v>0</v>
      </c>
      <c r="N622" s="1851" cm="1">
        <f t="array" ref="N622">_xlfn.IFS(
    AND(I622=TRUE, K622&lt;=No_Regular_Payments), Repay_Amt,
    AND(I622=TRUE, K622=No_Regular_Payments+1), Tm_Balloon_Amt,
   TRUE, 0
)</f>
        <v>0</v>
      </c>
      <c r="O622" s="1850" cm="1">
        <f t="array" ref="O622">_xlfn.IFS(
    M622=0,0,
   ABS(N622 - S621 - P622-Q622) &lt; 1, N622 - S621-Q622,
    TRUE, P622
)</f>
        <v>0</v>
      </c>
      <c r="P622" s="1852">
        <f>IF(M622=0,0,ROUND(S621*EXP(Int_Rate/365.25 * M622)-S621,2))</f>
        <v>0</v>
      </c>
      <c r="Q622" s="1851" cm="1">
        <f t="array" ref="Q622">_xlfn.IFS(
    AND(I622=TRUE, K622&lt;=No_Regular_Payments), Periodic_Admin_Charge,
   TRUE, 0
)</f>
        <v>0</v>
      </c>
      <c r="R622" s="1850">
        <f>N622-O622-Q622</f>
        <v>0</v>
      </c>
      <c r="S622" s="1850">
        <f>ROUND(S621-R622,2)</f>
        <v>0</v>
      </c>
      <c r="T622" s="1850">
        <f>ROUND(T621-(N622-Q622),2)</f>
        <v>0</v>
      </c>
      <c r="U622" s="1849"/>
      <c r="W622" s="1848"/>
      <c r="X622" s="1848"/>
      <c r="Y622" s="1848"/>
    </row>
    <row r="623" spans="2:25" hidden="1">
      <c r="B623" s="1815" t="b">
        <f>AND(I623=FALSE,N622=0,Q622=0,L622="")</f>
        <v>1</v>
      </c>
      <c r="C623" s="1844" t="str" cm="1">
        <f t="array" ref="C623">_xlfn.IFS(
    L623="", "",
    MONTH(L623) &lt;= End_of_Year_Month, YEAR(L623),
    TRUE, YEAR(L623) + 1
)</f>
        <v/>
      </c>
      <c r="F623" s="1857">
        <f>IF(L623="",0,L623)</f>
        <v>0</v>
      </c>
      <c r="G623" s="1856">
        <f>-(N623-Q623)</f>
        <v>0</v>
      </c>
      <c r="I623" s="1815" t="b">
        <f>K623&lt;=Number_Payments</f>
        <v>0</v>
      </c>
      <c r="J623" s="1855"/>
      <c r="K623" s="1351">
        <f>K622+1</f>
        <v>497</v>
      </c>
      <c r="L623" s="1854" t="str" cm="1">
        <f t="array" ref="L623">_xlfn.IFS(
    I622=FALSE, "",
    Payment_Frequency="Monthly", EDATE(L622, 1),
    Payment_Frequency="Weekly", DATE(YEAR(L622), MONTH(L622), DAY(L622) + 7),
    Payment_Frequency="Fortnightly", DATE(YEAR(L622), MONTH(L622), DAY(L622) + 14),
    Payment_Frequency="Quarterly", DATE(YEAR(L622), MONTH(L622) + 3, DAY(L622)),
    Payment_Frequency="Yearly", DATE(YEAR(L622) + 1, MONTH(L622), DAY(L622)),
    TRUE, ""
)</f>
        <v/>
      </c>
      <c r="M623" s="1853">
        <f>IF(ISERROR(L623-L622),0,L623-L622)</f>
        <v>0</v>
      </c>
      <c r="N623" s="1851" cm="1">
        <f t="array" ref="N623">_xlfn.IFS(
    AND(I623=TRUE, K623&lt;=No_Regular_Payments), Repay_Amt,
    AND(I623=TRUE, K623=No_Regular_Payments+1), Tm_Balloon_Amt,
   TRUE, 0
)</f>
        <v>0</v>
      </c>
      <c r="O623" s="1850" cm="1">
        <f t="array" ref="O623">_xlfn.IFS(
    M623=0,0,
   ABS(N623 - S622 - P623-Q623) &lt; 1, N623 - S622-Q623,
    TRUE, P623
)</f>
        <v>0</v>
      </c>
      <c r="P623" s="1852">
        <f>IF(M623=0,0,ROUND(S622*EXP(Int_Rate/365.25 * M623)-S622,2))</f>
        <v>0</v>
      </c>
      <c r="Q623" s="1851" cm="1">
        <f t="array" ref="Q623">_xlfn.IFS(
    AND(I623=TRUE, K623&lt;=No_Regular_Payments), Periodic_Admin_Charge,
   TRUE, 0
)</f>
        <v>0</v>
      </c>
      <c r="R623" s="1850">
        <f>N623-O623-Q623</f>
        <v>0</v>
      </c>
      <c r="S623" s="1850">
        <f>ROUND(S622-R623,2)</f>
        <v>0</v>
      </c>
      <c r="T623" s="1850">
        <f>ROUND(T622-(N623-Q623),2)</f>
        <v>0</v>
      </c>
      <c r="U623" s="1849"/>
      <c r="W623" s="1848"/>
      <c r="X623" s="1848"/>
      <c r="Y623" s="1848"/>
    </row>
    <row r="624" spans="2:25" hidden="1">
      <c r="B624" s="1815" t="b">
        <f>AND(I624=FALSE,N623=0,Q623=0,L623="")</f>
        <v>1</v>
      </c>
      <c r="C624" s="1844" t="str" cm="1">
        <f t="array" ref="C624">_xlfn.IFS(
    L624="", "",
    MONTH(L624) &lt;= End_of_Year_Month, YEAR(L624),
    TRUE, YEAR(L624) + 1
)</f>
        <v/>
      </c>
      <c r="F624" s="1857">
        <f>IF(L624="",0,L624)</f>
        <v>0</v>
      </c>
      <c r="G624" s="1856">
        <f>-(N624-Q624)</f>
        <v>0</v>
      </c>
      <c r="I624" s="1815" t="b">
        <f>K624&lt;=Number_Payments</f>
        <v>0</v>
      </c>
      <c r="J624" s="1855"/>
      <c r="K624" s="1351">
        <f>K623+1</f>
        <v>498</v>
      </c>
      <c r="L624" s="1854" t="str" cm="1">
        <f t="array" ref="L624">_xlfn.IFS(
    I623=FALSE, "",
    Payment_Frequency="Monthly", EDATE(L623, 1),
    Payment_Frequency="Weekly", DATE(YEAR(L623), MONTH(L623), DAY(L623) + 7),
    Payment_Frequency="Fortnightly", DATE(YEAR(L623), MONTH(L623), DAY(L623) + 14),
    Payment_Frequency="Quarterly", DATE(YEAR(L623), MONTH(L623) + 3, DAY(L623)),
    Payment_Frequency="Yearly", DATE(YEAR(L623) + 1, MONTH(L623), DAY(L623)),
    TRUE, ""
)</f>
        <v/>
      </c>
      <c r="M624" s="1853">
        <f>IF(ISERROR(L624-L623),0,L624-L623)</f>
        <v>0</v>
      </c>
      <c r="N624" s="1851" cm="1">
        <f t="array" ref="N624">_xlfn.IFS(
    AND(I624=TRUE, K624&lt;=No_Regular_Payments), Repay_Amt,
    AND(I624=TRUE, K624=No_Regular_Payments+1), Tm_Balloon_Amt,
   TRUE, 0
)</f>
        <v>0</v>
      </c>
      <c r="O624" s="1850" cm="1">
        <f t="array" ref="O624">_xlfn.IFS(
    M624=0,0,
   ABS(N624 - S623 - P624-Q624) &lt; 1, N624 - S623-Q624,
    TRUE, P624
)</f>
        <v>0</v>
      </c>
      <c r="P624" s="1852">
        <f>IF(M624=0,0,ROUND(S623*EXP(Int_Rate/365.25 * M624)-S623,2))</f>
        <v>0</v>
      </c>
      <c r="Q624" s="1851" cm="1">
        <f t="array" ref="Q624">_xlfn.IFS(
    AND(I624=TRUE, K624&lt;=No_Regular_Payments), Periodic_Admin_Charge,
   TRUE, 0
)</f>
        <v>0</v>
      </c>
      <c r="R624" s="1850">
        <f>N624-O624-Q624</f>
        <v>0</v>
      </c>
      <c r="S624" s="1850">
        <f>ROUND(S623-R624,2)</f>
        <v>0</v>
      </c>
      <c r="T624" s="1850">
        <f>ROUND(T623-(N624-Q624),2)</f>
        <v>0</v>
      </c>
      <c r="U624" s="1849"/>
      <c r="W624" s="1848"/>
      <c r="X624" s="1848"/>
      <c r="Y624" s="1848"/>
    </row>
    <row r="625" spans="2:25" hidden="1">
      <c r="B625" s="1815" t="b">
        <f>AND(I625=FALSE,N624=0,Q624=0,L624="")</f>
        <v>1</v>
      </c>
      <c r="C625" s="1844" t="str" cm="1">
        <f t="array" ref="C625">_xlfn.IFS(
    L625="", "",
    MONTH(L625) &lt;= End_of_Year_Month, YEAR(L625),
    TRUE, YEAR(L625) + 1
)</f>
        <v/>
      </c>
      <c r="F625" s="1857">
        <f>IF(L625="",0,L625)</f>
        <v>0</v>
      </c>
      <c r="G625" s="1856">
        <f>-(N625-Q625)</f>
        <v>0</v>
      </c>
      <c r="I625" s="1815" t="b">
        <f>K625&lt;=Number_Payments</f>
        <v>0</v>
      </c>
      <c r="J625" s="1855"/>
      <c r="K625" s="1351">
        <f>K624+1</f>
        <v>499</v>
      </c>
      <c r="L625" s="1854" t="str" cm="1">
        <f t="array" ref="L625">_xlfn.IFS(
    I624=FALSE, "",
    Payment_Frequency="Monthly", EDATE(L624, 1),
    Payment_Frequency="Weekly", DATE(YEAR(L624), MONTH(L624), DAY(L624) + 7),
    Payment_Frequency="Fortnightly", DATE(YEAR(L624), MONTH(L624), DAY(L624) + 14),
    Payment_Frequency="Quarterly", DATE(YEAR(L624), MONTH(L624) + 3, DAY(L624)),
    Payment_Frequency="Yearly", DATE(YEAR(L624) + 1, MONTH(L624), DAY(L624)),
    TRUE, ""
)</f>
        <v/>
      </c>
      <c r="M625" s="1853">
        <f>IF(ISERROR(L625-L624),0,L625-L624)</f>
        <v>0</v>
      </c>
      <c r="N625" s="1851" cm="1">
        <f t="array" ref="N625">_xlfn.IFS(
    AND(I625=TRUE, K625&lt;=No_Regular_Payments), Repay_Amt,
    AND(I625=TRUE, K625=No_Regular_Payments+1), Tm_Balloon_Amt,
   TRUE, 0
)</f>
        <v>0</v>
      </c>
      <c r="O625" s="1850" cm="1">
        <f t="array" ref="O625">_xlfn.IFS(
    M625=0,0,
   ABS(N625 - S624 - P625-Q625) &lt; 1, N625 - S624-Q625,
    TRUE, P625
)</f>
        <v>0</v>
      </c>
      <c r="P625" s="1852">
        <f>IF(M625=0,0,ROUND(S624*EXP(Int_Rate/365.25 * M625)-S624,2))</f>
        <v>0</v>
      </c>
      <c r="Q625" s="1851" cm="1">
        <f t="array" ref="Q625">_xlfn.IFS(
    AND(I625=TRUE, K625&lt;=No_Regular_Payments), Periodic_Admin_Charge,
   TRUE, 0
)</f>
        <v>0</v>
      </c>
      <c r="R625" s="1850">
        <f>N625-O625-Q625</f>
        <v>0</v>
      </c>
      <c r="S625" s="1850">
        <f>ROUND(S624-R625,2)</f>
        <v>0</v>
      </c>
      <c r="T625" s="1850">
        <f>ROUND(T624-(N625-Q625),2)</f>
        <v>0</v>
      </c>
      <c r="U625" s="1849"/>
      <c r="W625" s="1848"/>
      <c r="X625" s="1848"/>
      <c r="Y625" s="1848"/>
    </row>
    <row r="626" spans="2:25" hidden="1">
      <c r="B626" s="1815" t="b">
        <f>AND(I626=FALSE,N625=0,Q625=0,L625="")</f>
        <v>1</v>
      </c>
      <c r="C626" s="1844" t="str" cm="1">
        <f t="array" ref="C626">_xlfn.IFS(
    L626="", "",
    MONTH(L626) &lt;= End_of_Year_Month, YEAR(L626),
    TRUE, YEAR(L626) + 1
)</f>
        <v/>
      </c>
      <c r="F626" s="1857">
        <f>IF(L626="",0,L626)</f>
        <v>0</v>
      </c>
      <c r="G626" s="1856">
        <f>-(N626-Q626)</f>
        <v>0</v>
      </c>
      <c r="I626" s="1815" t="b">
        <f>K626&lt;=Number_Payments</f>
        <v>0</v>
      </c>
      <c r="J626" s="1855"/>
      <c r="K626" s="1351">
        <f>K625+1</f>
        <v>500</v>
      </c>
      <c r="L626" s="1854" t="str" cm="1">
        <f t="array" ref="L626">_xlfn.IFS(
    I625=FALSE, "",
    Payment_Frequency="Monthly", EDATE(L625, 1),
    Payment_Frequency="Weekly", DATE(YEAR(L625), MONTH(L625), DAY(L625) + 7),
    Payment_Frequency="Fortnightly", DATE(YEAR(L625), MONTH(L625), DAY(L625) + 14),
    Payment_Frequency="Quarterly", DATE(YEAR(L625), MONTH(L625) + 3, DAY(L625)),
    Payment_Frequency="Yearly", DATE(YEAR(L625) + 1, MONTH(L625), DAY(L625)),
    TRUE, ""
)</f>
        <v/>
      </c>
      <c r="M626" s="1853">
        <f>IF(ISERROR(L626-L625),0,L626-L625)</f>
        <v>0</v>
      </c>
      <c r="N626" s="1851" cm="1">
        <f t="array" ref="N626">_xlfn.IFS(
    AND(I626=TRUE, K626&lt;=No_Regular_Payments), Repay_Amt,
    AND(I626=TRUE, K626=No_Regular_Payments+1), Tm_Balloon_Amt,
   TRUE, 0
)</f>
        <v>0</v>
      </c>
      <c r="O626" s="1850" cm="1">
        <f t="array" ref="O626">_xlfn.IFS(
    M626=0,0,
   ABS(N626 - S625 - P626-Q626) &lt; 1, N626 - S625-Q626,
    TRUE, P626
)</f>
        <v>0</v>
      </c>
      <c r="P626" s="1852">
        <f>IF(M626=0,0,ROUND(S625*EXP(Int_Rate/365.25 * M626)-S625,2))</f>
        <v>0</v>
      </c>
      <c r="Q626" s="1851" cm="1">
        <f t="array" ref="Q626">_xlfn.IFS(
    AND(I626=TRUE, K626&lt;=No_Regular_Payments), Periodic_Admin_Charge,
   TRUE, 0
)</f>
        <v>0</v>
      </c>
      <c r="R626" s="1850">
        <f>N626-O626-Q626</f>
        <v>0</v>
      </c>
      <c r="S626" s="1850">
        <f>ROUND(S625-R626,2)</f>
        <v>0</v>
      </c>
      <c r="T626" s="1850">
        <f>ROUND(T625-(N626-Q626),2)</f>
        <v>0</v>
      </c>
      <c r="U626" s="1849"/>
      <c r="W626" s="1848"/>
      <c r="X626" s="1848"/>
      <c r="Y626" s="1848"/>
    </row>
    <row r="627" spans="2:25" hidden="1">
      <c r="B627" s="1815" t="b">
        <f>AND(I627=FALSE,N626=0,Q626=0,L626="")</f>
        <v>1</v>
      </c>
      <c r="C627" s="1844" t="str" cm="1">
        <f t="array" ref="C627">_xlfn.IFS(
    L627="", "",
    MONTH(L627) &lt;= End_of_Year_Month, YEAR(L627),
    TRUE, YEAR(L627) + 1
)</f>
        <v/>
      </c>
      <c r="F627" s="1857">
        <f>IF(L627="",0,L627)</f>
        <v>0</v>
      </c>
      <c r="G627" s="1856">
        <f>-(N627-Q627)</f>
        <v>0</v>
      </c>
      <c r="I627" s="1815" t="b">
        <f>K627&lt;=Number_Payments</f>
        <v>0</v>
      </c>
      <c r="J627" s="1855"/>
      <c r="K627" s="1351">
        <f>K626+1</f>
        <v>501</v>
      </c>
      <c r="L627" s="1854" t="str" cm="1">
        <f t="array" ref="L627">_xlfn.IFS(
    I626=FALSE, "",
    Payment_Frequency="Monthly", EDATE(L626, 1),
    Payment_Frequency="Weekly", DATE(YEAR(L626), MONTH(L626), DAY(L626) + 7),
    Payment_Frequency="Fortnightly", DATE(YEAR(L626), MONTH(L626), DAY(L626) + 14),
    Payment_Frequency="Quarterly", DATE(YEAR(L626), MONTH(L626) + 3, DAY(L626)),
    Payment_Frequency="Yearly", DATE(YEAR(L626) + 1, MONTH(L626), DAY(L626)),
    TRUE, ""
)</f>
        <v/>
      </c>
      <c r="M627" s="1853">
        <f>IF(ISERROR(L627-L626),0,L627-L626)</f>
        <v>0</v>
      </c>
      <c r="N627" s="1851" cm="1">
        <f t="array" ref="N627">_xlfn.IFS(
    AND(I627=TRUE, K627&lt;=No_Regular_Payments), Repay_Amt,
    AND(I627=TRUE, K627=No_Regular_Payments+1), Tm_Balloon_Amt,
   TRUE, 0
)</f>
        <v>0</v>
      </c>
      <c r="O627" s="1850" cm="1">
        <f t="array" ref="O627">_xlfn.IFS(
    M627=0,0,
   ABS(N627 - S626 - P627-Q627) &lt; 1, N627 - S626-Q627,
    TRUE, P627
)</f>
        <v>0</v>
      </c>
      <c r="P627" s="1852">
        <f>IF(M627=0,0,ROUND(S626*EXP(Int_Rate/365.25 * M627)-S626,2))</f>
        <v>0</v>
      </c>
      <c r="Q627" s="1851" cm="1">
        <f t="array" ref="Q627">_xlfn.IFS(
    AND(I627=TRUE, K627&lt;=No_Regular_Payments), Periodic_Admin_Charge,
   TRUE, 0
)</f>
        <v>0</v>
      </c>
      <c r="R627" s="1850">
        <f>N627-O627-Q627</f>
        <v>0</v>
      </c>
      <c r="S627" s="1850">
        <f>ROUND(S626-R627,2)</f>
        <v>0</v>
      </c>
      <c r="T627" s="1850">
        <f>ROUND(T626-(N627-Q627),2)</f>
        <v>0</v>
      </c>
      <c r="U627" s="1849"/>
      <c r="W627" s="1848"/>
      <c r="X627" s="1848"/>
      <c r="Y627" s="1848"/>
    </row>
    <row r="628" spans="2:25" hidden="1">
      <c r="B628" s="1815" t="b">
        <f>AND(I628=FALSE,N627=0,Q627=0,L627="")</f>
        <v>1</v>
      </c>
      <c r="C628" s="1844" t="str" cm="1">
        <f t="array" ref="C628">_xlfn.IFS(
    L628="", "",
    MONTH(L628) &lt;= End_of_Year_Month, YEAR(L628),
    TRUE, YEAR(L628) + 1
)</f>
        <v/>
      </c>
      <c r="F628" s="1857">
        <f>IF(L628="",0,L628)</f>
        <v>0</v>
      </c>
      <c r="G628" s="1856">
        <f>-(N628-Q628)</f>
        <v>0</v>
      </c>
      <c r="I628" s="1815" t="b">
        <f>K628&lt;=Number_Payments</f>
        <v>0</v>
      </c>
      <c r="J628" s="1855"/>
      <c r="K628" s="1351">
        <f>K627+1</f>
        <v>502</v>
      </c>
      <c r="L628" s="1854" t="str" cm="1">
        <f t="array" ref="L628">_xlfn.IFS(
    I627=FALSE, "",
    Payment_Frequency="Monthly", EDATE(L627, 1),
    Payment_Frequency="Weekly", DATE(YEAR(L627), MONTH(L627), DAY(L627) + 7),
    Payment_Frequency="Fortnightly", DATE(YEAR(L627), MONTH(L627), DAY(L627) + 14),
    Payment_Frequency="Quarterly", DATE(YEAR(L627), MONTH(L627) + 3, DAY(L627)),
    Payment_Frequency="Yearly", DATE(YEAR(L627) + 1, MONTH(L627), DAY(L627)),
    TRUE, ""
)</f>
        <v/>
      </c>
      <c r="M628" s="1853">
        <f>IF(ISERROR(L628-L627),0,L628-L627)</f>
        <v>0</v>
      </c>
      <c r="N628" s="1851" cm="1">
        <f t="array" ref="N628">_xlfn.IFS(
    AND(I628=TRUE, K628&lt;=No_Regular_Payments), Repay_Amt,
    AND(I628=TRUE, K628=No_Regular_Payments+1), Tm_Balloon_Amt,
   TRUE, 0
)</f>
        <v>0</v>
      </c>
      <c r="O628" s="1850" cm="1">
        <f t="array" ref="O628">_xlfn.IFS(
    M628=0,0,
   ABS(N628 - S627 - P628-Q628) &lt; 1, N628 - S627-Q628,
    TRUE, P628
)</f>
        <v>0</v>
      </c>
      <c r="P628" s="1852">
        <f>IF(M628=0,0,ROUND(S627*EXP(Int_Rate/365.25 * M628)-S627,2))</f>
        <v>0</v>
      </c>
      <c r="Q628" s="1851" cm="1">
        <f t="array" ref="Q628">_xlfn.IFS(
    AND(I628=TRUE, K628&lt;=No_Regular_Payments), Periodic_Admin_Charge,
   TRUE, 0
)</f>
        <v>0</v>
      </c>
      <c r="R628" s="1850">
        <f>N628-O628-Q628</f>
        <v>0</v>
      </c>
      <c r="S628" s="1850">
        <f>ROUND(S627-R628,2)</f>
        <v>0</v>
      </c>
      <c r="T628" s="1850">
        <f>ROUND(T627-(N628-Q628),2)</f>
        <v>0</v>
      </c>
      <c r="U628" s="1849"/>
      <c r="W628" s="1848"/>
      <c r="X628" s="1848"/>
      <c r="Y628" s="1848"/>
    </row>
    <row r="629" spans="2:25" hidden="1">
      <c r="B629" s="1815" t="b">
        <f>AND(I629=FALSE,N628=0,Q628=0,L628="")</f>
        <v>1</v>
      </c>
      <c r="C629" s="1844" t="str" cm="1">
        <f t="array" ref="C629">_xlfn.IFS(
    L629="", "",
    MONTH(L629) &lt;= End_of_Year_Month, YEAR(L629),
    TRUE, YEAR(L629) + 1
)</f>
        <v/>
      </c>
      <c r="F629" s="1857">
        <f>IF(L629="",0,L629)</f>
        <v>0</v>
      </c>
      <c r="G629" s="1856">
        <f>-(N629-Q629)</f>
        <v>0</v>
      </c>
      <c r="I629" s="1815" t="b">
        <f>K629&lt;=Number_Payments</f>
        <v>0</v>
      </c>
      <c r="J629" s="1855"/>
      <c r="K629" s="1351">
        <f>K628+1</f>
        <v>503</v>
      </c>
      <c r="L629" s="1854" t="str" cm="1">
        <f t="array" ref="L629">_xlfn.IFS(
    I628=FALSE, "",
    Payment_Frequency="Monthly", EDATE(L628, 1),
    Payment_Frequency="Weekly", DATE(YEAR(L628), MONTH(L628), DAY(L628) + 7),
    Payment_Frequency="Fortnightly", DATE(YEAR(L628), MONTH(L628), DAY(L628) + 14),
    Payment_Frequency="Quarterly", DATE(YEAR(L628), MONTH(L628) + 3, DAY(L628)),
    Payment_Frequency="Yearly", DATE(YEAR(L628) + 1, MONTH(L628), DAY(L628)),
    TRUE, ""
)</f>
        <v/>
      </c>
      <c r="M629" s="1853">
        <f>IF(ISERROR(L629-L628),0,L629-L628)</f>
        <v>0</v>
      </c>
      <c r="N629" s="1851" cm="1">
        <f t="array" ref="N629">_xlfn.IFS(
    AND(I629=TRUE, K629&lt;=No_Regular_Payments), Repay_Amt,
    AND(I629=TRUE, K629=No_Regular_Payments+1), Tm_Balloon_Amt,
   TRUE, 0
)</f>
        <v>0</v>
      </c>
      <c r="O629" s="1850" cm="1">
        <f t="array" ref="O629">_xlfn.IFS(
    M629=0,0,
   ABS(N629 - S628 - P629-Q629) &lt; 1, N629 - S628-Q629,
    TRUE, P629
)</f>
        <v>0</v>
      </c>
      <c r="P629" s="1852">
        <f>IF(M629=0,0,ROUND(S628*EXP(Int_Rate/365.25 * M629)-S628,2))</f>
        <v>0</v>
      </c>
      <c r="Q629" s="1851" cm="1">
        <f t="array" ref="Q629">_xlfn.IFS(
    AND(I629=TRUE, K629&lt;=No_Regular_Payments), Periodic_Admin_Charge,
   TRUE, 0
)</f>
        <v>0</v>
      </c>
      <c r="R629" s="1850">
        <f>N629-O629-Q629</f>
        <v>0</v>
      </c>
      <c r="S629" s="1850">
        <f>ROUND(S628-R629,2)</f>
        <v>0</v>
      </c>
      <c r="T629" s="1850">
        <f>ROUND(T628-(N629-Q629),2)</f>
        <v>0</v>
      </c>
      <c r="U629" s="1849"/>
      <c r="W629" s="1848"/>
      <c r="X629" s="1848"/>
      <c r="Y629" s="1848"/>
    </row>
    <row r="630" spans="2:25" hidden="1">
      <c r="B630" s="1815" t="b">
        <f>AND(I630=FALSE,N629=0,Q629=0,L629="")</f>
        <v>1</v>
      </c>
      <c r="C630" s="1844" t="str" cm="1">
        <f t="array" ref="C630">_xlfn.IFS(
    L630="", "",
    MONTH(L630) &lt;= End_of_Year_Month, YEAR(L630),
    TRUE, YEAR(L630) + 1
)</f>
        <v/>
      </c>
      <c r="F630" s="1857">
        <f>IF(L630="",0,L630)</f>
        <v>0</v>
      </c>
      <c r="G630" s="1856">
        <f>-(N630-Q630)</f>
        <v>0</v>
      </c>
      <c r="I630" s="1815" t="b">
        <f>K630&lt;=Number_Payments</f>
        <v>0</v>
      </c>
      <c r="J630" s="1855"/>
      <c r="K630" s="1351">
        <f>K629+1</f>
        <v>504</v>
      </c>
      <c r="L630" s="1854" t="str" cm="1">
        <f t="array" ref="L630">_xlfn.IFS(
    I629=FALSE, "",
    Payment_Frequency="Monthly", EDATE(L629, 1),
    Payment_Frequency="Weekly", DATE(YEAR(L629), MONTH(L629), DAY(L629) + 7),
    Payment_Frequency="Fortnightly", DATE(YEAR(L629), MONTH(L629), DAY(L629) + 14),
    Payment_Frequency="Quarterly", DATE(YEAR(L629), MONTH(L629) + 3, DAY(L629)),
    Payment_Frequency="Yearly", DATE(YEAR(L629) + 1, MONTH(L629), DAY(L629)),
    TRUE, ""
)</f>
        <v/>
      </c>
      <c r="M630" s="1853">
        <f>IF(ISERROR(L630-L629),0,L630-L629)</f>
        <v>0</v>
      </c>
      <c r="N630" s="1851" cm="1">
        <f t="array" ref="N630">_xlfn.IFS(
    AND(I630=TRUE, K630&lt;=No_Regular_Payments), Repay_Amt,
    AND(I630=TRUE, K630=No_Regular_Payments+1), Tm_Balloon_Amt,
   TRUE, 0
)</f>
        <v>0</v>
      </c>
      <c r="O630" s="1850" cm="1">
        <f t="array" ref="O630">_xlfn.IFS(
    M630=0,0,
   ABS(N630 - S629 - P630-Q630) &lt; 1, N630 - S629-Q630,
    TRUE, P630
)</f>
        <v>0</v>
      </c>
      <c r="P630" s="1852">
        <f>IF(M630=0,0,ROUND(S629*EXP(Int_Rate/365.25 * M630)-S629,2))</f>
        <v>0</v>
      </c>
      <c r="Q630" s="1851" cm="1">
        <f t="array" ref="Q630">_xlfn.IFS(
    AND(I630=TRUE, K630&lt;=No_Regular_Payments), Periodic_Admin_Charge,
   TRUE, 0
)</f>
        <v>0</v>
      </c>
      <c r="R630" s="1850">
        <f>N630-O630-Q630</f>
        <v>0</v>
      </c>
      <c r="S630" s="1850">
        <f>ROUND(S629-R630,2)</f>
        <v>0</v>
      </c>
      <c r="T630" s="1850">
        <f>ROUND(T629-(N630-Q630),2)</f>
        <v>0</v>
      </c>
      <c r="U630" s="1849"/>
      <c r="W630" s="1848"/>
      <c r="X630" s="1848"/>
      <c r="Y630" s="1848"/>
    </row>
    <row r="631" spans="2:25" hidden="1">
      <c r="B631" s="1815" t="b">
        <f>AND(I631=FALSE,N630=0,Q630=0,L630="")</f>
        <v>1</v>
      </c>
      <c r="C631" s="1844" t="str" cm="1">
        <f t="array" ref="C631">_xlfn.IFS(
    L631="", "",
    MONTH(L631) &lt;= End_of_Year_Month, YEAR(L631),
    TRUE, YEAR(L631) + 1
)</f>
        <v/>
      </c>
      <c r="F631" s="1857">
        <f>IF(L631="",0,L631)</f>
        <v>0</v>
      </c>
      <c r="G631" s="1856">
        <f>-(N631-Q631)</f>
        <v>0</v>
      </c>
      <c r="I631" s="1815" t="b">
        <f>K631&lt;=Number_Payments</f>
        <v>0</v>
      </c>
      <c r="J631" s="1855"/>
      <c r="K631" s="1351">
        <f>K630+1</f>
        <v>505</v>
      </c>
      <c r="L631" s="1854" t="str" cm="1">
        <f t="array" ref="L631">_xlfn.IFS(
    I630=FALSE, "",
    Payment_Frequency="Monthly", EDATE(L630, 1),
    Payment_Frequency="Weekly", DATE(YEAR(L630), MONTH(L630), DAY(L630) + 7),
    Payment_Frequency="Fortnightly", DATE(YEAR(L630), MONTH(L630), DAY(L630) + 14),
    Payment_Frequency="Quarterly", DATE(YEAR(L630), MONTH(L630) + 3, DAY(L630)),
    Payment_Frequency="Yearly", DATE(YEAR(L630) + 1, MONTH(L630), DAY(L630)),
    TRUE, ""
)</f>
        <v/>
      </c>
      <c r="M631" s="1853">
        <f>IF(ISERROR(L631-L630),0,L631-L630)</f>
        <v>0</v>
      </c>
      <c r="N631" s="1851" cm="1">
        <f t="array" ref="N631">_xlfn.IFS(
    AND(I631=TRUE, K631&lt;=No_Regular_Payments), Repay_Amt,
    AND(I631=TRUE, K631=No_Regular_Payments+1), Tm_Balloon_Amt,
   TRUE, 0
)</f>
        <v>0</v>
      </c>
      <c r="O631" s="1850" cm="1">
        <f t="array" ref="O631">_xlfn.IFS(
    M631=0,0,
   ABS(N631 - S630 - P631-Q631) &lt; 1, N631 - S630-Q631,
    TRUE, P631
)</f>
        <v>0</v>
      </c>
      <c r="P631" s="1852">
        <f>IF(M631=0,0,ROUND(S630*EXP(Int_Rate/365.25 * M631)-S630,2))</f>
        <v>0</v>
      </c>
      <c r="Q631" s="1851" cm="1">
        <f t="array" ref="Q631">_xlfn.IFS(
    AND(I631=TRUE, K631&lt;=No_Regular_Payments), Periodic_Admin_Charge,
   TRUE, 0
)</f>
        <v>0</v>
      </c>
      <c r="R631" s="1850">
        <f>N631-O631-Q631</f>
        <v>0</v>
      </c>
      <c r="S631" s="1850">
        <f>ROUND(S630-R631,2)</f>
        <v>0</v>
      </c>
      <c r="T631" s="1850">
        <f>ROUND(T630-(N631-Q631),2)</f>
        <v>0</v>
      </c>
      <c r="U631" s="1849"/>
      <c r="W631" s="1848"/>
      <c r="X631" s="1848"/>
      <c r="Y631" s="1848"/>
    </row>
    <row r="632" spans="2:25" hidden="1">
      <c r="B632" s="1815" t="b">
        <f>AND(I632=FALSE,N631=0,Q631=0,L631="")</f>
        <v>1</v>
      </c>
      <c r="C632" s="1844" t="str" cm="1">
        <f t="array" ref="C632">_xlfn.IFS(
    L632="", "",
    MONTH(L632) &lt;= End_of_Year_Month, YEAR(L632),
    TRUE, YEAR(L632) + 1
)</f>
        <v/>
      </c>
      <c r="F632" s="1857">
        <f>IF(L632="",0,L632)</f>
        <v>0</v>
      </c>
      <c r="G632" s="1856">
        <f>-(N632-Q632)</f>
        <v>0</v>
      </c>
      <c r="I632" s="1815" t="b">
        <f>K632&lt;=Number_Payments</f>
        <v>0</v>
      </c>
      <c r="J632" s="1855"/>
      <c r="K632" s="1351">
        <f>K631+1</f>
        <v>506</v>
      </c>
      <c r="L632" s="1854" t="str" cm="1">
        <f t="array" ref="L632">_xlfn.IFS(
    I631=FALSE, "",
    Payment_Frequency="Monthly", EDATE(L631, 1),
    Payment_Frequency="Weekly", DATE(YEAR(L631), MONTH(L631), DAY(L631) + 7),
    Payment_Frequency="Fortnightly", DATE(YEAR(L631), MONTH(L631), DAY(L631) + 14),
    Payment_Frequency="Quarterly", DATE(YEAR(L631), MONTH(L631) + 3, DAY(L631)),
    Payment_Frequency="Yearly", DATE(YEAR(L631) + 1, MONTH(L631), DAY(L631)),
    TRUE, ""
)</f>
        <v/>
      </c>
      <c r="M632" s="1853">
        <f>IF(ISERROR(L632-L631),0,L632-L631)</f>
        <v>0</v>
      </c>
      <c r="N632" s="1851" cm="1">
        <f t="array" ref="N632">_xlfn.IFS(
    AND(I632=TRUE, K632&lt;=No_Regular_Payments), Repay_Amt,
    AND(I632=TRUE, K632=No_Regular_Payments+1), Tm_Balloon_Amt,
   TRUE, 0
)</f>
        <v>0</v>
      </c>
      <c r="O632" s="1850" cm="1">
        <f t="array" ref="O632">_xlfn.IFS(
    M632=0,0,
   ABS(N632 - S631 - P632-Q632) &lt; 1, N632 - S631-Q632,
    TRUE, P632
)</f>
        <v>0</v>
      </c>
      <c r="P632" s="1852">
        <f>IF(M632=0,0,ROUND(S631*EXP(Int_Rate/365.25 * M632)-S631,2))</f>
        <v>0</v>
      </c>
      <c r="Q632" s="1851" cm="1">
        <f t="array" ref="Q632">_xlfn.IFS(
    AND(I632=TRUE, K632&lt;=No_Regular_Payments), Periodic_Admin_Charge,
   TRUE, 0
)</f>
        <v>0</v>
      </c>
      <c r="R632" s="1850">
        <f>N632-O632-Q632</f>
        <v>0</v>
      </c>
      <c r="S632" s="1850">
        <f>ROUND(S631-R632,2)</f>
        <v>0</v>
      </c>
      <c r="T632" s="1850">
        <f>ROUND(T631-(N632-Q632),2)</f>
        <v>0</v>
      </c>
      <c r="U632" s="1849"/>
      <c r="W632" s="1848"/>
      <c r="X632" s="1848"/>
      <c r="Y632" s="1848"/>
    </row>
    <row r="633" spans="2:25" hidden="1">
      <c r="B633" s="1815" t="b">
        <f>AND(I633=FALSE,N632=0,Q632=0,L632="")</f>
        <v>1</v>
      </c>
      <c r="C633" s="1844" t="str" cm="1">
        <f t="array" ref="C633">_xlfn.IFS(
    L633="", "",
    MONTH(L633) &lt;= End_of_Year_Month, YEAR(L633),
    TRUE, YEAR(L633) + 1
)</f>
        <v/>
      </c>
      <c r="F633" s="1857">
        <f>IF(L633="",0,L633)</f>
        <v>0</v>
      </c>
      <c r="G633" s="1856">
        <f>-(N633-Q633)</f>
        <v>0</v>
      </c>
      <c r="I633" s="1815" t="b">
        <f>K633&lt;=Number_Payments</f>
        <v>0</v>
      </c>
      <c r="J633" s="1855"/>
      <c r="K633" s="1351">
        <f>K632+1</f>
        <v>507</v>
      </c>
      <c r="L633" s="1854" t="str" cm="1">
        <f t="array" ref="L633">_xlfn.IFS(
    I632=FALSE, "",
    Payment_Frequency="Monthly", EDATE(L632, 1),
    Payment_Frequency="Weekly", DATE(YEAR(L632), MONTH(L632), DAY(L632) + 7),
    Payment_Frequency="Fortnightly", DATE(YEAR(L632), MONTH(L632), DAY(L632) + 14),
    Payment_Frequency="Quarterly", DATE(YEAR(L632), MONTH(L632) + 3, DAY(L632)),
    Payment_Frequency="Yearly", DATE(YEAR(L632) + 1, MONTH(L632), DAY(L632)),
    TRUE, ""
)</f>
        <v/>
      </c>
      <c r="M633" s="1853">
        <f>IF(ISERROR(L633-L632),0,L633-L632)</f>
        <v>0</v>
      </c>
      <c r="N633" s="1851" cm="1">
        <f t="array" ref="N633">_xlfn.IFS(
    AND(I633=TRUE, K633&lt;=No_Regular_Payments), Repay_Amt,
    AND(I633=TRUE, K633=No_Regular_Payments+1), Tm_Balloon_Amt,
   TRUE, 0
)</f>
        <v>0</v>
      </c>
      <c r="O633" s="1850" cm="1">
        <f t="array" ref="O633">_xlfn.IFS(
    M633=0,0,
   ABS(N633 - S632 - P633-Q633) &lt; 1, N633 - S632-Q633,
    TRUE, P633
)</f>
        <v>0</v>
      </c>
      <c r="P633" s="1852">
        <f>IF(M633=0,0,ROUND(S632*EXP(Int_Rate/365.25 * M633)-S632,2))</f>
        <v>0</v>
      </c>
      <c r="Q633" s="1851" cm="1">
        <f t="array" ref="Q633">_xlfn.IFS(
    AND(I633=TRUE, K633&lt;=No_Regular_Payments), Periodic_Admin_Charge,
   TRUE, 0
)</f>
        <v>0</v>
      </c>
      <c r="R633" s="1850">
        <f>N633-O633-Q633</f>
        <v>0</v>
      </c>
      <c r="S633" s="1850">
        <f>ROUND(S632-R633,2)</f>
        <v>0</v>
      </c>
      <c r="T633" s="1850">
        <f>ROUND(T632-(N633-Q633),2)</f>
        <v>0</v>
      </c>
      <c r="U633" s="1849"/>
      <c r="W633" s="1848"/>
      <c r="X633" s="1848"/>
      <c r="Y633" s="1848"/>
    </row>
    <row r="634" spans="2:25" hidden="1">
      <c r="B634" s="1815" t="b">
        <f>AND(I634=FALSE,N633=0,Q633=0,L633="")</f>
        <v>1</v>
      </c>
      <c r="C634" s="1844" t="str" cm="1">
        <f t="array" ref="C634">_xlfn.IFS(
    L634="", "",
    MONTH(L634) &lt;= End_of_Year_Month, YEAR(L634),
    TRUE, YEAR(L634) + 1
)</f>
        <v/>
      </c>
      <c r="F634" s="1857">
        <f>IF(L634="",0,L634)</f>
        <v>0</v>
      </c>
      <c r="G634" s="1856">
        <f>-(N634-Q634)</f>
        <v>0</v>
      </c>
      <c r="I634" s="1815" t="b">
        <f>K634&lt;=Number_Payments</f>
        <v>0</v>
      </c>
      <c r="J634" s="1855"/>
      <c r="K634" s="1351">
        <f>K633+1</f>
        <v>508</v>
      </c>
      <c r="L634" s="1854" t="str" cm="1">
        <f t="array" ref="L634">_xlfn.IFS(
    I633=FALSE, "",
    Payment_Frequency="Monthly", EDATE(L633, 1),
    Payment_Frequency="Weekly", DATE(YEAR(L633), MONTH(L633), DAY(L633) + 7),
    Payment_Frequency="Fortnightly", DATE(YEAR(L633), MONTH(L633), DAY(L633) + 14),
    Payment_Frequency="Quarterly", DATE(YEAR(L633), MONTH(L633) + 3, DAY(L633)),
    Payment_Frequency="Yearly", DATE(YEAR(L633) + 1, MONTH(L633), DAY(L633)),
    TRUE, ""
)</f>
        <v/>
      </c>
      <c r="M634" s="1853">
        <f>IF(ISERROR(L634-L633),0,L634-L633)</f>
        <v>0</v>
      </c>
      <c r="N634" s="1851" cm="1">
        <f t="array" ref="N634">_xlfn.IFS(
    AND(I634=TRUE, K634&lt;=No_Regular_Payments), Repay_Amt,
    AND(I634=TRUE, K634=No_Regular_Payments+1), Tm_Balloon_Amt,
   TRUE, 0
)</f>
        <v>0</v>
      </c>
      <c r="O634" s="1850" cm="1">
        <f t="array" ref="O634">_xlfn.IFS(
    M634=0,0,
   ABS(N634 - S633 - P634-Q634) &lt; 1, N634 - S633-Q634,
    TRUE, P634
)</f>
        <v>0</v>
      </c>
      <c r="P634" s="1852">
        <f>IF(M634=0,0,ROUND(S633*EXP(Int_Rate/365.25 * M634)-S633,2))</f>
        <v>0</v>
      </c>
      <c r="Q634" s="1851" cm="1">
        <f t="array" ref="Q634">_xlfn.IFS(
    AND(I634=TRUE, K634&lt;=No_Regular_Payments), Periodic_Admin_Charge,
   TRUE, 0
)</f>
        <v>0</v>
      </c>
      <c r="R634" s="1850">
        <f>N634-O634-Q634</f>
        <v>0</v>
      </c>
      <c r="S634" s="1850">
        <f>ROUND(S633-R634,2)</f>
        <v>0</v>
      </c>
      <c r="T634" s="1850">
        <f>ROUND(T633-(N634-Q634),2)</f>
        <v>0</v>
      </c>
      <c r="U634" s="1849"/>
      <c r="W634" s="1848"/>
      <c r="X634" s="1848"/>
      <c r="Y634" s="1848"/>
    </row>
    <row r="635" spans="2:25" hidden="1">
      <c r="B635" s="1815" t="b">
        <f>AND(I635=FALSE,N634=0,Q634=0,L634="")</f>
        <v>1</v>
      </c>
      <c r="C635" s="1844" t="str" cm="1">
        <f t="array" ref="C635">_xlfn.IFS(
    L635="", "",
    MONTH(L635) &lt;= End_of_Year_Month, YEAR(L635),
    TRUE, YEAR(L635) + 1
)</f>
        <v/>
      </c>
      <c r="F635" s="1857">
        <f>IF(L635="",0,L635)</f>
        <v>0</v>
      </c>
      <c r="G635" s="1856">
        <f>-(N635-Q635)</f>
        <v>0</v>
      </c>
      <c r="I635" s="1815" t="b">
        <f>K635&lt;=Number_Payments</f>
        <v>0</v>
      </c>
      <c r="J635" s="1855"/>
      <c r="K635" s="1351">
        <f>K634+1</f>
        <v>509</v>
      </c>
      <c r="L635" s="1854" t="str" cm="1">
        <f t="array" ref="L635">_xlfn.IFS(
    I634=FALSE, "",
    Payment_Frequency="Monthly", EDATE(L634, 1),
    Payment_Frequency="Weekly", DATE(YEAR(L634), MONTH(L634), DAY(L634) + 7),
    Payment_Frequency="Fortnightly", DATE(YEAR(L634), MONTH(L634), DAY(L634) + 14),
    Payment_Frequency="Quarterly", DATE(YEAR(L634), MONTH(L634) + 3, DAY(L634)),
    Payment_Frequency="Yearly", DATE(YEAR(L634) + 1, MONTH(L634), DAY(L634)),
    TRUE, ""
)</f>
        <v/>
      </c>
      <c r="M635" s="1853">
        <f>IF(ISERROR(L635-L634),0,L635-L634)</f>
        <v>0</v>
      </c>
      <c r="N635" s="1851" cm="1">
        <f t="array" ref="N635">_xlfn.IFS(
    AND(I635=TRUE, K635&lt;=No_Regular_Payments), Repay_Amt,
    AND(I635=TRUE, K635=No_Regular_Payments+1), Tm_Balloon_Amt,
   TRUE, 0
)</f>
        <v>0</v>
      </c>
      <c r="O635" s="1850" cm="1">
        <f t="array" ref="O635">_xlfn.IFS(
    M635=0,0,
   ABS(N635 - S634 - P635-Q635) &lt; 1, N635 - S634-Q635,
    TRUE, P635
)</f>
        <v>0</v>
      </c>
      <c r="P635" s="1852">
        <f>IF(M635=0,0,ROUND(S634*EXP(Int_Rate/365.25 * M635)-S634,2))</f>
        <v>0</v>
      </c>
      <c r="Q635" s="1851" cm="1">
        <f t="array" ref="Q635">_xlfn.IFS(
    AND(I635=TRUE, K635&lt;=No_Regular_Payments), Periodic_Admin_Charge,
   TRUE, 0
)</f>
        <v>0</v>
      </c>
      <c r="R635" s="1850">
        <f>N635-O635-Q635</f>
        <v>0</v>
      </c>
      <c r="S635" s="1850">
        <f>ROUND(S634-R635,2)</f>
        <v>0</v>
      </c>
      <c r="T635" s="1850">
        <f>ROUND(T634-(N635-Q635),2)</f>
        <v>0</v>
      </c>
      <c r="U635" s="1849"/>
      <c r="W635" s="1848"/>
      <c r="X635" s="1848"/>
      <c r="Y635" s="1848"/>
    </row>
    <row r="636" spans="2:25" hidden="1">
      <c r="B636" s="1815" t="b">
        <f>AND(I636=FALSE,N635=0,Q635=0,L635="")</f>
        <v>1</v>
      </c>
      <c r="C636" s="1844" t="str" cm="1">
        <f t="array" ref="C636">_xlfn.IFS(
    L636="", "",
    MONTH(L636) &lt;= End_of_Year_Month, YEAR(L636),
    TRUE, YEAR(L636) + 1
)</f>
        <v/>
      </c>
      <c r="F636" s="1857">
        <f>IF(L636="",0,L636)</f>
        <v>0</v>
      </c>
      <c r="G636" s="1856">
        <f>-(N636-Q636)</f>
        <v>0</v>
      </c>
      <c r="I636" s="1815" t="b">
        <f>K636&lt;=Number_Payments</f>
        <v>0</v>
      </c>
      <c r="J636" s="1855"/>
      <c r="K636" s="1351">
        <f>K635+1</f>
        <v>510</v>
      </c>
      <c r="L636" s="1854" t="str" cm="1">
        <f t="array" ref="L636">_xlfn.IFS(
    I635=FALSE, "",
    Payment_Frequency="Monthly", EDATE(L635, 1),
    Payment_Frequency="Weekly", DATE(YEAR(L635), MONTH(L635), DAY(L635) + 7),
    Payment_Frequency="Fortnightly", DATE(YEAR(L635), MONTH(L635), DAY(L635) + 14),
    Payment_Frequency="Quarterly", DATE(YEAR(L635), MONTH(L635) + 3, DAY(L635)),
    Payment_Frequency="Yearly", DATE(YEAR(L635) + 1, MONTH(L635), DAY(L635)),
    TRUE, ""
)</f>
        <v/>
      </c>
      <c r="M636" s="1853">
        <f>IF(ISERROR(L636-L635),0,L636-L635)</f>
        <v>0</v>
      </c>
      <c r="N636" s="1851" cm="1">
        <f t="array" ref="N636">_xlfn.IFS(
    AND(I636=TRUE, K636&lt;=No_Regular_Payments), Repay_Amt,
    AND(I636=TRUE, K636=No_Regular_Payments+1), Tm_Balloon_Amt,
   TRUE, 0
)</f>
        <v>0</v>
      </c>
      <c r="O636" s="1850" cm="1">
        <f t="array" ref="O636">_xlfn.IFS(
    M636=0,0,
   ABS(N636 - S635 - P636-Q636) &lt; 1, N636 - S635-Q636,
    TRUE, P636
)</f>
        <v>0</v>
      </c>
      <c r="P636" s="1852">
        <f>IF(M636=0,0,ROUND(S635*EXP(Int_Rate/365.25 * M636)-S635,2))</f>
        <v>0</v>
      </c>
      <c r="Q636" s="1851" cm="1">
        <f t="array" ref="Q636">_xlfn.IFS(
    AND(I636=TRUE, K636&lt;=No_Regular_Payments), Periodic_Admin_Charge,
   TRUE, 0
)</f>
        <v>0</v>
      </c>
      <c r="R636" s="1850">
        <f>N636-O636-Q636</f>
        <v>0</v>
      </c>
      <c r="S636" s="1850">
        <f>ROUND(S635-R636,2)</f>
        <v>0</v>
      </c>
      <c r="T636" s="1850">
        <f>ROUND(T635-(N636-Q636),2)</f>
        <v>0</v>
      </c>
      <c r="U636" s="1849"/>
      <c r="W636" s="1848"/>
      <c r="X636" s="1848"/>
      <c r="Y636" s="1848"/>
    </row>
    <row r="637" spans="2:25" hidden="1">
      <c r="B637" s="1815" t="b">
        <f>AND(I637=FALSE,N636=0,Q636=0,L636="")</f>
        <v>1</v>
      </c>
      <c r="C637" s="1844" t="str" cm="1">
        <f t="array" ref="C637">_xlfn.IFS(
    L637="", "",
    MONTH(L637) &lt;= End_of_Year_Month, YEAR(L637),
    TRUE, YEAR(L637) + 1
)</f>
        <v/>
      </c>
      <c r="F637" s="1857">
        <f>IF(L637="",0,L637)</f>
        <v>0</v>
      </c>
      <c r="G637" s="1856">
        <f>-(N637-Q637)</f>
        <v>0</v>
      </c>
      <c r="I637" s="1815" t="b">
        <f>K637&lt;=Number_Payments</f>
        <v>0</v>
      </c>
      <c r="J637" s="1855"/>
      <c r="K637" s="1351">
        <f>K636+1</f>
        <v>511</v>
      </c>
      <c r="L637" s="1854" t="str" cm="1">
        <f t="array" ref="L637">_xlfn.IFS(
    I636=FALSE, "",
    Payment_Frequency="Monthly", EDATE(L636, 1),
    Payment_Frequency="Weekly", DATE(YEAR(L636), MONTH(L636), DAY(L636) + 7),
    Payment_Frequency="Fortnightly", DATE(YEAR(L636), MONTH(L636), DAY(L636) + 14),
    Payment_Frequency="Quarterly", DATE(YEAR(L636), MONTH(L636) + 3, DAY(L636)),
    Payment_Frequency="Yearly", DATE(YEAR(L636) + 1, MONTH(L636), DAY(L636)),
    TRUE, ""
)</f>
        <v/>
      </c>
      <c r="M637" s="1853">
        <f>IF(ISERROR(L637-L636),0,L637-L636)</f>
        <v>0</v>
      </c>
      <c r="N637" s="1851" cm="1">
        <f t="array" ref="N637">_xlfn.IFS(
    AND(I637=TRUE, K637&lt;=No_Regular_Payments), Repay_Amt,
    AND(I637=TRUE, K637=No_Regular_Payments+1), Tm_Balloon_Amt,
   TRUE, 0
)</f>
        <v>0</v>
      </c>
      <c r="O637" s="1850" cm="1">
        <f t="array" ref="O637">_xlfn.IFS(
    M637=0,0,
   ABS(N637 - S636 - P637-Q637) &lt; 1, N637 - S636-Q637,
    TRUE, P637
)</f>
        <v>0</v>
      </c>
      <c r="P637" s="1852">
        <f>IF(M637=0,0,ROUND(S636*EXP(Int_Rate/365.25 * M637)-S636,2))</f>
        <v>0</v>
      </c>
      <c r="Q637" s="1851" cm="1">
        <f t="array" ref="Q637">_xlfn.IFS(
    AND(I637=TRUE, K637&lt;=No_Regular_Payments), Periodic_Admin_Charge,
   TRUE, 0
)</f>
        <v>0</v>
      </c>
      <c r="R637" s="1850">
        <f>N637-O637-Q637</f>
        <v>0</v>
      </c>
      <c r="S637" s="1850">
        <f>ROUND(S636-R637,2)</f>
        <v>0</v>
      </c>
      <c r="T637" s="1850">
        <f>ROUND(T636-(N637-Q637),2)</f>
        <v>0</v>
      </c>
      <c r="U637" s="1849"/>
      <c r="W637" s="1848"/>
      <c r="X637" s="1848"/>
      <c r="Y637" s="1848"/>
    </row>
    <row r="638" spans="2:25" hidden="1">
      <c r="B638" s="1815" t="b">
        <f>AND(I638=FALSE,N637=0,Q637=0,L637="")</f>
        <v>1</v>
      </c>
      <c r="C638" s="1844" t="str" cm="1">
        <f t="array" ref="C638">_xlfn.IFS(
    L638="", "",
    MONTH(L638) &lt;= End_of_Year_Month, YEAR(L638),
    TRUE, YEAR(L638) + 1
)</f>
        <v/>
      </c>
      <c r="F638" s="1857">
        <f>IF(L638="",0,L638)</f>
        <v>0</v>
      </c>
      <c r="G638" s="1856">
        <f>-(N638-Q638)</f>
        <v>0</v>
      </c>
      <c r="I638" s="1815" t="b">
        <f>K638&lt;=Number_Payments</f>
        <v>0</v>
      </c>
      <c r="J638" s="1855"/>
      <c r="K638" s="1351">
        <f>K637+1</f>
        <v>512</v>
      </c>
      <c r="L638" s="1854" t="str" cm="1">
        <f t="array" ref="L638">_xlfn.IFS(
    I637=FALSE, "",
    Payment_Frequency="Monthly", EDATE(L637, 1),
    Payment_Frequency="Weekly", DATE(YEAR(L637), MONTH(L637), DAY(L637) + 7),
    Payment_Frequency="Fortnightly", DATE(YEAR(L637), MONTH(L637), DAY(L637) + 14),
    Payment_Frequency="Quarterly", DATE(YEAR(L637), MONTH(L637) + 3, DAY(L637)),
    Payment_Frequency="Yearly", DATE(YEAR(L637) + 1, MONTH(L637), DAY(L637)),
    TRUE, ""
)</f>
        <v/>
      </c>
      <c r="M638" s="1853">
        <f>IF(ISERROR(L638-L637),0,L638-L637)</f>
        <v>0</v>
      </c>
      <c r="N638" s="1851" cm="1">
        <f t="array" ref="N638">_xlfn.IFS(
    AND(I638=TRUE, K638&lt;=No_Regular_Payments), Repay_Amt,
    AND(I638=TRUE, K638=No_Regular_Payments+1), Tm_Balloon_Amt,
   TRUE, 0
)</f>
        <v>0</v>
      </c>
      <c r="O638" s="1850" cm="1">
        <f t="array" ref="O638">_xlfn.IFS(
    M638=0,0,
   ABS(N638 - S637 - P638-Q638) &lt; 1, N638 - S637-Q638,
    TRUE, P638
)</f>
        <v>0</v>
      </c>
      <c r="P638" s="1852">
        <f>IF(M638=0,0,ROUND(S637*EXP(Int_Rate/365.25 * M638)-S637,2))</f>
        <v>0</v>
      </c>
      <c r="Q638" s="1851" cm="1">
        <f t="array" ref="Q638">_xlfn.IFS(
    AND(I638=TRUE, K638&lt;=No_Regular_Payments), Periodic_Admin_Charge,
   TRUE, 0
)</f>
        <v>0</v>
      </c>
      <c r="R638" s="1850">
        <f>N638-O638-Q638</f>
        <v>0</v>
      </c>
      <c r="S638" s="1850">
        <f>ROUND(S637-R638,2)</f>
        <v>0</v>
      </c>
      <c r="T638" s="1850">
        <f>ROUND(T637-(N638-Q638),2)</f>
        <v>0</v>
      </c>
      <c r="U638" s="1849"/>
      <c r="W638" s="1848"/>
      <c r="X638" s="1848"/>
      <c r="Y638" s="1848"/>
    </row>
    <row r="639" spans="2:25" hidden="1">
      <c r="B639" s="1815" t="b">
        <f>AND(I639=FALSE,N638=0,Q638=0,L638="")</f>
        <v>1</v>
      </c>
      <c r="C639" s="1844" t="str" cm="1">
        <f t="array" ref="C639">_xlfn.IFS(
    L639="", "",
    MONTH(L639) &lt;= End_of_Year_Month, YEAR(L639),
    TRUE, YEAR(L639) + 1
)</f>
        <v/>
      </c>
      <c r="F639" s="1857">
        <f>IF(L639="",0,L639)</f>
        <v>0</v>
      </c>
      <c r="G639" s="1856">
        <f>-(N639-Q639)</f>
        <v>0</v>
      </c>
      <c r="I639" s="1815" t="b">
        <f>K639&lt;=Number_Payments</f>
        <v>0</v>
      </c>
      <c r="J639" s="1855"/>
      <c r="K639" s="1351">
        <f>K638+1</f>
        <v>513</v>
      </c>
      <c r="L639" s="1854" t="str" cm="1">
        <f t="array" ref="L639">_xlfn.IFS(
    I638=FALSE, "",
    Payment_Frequency="Monthly", EDATE(L638, 1),
    Payment_Frequency="Weekly", DATE(YEAR(L638), MONTH(L638), DAY(L638) + 7),
    Payment_Frequency="Fortnightly", DATE(YEAR(L638), MONTH(L638), DAY(L638) + 14),
    Payment_Frequency="Quarterly", DATE(YEAR(L638), MONTH(L638) + 3, DAY(L638)),
    Payment_Frequency="Yearly", DATE(YEAR(L638) + 1, MONTH(L638), DAY(L638)),
    TRUE, ""
)</f>
        <v/>
      </c>
      <c r="M639" s="1853">
        <f>IF(ISERROR(L639-L638),0,L639-L638)</f>
        <v>0</v>
      </c>
      <c r="N639" s="1851" cm="1">
        <f t="array" ref="N639">_xlfn.IFS(
    AND(I639=TRUE, K639&lt;=No_Regular_Payments), Repay_Amt,
    AND(I639=TRUE, K639=No_Regular_Payments+1), Tm_Balloon_Amt,
   TRUE, 0
)</f>
        <v>0</v>
      </c>
      <c r="O639" s="1850" cm="1">
        <f t="array" ref="O639">_xlfn.IFS(
    M639=0,0,
   ABS(N639 - S638 - P639-Q639) &lt; 1, N639 - S638-Q639,
    TRUE, P639
)</f>
        <v>0</v>
      </c>
      <c r="P639" s="1852">
        <f>IF(M639=0,0,ROUND(S638*EXP(Int_Rate/365.25 * M639)-S638,2))</f>
        <v>0</v>
      </c>
      <c r="Q639" s="1851" cm="1">
        <f t="array" ref="Q639">_xlfn.IFS(
    AND(I639=TRUE, K639&lt;=No_Regular_Payments), Periodic_Admin_Charge,
   TRUE, 0
)</f>
        <v>0</v>
      </c>
      <c r="R639" s="1850">
        <f>N639-O639-Q639</f>
        <v>0</v>
      </c>
      <c r="S639" s="1850">
        <f>ROUND(S638-R639,2)</f>
        <v>0</v>
      </c>
      <c r="T639" s="1850">
        <f>ROUND(T638-(N639-Q639),2)</f>
        <v>0</v>
      </c>
      <c r="U639" s="1849"/>
      <c r="W639" s="1848"/>
      <c r="X639" s="1848"/>
      <c r="Y639" s="1848"/>
    </row>
    <row r="640" spans="2:25" hidden="1">
      <c r="B640" s="1815" t="b">
        <f>AND(I640=FALSE,N639=0,Q639=0,L639="")</f>
        <v>1</v>
      </c>
      <c r="C640" s="1844" t="str" cm="1">
        <f t="array" ref="C640">_xlfn.IFS(
    L640="", "",
    MONTH(L640) &lt;= End_of_Year_Month, YEAR(L640),
    TRUE, YEAR(L640) + 1
)</f>
        <v/>
      </c>
      <c r="F640" s="1857">
        <f>IF(L640="",0,L640)</f>
        <v>0</v>
      </c>
      <c r="G640" s="1856">
        <f>-(N640-Q640)</f>
        <v>0</v>
      </c>
      <c r="I640" s="1815" t="b">
        <f>K640&lt;=Number_Payments</f>
        <v>0</v>
      </c>
      <c r="J640" s="1855"/>
      <c r="K640" s="1351">
        <f>K639+1</f>
        <v>514</v>
      </c>
      <c r="L640" s="1854" t="str" cm="1">
        <f t="array" ref="L640">_xlfn.IFS(
    I639=FALSE, "",
    Payment_Frequency="Monthly", EDATE(L639, 1),
    Payment_Frequency="Weekly", DATE(YEAR(L639), MONTH(L639), DAY(L639) + 7),
    Payment_Frequency="Fortnightly", DATE(YEAR(L639), MONTH(L639), DAY(L639) + 14),
    Payment_Frequency="Quarterly", DATE(YEAR(L639), MONTH(L639) + 3, DAY(L639)),
    Payment_Frequency="Yearly", DATE(YEAR(L639) + 1, MONTH(L639), DAY(L639)),
    TRUE, ""
)</f>
        <v/>
      </c>
      <c r="M640" s="1853">
        <f>IF(ISERROR(L640-L639),0,L640-L639)</f>
        <v>0</v>
      </c>
      <c r="N640" s="1851" cm="1">
        <f t="array" ref="N640">_xlfn.IFS(
    AND(I640=TRUE, K640&lt;=No_Regular_Payments), Repay_Amt,
    AND(I640=TRUE, K640=No_Regular_Payments+1), Tm_Balloon_Amt,
   TRUE, 0
)</f>
        <v>0</v>
      </c>
      <c r="O640" s="1850" cm="1">
        <f t="array" ref="O640">_xlfn.IFS(
    M640=0,0,
   ABS(N640 - S639 - P640-Q640) &lt; 1, N640 - S639-Q640,
    TRUE, P640
)</f>
        <v>0</v>
      </c>
      <c r="P640" s="1852">
        <f>IF(M640=0,0,ROUND(S639*EXP(Int_Rate/365.25 * M640)-S639,2))</f>
        <v>0</v>
      </c>
      <c r="Q640" s="1851" cm="1">
        <f t="array" ref="Q640">_xlfn.IFS(
    AND(I640=TRUE, K640&lt;=No_Regular_Payments), Periodic_Admin_Charge,
   TRUE, 0
)</f>
        <v>0</v>
      </c>
      <c r="R640" s="1850">
        <f>N640-O640-Q640</f>
        <v>0</v>
      </c>
      <c r="S640" s="1850">
        <f>ROUND(S639-R640,2)</f>
        <v>0</v>
      </c>
      <c r="T640" s="1850">
        <f>ROUND(T639-(N640-Q640),2)</f>
        <v>0</v>
      </c>
      <c r="U640" s="1849"/>
      <c r="W640" s="1848"/>
      <c r="X640" s="1848"/>
      <c r="Y640" s="1848"/>
    </row>
    <row r="641" spans="2:25" hidden="1">
      <c r="B641" s="1815" t="b">
        <f>AND(I641=FALSE,N640=0,Q640=0,L640="")</f>
        <v>1</v>
      </c>
      <c r="C641" s="1844" t="str" cm="1">
        <f t="array" ref="C641">_xlfn.IFS(
    L641="", "",
    MONTH(L641) &lt;= End_of_Year_Month, YEAR(L641),
    TRUE, YEAR(L641) + 1
)</f>
        <v/>
      </c>
      <c r="F641" s="1857">
        <f>IF(L641="",0,L641)</f>
        <v>0</v>
      </c>
      <c r="G641" s="1856">
        <f>-(N641-Q641)</f>
        <v>0</v>
      </c>
      <c r="I641" s="1815" t="b">
        <f>K641&lt;=Number_Payments</f>
        <v>0</v>
      </c>
      <c r="J641" s="1855"/>
      <c r="K641" s="1351">
        <f>K640+1</f>
        <v>515</v>
      </c>
      <c r="L641" s="1854" t="str" cm="1">
        <f t="array" ref="L641">_xlfn.IFS(
    I640=FALSE, "",
    Payment_Frequency="Monthly", EDATE(L640, 1),
    Payment_Frequency="Weekly", DATE(YEAR(L640), MONTH(L640), DAY(L640) + 7),
    Payment_Frequency="Fortnightly", DATE(YEAR(L640), MONTH(L640), DAY(L640) + 14),
    Payment_Frequency="Quarterly", DATE(YEAR(L640), MONTH(L640) + 3, DAY(L640)),
    Payment_Frequency="Yearly", DATE(YEAR(L640) + 1, MONTH(L640), DAY(L640)),
    TRUE, ""
)</f>
        <v/>
      </c>
      <c r="M641" s="1853">
        <f>IF(ISERROR(L641-L640),0,L641-L640)</f>
        <v>0</v>
      </c>
      <c r="N641" s="1851" cm="1">
        <f t="array" ref="N641">_xlfn.IFS(
    AND(I641=TRUE, K641&lt;=No_Regular_Payments), Repay_Amt,
    AND(I641=TRUE, K641=No_Regular_Payments+1), Tm_Balloon_Amt,
   TRUE, 0
)</f>
        <v>0</v>
      </c>
      <c r="O641" s="1850" cm="1">
        <f t="array" ref="O641">_xlfn.IFS(
    M641=0,0,
   ABS(N641 - S640 - P641-Q641) &lt; 1, N641 - S640-Q641,
    TRUE, P641
)</f>
        <v>0</v>
      </c>
      <c r="P641" s="1852">
        <f>IF(M641=0,0,ROUND(S640*EXP(Int_Rate/365.25 * M641)-S640,2))</f>
        <v>0</v>
      </c>
      <c r="Q641" s="1851" cm="1">
        <f t="array" ref="Q641">_xlfn.IFS(
    AND(I641=TRUE, K641&lt;=No_Regular_Payments), Periodic_Admin_Charge,
   TRUE, 0
)</f>
        <v>0</v>
      </c>
      <c r="R641" s="1850">
        <f>N641-O641-Q641</f>
        <v>0</v>
      </c>
      <c r="S641" s="1850">
        <f>ROUND(S640-R641,2)</f>
        <v>0</v>
      </c>
      <c r="T641" s="1850">
        <f>ROUND(T640-(N641-Q641),2)</f>
        <v>0</v>
      </c>
      <c r="U641" s="1849"/>
      <c r="W641" s="1848"/>
      <c r="X641" s="1848"/>
      <c r="Y641" s="1848"/>
    </row>
    <row r="642" spans="2:25" hidden="1">
      <c r="B642" s="1815" t="b">
        <f>AND(I642=FALSE,N641=0,Q641=0,L641="")</f>
        <v>1</v>
      </c>
      <c r="C642" s="1844" t="str" cm="1">
        <f t="array" ref="C642">_xlfn.IFS(
    L642="", "",
    MONTH(L642) &lt;= End_of_Year_Month, YEAR(L642),
    TRUE, YEAR(L642) + 1
)</f>
        <v/>
      </c>
      <c r="F642" s="1857">
        <f>IF(L642="",0,L642)</f>
        <v>0</v>
      </c>
      <c r="G642" s="1856">
        <f>-(N642-Q642)</f>
        <v>0</v>
      </c>
      <c r="I642" s="1815" t="b">
        <f>K642&lt;=Number_Payments</f>
        <v>0</v>
      </c>
      <c r="J642" s="1855"/>
      <c r="K642" s="1351">
        <f>K641+1</f>
        <v>516</v>
      </c>
      <c r="L642" s="1854" t="str" cm="1">
        <f t="array" ref="L642">_xlfn.IFS(
    I641=FALSE, "",
    Payment_Frequency="Monthly", EDATE(L641, 1),
    Payment_Frequency="Weekly", DATE(YEAR(L641), MONTH(L641), DAY(L641) + 7),
    Payment_Frequency="Fortnightly", DATE(YEAR(L641), MONTH(L641), DAY(L641) + 14),
    Payment_Frequency="Quarterly", DATE(YEAR(L641), MONTH(L641) + 3, DAY(L641)),
    Payment_Frequency="Yearly", DATE(YEAR(L641) + 1, MONTH(L641), DAY(L641)),
    TRUE, ""
)</f>
        <v/>
      </c>
      <c r="M642" s="1853">
        <f>IF(ISERROR(L642-L641),0,L642-L641)</f>
        <v>0</v>
      </c>
      <c r="N642" s="1851" cm="1">
        <f t="array" ref="N642">_xlfn.IFS(
    AND(I642=TRUE, K642&lt;=No_Regular_Payments), Repay_Amt,
    AND(I642=TRUE, K642=No_Regular_Payments+1), Tm_Balloon_Amt,
   TRUE, 0
)</f>
        <v>0</v>
      </c>
      <c r="O642" s="1850" cm="1">
        <f t="array" ref="O642">_xlfn.IFS(
    M642=0,0,
   ABS(N642 - S641 - P642-Q642) &lt; 1, N642 - S641-Q642,
    TRUE, P642
)</f>
        <v>0</v>
      </c>
      <c r="P642" s="1852">
        <f>IF(M642=0,0,ROUND(S641*EXP(Int_Rate/365.25 * M642)-S641,2))</f>
        <v>0</v>
      </c>
      <c r="Q642" s="1851" cm="1">
        <f t="array" ref="Q642">_xlfn.IFS(
    AND(I642=TRUE, K642&lt;=No_Regular_Payments), Periodic_Admin_Charge,
   TRUE, 0
)</f>
        <v>0</v>
      </c>
      <c r="R642" s="1850">
        <f>N642-O642-Q642</f>
        <v>0</v>
      </c>
      <c r="S642" s="1850">
        <f>ROUND(S641-R642,2)</f>
        <v>0</v>
      </c>
      <c r="T642" s="1850">
        <f>ROUND(T641-(N642-Q642),2)</f>
        <v>0</v>
      </c>
      <c r="U642" s="1849"/>
      <c r="W642" s="1848"/>
      <c r="X642" s="1848"/>
      <c r="Y642" s="1848"/>
    </row>
    <row r="643" spans="2:25" hidden="1">
      <c r="B643" s="1815" t="b">
        <f>AND(I643=FALSE,N642=0,Q642=0,L642="")</f>
        <v>1</v>
      </c>
      <c r="C643" s="1844" t="str" cm="1">
        <f t="array" ref="C643">_xlfn.IFS(
    L643="", "",
    MONTH(L643) &lt;= End_of_Year_Month, YEAR(L643),
    TRUE, YEAR(L643) + 1
)</f>
        <v/>
      </c>
      <c r="F643" s="1857">
        <f>IF(L643="",0,L643)</f>
        <v>0</v>
      </c>
      <c r="G643" s="1856">
        <f>-(N643-Q643)</f>
        <v>0</v>
      </c>
      <c r="I643" s="1815" t="b">
        <f>K643&lt;=Number_Payments</f>
        <v>0</v>
      </c>
      <c r="J643" s="1855"/>
      <c r="K643" s="1351">
        <f>K642+1</f>
        <v>517</v>
      </c>
      <c r="L643" s="1854" t="str" cm="1">
        <f t="array" ref="L643">_xlfn.IFS(
    I642=FALSE, "",
    Payment_Frequency="Monthly", EDATE(L642, 1),
    Payment_Frequency="Weekly", DATE(YEAR(L642), MONTH(L642), DAY(L642) + 7),
    Payment_Frequency="Fortnightly", DATE(YEAR(L642), MONTH(L642), DAY(L642) + 14),
    Payment_Frequency="Quarterly", DATE(YEAR(L642), MONTH(L642) + 3, DAY(L642)),
    Payment_Frequency="Yearly", DATE(YEAR(L642) + 1, MONTH(L642), DAY(L642)),
    TRUE, ""
)</f>
        <v/>
      </c>
      <c r="M643" s="1853">
        <f>IF(ISERROR(L643-L642),0,L643-L642)</f>
        <v>0</v>
      </c>
      <c r="N643" s="1851" cm="1">
        <f t="array" ref="N643">_xlfn.IFS(
    AND(I643=TRUE, K643&lt;=No_Regular_Payments), Repay_Amt,
    AND(I643=TRUE, K643=No_Regular_Payments+1), Tm_Balloon_Amt,
   TRUE, 0
)</f>
        <v>0</v>
      </c>
      <c r="O643" s="1850" cm="1">
        <f t="array" ref="O643">_xlfn.IFS(
    M643=0,0,
   ABS(N643 - S642 - P643-Q643) &lt; 1, N643 - S642-Q643,
    TRUE, P643
)</f>
        <v>0</v>
      </c>
      <c r="P643" s="1852">
        <f>IF(M643=0,0,ROUND(S642*EXP(Int_Rate/365.25 * M643)-S642,2))</f>
        <v>0</v>
      </c>
      <c r="Q643" s="1851" cm="1">
        <f t="array" ref="Q643">_xlfn.IFS(
    AND(I643=TRUE, K643&lt;=No_Regular_Payments), Periodic_Admin_Charge,
   TRUE, 0
)</f>
        <v>0</v>
      </c>
      <c r="R643" s="1850">
        <f>N643-O643-Q643</f>
        <v>0</v>
      </c>
      <c r="S643" s="1850">
        <f>ROUND(S642-R643,2)</f>
        <v>0</v>
      </c>
      <c r="T643" s="1850">
        <f>ROUND(T642-(N643-Q643),2)</f>
        <v>0</v>
      </c>
      <c r="U643" s="1849"/>
      <c r="W643" s="1848"/>
      <c r="X643" s="1848"/>
      <c r="Y643" s="1848"/>
    </row>
    <row r="644" spans="2:25" hidden="1">
      <c r="B644" s="1815" t="b">
        <f>AND(I644=FALSE,N643=0,Q643=0,L643="")</f>
        <v>1</v>
      </c>
      <c r="C644" s="1844" t="str" cm="1">
        <f t="array" ref="C644">_xlfn.IFS(
    L644="", "",
    MONTH(L644) &lt;= End_of_Year_Month, YEAR(L644),
    TRUE, YEAR(L644) + 1
)</f>
        <v/>
      </c>
      <c r="F644" s="1857">
        <f>IF(L644="",0,L644)</f>
        <v>0</v>
      </c>
      <c r="G644" s="1856">
        <f>-(N644-Q644)</f>
        <v>0</v>
      </c>
      <c r="I644" s="1815" t="b">
        <f>K644&lt;=Number_Payments</f>
        <v>0</v>
      </c>
      <c r="J644" s="1855"/>
      <c r="K644" s="1351">
        <f>K643+1</f>
        <v>518</v>
      </c>
      <c r="L644" s="1854" t="str" cm="1">
        <f t="array" ref="L644">_xlfn.IFS(
    I643=FALSE, "",
    Payment_Frequency="Monthly", EDATE(L643, 1),
    Payment_Frequency="Weekly", DATE(YEAR(L643), MONTH(L643), DAY(L643) + 7),
    Payment_Frequency="Fortnightly", DATE(YEAR(L643), MONTH(L643), DAY(L643) + 14),
    Payment_Frequency="Quarterly", DATE(YEAR(L643), MONTH(L643) + 3, DAY(L643)),
    Payment_Frequency="Yearly", DATE(YEAR(L643) + 1, MONTH(L643), DAY(L643)),
    TRUE, ""
)</f>
        <v/>
      </c>
      <c r="M644" s="1853">
        <f>IF(ISERROR(L644-L643),0,L644-L643)</f>
        <v>0</v>
      </c>
      <c r="N644" s="1851" cm="1">
        <f t="array" ref="N644">_xlfn.IFS(
    AND(I644=TRUE, K644&lt;=No_Regular_Payments), Repay_Amt,
    AND(I644=TRUE, K644=No_Regular_Payments+1), Tm_Balloon_Amt,
   TRUE, 0
)</f>
        <v>0</v>
      </c>
      <c r="O644" s="1850" cm="1">
        <f t="array" ref="O644">_xlfn.IFS(
    M644=0,0,
   ABS(N644 - S643 - P644-Q644) &lt; 1, N644 - S643-Q644,
    TRUE, P644
)</f>
        <v>0</v>
      </c>
      <c r="P644" s="1852">
        <f>IF(M644=0,0,ROUND(S643*EXP(Int_Rate/365.25 * M644)-S643,2))</f>
        <v>0</v>
      </c>
      <c r="Q644" s="1851" cm="1">
        <f t="array" ref="Q644">_xlfn.IFS(
    AND(I644=TRUE, K644&lt;=No_Regular_Payments), Periodic_Admin_Charge,
   TRUE, 0
)</f>
        <v>0</v>
      </c>
      <c r="R644" s="1850">
        <f>N644-O644-Q644</f>
        <v>0</v>
      </c>
      <c r="S644" s="1850">
        <f>ROUND(S643-R644,2)</f>
        <v>0</v>
      </c>
      <c r="T644" s="1850">
        <f>ROUND(T643-(N644-Q644),2)</f>
        <v>0</v>
      </c>
      <c r="U644" s="1849"/>
      <c r="W644" s="1848"/>
      <c r="X644" s="1848"/>
      <c r="Y644" s="1848"/>
    </row>
    <row r="645" spans="2:25" hidden="1">
      <c r="B645" s="1815" t="b">
        <f>AND(I645=FALSE,N644=0,Q644=0,L644="")</f>
        <v>1</v>
      </c>
      <c r="C645" s="1844" t="str" cm="1">
        <f t="array" ref="C645">_xlfn.IFS(
    L645="", "",
    MONTH(L645) &lt;= End_of_Year_Month, YEAR(L645),
    TRUE, YEAR(L645) + 1
)</f>
        <v/>
      </c>
      <c r="F645" s="1857">
        <f>IF(L645="",0,L645)</f>
        <v>0</v>
      </c>
      <c r="G645" s="1856">
        <f>-(N645-Q645)</f>
        <v>0</v>
      </c>
      <c r="I645" s="1815" t="b">
        <f>K645&lt;=Number_Payments</f>
        <v>0</v>
      </c>
      <c r="J645" s="1855"/>
      <c r="K645" s="1351">
        <f>K644+1</f>
        <v>519</v>
      </c>
      <c r="L645" s="1854" t="str" cm="1">
        <f t="array" ref="L645">_xlfn.IFS(
    I644=FALSE, "",
    Payment_Frequency="Monthly", EDATE(L644, 1),
    Payment_Frequency="Weekly", DATE(YEAR(L644), MONTH(L644), DAY(L644) + 7),
    Payment_Frequency="Fortnightly", DATE(YEAR(L644), MONTH(L644), DAY(L644) + 14),
    Payment_Frequency="Quarterly", DATE(YEAR(L644), MONTH(L644) + 3, DAY(L644)),
    Payment_Frequency="Yearly", DATE(YEAR(L644) + 1, MONTH(L644), DAY(L644)),
    TRUE, ""
)</f>
        <v/>
      </c>
      <c r="M645" s="1853">
        <f>IF(ISERROR(L645-L644),0,L645-L644)</f>
        <v>0</v>
      </c>
      <c r="N645" s="1851" cm="1">
        <f t="array" ref="N645">_xlfn.IFS(
    AND(I645=TRUE, K645&lt;=No_Regular_Payments), Repay_Amt,
    AND(I645=TRUE, K645=No_Regular_Payments+1), Tm_Balloon_Amt,
   TRUE, 0
)</f>
        <v>0</v>
      </c>
      <c r="O645" s="1850" cm="1">
        <f t="array" ref="O645">_xlfn.IFS(
    M645=0,0,
   ABS(N645 - S644 - P645-Q645) &lt; 1, N645 - S644-Q645,
    TRUE, P645
)</f>
        <v>0</v>
      </c>
      <c r="P645" s="1852">
        <f>IF(M645=0,0,ROUND(S644*EXP(Int_Rate/365.25 * M645)-S644,2))</f>
        <v>0</v>
      </c>
      <c r="Q645" s="1851" cm="1">
        <f t="array" ref="Q645">_xlfn.IFS(
    AND(I645=TRUE, K645&lt;=No_Regular_Payments), Periodic_Admin_Charge,
   TRUE, 0
)</f>
        <v>0</v>
      </c>
      <c r="R645" s="1850">
        <f>N645-O645-Q645</f>
        <v>0</v>
      </c>
      <c r="S645" s="1850">
        <f>ROUND(S644-R645,2)</f>
        <v>0</v>
      </c>
      <c r="T645" s="1850">
        <f>ROUND(T644-(N645-Q645),2)</f>
        <v>0</v>
      </c>
      <c r="U645" s="1849"/>
      <c r="W645" s="1848"/>
      <c r="X645" s="1848"/>
      <c r="Y645" s="1848"/>
    </row>
    <row r="646" spans="2:25" hidden="1">
      <c r="B646" s="1815" t="b">
        <f>AND(I646=FALSE,N645=0,Q645=0,L645="")</f>
        <v>1</v>
      </c>
      <c r="C646" s="1844" t="str" cm="1">
        <f t="array" ref="C646">_xlfn.IFS(
    L646="", "",
    MONTH(L646) &lt;= End_of_Year_Month, YEAR(L646),
    TRUE, YEAR(L646) + 1
)</f>
        <v/>
      </c>
      <c r="F646" s="1857">
        <f>IF(L646="",0,L646)</f>
        <v>0</v>
      </c>
      <c r="G646" s="1856">
        <f>-(N646-Q646)</f>
        <v>0</v>
      </c>
      <c r="I646" s="1815" t="b">
        <f>K646&lt;=Number_Payments</f>
        <v>0</v>
      </c>
      <c r="J646" s="1855"/>
      <c r="K646" s="1351">
        <f>K645+1</f>
        <v>520</v>
      </c>
      <c r="L646" s="1854" t="str" cm="1">
        <f t="array" ref="L646">_xlfn.IFS(
    I645=FALSE, "",
    Payment_Frequency="Monthly", EDATE(L645, 1),
    Payment_Frequency="Weekly", DATE(YEAR(L645), MONTH(L645), DAY(L645) + 7),
    Payment_Frequency="Fortnightly", DATE(YEAR(L645), MONTH(L645), DAY(L645) + 14),
    Payment_Frequency="Quarterly", DATE(YEAR(L645), MONTH(L645) + 3, DAY(L645)),
    Payment_Frequency="Yearly", DATE(YEAR(L645) + 1, MONTH(L645), DAY(L645)),
    TRUE, ""
)</f>
        <v/>
      </c>
      <c r="M646" s="1853">
        <f>IF(ISERROR(L646-L645),0,L646-L645)</f>
        <v>0</v>
      </c>
      <c r="N646" s="1851" cm="1">
        <f t="array" ref="N646">_xlfn.IFS(
    AND(I646=TRUE, K646&lt;=No_Regular_Payments), Repay_Amt,
    AND(I646=TRUE, K646=No_Regular_Payments+1), Tm_Balloon_Amt,
   TRUE, 0
)</f>
        <v>0</v>
      </c>
      <c r="O646" s="1850" cm="1">
        <f t="array" ref="O646">_xlfn.IFS(
    M646=0,0,
   ABS(N646 - S645 - P646-Q646) &lt; 1, N646 - S645-Q646,
    TRUE, P646
)</f>
        <v>0</v>
      </c>
      <c r="P646" s="1852">
        <f>IF(M646=0,0,ROUND(S645*EXP(Int_Rate/365.25 * M646)-S645,2))</f>
        <v>0</v>
      </c>
      <c r="Q646" s="1851" cm="1">
        <f t="array" ref="Q646">_xlfn.IFS(
    AND(I646=TRUE, K646&lt;=No_Regular_Payments), Periodic_Admin_Charge,
   TRUE, 0
)</f>
        <v>0</v>
      </c>
      <c r="R646" s="1850">
        <f>N646-O646-Q646</f>
        <v>0</v>
      </c>
      <c r="S646" s="1850">
        <f>ROUND(S645-R646,2)</f>
        <v>0</v>
      </c>
      <c r="T646" s="1850">
        <f>ROUND(T645-(N646-Q646),2)</f>
        <v>0</v>
      </c>
      <c r="U646" s="1849"/>
      <c r="W646" s="1848"/>
      <c r="X646" s="1848"/>
      <c r="Y646" s="1848"/>
    </row>
    <row r="647" spans="2:25" hidden="1">
      <c r="B647" s="1815" t="b">
        <f>AND(I647=FALSE,N646=0,Q646=0,L646="")</f>
        <v>1</v>
      </c>
      <c r="C647" s="1844" t="str" cm="1">
        <f t="array" ref="C647">_xlfn.IFS(
    L647="", "",
    MONTH(L647) &lt;= End_of_Year_Month, YEAR(L647),
    TRUE, YEAR(L647) + 1
)</f>
        <v/>
      </c>
      <c r="F647" s="1857">
        <f>IF(L647="",0,L647)</f>
        <v>0</v>
      </c>
      <c r="G647" s="1856">
        <f>-(N647-Q647)</f>
        <v>0</v>
      </c>
      <c r="I647" s="1815" t="b">
        <f>K647&lt;=Number_Payments</f>
        <v>0</v>
      </c>
      <c r="J647" s="1855"/>
      <c r="K647" s="1351">
        <f>K646+1</f>
        <v>521</v>
      </c>
      <c r="L647" s="1854" t="str" cm="1">
        <f t="array" ref="L647">_xlfn.IFS(
    I646=FALSE, "",
    Payment_Frequency="Monthly", EDATE(L646, 1),
    Payment_Frequency="Weekly", DATE(YEAR(L646), MONTH(L646), DAY(L646) + 7),
    Payment_Frequency="Fortnightly", DATE(YEAR(L646), MONTH(L646), DAY(L646) + 14),
    Payment_Frequency="Quarterly", DATE(YEAR(L646), MONTH(L646) + 3, DAY(L646)),
    Payment_Frequency="Yearly", DATE(YEAR(L646) + 1, MONTH(L646), DAY(L646)),
    TRUE, ""
)</f>
        <v/>
      </c>
      <c r="M647" s="1853">
        <f>IF(ISERROR(L647-L646),0,L647-L646)</f>
        <v>0</v>
      </c>
      <c r="N647" s="1851" cm="1">
        <f t="array" ref="N647">_xlfn.IFS(
    AND(I647=TRUE, K647&lt;=No_Regular_Payments), Repay_Amt,
    AND(I647=TRUE, K647=No_Regular_Payments+1), Tm_Balloon_Amt,
   TRUE, 0
)</f>
        <v>0</v>
      </c>
      <c r="O647" s="1850" cm="1">
        <f t="array" ref="O647">_xlfn.IFS(
    M647=0,0,
   ABS(N647 - S646 - P647-Q647) &lt; 1, N647 - S646-Q647,
    TRUE, P647
)</f>
        <v>0</v>
      </c>
      <c r="P647" s="1852">
        <f>IF(M647=0,0,ROUND(S646*EXP(Int_Rate/365.25 * M647)-S646,2))</f>
        <v>0</v>
      </c>
      <c r="Q647" s="1851" cm="1">
        <f t="array" ref="Q647">_xlfn.IFS(
    AND(I647=TRUE, K647&lt;=No_Regular_Payments), Periodic_Admin_Charge,
   TRUE, 0
)</f>
        <v>0</v>
      </c>
      <c r="R647" s="1850">
        <f>N647-O647-Q647</f>
        <v>0</v>
      </c>
      <c r="S647" s="1850">
        <f>ROUND(S646-R647,2)</f>
        <v>0</v>
      </c>
      <c r="T647" s="1850">
        <f>ROUND(T646-(N647-Q647),2)</f>
        <v>0</v>
      </c>
      <c r="U647" s="1849"/>
      <c r="W647" s="1848"/>
      <c r="X647" s="1848"/>
      <c r="Y647" s="1848"/>
    </row>
    <row r="648" spans="2:25" hidden="1">
      <c r="B648" s="1815" t="b">
        <f>AND(I648=FALSE,N647=0,Q647=0,L647="")</f>
        <v>1</v>
      </c>
      <c r="C648" s="1844" t="str" cm="1">
        <f t="array" ref="C648">_xlfn.IFS(
    L648="", "",
    MONTH(L648) &lt;= End_of_Year_Month, YEAR(L648),
    TRUE, YEAR(L648) + 1
)</f>
        <v/>
      </c>
      <c r="F648" s="1857">
        <f>IF(L648="",0,L648)</f>
        <v>0</v>
      </c>
      <c r="G648" s="1856">
        <f>-(N648-Q648)</f>
        <v>0</v>
      </c>
      <c r="I648" s="1815" t="b">
        <f>K648&lt;=Number_Payments</f>
        <v>0</v>
      </c>
      <c r="J648" s="1855"/>
      <c r="K648" s="1351">
        <f>K647+1</f>
        <v>522</v>
      </c>
      <c r="L648" s="1854" t="str" cm="1">
        <f t="array" ref="L648">_xlfn.IFS(
    I647=FALSE, "",
    Payment_Frequency="Monthly", EDATE(L647, 1),
    Payment_Frequency="Weekly", DATE(YEAR(L647), MONTH(L647), DAY(L647) + 7),
    Payment_Frequency="Fortnightly", DATE(YEAR(L647), MONTH(L647), DAY(L647) + 14),
    Payment_Frequency="Quarterly", DATE(YEAR(L647), MONTH(L647) + 3, DAY(L647)),
    Payment_Frequency="Yearly", DATE(YEAR(L647) + 1, MONTH(L647), DAY(L647)),
    TRUE, ""
)</f>
        <v/>
      </c>
      <c r="M648" s="1853">
        <f>IF(ISERROR(L648-L647),0,L648-L647)</f>
        <v>0</v>
      </c>
      <c r="N648" s="1851" cm="1">
        <f t="array" ref="N648">_xlfn.IFS(
    AND(I648=TRUE, K648&lt;=No_Regular_Payments), Repay_Amt,
    AND(I648=TRUE, K648=No_Regular_Payments+1), Tm_Balloon_Amt,
   TRUE, 0
)</f>
        <v>0</v>
      </c>
      <c r="O648" s="1850" cm="1">
        <f t="array" ref="O648">_xlfn.IFS(
    M648=0,0,
   ABS(N648 - S647 - P648-Q648) &lt; 1, N648 - S647-Q648,
    TRUE, P648
)</f>
        <v>0</v>
      </c>
      <c r="P648" s="1852">
        <f>IF(M648=0,0,ROUND(S647*EXP(Int_Rate/365.25 * M648)-S647,2))</f>
        <v>0</v>
      </c>
      <c r="Q648" s="1851" cm="1">
        <f t="array" ref="Q648">_xlfn.IFS(
    AND(I648=TRUE, K648&lt;=No_Regular_Payments), Periodic_Admin_Charge,
   TRUE, 0
)</f>
        <v>0</v>
      </c>
      <c r="R648" s="1850">
        <f>N648-O648-Q648</f>
        <v>0</v>
      </c>
      <c r="S648" s="1850">
        <f>ROUND(S647-R648,2)</f>
        <v>0</v>
      </c>
      <c r="T648" s="1850">
        <f>ROUND(T647-(N648-Q648),2)</f>
        <v>0</v>
      </c>
      <c r="U648" s="1849"/>
      <c r="W648" s="1848"/>
      <c r="X648" s="1848"/>
      <c r="Y648" s="1848"/>
    </row>
    <row r="649" spans="2:25" hidden="1">
      <c r="B649" s="1815" t="b">
        <f>AND(I649=FALSE,N648=0,Q648=0,L648="")</f>
        <v>1</v>
      </c>
      <c r="C649" s="1844" t="str" cm="1">
        <f t="array" ref="C649">_xlfn.IFS(
    L649="", "",
    MONTH(L649) &lt;= End_of_Year_Month, YEAR(L649),
    TRUE, YEAR(L649) + 1
)</f>
        <v/>
      </c>
      <c r="F649" s="1857">
        <f>IF(L649="",0,L649)</f>
        <v>0</v>
      </c>
      <c r="G649" s="1856">
        <f>-(N649-Q649)</f>
        <v>0</v>
      </c>
      <c r="I649" s="1815" t="b">
        <f>K649&lt;=Number_Payments</f>
        <v>0</v>
      </c>
      <c r="J649" s="1855"/>
      <c r="K649" s="1351">
        <f>K648+1</f>
        <v>523</v>
      </c>
      <c r="L649" s="1854" t="str" cm="1">
        <f t="array" ref="L649">_xlfn.IFS(
    I648=FALSE, "",
    Payment_Frequency="Monthly", EDATE(L648, 1),
    Payment_Frequency="Weekly", DATE(YEAR(L648), MONTH(L648), DAY(L648) + 7),
    Payment_Frequency="Fortnightly", DATE(YEAR(L648), MONTH(L648), DAY(L648) + 14),
    Payment_Frequency="Quarterly", DATE(YEAR(L648), MONTH(L648) + 3, DAY(L648)),
    Payment_Frequency="Yearly", DATE(YEAR(L648) + 1, MONTH(L648), DAY(L648)),
    TRUE, ""
)</f>
        <v/>
      </c>
      <c r="M649" s="1853">
        <f>IF(ISERROR(L649-L648),0,L649-L648)</f>
        <v>0</v>
      </c>
      <c r="N649" s="1851" cm="1">
        <f t="array" ref="N649">_xlfn.IFS(
    AND(I649=TRUE, K649&lt;=No_Regular_Payments), Repay_Amt,
    AND(I649=TRUE, K649=No_Regular_Payments+1), Tm_Balloon_Amt,
   TRUE, 0
)</f>
        <v>0</v>
      </c>
      <c r="O649" s="1850" cm="1">
        <f t="array" ref="O649">_xlfn.IFS(
    M649=0,0,
   ABS(N649 - S648 - P649-Q649) &lt; 1, N649 - S648-Q649,
    TRUE, P649
)</f>
        <v>0</v>
      </c>
      <c r="P649" s="1852">
        <f>IF(M649=0,0,ROUND(S648*EXP(Int_Rate/365.25 * M649)-S648,2))</f>
        <v>0</v>
      </c>
      <c r="Q649" s="1851" cm="1">
        <f t="array" ref="Q649">_xlfn.IFS(
    AND(I649=TRUE, K649&lt;=No_Regular_Payments), Periodic_Admin_Charge,
   TRUE, 0
)</f>
        <v>0</v>
      </c>
      <c r="R649" s="1850">
        <f>N649-O649-Q649</f>
        <v>0</v>
      </c>
      <c r="S649" s="1850">
        <f>ROUND(S648-R649,2)</f>
        <v>0</v>
      </c>
      <c r="T649" s="1850">
        <f>ROUND(T648-(N649-Q649),2)</f>
        <v>0</v>
      </c>
      <c r="U649" s="1849"/>
      <c r="W649" s="1848"/>
      <c r="X649" s="1848"/>
      <c r="Y649" s="1848"/>
    </row>
    <row r="650" spans="2:25" hidden="1">
      <c r="B650" s="1815" t="b">
        <f>AND(I650=FALSE,N649=0,Q649=0,L649="")</f>
        <v>1</v>
      </c>
      <c r="C650" s="1844" t="str" cm="1">
        <f t="array" ref="C650">_xlfn.IFS(
    L650="", "",
    MONTH(L650) &lt;= End_of_Year_Month, YEAR(L650),
    TRUE, YEAR(L650) + 1
)</f>
        <v/>
      </c>
      <c r="F650" s="1857">
        <f>IF(L650="",0,L650)</f>
        <v>0</v>
      </c>
      <c r="G650" s="1856">
        <f>-(N650-Q650)</f>
        <v>0</v>
      </c>
      <c r="I650" s="1815" t="b">
        <f>K650&lt;=Number_Payments</f>
        <v>0</v>
      </c>
      <c r="J650" s="1855"/>
      <c r="K650" s="1351">
        <f>K649+1</f>
        <v>524</v>
      </c>
      <c r="L650" s="1854" t="str" cm="1">
        <f t="array" ref="L650">_xlfn.IFS(
    I649=FALSE, "",
    Payment_Frequency="Monthly", EDATE(L649, 1),
    Payment_Frequency="Weekly", DATE(YEAR(L649), MONTH(L649), DAY(L649) + 7),
    Payment_Frequency="Fortnightly", DATE(YEAR(L649), MONTH(L649), DAY(L649) + 14),
    Payment_Frequency="Quarterly", DATE(YEAR(L649), MONTH(L649) + 3, DAY(L649)),
    Payment_Frequency="Yearly", DATE(YEAR(L649) + 1, MONTH(L649), DAY(L649)),
    TRUE, ""
)</f>
        <v/>
      </c>
      <c r="M650" s="1853">
        <f>IF(ISERROR(L650-L649),0,L650-L649)</f>
        <v>0</v>
      </c>
      <c r="N650" s="1851" cm="1">
        <f t="array" ref="N650">_xlfn.IFS(
    AND(I650=TRUE, K650&lt;=No_Regular_Payments), Repay_Amt,
    AND(I650=TRUE, K650=No_Regular_Payments+1), Tm_Balloon_Amt,
   TRUE, 0
)</f>
        <v>0</v>
      </c>
      <c r="O650" s="1850" cm="1">
        <f t="array" ref="O650">_xlfn.IFS(
    M650=0,0,
   ABS(N650 - S649 - P650-Q650) &lt; 1, N650 - S649-Q650,
    TRUE, P650
)</f>
        <v>0</v>
      </c>
      <c r="P650" s="1852">
        <f>IF(M650=0,0,ROUND(S649*EXP(Int_Rate/365.25 * M650)-S649,2))</f>
        <v>0</v>
      </c>
      <c r="Q650" s="1851" cm="1">
        <f t="array" ref="Q650">_xlfn.IFS(
    AND(I650=TRUE, K650&lt;=No_Regular_Payments), Periodic_Admin_Charge,
   TRUE, 0
)</f>
        <v>0</v>
      </c>
      <c r="R650" s="1850">
        <f>N650-O650-Q650</f>
        <v>0</v>
      </c>
      <c r="S650" s="1850">
        <f>ROUND(S649-R650,2)</f>
        <v>0</v>
      </c>
      <c r="T650" s="1850">
        <f>ROUND(T649-(N650-Q650),2)</f>
        <v>0</v>
      </c>
      <c r="U650" s="1849"/>
      <c r="W650" s="1848"/>
      <c r="X650" s="1848"/>
      <c r="Y650" s="1848"/>
    </row>
    <row r="651" spans="2:25" hidden="1">
      <c r="B651" s="1815" t="b">
        <f>AND(I651=FALSE,N650=0,Q650=0,L650="")</f>
        <v>1</v>
      </c>
      <c r="C651" s="1844" t="str" cm="1">
        <f t="array" ref="C651">_xlfn.IFS(
    L651="", "",
    MONTH(L651) &lt;= End_of_Year_Month, YEAR(L651),
    TRUE, YEAR(L651) + 1
)</f>
        <v/>
      </c>
      <c r="F651" s="1857">
        <f>IF(L651="",0,L651)</f>
        <v>0</v>
      </c>
      <c r="G651" s="1856">
        <f>-(N651-Q651)</f>
        <v>0</v>
      </c>
      <c r="I651" s="1815" t="b">
        <f>K651&lt;=Number_Payments</f>
        <v>0</v>
      </c>
      <c r="J651" s="1855"/>
      <c r="K651" s="1351">
        <f>K650+1</f>
        <v>525</v>
      </c>
      <c r="L651" s="1854" t="str" cm="1">
        <f t="array" ref="L651">_xlfn.IFS(
    I650=FALSE, "",
    Payment_Frequency="Monthly", EDATE(L650, 1),
    Payment_Frequency="Weekly", DATE(YEAR(L650), MONTH(L650), DAY(L650) + 7),
    Payment_Frequency="Fortnightly", DATE(YEAR(L650), MONTH(L650), DAY(L650) + 14),
    Payment_Frequency="Quarterly", DATE(YEAR(L650), MONTH(L650) + 3, DAY(L650)),
    Payment_Frequency="Yearly", DATE(YEAR(L650) + 1, MONTH(L650), DAY(L650)),
    TRUE, ""
)</f>
        <v/>
      </c>
      <c r="M651" s="1853">
        <f>IF(ISERROR(L651-L650),0,L651-L650)</f>
        <v>0</v>
      </c>
      <c r="N651" s="1851" cm="1">
        <f t="array" ref="N651">_xlfn.IFS(
    AND(I651=TRUE, K651&lt;=No_Regular_Payments), Repay_Amt,
    AND(I651=TRUE, K651=No_Regular_Payments+1), Tm_Balloon_Amt,
   TRUE, 0
)</f>
        <v>0</v>
      </c>
      <c r="O651" s="1850" cm="1">
        <f t="array" ref="O651">_xlfn.IFS(
    M651=0,0,
   ABS(N651 - S650 - P651-Q651) &lt; 1, N651 - S650-Q651,
    TRUE, P651
)</f>
        <v>0</v>
      </c>
      <c r="P651" s="1852">
        <f>IF(M651=0,0,ROUND(S650*EXP(Int_Rate/365.25 * M651)-S650,2))</f>
        <v>0</v>
      </c>
      <c r="Q651" s="1851" cm="1">
        <f t="array" ref="Q651">_xlfn.IFS(
    AND(I651=TRUE, K651&lt;=No_Regular_Payments), Periodic_Admin_Charge,
   TRUE, 0
)</f>
        <v>0</v>
      </c>
      <c r="R651" s="1850">
        <f>N651-O651-Q651</f>
        <v>0</v>
      </c>
      <c r="S651" s="1850">
        <f>ROUND(S650-R651,2)</f>
        <v>0</v>
      </c>
      <c r="T651" s="1850">
        <f>ROUND(T650-(N651-Q651),2)</f>
        <v>0</v>
      </c>
      <c r="U651" s="1849"/>
      <c r="W651" s="1848"/>
      <c r="X651" s="1848"/>
      <c r="Y651" s="1848"/>
    </row>
    <row r="652" spans="2:25" hidden="1">
      <c r="B652" s="1815" t="b">
        <f>AND(I652=FALSE,N651=0,Q651=0,L651="")</f>
        <v>1</v>
      </c>
      <c r="C652" s="1844" t="str" cm="1">
        <f t="array" ref="C652">_xlfn.IFS(
    L652="", "",
    MONTH(L652) &lt;= End_of_Year_Month, YEAR(L652),
    TRUE, YEAR(L652) + 1
)</f>
        <v/>
      </c>
      <c r="F652" s="1857">
        <f>IF(L652="",0,L652)</f>
        <v>0</v>
      </c>
      <c r="G652" s="1856">
        <f>-(N652-Q652)</f>
        <v>0</v>
      </c>
      <c r="I652" s="1815" t="b">
        <f>K652&lt;=Number_Payments</f>
        <v>0</v>
      </c>
      <c r="J652" s="1855"/>
      <c r="K652" s="1351">
        <f>K651+1</f>
        <v>526</v>
      </c>
      <c r="L652" s="1854" t="str" cm="1">
        <f t="array" ref="L652">_xlfn.IFS(
    I651=FALSE, "",
    Payment_Frequency="Monthly", EDATE(L651, 1),
    Payment_Frequency="Weekly", DATE(YEAR(L651), MONTH(L651), DAY(L651) + 7),
    Payment_Frequency="Fortnightly", DATE(YEAR(L651), MONTH(L651), DAY(L651) + 14),
    Payment_Frequency="Quarterly", DATE(YEAR(L651), MONTH(L651) + 3, DAY(L651)),
    Payment_Frequency="Yearly", DATE(YEAR(L651) + 1, MONTH(L651), DAY(L651)),
    TRUE, ""
)</f>
        <v/>
      </c>
      <c r="M652" s="1853">
        <f>IF(ISERROR(L652-L651),0,L652-L651)</f>
        <v>0</v>
      </c>
      <c r="N652" s="1851" cm="1">
        <f t="array" ref="N652">_xlfn.IFS(
    AND(I652=TRUE, K652&lt;=No_Regular_Payments), Repay_Amt,
    AND(I652=TRUE, K652=No_Regular_Payments+1), Tm_Balloon_Amt,
   TRUE, 0
)</f>
        <v>0</v>
      </c>
      <c r="O652" s="1850" cm="1">
        <f t="array" ref="O652">_xlfn.IFS(
    M652=0,0,
   ABS(N652 - S651 - P652-Q652) &lt; 1, N652 - S651-Q652,
    TRUE, P652
)</f>
        <v>0</v>
      </c>
      <c r="P652" s="1852">
        <f>IF(M652=0,0,ROUND(S651*EXP(Int_Rate/365.25 * M652)-S651,2))</f>
        <v>0</v>
      </c>
      <c r="Q652" s="1851" cm="1">
        <f t="array" ref="Q652">_xlfn.IFS(
    AND(I652=TRUE, K652&lt;=No_Regular_Payments), Periodic_Admin_Charge,
   TRUE, 0
)</f>
        <v>0</v>
      </c>
      <c r="R652" s="1850">
        <f>N652-O652-Q652</f>
        <v>0</v>
      </c>
      <c r="S652" s="1850">
        <f>ROUND(S651-R652,2)</f>
        <v>0</v>
      </c>
      <c r="T652" s="1850">
        <f>ROUND(T651-(N652-Q652),2)</f>
        <v>0</v>
      </c>
      <c r="U652" s="1849"/>
      <c r="W652" s="1848"/>
      <c r="X652" s="1848"/>
      <c r="Y652" s="1848"/>
    </row>
    <row r="653" spans="2:25" hidden="1">
      <c r="B653" s="1815" t="b">
        <f>AND(I653=FALSE,N652=0,Q652=0,L652="")</f>
        <v>1</v>
      </c>
      <c r="C653" s="1844" t="str" cm="1">
        <f t="array" ref="C653">_xlfn.IFS(
    L653="", "",
    MONTH(L653) &lt;= End_of_Year_Month, YEAR(L653),
    TRUE, YEAR(L653) + 1
)</f>
        <v/>
      </c>
      <c r="F653" s="1857">
        <f>IF(L653="",0,L653)</f>
        <v>0</v>
      </c>
      <c r="G653" s="1856">
        <f>-(N653-Q653)</f>
        <v>0</v>
      </c>
      <c r="I653" s="1815" t="b">
        <f>K653&lt;=Number_Payments</f>
        <v>0</v>
      </c>
      <c r="J653" s="1855"/>
      <c r="K653" s="1351">
        <f>K652+1</f>
        <v>527</v>
      </c>
      <c r="L653" s="1854" t="str" cm="1">
        <f t="array" ref="L653">_xlfn.IFS(
    I652=FALSE, "",
    Payment_Frequency="Monthly", EDATE(L652, 1),
    Payment_Frequency="Weekly", DATE(YEAR(L652), MONTH(L652), DAY(L652) + 7),
    Payment_Frequency="Fortnightly", DATE(YEAR(L652), MONTH(L652), DAY(L652) + 14),
    Payment_Frequency="Quarterly", DATE(YEAR(L652), MONTH(L652) + 3, DAY(L652)),
    Payment_Frequency="Yearly", DATE(YEAR(L652) + 1, MONTH(L652), DAY(L652)),
    TRUE, ""
)</f>
        <v/>
      </c>
      <c r="M653" s="1853">
        <f>IF(ISERROR(L653-L652),0,L653-L652)</f>
        <v>0</v>
      </c>
      <c r="N653" s="1851" cm="1">
        <f t="array" ref="N653">_xlfn.IFS(
    AND(I653=TRUE, K653&lt;=No_Regular_Payments), Repay_Amt,
    AND(I653=TRUE, K653=No_Regular_Payments+1), Tm_Balloon_Amt,
   TRUE, 0
)</f>
        <v>0</v>
      </c>
      <c r="O653" s="1850" cm="1">
        <f t="array" ref="O653">_xlfn.IFS(
    M653=0,0,
   ABS(N653 - S652 - P653-Q653) &lt; 1, N653 - S652-Q653,
    TRUE, P653
)</f>
        <v>0</v>
      </c>
      <c r="P653" s="1852">
        <f>IF(M653=0,0,ROUND(S652*EXP(Int_Rate/365.25 * M653)-S652,2))</f>
        <v>0</v>
      </c>
      <c r="Q653" s="1851" cm="1">
        <f t="array" ref="Q653">_xlfn.IFS(
    AND(I653=TRUE, K653&lt;=No_Regular_Payments), Periodic_Admin_Charge,
   TRUE, 0
)</f>
        <v>0</v>
      </c>
      <c r="R653" s="1850">
        <f>N653-O653-Q653</f>
        <v>0</v>
      </c>
      <c r="S653" s="1850">
        <f>ROUND(S652-R653,2)</f>
        <v>0</v>
      </c>
      <c r="T653" s="1850">
        <f>ROUND(T652-(N653-Q653),2)</f>
        <v>0</v>
      </c>
      <c r="U653" s="1849"/>
      <c r="W653" s="1848"/>
      <c r="X653" s="1848"/>
      <c r="Y653" s="1848"/>
    </row>
    <row r="654" spans="2:25" hidden="1">
      <c r="B654" s="1815" t="b">
        <f>AND(I654=FALSE,N653=0,Q653=0,L653="")</f>
        <v>1</v>
      </c>
      <c r="C654" s="1844" t="str" cm="1">
        <f t="array" ref="C654">_xlfn.IFS(
    L654="", "",
    MONTH(L654) &lt;= End_of_Year_Month, YEAR(L654),
    TRUE, YEAR(L654) + 1
)</f>
        <v/>
      </c>
      <c r="F654" s="1857">
        <f>IF(L654="",0,L654)</f>
        <v>0</v>
      </c>
      <c r="G654" s="1856">
        <f>-(N654-Q654)</f>
        <v>0</v>
      </c>
      <c r="I654" s="1815" t="b">
        <f>K654&lt;=Number_Payments</f>
        <v>0</v>
      </c>
      <c r="J654" s="1855"/>
      <c r="K654" s="1351">
        <f>K653+1</f>
        <v>528</v>
      </c>
      <c r="L654" s="1854" t="str" cm="1">
        <f t="array" ref="L654">_xlfn.IFS(
    I653=FALSE, "",
    Payment_Frequency="Monthly", EDATE(L653, 1),
    Payment_Frequency="Weekly", DATE(YEAR(L653), MONTH(L653), DAY(L653) + 7),
    Payment_Frequency="Fortnightly", DATE(YEAR(L653), MONTH(L653), DAY(L653) + 14),
    Payment_Frequency="Quarterly", DATE(YEAR(L653), MONTH(L653) + 3, DAY(L653)),
    Payment_Frequency="Yearly", DATE(YEAR(L653) + 1, MONTH(L653), DAY(L653)),
    TRUE, ""
)</f>
        <v/>
      </c>
      <c r="M654" s="1853">
        <f>IF(ISERROR(L654-L653),0,L654-L653)</f>
        <v>0</v>
      </c>
      <c r="N654" s="1851" cm="1">
        <f t="array" ref="N654">_xlfn.IFS(
    AND(I654=TRUE, K654&lt;=No_Regular_Payments), Repay_Amt,
    AND(I654=TRUE, K654=No_Regular_Payments+1), Tm_Balloon_Amt,
   TRUE, 0
)</f>
        <v>0</v>
      </c>
      <c r="O654" s="1850" cm="1">
        <f t="array" ref="O654">_xlfn.IFS(
    M654=0,0,
   ABS(N654 - S653 - P654-Q654) &lt; 1, N654 - S653-Q654,
    TRUE, P654
)</f>
        <v>0</v>
      </c>
      <c r="P654" s="1852">
        <f>IF(M654=0,0,ROUND(S653*EXP(Int_Rate/365.25 * M654)-S653,2))</f>
        <v>0</v>
      </c>
      <c r="Q654" s="1851" cm="1">
        <f t="array" ref="Q654">_xlfn.IFS(
    AND(I654=TRUE, K654&lt;=No_Regular_Payments), Periodic_Admin_Charge,
   TRUE, 0
)</f>
        <v>0</v>
      </c>
      <c r="R654" s="1850">
        <f>N654-O654-Q654</f>
        <v>0</v>
      </c>
      <c r="S654" s="1850">
        <f>ROUND(S653-R654,2)</f>
        <v>0</v>
      </c>
      <c r="T654" s="1850">
        <f>ROUND(T653-(N654-Q654),2)</f>
        <v>0</v>
      </c>
      <c r="U654" s="1849"/>
      <c r="W654" s="1848"/>
      <c r="X654" s="1848"/>
      <c r="Y654" s="1848"/>
    </row>
    <row r="655" spans="2:25" hidden="1">
      <c r="B655" s="1815" t="b">
        <f>AND(I655=FALSE,N654=0,Q654=0,L654="")</f>
        <v>1</v>
      </c>
      <c r="C655" s="1844" t="str" cm="1">
        <f t="array" ref="C655">_xlfn.IFS(
    L655="", "",
    MONTH(L655) &lt;= End_of_Year_Month, YEAR(L655),
    TRUE, YEAR(L655) + 1
)</f>
        <v/>
      </c>
      <c r="F655" s="1857">
        <f>IF(L655="",0,L655)</f>
        <v>0</v>
      </c>
      <c r="G655" s="1856">
        <f>-(N655-Q655)</f>
        <v>0</v>
      </c>
      <c r="I655" s="1815" t="b">
        <f>K655&lt;=Number_Payments</f>
        <v>0</v>
      </c>
      <c r="J655" s="1855"/>
      <c r="K655" s="1351">
        <f>K654+1</f>
        <v>529</v>
      </c>
      <c r="L655" s="1854" t="str" cm="1">
        <f t="array" ref="L655">_xlfn.IFS(
    I654=FALSE, "",
    Payment_Frequency="Monthly", EDATE(L654, 1),
    Payment_Frequency="Weekly", DATE(YEAR(L654), MONTH(L654), DAY(L654) + 7),
    Payment_Frequency="Fortnightly", DATE(YEAR(L654), MONTH(L654), DAY(L654) + 14),
    Payment_Frequency="Quarterly", DATE(YEAR(L654), MONTH(L654) + 3, DAY(L654)),
    Payment_Frequency="Yearly", DATE(YEAR(L654) + 1, MONTH(L654), DAY(L654)),
    TRUE, ""
)</f>
        <v/>
      </c>
      <c r="M655" s="1853">
        <f>IF(ISERROR(L655-L654),0,L655-L654)</f>
        <v>0</v>
      </c>
      <c r="N655" s="1851" cm="1">
        <f t="array" ref="N655">_xlfn.IFS(
    AND(I655=TRUE, K655&lt;=No_Regular_Payments), Repay_Amt,
    AND(I655=TRUE, K655=No_Regular_Payments+1), Tm_Balloon_Amt,
   TRUE, 0
)</f>
        <v>0</v>
      </c>
      <c r="O655" s="1850" cm="1">
        <f t="array" ref="O655">_xlfn.IFS(
    M655=0,0,
   ABS(N655 - S654 - P655-Q655) &lt; 1, N655 - S654-Q655,
    TRUE, P655
)</f>
        <v>0</v>
      </c>
      <c r="P655" s="1852">
        <f>IF(M655=0,0,ROUND(S654*EXP(Int_Rate/365.25 * M655)-S654,2))</f>
        <v>0</v>
      </c>
      <c r="Q655" s="1851" cm="1">
        <f t="array" ref="Q655">_xlfn.IFS(
    AND(I655=TRUE, K655&lt;=No_Regular_Payments), Periodic_Admin_Charge,
   TRUE, 0
)</f>
        <v>0</v>
      </c>
      <c r="R655" s="1850">
        <f>N655-O655-Q655</f>
        <v>0</v>
      </c>
      <c r="S655" s="1850">
        <f>ROUND(S654-R655,2)</f>
        <v>0</v>
      </c>
      <c r="T655" s="1850">
        <f>ROUND(T654-(N655-Q655),2)</f>
        <v>0</v>
      </c>
      <c r="U655" s="1849"/>
      <c r="W655" s="1848"/>
      <c r="X655" s="1848"/>
      <c r="Y655" s="1848"/>
    </row>
    <row r="656" spans="2:25" hidden="1">
      <c r="B656" s="1815" t="b">
        <f>AND(I656=FALSE,N655=0,Q655=0,L655="")</f>
        <v>1</v>
      </c>
      <c r="C656" s="1844" t="str" cm="1">
        <f t="array" ref="C656">_xlfn.IFS(
    L656="", "",
    MONTH(L656) &lt;= End_of_Year_Month, YEAR(L656),
    TRUE, YEAR(L656) + 1
)</f>
        <v/>
      </c>
      <c r="F656" s="1857">
        <f>IF(L656="",0,L656)</f>
        <v>0</v>
      </c>
      <c r="G656" s="1856">
        <f>-(N656-Q656)</f>
        <v>0</v>
      </c>
      <c r="I656" s="1815" t="b">
        <f>K656&lt;=Number_Payments</f>
        <v>0</v>
      </c>
      <c r="J656" s="1855"/>
      <c r="K656" s="1351">
        <f>K655+1</f>
        <v>530</v>
      </c>
      <c r="L656" s="1854" t="str" cm="1">
        <f t="array" ref="L656">_xlfn.IFS(
    I655=FALSE, "",
    Payment_Frequency="Monthly", EDATE(L655, 1),
    Payment_Frequency="Weekly", DATE(YEAR(L655), MONTH(L655), DAY(L655) + 7),
    Payment_Frequency="Fortnightly", DATE(YEAR(L655), MONTH(L655), DAY(L655) + 14),
    Payment_Frequency="Quarterly", DATE(YEAR(L655), MONTH(L655) + 3, DAY(L655)),
    Payment_Frequency="Yearly", DATE(YEAR(L655) + 1, MONTH(L655), DAY(L655)),
    TRUE, ""
)</f>
        <v/>
      </c>
      <c r="M656" s="1853">
        <f>IF(ISERROR(L656-L655),0,L656-L655)</f>
        <v>0</v>
      </c>
      <c r="N656" s="1851" cm="1">
        <f t="array" ref="N656">_xlfn.IFS(
    AND(I656=TRUE, K656&lt;=No_Regular_Payments), Repay_Amt,
    AND(I656=TRUE, K656=No_Regular_Payments+1), Tm_Balloon_Amt,
   TRUE, 0
)</f>
        <v>0</v>
      </c>
      <c r="O656" s="1850" cm="1">
        <f t="array" ref="O656">_xlfn.IFS(
    M656=0,0,
   ABS(N656 - S655 - P656-Q656) &lt; 1, N656 - S655-Q656,
    TRUE, P656
)</f>
        <v>0</v>
      </c>
      <c r="P656" s="1852">
        <f>IF(M656=0,0,ROUND(S655*EXP(Int_Rate/365.25 * M656)-S655,2))</f>
        <v>0</v>
      </c>
      <c r="Q656" s="1851" cm="1">
        <f t="array" ref="Q656">_xlfn.IFS(
    AND(I656=TRUE, K656&lt;=No_Regular_Payments), Periodic_Admin_Charge,
   TRUE, 0
)</f>
        <v>0</v>
      </c>
      <c r="R656" s="1850">
        <f>N656-O656-Q656</f>
        <v>0</v>
      </c>
      <c r="S656" s="1850">
        <f>ROUND(S655-R656,2)</f>
        <v>0</v>
      </c>
      <c r="T656" s="1850">
        <f>ROUND(T655-(N656-Q656),2)</f>
        <v>0</v>
      </c>
      <c r="U656" s="1849"/>
      <c r="W656" s="1848"/>
      <c r="X656" s="1848"/>
      <c r="Y656" s="1848"/>
    </row>
    <row r="657" spans="2:25" hidden="1">
      <c r="B657" s="1815" t="b">
        <f>AND(I657=FALSE,N656=0,Q656=0,L656="")</f>
        <v>1</v>
      </c>
      <c r="C657" s="1844" t="str" cm="1">
        <f t="array" ref="C657">_xlfn.IFS(
    L657="", "",
    MONTH(L657) &lt;= End_of_Year_Month, YEAR(L657),
    TRUE, YEAR(L657) + 1
)</f>
        <v/>
      </c>
      <c r="F657" s="1857">
        <f>IF(L657="",0,L657)</f>
        <v>0</v>
      </c>
      <c r="G657" s="1856">
        <f>-(N657-Q657)</f>
        <v>0</v>
      </c>
      <c r="I657" s="1815" t="b">
        <f>K657&lt;=Number_Payments</f>
        <v>0</v>
      </c>
      <c r="J657" s="1855"/>
      <c r="K657" s="1351">
        <f>K656+1</f>
        <v>531</v>
      </c>
      <c r="L657" s="1854" t="str" cm="1">
        <f t="array" ref="L657">_xlfn.IFS(
    I656=FALSE, "",
    Payment_Frequency="Monthly", EDATE(L656, 1),
    Payment_Frequency="Weekly", DATE(YEAR(L656), MONTH(L656), DAY(L656) + 7),
    Payment_Frequency="Fortnightly", DATE(YEAR(L656), MONTH(L656), DAY(L656) + 14),
    Payment_Frequency="Quarterly", DATE(YEAR(L656), MONTH(L656) + 3, DAY(L656)),
    Payment_Frequency="Yearly", DATE(YEAR(L656) + 1, MONTH(L656), DAY(L656)),
    TRUE, ""
)</f>
        <v/>
      </c>
      <c r="M657" s="1853">
        <f>IF(ISERROR(L657-L656),0,L657-L656)</f>
        <v>0</v>
      </c>
      <c r="N657" s="1851" cm="1">
        <f t="array" ref="N657">_xlfn.IFS(
    AND(I657=TRUE, K657&lt;=No_Regular_Payments), Repay_Amt,
    AND(I657=TRUE, K657=No_Regular_Payments+1), Tm_Balloon_Amt,
   TRUE, 0
)</f>
        <v>0</v>
      </c>
      <c r="O657" s="1850" cm="1">
        <f t="array" ref="O657">_xlfn.IFS(
    M657=0,0,
   ABS(N657 - S656 - P657-Q657) &lt; 1, N657 - S656-Q657,
    TRUE, P657
)</f>
        <v>0</v>
      </c>
      <c r="P657" s="1852">
        <f>IF(M657=0,0,ROUND(S656*EXP(Int_Rate/365.25 * M657)-S656,2))</f>
        <v>0</v>
      </c>
      <c r="Q657" s="1851" cm="1">
        <f t="array" ref="Q657">_xlfn.IFS(
    AND(I657=TRUE, K657&lt;=No_Regular_Payments), Periodic_Admin_Charge,
   TRUE, 0
)</f>
        <v>0</v>
      </c>
      <c r="R657" s="1850">
        <f>N657-O657-Q657</f>
        <v>0</v>
      </c>
      <c r="S657" s="1850">
        <f>ROUND(S656-R657,2)</f>
        <v>0</v>
      </c>
      <c r="T657" s="1850">
        <f>ROUND(T656-(N657-Q657),2)</f>
        <v>0</v>
      </c>
      <c r="U657" s="1849"/>
      <c r="W657" s="1848"/>
      <c r="X657" s="1848"/>
      <c r="Y657" s="1848"/>
    </row>
    <row r="658" spans="2:25" hidden="1">
      <c r="B658" s="1815" t="b">
        <f>AND(I658=FALSE,N657=0,Q657=0,L657="")</f>
        <v>1</v>
      </c>
      <c r="C658" s="1844" t="str" cm="1">
        <f t="array" ref="C658">_xlfn.IFS(
    L658="", "",
    MONTH(L658) &lt;= End_of_Year_Month, YEAR(L658),
    TRUE, YEAR(L658) + 1
)</f>
        <v/>
      </c>
      <c r="F658" s="1857">
        <f>IF(L658="",0,L658)</f>
        <v>0</v>
      </c>
      <c r="G658" s="1856">
        <f>-(N658-Q658)</f>
        <v>0</v>
      </c>
      <c r="I658" s="1815" t="b">
        <f>K658&lt;=Number_Payments</f>
        <v>0</v>
      </c>
      <c r="J658" s="1855"/>
      <c r="K658" s="1351">
        <f>K657+1</f>
        <v>532</v>
      </c>
      <c r="L658" s="1854" t="str" cm="1">
        <f t="array" ref="L658">_xlfn.IFS(
    I657=FALSE, "",
    Payment_Frequency="Monthly", EDATE(L657, 1),
    Payment_Frequency="Weekly", DATE(YEAR(L657), MONTH(L657), DAY(L657) + 7),
    Payment_Frequency="Fortnightly", DATE(YEAR(L657), MONTH(L657), DAY(L657) + 14),
    Payment_Frequency="Quarterly", DATE(YEAR(L657), MONTH(L657) + 3, DAY(L657)),
    Payment_Frequency="Yearly", DATE(YEAR(L657) + 1, MONTH(L657), DAY(L657)),
    TRUE, ""
)</f>
        <v/>
      </c>
      <c r="M658" s="1853">
        <f>IF(ISERROR(L658-L657),0,L658-L657)</f>
        <v>0</v>
      </c>
      <c r="N658" s="1851" cm="1">
        <f t="array" ref="N658">_xlfn.IFS(
    AND(I658=TRUE, K658&lt;=No_Regular_Payments), Repay_Amt,
    AND(I658=TRUE, K658=No_Regular_Payments+1), Tm_Balloon_Amt,
   TRUE, 0
)</f>
        <v>0</v>
      </c>
      <c r="O658" s="1850" cm="1">
        <f t="array" ref="O658">_xlfn.IFS(
    M658=0,0,
   ABS(N658 - S657 - P658-Q658) &lt; 1, N658 - S657-Q658,
    TRUE, P658
)</f>
        <v>0</v>
      </c>
      <c r="P658" s="1852">
        <f>IF(M658=0,0,ROUND(S657*EXP(Int_Rate/365.25 * M658)-S657,2))</f>
        <v>0</v>
      </c>
      <c r="Q658" s="1851" cm="1">
        <f t="array" ref="Q658">_xlfn.IFS(
    AND(I658=TRUE, K658&lt;=No_Regular_Payments), Periodic_Admin_Charge,
   TRUE, 0
)</f>
        <v>0</v>
      </c>
      <c r="R658" s="1850">
        <f>N658-O658-Q658</f>
        <v>0</v>
      </c>
      <c r="S658" s="1850">
        <f>ROUND(S657-R658,2)</f>
        <v>0</v>
      </c>
      <c r="T658" s="1850">
        <f>ROUND(T657-(N658-Q658),2)</f>
        <v>0</v>
      </c>
      <c r="U658" s="1849"/>
      <c r="W658" s="1848"/>
      <c r="X658" s="1848"/>
      <c r="Y658" s="1848"/>
    </row>
    <row r="659" spans="2:25" hidden="1">
      <c r="B659" s="1815" t="b">
        <f>AND(I659=FALSE,N658=0,Q658=0,L658="")</f>
        <v>1</v>
      </c>
      <c r="C659" s="1844" t="str" cm="1">
        <f t="array" ref="C659">_xlfn.IFS(
    L659="", "",
    MONTH(L659) &lt;= End_of_Year_Month, YEAR(L659),
    TRUE, YEAR(L659) + 1
)</f>
        <v/>
      </c>
      <c r="F659" s="1857">
        <f>IF(L659="",0,L659)</f>
        <v>0</v>
      </c>
      <c r="G659" s="1856">
        <f>-(N659-Q659)</f>
        <v>0</v>
      </c>
      <c r="I659" s="1815" t="b">
        <f>K659&lt;=Number_Payments</f>
        <v>0</v>
      </c>
      <c r="J659" s="1855"/>
      <c r="K659" s="1351">
        <f>K658+1</f>
        <v>533</v>
      </c>
      <c r="L659" s="1854" t="str" cm="1">
        <f t="array" ref="L659">_xlfn.IFS(
    I658=FALSE, "",
    Payment_Frequency="Monthly", EDATE(L658, 1),
    Payment_Frequency="Weekly", DATE(YEAR(L658), MONTH(L658), DAY(L658) + 7),
    Payment_Frequency="Fortnightly", DATE(YEAR(L658), MONTH(L658), DAY(L658) + 14),
    Payment_Frequency="Quarterly", DATE(YEAR(L658), MONTH(L658) + 3, DAY(L658)),
    Payment_Frequency="Yearly", DATE(YEAR(L658) + 1, MONTH(L658), DAY(L658)),
    TRUE, ""
)</f>
        <v/>
      </c>
      <c r="M659" s="1853">
        <f>IF(ISERROR(L659-L658),0,L659-L658)</f>
        <v>0</v>
      </c>
      <c r="N659" s="1851" cm="1">
        <f t="array" ref="N659">_xlfn.IFS(
    AND(I659=TRUE, K659&lt;=No_Regular_Payments), Repay_Amt,
    AND(I659=TRUE, K659=No_Regular_Payments+1), Tm_Balloon_Amt,
   TRUE, 0
)</f>
        <v>0</v>
      </c>
      <c r="O659" s="1850" cm="1">
        <f t="array" ref="O659">_xlfn.IFS(
    M659=0,0,
   ABS(N659 - S658 - P659-Q659) &lt; 1, N659 - S658-Q659,
    TRUE, P659
)</f>
        <v>0</v>
      </c>
      <c r="P659" s="1852">
        <f>IF(M659=0,0,ROUND(S658*EXP(Int_Rate/365.25 * M659)-S658,2))</f>
        <v>0</v>
      </c>
      <c r="Q659" s="1851" cm="1">
        <f t="array" ref="Q659">_xlfn.IFS(
    AND(I659=TRUE, K659&lt;=No_Regular_Payments), Periodic_Admin_Charge,
   TRUE, 0
)</f>
        <v>0</v>
      </c>
      <c r="R659" s="1850">
        <f>N659-O659-Q659</f>
        <v>0</v>
      </c>
      <c r="S659" s="1850">
        <f>ROUND(S658-R659,2)</f>
        <v>0</v>
      </c>
      <c r="T659" s="1850">
        <f>ROUND(T658-(N659-Q659),2)</f>
        <v>0</v>
      </c>
      <c r="U659" s="1849"/>
      <c r="W659" s="1848"/>
      <c r="X659" s="1848"/>
      <c r="Y659" s="1848"/>
    </row>
    <row r="660" spans="2:25" hidden="1">
      <c r="B660" s="1815" t="b">
        <f>AND(I660=FALSE,N659=0,Q659=0,L659="")</f>
        <v>1</v>
      </c>
      <c r="C660" s="1844" t="str" cm="1">
        <f t="array" ref="C660">_xlfn.IFS(
    L660="", "",
    MONTH(L660) &lt;= End_of_Year_Month, YEAR(L660),
    TRUE, YEAR(L660) + 1
)</f>
        <v/>
      </c>
      <c r="F660" s="1857">
        <f>IF(L660="",0,L660)</f>
        <v>0</v>
      </c>
      <c r="G660" s="1856">
        <f>-(N660-Q660)</f>
        <v>0</v>
      </c>
      <c r="I660" s="1815" t="b">
        <f>K660&lt;=Number_Payments</f>
        <v>0</v>
      </c>
      <c r="J660" s="1855"/>
      <c r="K660" s="1351">
        <f>K659+1</f>
        <v>534</v>
      </c>
      <c r="L660" s="1854" t="str" cm="1">
        <f t="array" ref="L660">_xlfn.IFS(
    I659=FALSE, "",
    Payment_Frequency="Monthly", EDATE(L659, 1),
    Payment_Frequency="Weekly", DATE(YEAR(L659), MONTH(L659), DAY(L659) + 7),
    Payment_Frequency="Fortnightly", DATE(YEAR(L659), MONTH(L659), DAY(L659) + 14),
    Payment_Frequency="Quarterly", DATE(YEAR(L659), MONTH(L659) + 3, DAY(L659)),
    Payment_Frequency="Yearly", DATE(YEAR(L659) + 1, MONTH(L659), DAY(L659)),
    TRUE, ""
)</f>
        <v/>
      </c>
      <c r="M660" s="1853">
        <f>IF(ISERROR(L660-L659),0,L660-L659)</f>
        <v>0</v>
      </c>
      <c r="N660" s="1851" cm="1">
        <f t="array" ref="N660">_xlfn.IFS(
    AND(I660=TRUE, K660&lt;=No_Regular_Payments), Repay_Amt,
    AND(I660=TRUE, K660=No_Regular_Payments+1), Tm_Balloon_Amt,
   TRUE, 0
)</f>
        <v>0</v>
      </c>
      <c r="O660" s="1850" cm="1">
        <f t="array" ref="O660">_xlfn.IFS(
    M660=0,0,
   ABS(N660 - S659 - P660-Q660) &lt; 1, N660 - S659-Q660,
    TRUE, P660
)</f>
        <v>0</v>
      </c>
      <c r="P660" s="1852">
        <f>IF(M660=0,0,ROUND(S659*EXP(Int_Rate/365.25 * M660)-S659,2))</f>
        <v>0</v>
      </c>
      <c r="Q660" s="1851" cm="1">
        <f t="array" ref="Q660">_xlfn.IFS(
    AND(I660=TRUE, K660&lt;=No_Regular_Payments), Periodic_Admin_Charge,
   TRUE, 0
)</f>
        <v>0</v>
      </c>
      <c r="R660" s="1850">
        <f>N660-O660-Q660</f>
        <v>0</v>
      </c>
      <c r="S660" s="1850">
        <f>ROUND(S659-R660,2)</f>
        <v>0</v>
      </c>
      <c r="T660" s="1850">
        <f>ROUND(T659-(N660-Q660),2)</f>
        <v>0</v>
      </c>
      <c r="U660" s="1849"/>
      <c r="W660" s="1848"/>
      <c r="X660" s="1848"/>
      <c r="Y660" s="1848"/>
    </row>
    <row r="661" spans="2:25" hidden="1">
      <c r="B661" s="1815" t="b">
        <f>AND(I661=FALSE,N660=0,Q660=0,L660="")</f>
        <v>1</v>
      </c>
      <c r="C661" s="1844" t="str" cm="1">
        <f t="array" ref="C661">_xlfn.IFS(
    L661="", "",
    MONTH(L661) &lt;= End_of_Year_Month, YEAR(L661),
    TRUE, YEAR(L661) + 1
)</f>
        <v/>
      </c>
      <c r="F661" s="1857">
        <f>IF(L661="",0,L661)</f>
        <v>0</v>
      </c>
      <c r="G661" s="1856">
        <f>-(N661-Q661)</f>
        <v>0</v>
      </c>
      <c r="I661" s="1815" t="b">
        <f>K661&lt;=Number_Payments</f>
        <v>0</v>
      </c>
      <c r="J661" s="1855"/>
      <c r="K661" s="1351">
        <f>K660+1</f>
        <v>535</v>
      </c>
      <c r="L661" s="1854" t="str" cm="1">
        <f t="array" ref="L661">_xlfn.IFS(
    I660=FALSE, "",
    Payment_Frequency="Monthly", EDATE(L660, 1),
    Payment_Frequency="Weekly", DATE(YEAR(L660), MONTH(L660), DAY(L660) + 7),
    Payment_Frequency="Fortnightly", DATE(YEAR(L660), MONTH(L660), DAY(L660) + 14),
    Payment_Frequency="Quarterly", DATE(YEAR(L660), MONTH(L660) + 3, DAY(L660)),
    Payment_Frequency="Yearly", DATE(YEAR(L660) + 1, MONTH(L660), DAY(L660)),
    TRUE, ""
)</f>
        <v/>
      </c>
      <c r="M661" s="1853">
        <f>IF(ISERROR(L661-L660),0,L661-L660)</f>
        <v>0</v>
      </c>
      <c r="N661" s="1851" cm="1">
        <f t="array" ref="N661">_xlfn.IFS(
    AND(I661=TRUE, K661&lt;=No_Regular_Payments), Repay_Amt,
    AND(I661=TRUE, K661=No_Regular_Payments+1), Tm_Balloon_Amt,
   TRUE, 0
)</f>
        <v>0</v>
      </c>
      <c r="O661" s="1850" cm="1">
        <f t="array" ref="O661">_xlfn.IFS(
    M661=0,0,
   ABS(N661 - S660 - P661-Q661) &lt; 1, N661 - S660-Q661,
    TRUE, P661
)</f>
        <v>0</v>
      </c>
      <c r="P661" s="1852">
        <f>IF(M661=0,0,ROUND(S660*EXP(Int_Rate/365.25 * M661)-S660,2))</f>
        <v>0</v>
      </c>
      <c r="Q661" s="1851" cm="1">
        <f t="array" ref="Q661">_xlfn.IFS(
    AND(I661=TRUE, K661&lt;=No_Regular_Payments), Periodic_Admin_Charge,
   TRUE, 0
)</f>
        <v>0</v>
      </c>
      <c r="R661" s="1850">
        <f>N661-O661-Q661</f>
        <v>0</v>
      </c>
      <c r="S661" s="1850">
        <f>ROUND(S660-R661,2)</f>
        <v>0</v>
      </c>
      <c r="T661" s="1850">
        <f>ROUND(T660-(N661-Q661),2)</f>
        <v>0</v>
      </c>
      <c r="U661" s="1849"/>
      <c r="W661" s="1848"/>
      <c r="X661" s="1848"/>
      <c r="Y661" s="1848"/>
    </row>
    <row r="662" spans="2:25" hidden="1">
      <c r="B662" s="1815" t="b">
        <f>AND(I662=FALSE,N661=0,Q661=0,L661="")</f>
        <v>1</v>
      </c>
      <c r="C662" s="1844" t="str" cm="1">
        <f t="array" ref="C662">_xlfn.IFS(
    L662="", "",
    MONTH(L662) &lt;= End_of_Year_Month, YEAR(L662),
    TRUE, YEAR(L662) + 1
)</f>
        <v/>
      </c>
      <c r="F662" s="1857">
        <f>IF(L662="",0,L662)</f>
        <v>0</v>
      </c>
      <c r="G662" s="1856">
        <f>-(N662-Q662)</f>
        <v>0</v>
      </c>
      <c r="I662" s="1815" t="b">
        <f>K662&lt;=Number_Payments</f>
        <v>0</v>
      </c>
      <c r="J662" s="1855"/>
      <c r="K662" s="1351">
        <f>K661+1</f>
        <v>536</v>
      </c>
      <c r="L662" s="1854" t="str" cm="1">
        <f t="array" ref="L662">_xlfn.IFS(
    I661=FALSE, "",
    Payment_Frequency="Monthly", EDATE(L661, 1),
    Payment_Frequency="Weekly", DATE(YEAR(L661), MONTH(L661), DAY(L661) + 7),
    Payment_Frequency="Fortnightly", DATE(YEAR(L661), MONTH(L661), DAY(L661) + 14),
    Payment_Frequency="Quarterly", DATE(YEAR(L661), MONTH(L661) + 3, DAY(L661)),
    Payment_Frequency="Yearly", DATE(YEAR(L661) + 1, MONTH(L661), DAY(L661)),
    TRUE, ""
)</f>
        <v/>
      </c>
      <c r="M662" s="1853">
        <f>IF(ISERROR(L662-L661),0,L662-L661)</f>
        <v>0</v>
      </c>
      <c r="N662" s="1851" cm="1">
        <f t="array" ref="N662">_xlfn.IFS(
    AND(I662=TRUE, K662&lt;=No_Regular_Payments), Repay_Amt,
    AND(I662=TRUE, K662=No_Regular_Payments+1), Tm_Balloon_Amt,
   TRUE, 0
)</f>
        <v>0</v>
      </c>
      <c r="O662" s="1850" cm="1">
        <f t="array" ref="O662">_xlfn.IFS(
    M662=0,0,
   ABS(N662 - S661 - P662-Q662) &lt; 1, N662 - S661-Q662,
    TRUE, P662
)</f>
        <v>0</v>
      </c>
      <c r="P662" s="1852">
        <f>IF(M662=0,0,ROUND(S661*EXP(Int_Rate/365.25 * M662)-S661,2))</f>
        <v>0</v>
      </c>
      <c r="Q662" s="1851" cm="1">
        <f t="array" ref="Q662">_xlfn.IFS(
    AND(I662=TRUE, K662&lt;=No_Regular_Payments), Periodic_Admin_Charge,
   TRUE, 0
)</f>
        <v>0</v>
      </c>
      <c r="R662" s="1850">
        <f>N662-O662-Q662</f>
        <v>0</v>
      </c>
      <c r="S662" s="1850">
        <f>ROUND(S661-R662,2)</f>
        <v>0</v>
      </c>
      <c r="T662" s="1850">
        <f>ROUND(T661-(N662-Q662),2)</f>
        <v>0</v>
      </c>
      <c r="U662" s="1849"/>
      <c r="W662" s="1848"/>
      <c r="X662" s="1848"/>
      <c r="Y662" s="1848"/>
    </row>
    <row r="663" spans="2:25" hidden="1">
      <c r="B663" s="1815" t="b">
        <f>AND(I663=FALSE,N662=0,Q662=0,L662="")</f>
        <v>1</v>
      </c>
      <c r="C663" s="1844" t="str" cm="1">
        <f t="array" ref="C663">_xlfn.IFS(
    L663="", "",
    MONTH(L663) &lt;= End_of_Year_Month, YEAR(L663),
    TRUE, YEAR(L663) + 1
)</f>
        <v/>
      </c>
      <c r="F663" s="1857">
        <f>IF(L663="",0,L663)</f>
        <v>0</v>
      </c>
      <c r="G663" s="1856">
        <f>-(N663-Q663)</f>
        <v>0</v>
      </c>
      <c r="I663" s="1815" t="b">
        <f>K663&lt;=Number_Payments</f>
        <v>0</v>
      </c>
      <c r="J663" s="1855"/>
      <c r="K663" s="1351">
        <f>K662+1</f>
        <v>537</v>
      </c>
      <c r="L663" s="1854" t="str" cm="1">
        <f t="array" ref="L663">_xlfn.IFS(
    I662=FALSE, "",
    Payment_Frequency="Monthly", EDATE(L662, 1),
    Payment_Frequency="Weekly", DATE(YEAR(L662), MONTH(L662), DAY(L662) + 7),
    Payment_Frequency="Fortnightly", DATE(YEAR(L662), MONTH(L662), DAY(L662) + 14),
    Payment_Frequency="Quarterly", DATE(YEAR(L662), MONTH(L662) + 3, DAY(L662)),
    Payment_Frequency="Yearly", DATE(YEAR(L662) + 1, MONTH(L662), DAY(L662)),
    TRUE, ""
)</f>
        <v/>
      </c>
      <c r="M663" s="1853">
        <f>IF(ISERROR(L663-L662),0,L663-L662)</f>
        <v>0</v>
      </c>
      <c r="N663" s="1851" cm="1">
        <f t="array" ref="N663">_xlfn.IFS(
    AND(I663=TRUE, K663&lt;=No_Regular_Payments), Repay_Amt,
    AND(I663=TRUE, K663=No_Regular_Payments+1), Tm_Balloon_Amt,
   TRUE, 0
)</f>
        <v>0</v>
      </c>
      <c r="O663" s="1850" cm="1">
        <f t="array" ref="O663">_xlfn.IFS(
    M663=0,0,
   ABS(N663 - S662 - P663-Q663) &lt; 1, N663 - S662-Q663,
    TRUE, P663
)</f>
        <v>0</v>
      </c>
      <c r="P663" s="1852">
        <f>IF(M663=0,0,ROUND(S662*EXP(Int_Rate/365.25 * M663)-S662,2))</f>
        <v>0</v>
      </c>
      <c r="Q663" s="1851" cm="1">
        <f t="array" ref="Q663">_xlfn.IFS(
    AND(I663=TRUE, K663&lt;=No_Regular_Payments), Periodic_Admin_Charge,
   TRUE, 0
)</f>
        <v>0</v>
      </c>
      <c r="R663" s="1850">
        <f>N663-O663-Q663</f>
        <v>0</v>
      </c>
      <c r="S663" s="1850">
        <f>ROUND(S662-R663,2)</f>
        <v>0</v>
      </c>
      <c r="T663" s="1850">
        <f>ROUND(T662-(N663-Q663),2)</f>
        <v>0</v>
      </c>
      <c r="U663" s="1849"/>
      <c r="W663" s="1848"/>
      <c r="X663" s="1848"/>
      <c r="Y663" s="1848"/>
    </row>
    <row r="664" spans="2:25" hidden="1">
      <c r="B664" s="1815" t="b">
        <f>AND(I664=FALSE,N663=0,Q663=0,L663="")</f>
        <v>1</v>
      </c>
      <c r="C664" s="1844" t="str" cm="1">
        <f t="array" ref="C664">_xlfn.IFS(
    L664="", "",
    MONTH(L664) &lt;= End_of_Year_Month, YEAR(L664),
    TRUE, YEAR(L664) + 1
)</f>
        <v/>
      </c>
      <c r="F664" s="1857">
        <f>IF(L664="",0,L664)</f>
        <v>0</v>
      </c>
      <c r="G664" s="1856">
        <f>-(N664-Q664)</f>
        <v>0</v>
      </c>
      <c r="I664" s="1815" t="b">
        <f>K664&lt;=Number_Payments</f>
        <v>0</v>
      </c>
      <c r="J664" s="1855"/>
      <c r="K664" s="1351">
        <f>K663+1</f>
        <v>538</v>
      </c>
      <c r="L664" s="1854" t="str" cm="1">
        <f t="array" ref="L664">_xlfn.IFS(
    I663=FALSE, "",
    Payment_Frequency="Monthly", EDATE(L663, 1),
    Payment_Frequency="Weekly", DATE(YEAR(L663), MONTH(L663), DAY(L663) + 7),
    Payment_Frequency="Fortnightly", DATE(YEAR(L663), MONTH(L663), DAY(L663) + 14),
    Payment_Frequency="Quarterly", DATE(YEAR(L663), MONTH(L663) + 3, DAY(L663)),
    Payment_Frequency="Yearly", DATE(YEAR(L663) + 1, MONTH(L663), DAY(L663)),
    TRUE, ""
)</f>
        <v/>
      </c>
      <c r="M664" s="1853">
        <f>IF(ISERROR(L664-L663),0,L664-L663)</f>
        <v>0</v>
      </c>
      <c r="N664" s="1851" cm="1">
        <f t="array" ref="N664">_xlfn.IFS(
    AND(I664=TRUE, K664&lt;=No_Regular_Payments), Repay_Amt,
    AND(I664=TRUE, K664=No_Regular_Payments+1), Tm_Balloon_Amt,
   TRUE, 0
)</f>
        <v>0</v>
      </c>
      <c r="O664" s="1850" cm="1">
        <f t="array" ref="O664">_xlfn.IFS(
    M664=0,0,
   ABS(N664 - S663 - P664-Q664) &lt; 1, N664 - S663-Q664,
    TRUE, P664
)</f>
        <v>0</v>
      </c>
      <c r="P664" s="1852">
        <f>IF(M664=0,0,ROUND(S663*EXP(Int_Rate/365.25 * M664)-S663,2))</f>
        <v>0</v>
      </c>
      <c r="Q664" s="1851" cm="1">
        <f t="array" ref="Q664">_xlfn.IFS(
    AND(I664=TRUE, K664&lt;=No_Regular_Payments), Periodic_Admin_Charge,
   TRUE, 0
)</f>
        <v>0</v>
      </c>
      <c r="R664" s="1850">
        <f>N664-O664-Q664</f>
        <v>0</v>
      </c>
      <c r="S664" s="1850">
        <f>ROUND(S663-R664,2)</f>
        <v>0</v>
      </c>
      <c r="T664" s="1850">
        <f>ROUND(T663-(N664-Q664),2)</f>
        <v>0</v>
      </c>
      <c r="U664" s="1849"/>
      <c r="W664" s="1848"/>
      <c r="X664" s="1848"/>
      <c r="Y664" s="1848"/>
    </row>
    <row r="665" spans="2:25" hidden="1">
      <c r="B665" s="1815" t="b">
        <f>AND(I665=FALSE,N664=0,Q664=0,L664="")</f>
        <v>1</v>
      </c>
      <c r="C665" s="1844" t="str" cm="1">
        <f t="array" ref="C665">_xlfn.IFS(
    L665="", "",
    MONTH(L665) &lt;= End_of_Year_Month, YEAR(L665),
    TRUE, YEAR(L665) + 1
)</f>
        <v/>
      </c>
      <c r="F665" s="1857">
        <f>IF(L665="",0,L665)</f>
        <v>0</v>
      </c>
      <c r="G665" s="1856">
        <f>-(N665-Q665)</f>
        <v>0</v>
      </c>
      <c r="I665" s="1815" t="b">
        <f>K665&lt;=Number_Payments</f>
        <v>0</v>
      </c>
      <c r="J665" s="1855"/>
      <c r="K665" s="1351">
        <f>K664+1</f>
        <v>539</v>
      </c>
      <c r="L665" s="1854" t="str" cm="1">
        <f t="array" ref="L665">_xlfn.IFS(
    I664=FALSE, "",
    Payment_Frequency="Monthly", EDATE(L664, 1),
    Payment_Frequency="Weekly", DATE(YEAR(L664), MONTH(L664), DAY(L664) + 7),
    Payment_Frequency="Fortnightly", DATE(YEAR(L664), MONTH(L664), DAY(L664) + 14),
    Payment_Frequency="Quarterly", DATE(YEAR(L664), MONTH(L664) + 3, DAY(L664)),
    Payment_Frequency="Yearly", DATE(YEAR(L664) + 1, MONTH(L664), DAY(L664)),
    TRUE, ""
)</f>
        <v/>
      </c>
      <c r="M665" s="1853">
        <f>IF(ISERROR(L665-L664),0,L665-L664)</f>
        <v>0</v>
      </c>
      <c r="N665" s="1851" cm="1">
        <f t="array" ref="N665">_xlfn.IFS(
    AND(I665=TRUE, K665&lt;=No_Regular_Payments), Repay_Amt,
    AND(I665=TRUE, K665=No_Regular_Payments+1), Tm_Balloon_Amt,
   TRUE, 0
)</f>
        <v>0</v>
      </c>
      <c r="O665" s="1850" cm="1">
        <f t="array" ref="O665">_xlfn.IFS(
    M665=0,0,
   ABS(N665 - S664 - P665-Q665) &lt; 1, N665 - S664-Q665,
    TRUE, P665
)</f>
        <v>0</v>
      </c>
      <c r="P665" s="1852">
        <f>IF(M665=0,0,ROUND(S664*EXP(Int_Rate/365.25 * M665)-S664,2))</f>
        <v>0</v>
      </c>
      <c r="Q665" s="1851" cm="1">
        <f t="array" ref="Q665">_xlfn.IFS(
    AND(I665=TRUE, K665&lt;=No_Regular_Payments), Periodic_Admin_Charge,
   TRUE, 0
)</f>
        <v>0</v>
      </c>
      <c r="R665" s="1850">
        <f>N665-O665-Q665</f>
        <v>0</v>
      </c>
      <c r="S665" s="1850">
        <f>ROUND(S664-R665,2)</f>
        <v>0</v>
      </c>
      <c r="T665" s="1850">
        <f>ROUND(T664-(N665-Q665),2)</f>
        <v>0</v>
      </c>
      <c r="U665" s="1849"/>
      <c r="W665" s="1848"/>
      <c r="X665" s="1848"/>
      <c r="Y665" s="1848"/>
    </row>
    <row r="666" spans="2:25" hidden="1">
      <c r="B666" s="1815" t="b">
        <f>AND(I666=FALSE,N665=0,Q665=0,L665="")</f>
        <v>1</v>
      </c>
      <c r="C666" s="1844" t="str" cm="1">
        <f t="array" ref="C666">_xlfn.IFS(
    L666="", "",
    MONTH(L666) &lt;= End_of_Year_Month, YEAR(L666),
    TRUE, YEAR(L666) + 1
)</f>
        <v/>
      </c>
      <c r="F666" s="1857">
        <f>IF(L666="",0,L666)</f>
        <v>0</v>
      </c>
      <c r="G666" s="1856">
        <f>-(N666-Q666)</f>
        <v>0</v>
      </c>
      <c r="I666" s="1815" t="b">
        <f>K666&lt;=Number_Payments</f>
        <v>0</v>
      </c>
      <c r="J666" s="1855"/>
      <c r="K666" s="1351">
        <f>K665+1</f>
        <v>540</v>
      </c>
      <c r="L666" s="1854" t="str" cm="1">
        <f t="array" ref="L666">_xlfn.IFS(
    I665=FALSE, "",
    Payment_Frequency="Monthly", EDATE(L665, 1),
    Payment_Frequency="Weekly", DATE(YEAR(L665), MONTH(L665), DAY(L665) + 7),
    Payment_Frequency="Fortnightly", DATE(YEAR(L665), MONTH(L665), DAY(L665) + 14),
    Payment_Frequency="Quarterly", DATE(YEAR(L665), MONTH(L665) + 3, DAY(L665)),
    Payment_Frequency="Yearly", DATE(YEAR(L665) + 1, MONTH(L665), DAY(L665)),
    TRUE, ""
)</f>
        <v/>
      </c>
      <c r="M666" s="1853">
        <f>IF(ISERROR(L666-L665),0,L666-L665)</f>
        <v>0</v>
      </c>
      <c r="N666" s="1851" cm="1">
        <f t="array" ref="N666">_xlfn.IFS(
    AND(I666=TRUE, K666&lt;=No_Regular_Payments), Repay_Amt,
    AND(I666=TRUE, K666=No_Regular_Payments+1), Tm_Balloon_Amt,
   TRUE, 0
)</f>
        <v>0</v>
      </c>
      <c r="O666" s="1850" cm="1">
        <f t="array" ref="O666">_xlfn.IFS(
    M666=0,0,
   ABS(N666 - S665 - P666-Q666) &lt; 1, N666 - S665-Q666,
    TRUE, P666
)</f>
        <v>0</v>
      </c>
      <c r="P666" s="1852">
        <f>IF(M666=0,0,ROUND(S665*EXP(Int_Rate/365.25 * M666)-S665,2))</f>
        <v>0</v>
      </c>
      <c r="Q666" s="1851" cm="1">
        <f t="array" ref="Q666">_xlfn.IFS(
    AND(I666=TRUE, K666&lt;=No_Regular_Payments), Periodic_Admin_Charge,
   TRUE, 0
)</f>
        <v>0</v>
      </c>
      <c r="R666" s="1850">
        <f>N666-O666-Q666</f>
        <v>0</v>
      </c>
      <c r="S666" s="1850">
        <f>ROUND(S665-R666,2)</f>
        <v>0</v>
      </c>
      <c r="T666" s="1850">
        <f>ROUND(T665-(N666-Q666),2)</f>
        <v>0</v>
      </c>
      <c r="U666" s="1849"/>
      <c r="W666" s="1848"/>
      <c r="X666" s="1848"/>
      <c r="Y666" s="1848"/>
    </row>
    <row r="667" spans="2:25" hidden="1">
      <c r="B667" s="1815" t="b">
        <f>AND(I667=FALSE,N666=0,Q666=0,L666="")</f>
        <v>1</v>
      </c>
      <c r="C667" s="1844" t="str" cm="1">
        <f t="array" ref="C667">_xlfn.IFS(
    L667="", "",
    MONTH(L667) &lt;= End_of_Year_Month, YEAR(L667),
    TRUE, YEAR(L667) + 1
)</f>
        <v/>
      </c>
      <c r="F667" s="1857">
        <f>IF(L667="",0,L667)</f>
        <v>0</v>
      </c>
      <c r="G667" s="1856">
        <f>-(N667-Q667)</f>
        <v>0</v>
      </c>
      <c r="I667" s="1815" t="b">
        <f>K667&lt;=Number_Payments</f>
        <v>0</v>
      </c>
      <c r="J667" s="1855"/>
      <c r="K667" s="1351">
        <f>K666+1</f>
        <v>541</v>
      </c>
      <c r="L667" s="1854" t="str" cm="1">
        <f t="array" ref="L667">_xlfn.IFS(
    I666=FALSE, "",
    Payment_Frequency="Monthly", EDATE(L666, 1),
    Payment_Frequency="Weekly", DATE(YEAR(L666), MONTH(L666), DAY(L666) + 7),
    Payment_Frequency="Fortnightly", DATE(YEAR(L666), MONTH(L666), DAY(L666) + 14),
    Payment_Frequency="Quarterly", DATE(YEAR(L666), MONTH(L666) + 3, DAY(L666)),
    Payment_Frequency="Yearly", DATE(YEAR(L666) + 1, MONTH(L666), DAY(L666)),
    TRUE, ""
)</f>
        <v/>
      </c>
      <c r="M667" s="1853">
        <f>IF(ISERROR(L667-L666),0,L667-L666)</f>
        <v>0</v>
      </c>
      <c r="N667" s="1851" cm="1">
        <f t="array" ref="N667">_xlfn.IFS(
    AND(I667=TRUE, K667&lt;=No_Regular_Payments), Repay_Amt,
    AND(I667=TRUE, K667=No_Regular_Payments+1), Tm_Balloon_Amt,
   TRUE, 0
)</f>
        <v>0</v>
      </c>
      <c r="O667" s="1850" cm="1">
        <f t="array" ref="O667">_xlfn.IFS(
    M667=0,0,
   ABS(N667 - S666 - P667-Q667) &lt; 1, N667 - S666-Q667,
    TRUE, P667
)</f>
        <v>0</v>
      </c>
      <c r="P667" s="1852">
        <f>IF(M667=0,0,ROUND(S666*EXP(Int_Rate/365.25 * M667)-S666,2))</f>
        <v>0</v>
      </c>
      <c r="Q667" s="1851" cm="1">
        <f t="array" ref="Q667">_xlfn.IFS(
    AND(I667=TRUE, K667&lt;=No_Regular_Payments), Periodic_Admin_Charge,
   TRUE, 0
)</f>
        <v>0</v>
      </c>
      <c r="R667" s="1850">
        <f>N667-O667-Q667</f>
        <v>0</v>
      </c>
      <c r="S667" s="1850">
        <f>ROUND(S666-R667,2)</f>
        <v>0</v>
      </c>
      <c r="T667" s="1850">
        <f>ROUND(T666-(N667-Q667),2)</f>
        <v>0</v>
      </c>
      <c r="U667" s="1849"/>
      <c r="W667" s="1848"/>
      <c r="X667" s="1848"/>
      <c r="Y667" s="1848"/>
    </row>
    <row r="668" spans="2:25" hidden="1">
      <c r="B668" s="1815" t="b">
        <f>AND(I668=FALSE,N667=0,Q667=0,L667="")</f>
        <v>1</v>
      </c>
      <c r="C668" s="1844" t="str" cm="1">
        <f t="array" ref="C668">_xlfn.IFS(
    L668="", "",
    MONTH(L668) &lt;= End_of_Year_Month, YEAR(L668),
    TRUE, YEAR(L668) + 1
)</f>
        <v/>
      </c>
      <c r="F668" s="1857">
        <f>IF(L668="",0,L668)</f>
        <v>0</v>
      </c>
      <c r="G668" s="1856">
        <f>-(N668-Q668)</f>
        <v>0</v>
      </c>
      <c r="I668" s="1815" t="b">
        <f>K668&lt;=Number_Payments</f>
        <v>0</v>
      </c>
      <c r="J668" s="1855"/>
      <c r="K668" s="1351">
        <f>K667+1</f>
        <v>542</v>
      </c>
      <c r="L668" s="1854" t="str" cm="1">
        <f t="array" ref="L668">_xlfn.IFS(
    I667=FALSE, "",
    Payment_Frequency="Monthly", EDATE(L667, 1),
    Payment_Frequency="Weekly", DATE(YEAR(L667), MONTH(L667), DAY(L667) + 7),
    Payment_Frequency="Fortnightly", DATE(YEAR(L667), MONTH(L667), DAY(L667) + 14),
    Payment_Frequency="Quarterly", DATE(YEAR(L667), MONTH(L667) + 3, DAY(L667)),
    Payment_Frequency="Yearly", DATE(YEAR(L667) + 1, MONTH(L667), DAY(L667)),
    TRUE, ""
)</f>
        <v/>
      </c>
      <c r="M668" s="1853">
        <f>IF(ISERROR(L668-L667),0,L668-L667)</f>
        <v>0</v>
      </c>
      <c r="N668" s="1851" cm="1">
        <f t="array" ref="N668">_xlfn.IFS(
    AND(I668=TRUE, K668&lt;=No_Regular_Payments), Repay_Amt,
    AND(I668=TRUE, K668=No_Regular_Payments+1), Tm_Balloon_Amt,
   TRUE, 0
)</f>
        <v>0</v>
      </c>
      <c r="O668" s="1850" cm="1">
        <f t="array" ref="O668">_xlfn.IFS(
    M668=0,0,
   ABS(N668 - S667 - P668-Q668) &lt; 1, N668 - S667-Q668,
    TRUE, P668
)</f>
        <v>0</v>
      </c>
      <c r="P668" s="1852">
        <f>IF(M668=0,0,ROUND(S667*EXP(Int_Rate/365.25 * M668)-S667,2))</f>
        <v>0</v>
      </c>
      <c r="Q668" s="1851" cm="1">
        <f t="array" ref="Q668">_xlfn.IFS(
    AND(I668=TRUE, K668&lt;=No_Regular_Payments), Periodic_Admin_Charge,
   TRUE, 0
)</f>
        <v>0</v>
      </c>
      <c r="R668" s="1850">
        <f>N668-O668-Q668</f>
        <v>0</v>
      </c>
      <c r="S668" s="1850">
        <f>ROUND(S667-R668,2)</f>
        <v>0</v>
      </c>
      <c r="T668" s="1850">
        <f>ROUND(T667-(N668-Q668),2)</f>
        <v>0</v>
      </c>
      <c r="U668" s="1849"/>
      <c r="W668" s="1848"/>
      <c r="X668" s="1848"/>
      <c r="Y668" s="1848"/>
    </row>
    <row r="669" spans="2:25" hidden="1">
      <c r="B669" s="1815" t="b">
        <f>AND(I669=FALSE,N668=0,Q668=0,L668="")</f>
        <v>1</v>
      </c>
      <c r="C669" s="1844" t="str" cm="1">
        <f t="array" ref="C669">_xlfn.IFS(
    L669="", "",
    MONTH(L669) &lt;= End_of_Year_Month, YEAR(L669),
    TRUE, YEAR(L669) + 1
)</f>
        <v/>
      </c>
      <c r="F669" s="1857">
        <f>IF(L669="",0,L669)</f>
        <v>0</v>
      </c>
      <c r="G669" s="1856">
        <f>-(N669-Q669)</f>
        <v>0</v>
      </c>
      <c r="I669" s="1815" t="b">
        <f>K669&lt;=Number_Payments</f>
        <v>0</v>
      </c>
      <c r="J669" s="1855"/>
      <c r="K669" s="1351">
        <f>K668+1</f>
        <v>543</v>
      </c>
      <c r="L669" s="1854" t="str" cm="1">
        <f t="array" ref="L669">_xlfn.IFS(
    I668=FALSE, "",
    Payment_Frequency="Monthly", EDATE(L668, 1),
    Payment_Frequency="Weekly", DATE(YEAR(L668), MONTH(L668), DAY(L668) + 7),
    Payment_Frequency="Fortnightly", DATE(YEAR(L668), MONTH(L668), DAY(L668) + 14),
    Payment_Frequency="Quarterly", DATE(YEAR(L668), MONTH(L668) + 3, DAY(L668)),
    Payment_Frequency="Yearly", DATE(YEAR(L668) + 1, MONTH(L668), DAY(L668)),
    TRUE, ""
)</f>
        <v/>
      </c>
      <c r="M669" s="1853">
        <f>IF(ISERROR(L669-L668),0,L669-L668)</f>
        <v>0</v>
      </c>
      <c r="N669" s="1851" cm="1">
        <f t="array" ref="N669">_xlfn.IFS(
    AND(I669=TRUE, K669&lt;=No_Regular_Payments), Repay_Amt,
    AND(I669=TRUE, K669=No_Regular_Payments+1), Tm_Balloon_Amt,
   TRUE, 0
)</f>
        <v>0</v>
      </c>
      <c r="O669" s="1850" cm="1">
        <f t="array" ref="O669">_xlfn.IFS(
    M669=0,0,
   ABS(N669 - S668 - P669-Q669) &lt; 1, N669 - S668-Q669,
    TRUE, P669
)</f>
        <v>0</v>
      </c>
      <c r="P669" s="1852">
        <f>IF(M669=0,0,ROUND(S668*EXP(Int_Rate/365.25 * M669)-S668,2))</f>
        <v>0</v>
      </c>
      <c r="Q669" s="1851" cm="1">
        <f t="array" ref="Q669">_xlfn.IFS(
    AND(I669=TRUE, K669&lt;=No_Regular_Payments), Periodic_Admin_Charge,
   TRUE, 0
)</f>
        <v>0</v>
      </c>
      <c r="R669" s="1850">
        <f>N669-O669-Q669</f>
        <v>0</v>
      </c>
      <c r="S669" s="1850">
        <f>ROUND(S668-R669,2)</f>
        <v>0</v>
      </c>
      <c r="T669" s="1850">
        <f>ROUND(T668-(N669-Q669),2)</f>
        <v>0</v>
      </c>
      <c r="U669" s="1849"/>
      <c r="W669" s="1848"/>
      <c r="X669" s="1848"/>
      <c r="Y669" s="1848"/>
    </row>
    <row r="670" spans="2:25" hidden="1">
      <c r="B670" s="1815" t="b">
        <f>AND(I670=FALSE,N669=0,Q669=0,L669="")</f>
        <v>1</v>
      </c>
      <c r="C670" s="1844" t="str" cm="1">
        <f t="array" ref="C670">_xlfn.IFS(
    L670="", "",
    MONTH(L670) &lt;= End_of_Year_Month, YEAR(L670),
    TRUE, YEAR(L670) + 1
)</f>
        <v/>
      </c>
      <c r="F670" s="1857">
        <f>IF(L670="",0,L670)</f>
        <v>0</v>
      </c>
      <c r="G670" s="1856">
        <f>-(N670-Q670)</f>
        <v>0</v>
      </c>
      <c r="I670" s="1815" t="b">
        <f>K670&lt;=Number_Payments</f>
        <v>0</v>
      </c>
      <c r="J670" s="1855"/>
      <c r="K670" s="1351">
        <f>K669+1</f>
        <v>544</v>
      </c>
      <c r="L670" s="1854" t="str" cm="1">
        <f t="array" ref="L670">_xlfn.IFS(
    I669=FALSE, "",
    Payment_Frequency="Monthly", EDATE(L669, 1),
    Payment_Frequency="Weekly", DATE(YEAR(L669), MONTH(L669), DAY(L669) + 7),
    Payment_Frequency="Fortnightly", DATE(YEAR(L669), MONTH(L669), DAY(L669) + 14),
    Payment_Frequency="Quarterly", DATE(YEAR(L669), MONTH(L669) + 3, DAY(L669)),
    Payment_Frequency="Yearly", DATE(YEAR(L669) + 1, MONTH(L669), DAY(L669)),
    TRUE, ""
)</f>
        <v/>
      </c>
      <c r="M670" s="1853">
        <f>IF(ISERROR(L670-L669),0,L670-L669)</f>
        <v>0</v>
      </c>
      <c r="N670" s="1851" cm="1">
        <f t="array" ref="N670">_xlfn.IFS(
    AND(I670=TRUE, K670&lt;=No_Regular_Payments), Repay_Amt,
    AND(I670=TRUE, K670=No_Regular_Payments+1), Tm_Balloon_Amt,
   TRUE, 0
)</f>
        <v>0</v>
      </c>
      <c r="O670" s="1850" cm="1">
        <f t="array" ref="O670">_xlfn.IFS(
    M670=0,0,
   ABS(N670 - S669 - P670-Q670) &lt; 1, N670 - S669-Q670,
    TRUE, P670
)</f>
        <v>0</v>
      </c>
      <c r="P670" s="1852">
        <f>IF(M670=0,0,ROUND(S669*EXP(Int_Rate/365.25 * M670)-S669,2))</f>
        <v>0</v>
      </c>
      <c r="Q670" s="1851" cm="1">
        <f t="array" ref="Q670">_xlfn.IFS(
    AND(I670=TRUE, K670&lt;=No_Regular_Payments), Periodic_Admin_Charge,
   TRUE, 0
)</f>
        <v>0</v>
      </c>
      <c r="R670" s="1850">
        <f>N670-O670-Q670</f>
        <v>0</v>
      </c>
      <c r="S670" s="1850">
        <f>ROUND(S669-R670,2)</f>
        <v>0</v>
      </c>
      <c r="T670" s="1850">
        <f>ROUND(T669-(N670-Q670),2)</f>
        <v>0</v>
      </c>
      <c r="U670" s="1849"/>
      <c r="W670" s="1848"/>
      <c r="X670" s="1848"/>
      <c r="Y670" s="1848"/>
    </row>
    <row r="671" spans="2:25" hidden="1">
      <c r="B671" s="1815" t="b">
        <f>AND(I671=FALSE,N670=0,Q670=0,L670="")</f>
        <v>1</v>
      </c>
      <c r="C671" s="1844" t="str" cm="1">
        <f t="array" ref="C671">_xlfn.IFS(
    L671="", "",
    MONTH(L671) &lt;= End_of_Year_Month, YEAR(L671),
    TRUE, YEAR(L671) + 1
)</f>
        <v/>
      </c>
      <c r="F671" s="1857">
        <f>IF(L671="",0,L671)</f>
        <v>0</v>
      </c>
      <c r="G671" s="1856">
        <f>-(N671-Q671)</f>
        <v>0</v>
      </c>
      <c r="I671" s="1815" t="b">
        <f>K671&lt;=Number_Payments</f>
        <v>0</v>
      </c>
      <c r="J671" s="1855"/>
      <c r="K671" s="1351">
        <f>K670+1</f>
        <v>545</v>
      </c>
      <c r="L671" s="1854" t="str" cm="1">
        <f t="array" ref="L671">_xlfn.IFS(
    I670=FALSE, "",
    Payment_Frequency="Monthly", EDATE(L670, 1),
    Payment_Frequency="Weekly", DATE(YEAR(L670), MONTH(L670), DAY(L670) + 7),
    Payment_Frequency="Fortnightly", DATE(YEAR(L670), MONTH(L670), DAY(L670) + 14),
    Payment_Frequency="Quarterly", DATE(YEAR(L670), MONTH(L670) + 3, DAY(L670)),
    Payment_Frequency="Yearly", DATE(YEAR(L670) + 1, MONTH(L670), DAY(L670)),
    TRUE, ""
)</f>
        <v/>
      </c>
      <c r="M671" s="1853">
        <f>IF(ISERROR(L671-L670),0,L671-L670)</f>
        <v>0</v>
      </c>
      <c r="N671" s="1851" cm="1">
        <f t="array" ref="N671">_xlfn.IFS(
    AND(I671=TRUE, K671&lt;=No_Regular_Payments), Repay_Amt,
    AND(I671=TRUE, K671=No_Regular_Payments+1), Tm_Balloon_Amt,
   TRUE, 0
)</f>
        <v>0</v>
      </c>
      <c r="O671" s="1850" cm="1">
        <f t="array" ref="O671">_xlfn.IFS(
    M671=0,0,
   ABS(N671 - S670 - P671-Q671) &lt; 1, N671 - S670-Q671,
    TRUE, P671
)</f>
        <v>0</v>
      </c>
      <c r="P671" s="1852">
        <f>IF(M671=0,0,ROUND(S670*EXP(Int_Rate/365.25 * M671)-S670,2))</f>
        <v>0</v>
      </c>
      <c r="Q671" s="1851" cm="1">
        <f t="array" ref="Q671">_xlfn.IFS(
    AND(I671=TRUE, K671&lt;=No_Regular_Payments), Periodic_Admin_Charge,
   TRUE, 0
)</f>
        <v>0</v>
      </c>
      <c r="R671" s="1850">
        <f>N671-O671-Q671</f>
        <v>0</v>
      </c>
      <c r="S671" s="1850">
        <f>ROUND(S670-R671,2)</f>
        <v>0</v>
      </c>
      <c r="T671" s="1850">
        <f>ROUND(T670-(N671-Q671),2)</f>
        <v>0</v>
      </c>
      <c r="U671" s="1849"/>
      <c r="W671" s="1848"/>
      <c r="X671" s="1848"/>
      <c r="Y671" s="1848"/>
    </row>
    <row r="672" spans="2:25" hidden="1">
      <c r="B672" s="1815" t="b">
        <f>AND(I672=FALSE,N671=0,Q671=0,L671="")</f>
        <v>1</v>
      </c>
      <c r="C672" s="1844" t="str" cm="1">
        <f t="array" ref="C672">_xlfn.IFS(
    L672="", "",
    MONTH(L672) &lt;= End_of_Year_Month, YEAR(L672),
    TRUE, YEAR(L672) + 1
)</f>
        <v/>
      </c>
      <c r="F672" s="1857">
        <f>IF(L672="",0,L672)</f>
        <v>0</v>
      </c>
      <c r="G672" s="1856">
        <f>-(N672-Q672)</f>
        <v>0</v>
      </c>
      <c r="I672" s="1815" t="b">
        <f>K672&lt;=Number_Payments</f>
        <v>0</v>
      </c>
      <c r="J672" s="1855"/>
      <c r="K672" s="1351">
        <f>K671+1</f>
        <v>546</v>
      </c>
      <c r="L672" s="1854" t="str" cm="1">
        <f t="array" ref="L672">_xlfn.IFS(
    I671=FALSE, "",
    Payment_Frequency="Monthly", EDATE(L671, 1),
    Payment_Frequency="Weekly", DATE(YEAR(L671), MONTH(L671), DAY(L671) + 7),
    Payment_Frequency="Fortnightly", DATE(YEAR(L671), MONTH(L671), DAY(L671) + 14),
    Payment_Frequency="Quarterly", DATE(YEAR(L671), MONTH(L671) + 3, DAY(L671)),
    Payment_Frequency="Yearly", DATE(YEAR(L671) + 1, MONTH(L671), DAY(L671)),
    TRUE, ""
)</f>
        <v/>
      </c>
      <c r="M672" s="1853">
        <f>IF(ISERROR(L672-L671),0,L672-L671)</f>
        <v>0</v>
      </c>
      <c r="N672" s="1851" cm="1">
        <f t="array" ref="N672">_xlfn.IFS(
    AND(I672=TRUE, K672&lt;=No_Regular_Payments), Repay_Amt,
    AND(I672=TRUE, K672=No_Regular_Payments+1), Tm_Balloon_Amt,
   TRUE, 0
)</f>
        <v>0</v>
      </c>
      <c r="O672" s="1850" cm="1">
        <f t="array" ref="O672">_xlfn.IFS(
    M672=0,0,
   ABS(N672 - S671 - P672-Q672) &lt; 1, N672 - S671-Q672,
    TRUE, P672
)</f>
        <v>0</v>
      </c>
      <c r="P672" s="1852">
        <f>IF(M672=0,0,ROUND(S671*EXP(Int_Rate/365.25 * M672)-S671,2))</f>
        <v>0</v>
      </c>
      <c r="Q672" s="1851" cm="1">
        <f t="array" ref="Q672">_xlfn.IFS(
    AND(I672=TRUE, K672&lt;=No_Regular_Payments), Periodic_Admin_Charge,
   TRUE, 0
)</f>
        <v>0</v>
      </c>
      <c r="R672" s="1850">
        <f>N672-O672-Q672</f>
        <v>0</v>
      </c>
      <c r="S672" s="1850">
        <f>ROUND(S671-R672,2)</f>
        <v>0</v>
      </c>
      <c r="T672" s="1850">
        <f>ROUND(T671-(N672-Q672),2)</f>
        <v>0</v>
      </c>
      <c r="U672" s="1849"/>
      <c r="W672" s="1848"/>
      <c r="X672" s="1848"/>
      <c r="Y672" s="1848"/>
    </row>
    <row r="673" spans="2:25" hidden="1">
      <c r="B673" s="1815" t="b">
        <f>AND(I673=FALSE,N672=0,Q672=0,L672="")</f>
        <v>1</v>
      </c>
      <c r="C673" s="1844" t="str" cm="1">
        <f t="array" ref="C673">_xlfn.IFS(
    L673="", "",
    MONTH(L673) &lt;= End_of_Year_Month, YEAR(L673),
    TRUE, YEAR(L673) + 1
)</f>
        <v/>
      </c>
      <c r="F673" s="1857">
        <f>IF(L673="",0,L673)</f>
        <v>0</v>
      </c>
      <c r="G673" s="1856">
        <f>-(N673-Q673)</f>
        <v>0</v>
      </c>
      <c r="I673" s="1815" t="b">
        <f>K673&lt;=Number_Payments</f>
        <v>0</v>
      </c>
      <c r="J673" s="1855"/>
      <c r="K673" s="1351">
        <f>K672+1</f>
        <v>547</v>
      </c>
      <c r="L673" s="1854" t="str" cm="1">
        <f t="array" ref="L673">_xlfn.IFS(
    I672=FALSE, "",
    Payment_Frequency="Monthly", EDATE(L672, 1),
    Payment_Frequency="Weekly", DATE(YEAR(L672), MONTH(L672), DAY(L672) + 7),
    Payment_Frequency="Fortnightly", DATE(YEAR(L672), MONTH(L672), DAY(L672) + 14),
    Payment_Frequency="Quarterly", DATE(YEAR(L672), MONTH(L672) + 3, DAY(L672)),
    Payment_Frequency="Yearly", DATE(YEAR(L672) + 1, MONTH(L672), DAY(L672)),
    TRUE, ""
)</f>
        <v/>
      </c>
      <c r="M673" s="1853">
        <f>IF(ISERROR(L673-L672),0,L673-L672)</f>
        <v>0</v>
      </c>
      <c r="N673" s="1851" cm="1">
        <f t="array" ref="N673">_xlfn.IFS(
    AND(I673=TRUE, K673&lt;=No_Regular_Payments), Repay_Amt,
    AND(I673=TRUE, K673=No_Regular_Payments+1), Tm_Balloon_Amt,
   TRUE, 0
)</f>
        <v>0</v>
      </c>
      <c r="O673" s="1850" cm="1">
        <f t="array" ref="O673">_xlfn.IFS(
    M673=0,0,
   ABS(N673 - S672 - P673-Q673) &lt; 1, N673 - S672-Q673,
    TRUE, P673
)</f>
        <v>0</v>
      </c>
      <c r="P673" s="1852">
        <f>IF(M673=0,0,ROUND(S672*EXP(Int_Rate/365.25 * M673)-S672,2))</f>
        <v>0</v>
      </c>
      <c r="Q673" s="1851" cm="1">
        <f t="array" ref="Q673">_xlfn.IFS(
    AND(I673=TRUE, K673&lt;=No_Regular_Payments), Periodic_Admin_Charge,
   TRUE, 0
)</f>
        <v>0</v>
      </c>
      <c r="R673" s="1850">
        <f>N673-O673-Q673</f>
        <v>0</v>
      </c>
      <c r="S673" s="1850">
        <f>ROUND(S672-R673,2)</f>
        <v>0</v>
      </c>
      <c r="T673" s="1850">
        <f>ROUND(T672-(N673-Q673),2)</f>
        <v>0</v>
      </c>
      <c r="U673" s="1849"/>
      <c r="W673" s="1848"/>
      <c r="X673" s="1848"/>
      <c r="Y673" s="1848"/>
    </row>
    <row r="674" spans="2:25" hidden="1">
      <c r="B674" s="1815" t="b">
        <f>AND(I674=FALSE,N673=0,Q673=0,L673="")</f>
        <v>1</v>
      </c>
      <c r="C674" s="1844" t="str" cm="1">
        <f t="array" ref="C674">_xlfn.IFS(
    L674="", "",
    MONTH(L674) &lt;= End_of_Year_Month, YEAR(L674),
    TRUE, YEAR(L674) + 1
)</f>
        <v/>
      </c>
      <c r="F674" s="1857">
        <f>IF(L674="",0,L674)</f>
        <v>0</v>
      </c>
      <c r="G674" s="1856">
        <f>-(N674-Q674)</f>
        <v>0</v>
      </c>
      <c r="I674" s="1815" t="b">
        <f>K674&lt;=Number_Payments</f>
        <v>0</v>
      </c>
      <c r="J674" s="1855"/>
      <c r="K674" s="1351">
        <f>K673+1</f>
        <v>548</v>
      </c>
      <c r="L674" s="1854" t="str" cm="1">
        <f t="array" ref="L674">_xlfn.IFS(
    I673=FALSE, "",
    Payment_Frequency="Monthly", EDATE(L673, 1),
    Payment_Frequency="Weekly", DATE(YEAR(L673), MONTH(L673), DAY(L673) + 7),
    Payment_Frequency="Fortnightly", DATE(YEAR(L673), MONTH(L673), DAY(L673) + 14),
    Payment_Frequency="Quarterly", DATE(YEAR(L673), MONTH(L673) + 3, DAY(L673)),
    Payment_Frequency="Yearly", DATE(YEAR(L673) + 1, MONTH(L673), DAY(L673)),
    TRUE, ""
)</f>
        <v/>
      </c>
      <c r="M674" s="1853">
        <f>IF(ISERROR(L674-L673),0,L674-L673)</f>
        <v>0</v>
      </c>
      <c r="N674" s="1851" cm="1">
        <f t="array" ref="N674">_xlfn.IFS(
    AND(I674=TRUE, K674&lt;=No_Regular_Payments), Repay_Amt,
    AND(I674=TRUE, K674=No_Regular_Payments+1), Tm_Balloon_Amt,
   TRUE, 0
)</f>
        <v>0</v>
      </c>
      <c r="O674" s="1850" cm="1">
        <f t="array" ref="O674">_xlfn.IFS(
    M674=0,0,
   ABS(N674 - S673 - P674-Q674) &lt; 1, N674 - S673-Q674,
    TRUE, P674
)</f>
        <v>0</v>
      </c>
      <c r="P674" s="1852">
        <f>IF(M674=0,0,ROUND(S673*EXP(Int_Rate/365.25 * M674)-S673,2))</f>
        <v>0</v>
      </c>
      <c r="Q674" s="1851" cm="1">
        <f t="array" ref="Q674">_xlfn.IFS(
    AND(I674=TRUE, K674&lt;=No_Regular_Payments), Periodic_Admin_Charge,
   TRUE, 0
)</f>
        <v>0</v>
      </c>
      <c r="R674" s="1850">
        <f>N674-O674-Q674</f>
        <v>0</v>
      </c>
      <c r="S674" s="1850">
        <f>ROUND(S673-R674,2)</f>
        <v>0</v>
      </c>
      <c r="T674" s="1850">
        <f>ROUND(T673-(N674-Q674),2)</f>
        <v>0</v>
      </c>
      <c r="U674" s="1849"/>
      <c r="W674" s="1848"/>
      <c r="X674" s="1848"/>
      <c r="Y674" s="1848"/>
    </row>
    <row r="675" spans="2:25" hidden="1">
      <c r="B675" s="1815" t="b">
        <f>AND(I675=FALSE,N674=0,Q674=0,L674="")</f>
        <v>1</v>
      </c>
      <c r="C675" s="1844" t="str" cm="1">
        <f t="array" ref="C675">_xlfn.IFS(
    L675="", "",
    MONTH(L675) &lt;= End_of_Year_Month, YEAR(L675),
    TRUE, YEAR(L675) + 1
)</f>
        <v/>
      </c>
      <c r="F675" s="1857">
        <f>IF(L675="",0,L675)</f>
        <v>0</v>
      </c>
      <c r="G675" s="1856">
        <f>-(N675-Q675)</f>
        <v>0</v>
      </c>
      <c r="I675" s="1815" t="b">
        <f>K675&lt;=Number_Payments</f>
        <v>0</v>
      </c>
      <c r="J675" s="1855"/>
      <c r="K675" s="1351">
        <f>K674+1</f>
        <v>549</v>
      </c>
      <c r="L675" s="1854" t="str" cm="1">
        <f t="array" ref="L675">_xlfn.IFS(
    I674=FALSE, "",
    Payment_Frequency="Monthly", EDATE(L674, 1),
    Payment_Frequency="Weekly", DATE(YEAR(L674), MONTH(L674), DAY(L674) + 7),
    Payment_Frequency="Fortnightly", DATE(YEAR(L674), MONTH(L674), DAY(L674) + 14),
    Payment_Frequency="Quarterly", DATE(YEAR(L674), MONTH(L674) + 3, DAY(L674)),
    Payment_Frequency="Yearly", DATE(YEAR(L674) + 1, MONTH(L674), DAY(L674)),
    TRUE, ""
)</f>
        <v/>
      </c>
      <c r="M675" s="1853">
        <f>IF(ISERROR(L675-L674),0,L675-L674)</f>
        <v>0</v>
      </c>
      <c r="N675" s="1851" cm="1">
        <f t="array" ref="N675">_xlfn.IFS(
    AND(I675=TRUE, K675&lt;=No_Regular_Payments), Repay_Amt,
    AND(I675=TRUE, K675=No_Regular_Payments+1), Tm_Balloon_Amt,
   TRUE, 0
)</f>
        <v>0</v>
      </c>
      <c r="O675" s="1850" cm="1">
        <f t="array" ref="O675">_xlfn.IFS(
    M675=0,0,
   ABS(N675 - S674 - P675-Q675) &lt; 1, N675 - S674-Q675,
    TRUE, P675
)</f>
        <v>0</v>
      </c>
      <c r="P675" s="1852">
        <f>IF(M675=0,0,ROUND(S674*EXP(Int_Rate/365.25 * M675)-S674,2))</f>
        <v>0</v>
      </c>
      <c r="Q675" s="1851" cm="1">
        <f t="array" ref="Q675">_xlfn.IFS(
    AND(I675=TRUE, K675&lt;=No_Regular_Payments), Periodic_Admin_Charge,
   TRUE, 0
)</f>
        <v>0</v>
      </c>
      <c r="R675" s="1850">
        <f>N675-O675-Q675</f>
        <v>0</v>
      </c>
      <c r="S675" s="1850">
        <f>ROUND(S674-R675,2)</f>
        <v>0</v>
      </c>
      <c r="T675" s="1850">
        <f>ROUND(T674-(N675-Q675),2)</f>
        <v>0</v>
      </c>
      <c r="U675" s="1849"/>
      <c r="W675" s="1848"/>
      <c r="X675" s="1848"/>
      <c r="Y675" s="1848"/>
    </row>
    <row r="676" spans="2:25" hidden="1">
      <c r="B676" s="1815" t="b">
        <f>AND(I676=FALSE,N675=0,Q675=0,L675="")</f>
        <v>1</v>
      </c>
      <c r="C676" s="1844" t="str" cm="1">
        <f t="array" ref="C676">_xlfn.IFS(
    L676="", "",
    MONTH(L676) &lt;= End_of_Year_Month, YEAR(L676),
    TRUE, YEAR(L676) + 1
)</f>
        <v/>
      </c>
      <c r="F676" s="1857">
        <f>IF(L676="",0,L676)</f>
        <v>0</v>
      </c>
      <c r="G676" s="1856">
        <f>-(N676-Q676)</f>
        <v>0</v>
      </c>
      <c r="I676" s="1815" t="b">
        <f>K676&lt;=Number_Payments</f>
        <v>0</v>
      </c>
      <c r="J676" s="1855"/>
      <c r="K676" s="1351">
        <f>K675+1</f>
        <v>550</v>
      </c>
      <c r="L676" s="1854" t="str" cm="1">
        <f t="array" ref="L676">_xlfn.IFS(
    I675=FALSE, "",
    Payment_Frequency="Monthly", EDATE(L675, 1),
    Payment_Frequency="Weekly", DATE(YEAR(L675), MONTH(L675), DAY(L675) + 7),
    Payment_Frequency="Fortnightly", DATE(YEAR(L675), MONTH(L675), DAY(L675) + 14),
    Payment_Frequency="Quarterly", DATE(YEAR(L675), MONTH(L675) + 3, DAY(L675)),
    Payment_Frequency="Yearly", DATE(YEAR(L675) + 1, MONTH(L675), DAY(L675)),
    TRUE, ""
)</f>
        <v/>
      </c>
      <c r="M676" s="1853">
        <f>IF(ISERROR(L676-L675),0,L676-L675)</f>
        <v>0</v>
      </c>
      <c r="N676" s="1851" cm="1">
        <f t="array" ref="N676">_xlfn.IFS(
    AND(I676=TRUE, K676&lt;=No_Regular_Payments), Repay_Amt,
    AND(I676=TRUE, K676=No_Regular_Payments+1), Tm_Balloon_Amt,
   TRUE, 0
)</f>
        <v>0</v>
      </c>
      <c r="O676" s="1850" cm="1">
        <f t="array" ref="O676">_xlfn.IFS(
    M676=0,0,
   ABS(N676 - S675 - P676-Q676) &lt; 1, N676 - S675-Q676,
    TRUE, P676
)</f>
        <v>0</v>
      </c>
      <c r="P676" s="1852">
        <f>IF(M676=0,0,ROUND(S675*EXP(Int_Rate/365.25 * M676)-S675,2))</f>
        <v>0</v>
      </c>
      <c r="Q676" s="1851" cm="1">
        <f t="array" ref="Q676">_xlfn.IFS(
    AND(I676=TRUE, K676&lt;=No_Regular_Payments), Periodic_Admin_Charge,
   TRUE, 0
)</f>
        <v>0</v>
      </c>
      <c r="R676" s="1850">
        <f>N676-O676-Q676</f>
        <v>0</v>
      </c>
      <c r="S676" s="1850">
        <f>ROUND(S675-R676,2)</f>
        <v>0</v>
      </c>
      <c r="T676" s="1850">
        <f>ROUND(T675-(N676-Q676),2)</f>
        <v>0</v>
      </c>
      <c r="U676" s="1849"/>
      <c r="W676" s="1848"/>
      <c r="X676" s="1848"/>
      <c r="Y676" s="1848"/>
    </row>
    <row r="677" spans="2:25" hidden="1">
      <c r="B677" s="1815" t="b">
        <f>AND(I677=FALSE,N676=0,Q676=0,L676="")</f>
        <v>1</v>
      </c>
      <c r="C677" s="1844" t="str" cm="1">
        <f t="array" ref="C677">_xlfn.IFS(
    L677="", "",
    MONTH(L677) &lt;= End_of_Year_Month, YEAR(L677),
    TRUE, YEAR(L677) + 1
)</f>
        <v/>
      </c>
      <c r="F677" s="1857">
        <f>IF(L677="",0,L677)</f>
        <v>0</v>
      </c>
      <c r="G677" s="1856">
        <f>-(N677-Q677)</f>
        <v>0</v>
      </c>
      <c r="I677" s="1815" t="b">
        <f>K677&lt;=Number_Payments</f>
        <v>0</v>
      </c>
      <c r="J677" s="1855"/>
      <c r="K677" s="1351">
        <f>K676+1</f>
        <v>551</v>
      </c>
      <c r="L677" s="1854" t="str" cm="1">
        <f t="array" ref="L677">_xlfn.IFS(
    I676=FALSE, "",
    Payment_Frequency="Monthly", EDATE(L676, 1),
    Payment_Frequency="Weekly", DATE(YEAR(L676), MONTH(L676), DAY(L676) + 7),
    Payment_Frequency="Fortnightly", DATE(YEAR(L676), MONTH(L676), DAY(L676) + 14),
    Payment_Frequency="Quarterly", DATE(YEAR(L676), MONTH(L676) + 3, DAY(L676)),
    Payment_Frequency="Yearly", DATE(YEAR(L676) + 1, MONTH(L676), DAY(L676)),
    TRUE, ""
)</f>
        <v/>
      </c>
      <c r="M677" s="1853">
        <f>IF(ISERROR(L677-L676),0,L677-L676)</f>
        <v>0</v>
      </c>
      <c r="N677" s="1851" cm="1">
        <f t="array" ref="N677">_xlfn.IFS(
    AND(I677=TRUE, K677&lt;=No_Regular_Payments), Repay_Amt,
    AND(I677=TRUE, K677=No_Regular_Payments+1), Tm_Balloon_Amt,
   TRUE, 0
)</f>
        <v>0</v>
      </c>
      <c r="O677" s="1850" cm="1">
        <f t="array" ref="O677">_xlfn.IFS(
    M677=0,0,
   ABS(N677 - S676 - P677-Q677) &lt; 1, N677 - S676-Q677,
    TRUE, P677
)</f>
        <v>0</v>
      </c>
      <c r="P677" s="1852">
        <f>IF(M677=0,0,ROUND(S676*EXP(Int_Rate/365.25 * M677)-S676,2))</f>
        <v>0</v>
      </c>
      <c r="Q677" s="1851" cm="1">
        <f t="array" ref="Q677">_xlfn.IFS(
    AND(I677=TRUE, K677&lt;=No_Regular_Payments), Periodic_Admin_Charge,
   TRUE, 0
)</f>
        <v>0</v>
      </c>
      <c r="R677" s="1850">
        <f>N677-O677-Q677</f>
        <v>0</v>
      </c>
      <c r="S677" s="1850">
        <f>ROUND(S676-R677,2)</f>
        <v>0</v>
      </c>
      <c r="T677" s="1850">
        <f>ROUND(T676-(N677-Q677),2)</f>
        <v>0</v>
      </c>
      <c r="U677" s="1849"/>
      <c r="W677" s="1848"/>
      <c r="X677" s="1848"/>
      <c r="Y677" s="1848"/>
    </row>
    <row r="678" spans="2:25" hidden="1">
      <c r="B678" s="1815" t="b">
        <f>AND(I678=FALSE,N677=0,Q677=0,L677="")</f>
        <v>1</v>
      </c>
      <c r="C678" s="1844" t="str" cm="1">
        <f t="array" ref="C678">_xlfn.IFS(
    L678="", "",
    MONTH(L678) &lt;= End_of_Year_Month, YEAR(L678),
    TRUE, YEAR(L678) + 1
)</f>
        <v/>
      </c>
      <c r="F678" s="1857">
        <f>IF(L678="",0,L678)</f>
        <v>0</v>
      </c>
      <c r="G678" s="1856">
        <f>-(N678-Q678)</f>
        <v>0</v>
      </c>
      <c r="I678" s="1815" t="b">
        <f>K678&lt;=Number_Payments</f>
        <v>0</v>
      </c>
      <c r="J678" s="1855"/>
      <c r="K678" s="1351">
        <f>K677+1</f>
        <v>552</v>
      </c>
      <c r="L678" s="1854" t="str" cm="1">
        <f t="array" ref="L678">_xlfn.IFS(
    I677=FALSE, "",
    Payment_Frequency="Monthly", EDATE(L677, 1),
    Payment_Frequency="Weekly", DATE(YEAR(L677), MONTH(L677), DAY(L677) + 7),
    Payment_Frequency="Fortnightly", DATE(YEAR(L677), MONTH(L677), DAY(L677) + 14),
    Payment_Frequency="Quarterly", DATE(YEAR(L677), MONTH(L677) + 3, DAY(L677)),
    Payment_Frequency="Yearly", DATE(YEAR(L677) + 1, MONTH(L677), DAY(L677)),
    TRUE, ""
)</f>
        <v/>
      </c>
      <c r="M678" s="1853">
        <f>IF(ISERROR(L678-L677),0,L678-L677)</f>
        <v>0</v>
      </c>
      <c r="N678" s="1851" cm="1">
        <f t="array" ref="N678">_xlfn.IFS(
    AND(I678=TRUE, K678&lt;=No_Regular_Payments), Repay_Amt,
    AND(I678=TRUE, K678=No_Regular_Payments+1), Tm_Balloon_Amt,
   TRUE, 0
)</f>
        <v>0</v>
      </c>
      <c r="O678" s="1850" cm="1">
        <f t="array" ref="O678">_xlfn.IFS(
    M678=0,0,
   ABS(N678 - S677 - P678-Q678) &lt; 1, N678 - S677-Q678,
    TRUE, P678
)</f>
        <v>0</v>
      </c>
      <c r="P678" s="1852">
        <f>IF(M678=0,0,ROUND(S677*EXP(Int_Rate/365.25 * M678)-S677,2))</f>
        <v>0</v>
      </c>
      <c r="Q678" s="1851" cm="1">
        <f t="array" ref="Q678">_xlfn.IFS(
    AND(I678=TRUE, K678&lt;=No_Regular_Payments), Periodic_Admin_Charge,
   TRUE, 0
)</f>
        <v>0</v>
      </c>
      <c r="R678" s="1850">
        <f>N678-O678-Q678</f>
        <v>0</v>
      </c>
      <c r="S678" s="1850">
        <f>ROUND(S677-R678,2)</f>
        <v>0</v>
      </c>
      <c r="T678" s="1850">
        <f>ROUND(T677-(N678-Q678),2)</f>
        <v>0</v>
      </c>
      <c r="U678" s="1849"/>
      <c r="W678" s="1848"/>
      <c r="X678" s="1848"/>
      <c r="Y678" s="1848"/>
    </row>
    <row r="679" spans="2:25" hidden="1">
      <c r="B679" s="1815" t="b">
        <f>AND(I679=FALSE,N678=0,Q678=0,L678="")</f>
        <v>1</v>
      </c>
      <c r="C679" s="1844" t="str" cm="1">
        <f t="array" ref="C679">_xlfn.IFS(
    L679="", "",
    MONTH(L679) &lt;= End_of_Year_Month, YEAR(L679),
    TRUE, YEAR(L679) + 1
)</f>
        <v/>
      </c>
      <c r="F679" s="1857">
        <f>IF(L679="",0,L679)</f>
        <v>0</v>
      </c>
      <c r="G679" s="1856">
        <f>-(N679-Q679)</f>
        <v>0</v>
      </c>
      <c r="I679" s="1815" t="b">
        <f>K679&lt;=Number_Payments</f>
        <v>0</v>
      </c>
      <c r="J679" s="1855"/>
      <c r="K679" s="1351">
        <f>K678+1</f>
        <v>553</v>
      </c>
      <c r="L679" s="1854" t="str" cm="1">
        <f t="array" ref="L679">_xlfn.IFS(
    I678=FALSE, "",
    Payment_Frequency="Monthly", EDATE(L678, 1),
    Payment_Frequency="Weekly", DATE(YEAR(L678), MONTH(L678), DAY(L678) + 7),
    Payment_Frequency="Fortnightly", DATE(YEAR(L678), MONTH(L678), DAY(L678) + 14),
    Payment_Frequency="Quarterly", DATE(YEAR(L678), MONTH(L678) + 3, DAY(L678)),
    Payment_Frequency="Yearly", DATE(YEAR(L678) + 1, MONTH(L678), DAY(L678)),
    TRUE, ""
)</f>
        <v/>
      </c>
      <c r="M679" s="1853">
        <f>IF(ISERROR(L679-L678),0,L679-L678)</f>
        <v>0</v>
      </c>
      <c r="N679" s="1851" cm="1">
        <f t="array" ref="N679">_xlfn.IFS(
    AND(I679=TRUE, K679&lt;=No_Regular_Payments), Repay_Amt,
    AND(I679=TRUE, K679=No_Regular_Payments+1), Tm_Balloon_Amt,
   TRUE, 0
)</f>
        <v>0</v>
      </c>
      <c r="O679" s="1850" cm="1">
        <f t="array" ref="O679">_xlfn.IFS(
    M679=0,0,
   ABS(N679 - S678 - P679-Q679) &lt; 1, N679 - S678-Q679,
    TRUE, P679
)</f>
        <v>0</v>
      </c>
      <c r="P679" s="1852">
        <f>IF(M679=0,0,ROUND(S678*EXP(Int_Rate/365.25 * M679)-S678,2))</f>
        <v>0</v>
      </c>
      <c r="Q679" s="1851" cm="1">
        <f t="array" ref="Q679">_xlfn.IFS(
    AND(I679=TRUE, K679&lt;=No_Regular_Payments), Periodic_Admin_Charge,
   TRUE, 0
)</f>
        <v>0</v>
      </c>
      <c r="R679" s="1850">
        <f>N679-O679-Q679</f>
        <v>0</v>
      </c>
      <c r="S679" s="1850">
        <f>ROUND(S678-R679,2)</f>
        <v>0</v>
      </c>
      <c r="T679" s="1850">
        <f>ROUND(T678-(N679-Q679),2)</f>
        <v>0</v>
      </c>
      <c r="U679" s="1849"/>
      <c r="W679" s="1848"/>
      <c r="X679" s="1848"/>
      <c r="Y679" s="1848"/>
    </row>
    <row r="680" spans="2:25" hidden="1">
      <c r="B680" s="1815" t="b">
        <f>AND(I680=FALSE,N679=0,Q679=0,L679="")</f>
        <v>1</v>
      </c>
      <c r="C680" s="1844" t="str" cm="1">
        <f t="array" ref="C680">_xlfn.IFS(
    L680="", "",
    MONTH(L680) &lt;= End_of_Year_Month, YEAR(L680),
    TRUE, YEAR(L680) + 1
)</f>
        <v/>
      </c>
      <c r="F680" s="1857">
        <f>IF(L680="",0,L680)</f>
        <v>0</v>
      </c>
      <c r="G680" s="1856">
        <f>-(N680-Q680)</f>
        <v>0</v>
      </c>
      <c r="I680" s="1815" t="b">
        <f>K680&lt;=Number_Payments</f>
        <v>0</v>
      </c>
      <c r="J680" s="1855"/>
      <c r="K680" s="1351">
        <f>K679+1</f>
        <v>554</v>
      </c>
      <c r="L680" s="1854" t="str" cm="1">
        <f t="array" ref="L680">_xlfn.IFS(
    I679=FALSE, "",
    Payment_Frequency="Monthly", EDATE(L679, 1),
    Payment_Frequency="Weekly", DATE(YEAR(L679), MONTH(L679), DAY(L679) + 7),
    Payment_Frequency="Fortnightly", DATE(YEAR(L679), MONTH(L679), DAY(L679) + 14),
    Payment_Frequency="Quarterly", DATE(YEAR(L679), MONTH(L679) + 3, DAY(L679)),
    Payment_Frequency="Yearly", DATE(YEAR(L679) + 1, MONTH(L679), DAY(L679)),
    TRUE, ""
)</f>
        <v/>
      </c>
      <c r="M680" s="1853">
        <f>IF(ISERROR(L680-L679),0,L680-L679)</f>
        <v>0</v>
      </c>
      <c r="N680" s="1851" cm="1">
        <f t="array" ref="N680">_xlfn.IFS(
    AND(I680=TRUE, K680&lt;=No_Regular_Payments), Repay_Amt,
    AND(I680=TRUE, K680=No_Regular_Payments+1), Tm_Balloon_Amt,
   TRUE, 0
)</f>
        <v>0</v>
      </c>
      <c r="O680" s="1850" cm="1">
        <f t="array" ref="O680">_xlfn.IFS(
    M680=0,0,
   ABS(N680 - S679 - P680-Q680) &lt; 1, N680 - S679-Q680,
    TRUE, P680
)</f>
        <v>0</v>
      </c>
      <c r="P680" s="1852">
        <f>IF(M680=0,0,ROUND(S679*EXP(Int_Rate/365.25 * M680)-S679,2))</f>
        <v>0</v>
      </c>
      <c r="Q680" s="1851" cm="1">
        <f t="array" ref="Q680">_xlfn.IFS(
    AND(I680=TRUE, K680&lt;=No_Regular_Payments), Periodic_Admin_Charge,
   TRUE, 0
)</f>
        <v>0</v>
      </c>
      <c r="R680" s="1850">
        <f>N680-O680-Q680</f>
        <v>0</v>
      </c>
      <c r="S680" s="1850">
        <f>ROUND(S679-R680,2)</f>
        <v>0</v>
      </c>
      <c r="T680" s="1850">
        <f>ROUND(T679-(N680-Q680),2)</f>
        <v>0</v>
      </c>
      <c r="U680" s="1849"/>
      <c r="W680" s="1848"/>
      <c r="X680" s="1848"/>
      <c r="Y680" s="1848"/>
    </row>
    <row r="681" spans="2:25" hidden="1">
      <c r="B681" s="1815" t="b">
        <f>AND(I681=FALSE,N680=0,Q680=0,L680="")</f>
        <v>1</v>
      </c>
      <c r="C681" s="1844" t="str" cm="1">
        <f t="array" ref="C681">_xlfn.IFS(
    L681="", "",
    MONTH(L681) &lt;= End_of_Year_Month, YEAR(L681),
    TRUE, YEAR(L681) + 1
)</f>
        <v/>
      </c>
      <c r="F681" s="1857">
        <f>IF(L681="",0,L681)</f>
        <v>0</v>
      </c>
      <c r="G681" s="1856">
        <f>-(N681-Q681)</f>
        <v>0</v>
      </c>
      <c r="I681" s="1815" t="b">
        <f>K681&lt;=Number_Payments</f>
        <v>0</v>
      </c>
      <c r="J681" s="1855"/>
      <c r="K681" s="1351">
        <f>K680+1</f>
        <v>555</v>
      </c>
      <c r="L681" s="1854" t="str" cm="1">
        <f t="array" ref="L681">_xlfn.IFS(
    I680=FALSE, "",
    Payment_Frequency="Monthly", EDATE(L680, 1),
    Payment_Frequency="Weekly", DATE(YEAR(L680), MONTH(L680), DAY(L680) + 7),
    Payment_Frequency="Fortnightly", DATE(YEAR(L680), MONTH(L680), DAY(L680) + 14),
    Payment_Frequency="Quarterly", DATE(YEAR(L680), MONTH(L680) + 3, DAY(L680)),
    Payment_Frequency="Yearly", DATE(YEAR(L680) + 1, MONTH(L680), DAY(L680)),
    TRUE, ""
)</f>
        <v/>
      </c>
      <c r="M681" s="1853">
        <f>IF(ISERROR(L681-L680),0,L681-L680)</f>
        <v>0</v>
      </c>
      <c r="N681" s="1851" cm="1">
        <f t="array" ref="N681">_xlfn.IFS(
    AND(I681=TRUE, K681&lt;=No_Regular_Payments), Repay_Amt,
    AND(I681=TRUE, K681=No_Regular_Payments+1), Tm_Balloon_Amt,
   TRUE, 0
)</f>
        <v>0</v>
      </c>
      <c r="O681" s="1850" cm="1">
        <f t="array" ref="O681">_xlfn.IFS(
    M681=0,0,
   ABS(N681 - S680 - P681-Q681) &lt; 1, N681 - S680-Q681,
    TRUE, P681
)</f>
        <v>0</v>
      </c>
      <c r="P681" s="1852">
        <f>IF(M681=0,0,ROUND(S680*EXP(Int_Rate/365.25 * M681)-S680,2))</f>
        <v>0</v>
      </c>
      <c r="Q681" s="1851" cm="1">
        <f t="array" ref="Q681">_xlfn.IFS(
    AND(I681=TRUE, K681&lt;=No_Regular_Payments), Periodic_Admin_Charge,
   TRUE, 0
)</f>
        <v>0</v>
      </c>
      <c r="R681" s="1850">
        <f>N681-O681-Q681</f>
        <v>0</v>
      </c>
      <c r="S681" s="1850">
        <f>ROUND(S680-R681,2)</f>
        <v>0</v>
      </c>
      <c r="T681" s="1850">
        <f>ROUND(T680-(N681-Q681),2)</f>
        <v>0</v>
      </c>
      <c r="U681" s="1849"/>
      <c r="W681" s="1848"/>
      <c r="X681" s="1848"/>
      <c r="Y681" s="1848"/>
    </row>
    <row r="682" spans="2:25" hidden="1">
      <c r="B682" s="1815" t="b">
        <f>AND(I682=FALSE,N681=0,Q681=0,L681="")</f>
        <v>1</v>
      </c>
      <c r="C682" s="1844" t="str" cm="1">
        <f t="array" ref="C682">_xlfn.IFS(
    L682="", "",
    MONTH(L682) &lt;= End_of_Year_Month, YEAR(L682),
    TRUE, YEAR(L682) + 1
)</f>
        <v/>
      </c>
      <c r="F682" s="1857">
        <f>IF(L682="",0,L682)</f>
        <v>0</v>
      </c>
      <c r="G682" s="1856">
        <f>-(N682-Q682)</f>
        <v>0</v>
      </c>
      <c r="I682" s="1815" t="b">
        <f>K682&lt;=Number_Payments</f>
        <v>0</v>
      </c>
      <c r="J682" s="1855"/>
      <c r="K682" s="1351">
        <f>K681+1</f>
        <v>556</v>
      </c>
      <c r="L682" s="1854" t="str" cm="1">
        <f t="array" ref="L682">_xlfn.IFS(
    I681=FALSE, "",
    Payment_Frequency="Monthly", EDATE(L681, 1),
    Payment_Frequency="Weekly", DATE(YEAR(L681), MONTH(L681), DAY(L681) + 7),
    Payment_Frequency="Fortnightly", DATE(YEAR(L681), MONTH(L681), DAY(L681) + 14),
    Payment_Frequency="Quarterly", DATE(YEAR(L681), MONTH(L681) + 3, DAY(L681)),
    Payment_Frequency="Yearly", DATE(YEAR(L681) + 1, MONTH(L681), DAY(L681)),
    TRUE, ""
)</f>
        <v/>
      </c>
      <c r="M682" s="1853">
        <f>IF(ISERROR(L682-L681),0,L682-L681)</f>
        <v>0</v>
      </c>
      <c r="N682" s="1851" cm="1">
        <f t="array" ref="N682">_xlfn.IFS(
    AND(I682=TRUE, K682&lt;=No_Regular_Payments), Repay_Amt,
    AND(I682=TRUE, K682=No_Regular_Payments+1), Tm_Balloon_Amt,
   TRUE, 0
)</f>
        <v>0</v>
      </c>
      <c r="O682" s="1850" cm="1">
        <f t="array" ref="O682">_xlfn.IFS(
    M682=0,0,
   ABS(N682 - S681 - P682-Q682) &lt; 1, N682 - S681-Q682,
    TRUE, P682
)</f>
        <v>0</v>
      </c>
      <c r="P682" s="1852">
        <f>IF(M682=0,0,ROUND(S681*EXP(Int_Rate/365.25 * M682)-S681,2))</f>
        <v>0</v>
      </c>
      <c r="Q682" s="1851" cm="1">
        <f t="array" ref="Q682">_xlfn.IFS(
    AND(I682=TRUE, K682&lt;=No_Regular_Payments), Periodic_Admin_Charge,
   TRUE, 0
)</f>
        <v>0</v>
      </c>
      <c r="R682" s="1850">
        <f>N682-O682-Q682</f>
        <v>0</v>
      </c>
      <c r="S682" s="1850">
        <f>ROUND(S681-R682,2)</f>
        <v>0</v>
      </c>
      <c r="T682" s="1850">
        <f>ROUND(T681-(N682-Q682),2)</f>
        <v>0</v>
      </c>
      <c r="U682" s="1849"/>
      <c r="W682" s="1848"/>
      <c r="X682" s="1848"/>
      <c r="Y682" s="1848"/>
    </row>
    <row r="683" spans="2:25" hidden="1">
      <c r="B683" s="1815" t="b">
        <f>AND(I683=FALSE,N682=0,Q682=0,L682="")</f>
        <v>1</v>
      </c>
      <c r="C683" s="1844" t="str" cm="1">
        <f t="array" ref="C683">_xlfn.IFS(
    L683="", "",
    MONTH(L683) &lt;= End_of_Year_Month, YEAR(L683),
    TRUE, YEAR(L683) + 1
)</f>
        <v/>
      </c>
      <c r="F683" s="1857">
        <f>IF(L683="",0,L683)</f>
        <v>0</v>
      </c>
      <c r="G683" s="1856">
        <f>-(N683-Q683)</f>
        <v>0</v>
      </c>
      <c r="I683" s="1815" t="b">
        <f>K683&lt;=Number_Payments</f>
        <v>0</v>
      </c>
      <c r="J683" s="1855"/>
      <c r="K683" s="1351">
        <f>K682+1</f>
        <v>557</v>
      </c>
      <c r="L683" s="1854" t="str" cm="1">
        <f t="array" ref="L683">_xlfn.IFS(
    I682=FALSE, "",
    Payment_Frequency="Monthly", EDATE(L682, 1),
    Payment_Frequency="Weekly", DATE(YEAR(L682), MONTH(L682), DAY(L682) + 7),
    Payment_Frequency="Fortnightly", DATE(YEAR(L682), MONTH(L682), DAY(L682) + 14),
    Payment_Frequency="Quarterly", DATE(YEAR(L682), MONTH(L682) + 3, DAY(L682)),
    Payment_Frequency="Yearly", DATE(YEAR(L682) + 1, MONTH(L682), DAY(L682)),
    TRUE, ""
)</f>
        <v/>
      </c>
      <c r="M683" s="1853">
        <f>IF(ISERROR(L683-L682),0,L683-L682)</f>
        <v>0</v>
      </c>
      <c r="N683" s="1851" cm="1">
        <f t="array" ref="N683">_xlfn.IFS(
    AND(I683=TRUE, K683&lt;=No_Regular_Payments), Repay_Amt,
    AND(I683=TRUE, K683=No_Regular_Payments+1), Tm_Balloon_Amt,
   TRUE, 0
)</f>
        <v>0</v>
      </c>
      <c r="O683" s="1850" cm="1">
        <f t="array" ref="O683">_xlfn.IFS(
    M683=0,0,
   ABS(N683 - S682 - P683-Q683) &lt; 1, N683 - S682-Q683,
    TRUE, P683
)</f>
        <v>0</v>
      </c>
      <c r="P683" s="1852">
        <f>IF(M683=0,0,ROUND(S682*EXP(Int_Rate/365.25 * M683)-S682,2))</f>
        <v>0</v>
      </c>
      <c r="Q683" s="1851" cm="1">
        <f t="array" ref="Q683">_xlfn.IFS(
    AND(I683=TRUE, K683&lt;=No_Regular_Payments), Periodic_Admin_Charge,
   TRUE, 0
)</f>
        <v>0</v>
      </c>
      <c r="R683" s="1850">
        <f>N683-O683-Q683</f>
        <v>0</v>
      </c>
      <c r="S683" s="1850">
        <f>ROUND(S682-R683,2)</f>
        <v>0</v>
      </c>
      <c r="T683" s="1850">
        <f>ROUND(T682-(N683-Q683),2)</f>
        <v>0</v>
      </c>
      <c r="U683" s="1849"/>
      <c r="W683" s="1848"/>
      <c r="X683" s="1848"/>
      <c r="Y683" s="1848"/>
    </row>
    <row r="684" spans="2:25" hidden="1">
      <c r="B684" s="1815" t="b">
        <f>AND(I684=FALSE,N683=0,Q683=0,L683="")</f>
        <v>1</v>
      </c>
      <c r="C684" s="1844" t="str" cm="1">
        <f t="array" ref="C684">_xlfn.IFS(
    L684="", "",
    MONTH(L684) &lt;= End_of_Year_Month, YEAR(L684),
    TRUE, YEAR(L684) + 1
)</f>
        <v/>
      </c>
      <c r="F684" s="1857">
        <f>IF(L684="",0,L684)</f>
        <v>0</v>
      </c>
      <c r="G684" s="1856">
        <f>-(N684-Q684)</f>
        <v>0</v>
      </c>
      <c r="I684" s="1815" t="b">
        <f>K684&lt;=Number_Payments</f>
        <v>0</v>
      </c>
      <c r="J684" s="1855"/>
      <c r="K684" s="1351">
        <f>K683+1</f>
        <v>558</v>
      </c>
      <c r="L684" s="1854" t="str" cm="1">
        <f t="array" ref="L684">_xlfn.IFS(
    I683=FALSE, "",
    Payment_Frequency="Monthly", EDATE(L683, 1),
    Payment_Frequency="Weekly", DATE(YEAR(L683), MONTH(L683), DAY(L683) + 7),
    Payment_Frequency="Fortnightly", DATE(YEAR(L683), MONTH(L683), DAY(L683) + 14),
    Payment_Frequency="Quarterly", DATE(YEAR(L683), MONTH(L683) + 3, DAY(L683)),
    Payment_Frequency="Yearly", DATE(YEAR(L683) + 1, MONTH(L683), DAY(L683)),
    TRUE, ""
)</f>
        <v/>
      </c>
      <c r="M684" s="1853">
        <f>IF(ISERROR(L684-L683),0,L684-L683)</f>
        <v>0</v>
      </c>
      <c r="N684" s="1851" cm="1">
        <f t="array" ref="N684">_xlfn.IFS(
    AND(I684=TRUE, K684&lt;=No_Regular_Payments), Repay_Amt,
    AND(I684=TRUE, K684=No_Regular_Payments+1), Tm_Balloon_Amt,
   TRUE, 0
)</f>
        <v>0</v>
      </c>
      <c r="O684" s="1850" cm="1">
        <f t="array" ref="O684">_xlfn.IFS(
    M684=0,0,
   ABS(N684 - S683 - P684-Q684) &lt; 1, N684 - S683-Q684,
    TRUE, P684
)</f>
        <v>0</v>
      </c>
      <c r="P684" s="1852">
        <f>IF(M684=0,0,ROUND(S683*EXP(Int_Rate/365.25 * M684)-S683,2))</f>
        <v>0</v>
      </c>
      <c r="Q684" s="1851" cm="1">
        <f t="array" ref="Q684">_xlfn.IFS(
    AND(I684=TRUE, K684&lt;=No_Regular_Payments), Periodic_Admin_Charge,
   TRUE, 0
)</f>
        <v>0</v>
      </c>
      <c r="R684" s="1850">
        <f>N684-O684-Q684</f>
        <v>0</v>
      </c>
      <c r="S684" s="1850">
        <f>ROUND(S683-R684,2)</f>
        <v>0</v>
      </c>
      <c r="T684" s="1850">
        <f>ROUND(T683-(N684-Q684),2)</f>
        <v>0</v>
      </c>
      <c r="U684" s="1849"/>
      <c r="W684" s="1848"/>
      <c r="X684" s="1848"/>
      <c r="Y684" s="1848"/>
    </row>
    <row r="685" spans="2:25" hidden="1">
      <c r="B685" s="1815" t="b">
        <f>AND(I685=FALSE,N684=0,Q684=0,L684="")</f>
        <v>1</v>
      </c>
      <c r="C685" s="1844" t="str" cm="1">
        <f t="array" ref="C685">_xlfn.IFS(
    L685="", "",
    MONTH(L685) &lt;= End_of_Year_Month, YEAR(L685),
    TRUE, YEAR(L685) + 1
)</f>
        <v/>
      </c>
      <c r="F685" s="1857">
        <f>IF(L685="",0,L685)</f>
        <v>0</v>
      </c>
      <c r="G685" s="1856">
        <f>-(N685-Q685)</f>
        <v>0</v>
      </c>
      <c r="I685" s="1815" t="b">
        <f>K685&lt;=Number_Payments</f>
        <v>0</v>
      </c>
      <c r="J685" s="1855"/>
      <c r="K685" s="1351">
        <f>K684+1</f>
        <v>559</v>
      </c>
      <c r="L685" s="1854" t="str" cm="1">
        <f t="array" ref="L685">_xlfn.IFS(
    I684=FALSE, "",
    Payment_Frequency="Monthly", EDATE(L684, 1),
    Payment_Frequency="Weekly", DATE(YEAR(L684), MONTH(L684), DAY(L684) + 7),
    Payment_Frequency="Fortnightly", DATE(YEAR(L684), MONTH(L684), DAY(L684) + 14),
    Payment_Frequency="Quarterly", DATE(YEAR(L684), MONTH(L684) + 3, DAY(L684)),
    Payment_Frequency="Yearly", DATE(YEAR(L684) + 1, MONTH(L684), DAY(L684)),
    TRUE, ""
)</f>
        <v/>
      </c>
      <c r="M685" s="1853">
        <f>IF(ISERROR(L685-L684),0,L685-L684)</f>
        <v>0</v>
      </c>
      <c r="N685" s="1851" cm="1">
        <f t="array" ref="N685">_xlfn.IFS(
    AND(I685=TRUE, K685&lt;=No_Regular_Payments), Repay_Amt,
    AND(I685=TRUE, K685=No_Regular_Payments+1), Tm_Balloon_Amt,
   TRUE, 0
)</f>
        <v>0</v>
      </c>
      <c r="O685" s="1850" cm="1">
        <f t="array" ref="O685">_xlfn.IFS(
    M685=0,0,
   ABS(N685 - S684 - P685-Q685) &lt; 1, N685 - S684-Q685,
    TRUE, P685
)</f>
        <v>0</v>
      </c>
      <c r="P685" s="1852">
        <f>IF(M685=0,0,ROUND(S684*EXP(Int_Rate/365.25 * M685)-S684,2))</f>
        <v>0</v>
      </c>
      <c r="Q685" s="1851" cm="1">
        <f t="array" ref="Q685">_xlfn.IFS(
    AND(I685=TRUE, K685&lt;=No_Regular_Payments), Periodic_Admin_Charge,
   TRUE, 0
)</f>
        <v>0</v>
      </c>
      <c r="R685" s="1850">
        <f>N685-O685-Q685</f>
        <v>0</v>
      </c>
      <c r="S685" s="1850">
        <f>ROUND(S684-R685,2)</f>
        <v>0</v>
      </c>
      <c r="T685" s="1850">
        <f>ROUND(T684-(N685-Q685),2)</f>
        <v>0</v>
      </c>
      <c r="U685" s="1849"/>
      <c r="W685" s="1848"/>
      <c r="X685" s="1848"/>
      <c r="Y685" s="1848"/>
    </row>
    <row r="686" spans="2:25" hidden="1">
      <c r="B686" s="1815" t="b">
        <f>AND(I686=FALSE,N685=0,Q685=0,L685="")</f>
        <v>1</v>
      </c>
      <c r="C686" s="1844" t="str" cm="1">
        <f t="array" ref="C686">_xlfn.IFS(
    L686="", "",
    MONTH(L686) &lt;= End_of_Year_Month, YEAR(L686),
    TRUE, YEAR(L686) + 1
)</f>
        <v/>
      </c>
      <c r="F686" s="1857">
        <f>IF(L686="",0,L686)</f>
        <v>0</v>
      </c>
      <c r="G686" s="1856">
        <f>-(N686-Q686)</f>
        <v>0</v>
      </c>
      <c r="I686" s="1815" t="b">
        <f>K686&lt;=Number_Payments</f>
        <v>0</v>
      </c>
      <c r="J686" s="1855"/>
      <c r="K686" s="1351">
        <f>K685+1</f>
        <v>560</v>
      </c>
      <c r="L686" s="1854" t="str" cm="1">
        <f t="array" ref="L686">_xlfn.IFS(
    I685=FALSE, "",
    Payment_Frequency="Monthly", EDATE(L685, 1),
    Payment_Frequency="Weekly", DATE(YEAR(L685), MONTH(L685), DAY(L685) + 7),
    Payment_Frequency="Fortnightly", DATE(YEAR(L685), MONTH(L685), DAY(L685) + 14),
    Payment_Frequency="Quarterly", DATE(YEAR(L685), MONTH(L685) + 3, DAY(L685)),
    Payment_Frequency="Yearly", DATE(YEAR(L685) + 1, MONTH(L685), DAY(L685)),
    TRUE, ""
)</f>
        <v/>
      </c>
      <c r="M686" s="1853">
        <f>IF(ISERROR(L686-L685),0,L686-L685)</f>
        <v>0</v>
      </c>
      <c r="N686" s="1851" cm="1">
        <f t="array" ref="N686">_xlfn.IFS(
    AND(I686=TRUE, K686&lt;=No_Regular_Payments), Repay_Amt,
    AND(I686=TRUE, K686=No_Regular_Payments+1), Tm_Balloon_Amt,
   TRUE, 0
)</f>
        <v>0</v>
      </c>
      <c r="O686" s="1850" cm="1">
        <f t="array" ref="O686">_xlfn.IFS(
    M686=0,0,
   ABS(N686 - S685 - P686-Q686) &lt; 1, N686 - S685-Q686,
    TRUE, P686
)</f>
        <v>0</v>
      </c>
      <c r="P686" s="1852">
        <f>IF(M686=0,0,ROUND(S685*EXP(Int_Rate/365.25 * M686)-S685,2))</f>
        <v>0</v>
      </c>
      <c r="Q686" s="1851" cm="1">
        <f t="array" ref="Q686">_xlfn.IFS(
    AND(I686=TRUE, K686&lt;=No_Regular_Payments), Periodic_Admin_Charge,
   TRUE, 0
)</f>
        <v>0</v>
      </c>
      <c r="R686" s="1850">
        <f>N686-O686-Q686</f>
        <v>0</v>
      </c>
      <c r="S686" s="1850">
        <f>ROUND(S685-R686,2)</f>
        <v>0</v>
      </c>
      <c r="T686" s="1850">
        <f>ROUND(T685-(N686-Q686),2)</f>
        <v>0</v>
      </c>
      <c r="U686" s="1849"/>
      <c r="W686" s="1848"/>
      <c r="X686" s="1848"/>
      <c r="Y686" s="1848"/>
    </row>
    <row r="687" spans="2:25" hidden="1">
      <c r="B687" s="1815" t="b">
        <f>AND(I687=FALSE,N686=0,Q686=0,L686="")</f>
        <v>1</v>
      </c>
      <c r="C687" s="1844" t="str" cm="1">
        <f t="array" ref="C687">_xlfn.IFS(
    L687="", "",
    MONTH(L687) &lt;= End_of_Year_Month, YEAR(L687),
    TRUE, YEAR(L687) + 1
)</f>
        <v/>
      </c>
      <c r="F687" s="1857">
        <f>IF(L687="",0,L687)</f>
        <v>0</v>
      </c>
      <c r="G687" s="1856">
        <f>-(N687-Q687)</f>
        <v>0</v>
      </c>
      <c r="I687" s="1815" t="b">
        <f>K687&lt;=Number_Payments</f>
        <v>0</v>
      </c>
      <c r="J687" s="1855"/>
      <c r="K687" s="1351">
        <f>K686+1</f>
        <v>561</v>
      </c>
      <c r="L687" s="1854" t="str" cm="1">
        <f t="array" ref="L687">_xlfn.IFS(
    I686=FALSE, "",
    Payment_Frequency="Monthly", EDATE(L686, 1),
    Payment_Frequency="Weekly", DATE(YEAR(L686), MONTH(L686), DAY(L686) + 7),
    Payment_Frequency="Fortnightly", DATE(YEAR(L686), MONTH(L686), DAY(L686) + 14),
    Payment_Frequency="Quarterly", DATE(YEAR(L686), MONTH(L686) + 3, DAY(L686)),
    Payment_Frequency="Yearly", DATE(YEAR(L686) + 1, MONTH(L686), DAY(L686)),
    TRUE, ""
)</f>
        <v/>
      </c>
      <c r="M687" s="1853">
        <f>IF(ISERROR(L687-L686),0,L687-L686)</f>
        <v>0</v>
      </c>
      <c r="N687" s="1851" cm="1">
        <f t="array" ref="N687">_xlfn.IFS(
    AND(I687=TRUE, K687&lt;=No_Regular_Payments), Repay_Amt,
    AND(I687=TRUE, K687=No_Regular_Payments+1), Tm_Balloon_Amt,
   TRUE, 0
)</f>
        <v>0</v>
      </c>
      <c r="O687" s="1850" cm="1">
        <f t="array" ref="O687">_xlfn.IFS(
    M687=0,0,
   ABS(N687 - S686 - P687-Q687) &lt; 1, N687 - S686-Q687,
    TRUE, P687
)</f>
        <v>0</v>
      </c>
      <c r="P687" s="1852">
        <f>IF(M687=0,0,ROUND(S686*EXP(Int_Rate/365.25 * M687)-S686,2))</f>
        <v>0</v>
      </c>
      <c r="Q687" s="1851" cm="1">
        <f t="array" ref="Q687">_xlfn.IFS(
    AND(I687=TRUE, K687&lt;=No_Regular_Payments), Periodic_Admin_Charge,
   TRUE, 0
)</f>
        <v>0</v>
      </c>
      <c r="R687" s="1850">
        <f>N687-O687-Q687</f>
        <v>0</v>
      </c>
      <c r="S687" s="1850">
        <f>ROUND(S686-R687,2)</f>
        <v>0</v>
      </c>
      <c r="T687" s="1850">
        <f>ROUND(T686-(N687-Q687),2)</f>
        <v>0</v>
      </c>
      <c r="U687" s="1849"/>
      <c r="W687" s="1848"/>
      <c r="X687" s="1848"/>
      <c r="Y687" s="1848"/>
    </row>
    <row r="688" spans="2:25" hidden="1">
      <c r="B688" s="1815" t="b">
        <f>AND(I688=FALSE,N687=0,Q687=0,L687="")</f>
        <v>1</v>
      </c>
      <c r="C688" s="1844" t="str" cm="1">
        <f t="array" ref="C688">_xlfn.IFS(
    L688="", "",
    MONTH(L688) &lt;= End_of_Year_Month, YEAR(L688),
    TRUE, YEAR(L688) + 1
)</f>
        <v/>
      </c>
      <c r="F688" s="1857">
        <f>IF(L688="",0,L688)</f>
        <v>0</v>
      </c>
      <c r="G688" s="1856">
        <f>-(N688-Q688)</f>
        <v>0</v>
      </c>
      <c r="I688" s="1815" t="b">
        <f>K688&lt;=Number_Payments</f>
        <v>0</v>
      </c>
      <c r="J688" s="1855"/>
      <c r="K688" s="1351">
        <f>K687+1</f>
        <v>562</v>
      </c>
      <c r="L688" s="1854" t="str" cm="1">
        <f t="array" ref="L688">_xlfn.IFS(
    I687=FALSE, "",
    Payment_Frequency="Monthly", EDATE(L687, 1),
    Payment_Frequency="Weekly", DATE(YEAR(L687), MONTH(L687), DAY(L687) + 7),
    Payment_Frequency="Fortnightly", DATE(YEAR(L687), MONTH(L687), DAY(L687) + 14),
    Payment_Frequency="Quarterly", DATE(YEAR(L687), MONTH(L687) + 3, DAY(L687)),
    Payment_Frequency="Yearly", DATE(YEAR(L687) + 1, MONTH(L687), DAY(L687)),
    TRUE, ""
)</f>
        <v/>
      </c>
      <c r="M688" s="1853">
        <f>IF(ISERROR(L688-L687),0,L688-L687)</f>
        <v>0</v>
      </c>
      <c r="N688" s="1851" cm="1">
        <f t="array" ref="N688">_xlfn.IFS(
    AND(I688=TRUE, K688&lt;=No_Regular_Payments), Repay_Amt,
    AND(I688=TRUE, K688=No_Regular_Payments+1), Tm_Balloon_Amt,
   TRUE, 0
)</f>
        <v>0</v>
      </c>
      <c r="O688" s="1850" cm="1">
        <f t="array" ref="O688">_xlfn.IFS(
    M688=0,0,
   ABS(N688 - S687 - P688-Q688) &lt; 1, N688 - S687-Q688,
    TRUE, P688
)</f>
        <v>0</v>
      </c>
      <c r="P688" s="1852">
        <f>IF(M688=0,0,ROUND(S687*EXP(Int_Rate/365.25 * M688)-S687,2))</f>
        <v>0</v>
      </c>
      <c r="Q688" s="1851" cm="1">
        <f t="array" ref="Q688">_xlfn.IFS(
    AND(I688=TRUE, K688&lt;=No_Regular_Payments), Periodic_Admin_Charge,
   TRUE, 0
)</f>
        <v>0</v>
      </c>
      <c r="R688" s="1850">
        <f>N688-O688-Q688</f>
        <v>0</v>
      </c>
      <c r="S688" s="1850">
        <f>ROUND(S687-R688,2)</f>
        <v>0</v>
      </c>
      <c r="T688" s="1850">
        <f>ROUND(T687-(N688-Q688),2)</f>
        <v>0</v>
      </c>
      <c r="U688" s="1849"/>
      <c r="W688" s="1848"/>
      <c r="X688" s="1848"/>
      <c r="Y688" s="1848"/>
    </row>
    <row r="689" spans="2:25" hidden="1">
      <c r="B689" s="1815" t="b">
        <f>AND(I689=FALSE,N688=0,Q688=0,L688="")</f>
        <v>1</v>
      </c>
      <c r="C689" s="1844" t="str" cm="1">
        <f t="array" ref="C689">_xlfn.IFS(
    L689="", "",
    MONTH(L689) &lt;= End_of_Year_Month, YEAR(L689),
    TRUE, YEAR(L689) + 1
)</f>
        <v/>
      </c>
      <c r="F689" s="1857">
        <f>IF(L689="",0,L689)</f>
        <v>0</v>
      </c>
      <c r="G689" s="1856">
        <f>-(N689-Q689)</f>
        <v>0</v>
      </c>
      <c r="I689" s="1815" t="b">
        <f>K689&lt;=Number_Payments</f>
        <v>0</v>
      </c>
      <c r="J689" s="1855"/>
      <c r="K689" s="1351">
        <f>K688+1</f>
        <v>563</v>
      </c>
      <c r="L689" s="1854" t="str" cm="1">
        <f t="array" ref="L689">_xlfn.IFS(
    I688=FALSE, "",
    Payment_Frequency="Monthly", EDATE(L688, 1),
    Payment_Frequency="Weekly", DATE(YEAR(L688), MONTH(L688), DAY(L688) + 7),
    Payment_Frequency="Fortnightly", DATE(YEAR(L688), MONTH(L688), DAY(L688) + 14),
    Payment_Frequency="Quarterly", DATE(YEAR(L688), MONTH(L688) + 3, DAY(L688)),
    Payment_Frequency="Yearly", DATE(YEAR(L688) + 1, MONTH(L688), DAY(L688)),
    TRUE, ""
)</f>
        <v/>
      </c>
      <c r="M689" s="1853">
        <f>IF(ISERROR(L689-L688),0,L689-L688)</f>
        <v>0</v>
      </c>
      <c r="N689" s="1851" cm="1">
        <f t="array" ref="N689">_xlfn.IFS(
    AND(I689=TRUE, K689&lt;=No_Regular_Payments), Repay_Amt,
    AND(I689=TRUE, K689=No_Regular_Payments+1), Tm_Balloon_Amt,
   TRUE, 0
)</f>
        <v>0</v>
      </c>
      <c r="O689" s="1850" cm="1">
        <f t="array" ref="O689">_xlfn.IFS(
    M689=0,0,
   ABS(N689 - S688 - P689-Q689) &lt; 1, N689 - S688-Q689,
    TRUE, P689
)</f>
        <v>0</v>
      </c>
      <c r="P689" s="1852">
        <f>IF(M689=0,0,ROUND(S688*EXP(Int_Rate/365.25 * M689)-S688,2))</f>
        <v>0</v>
      </c>
      <c r="Q689" s="1851" cm="1">
        <f t="array" ref="Q689">_xlfn.IFS(
    AND(I689=TRUE, K689&lt;=No_Regular_Payments), Periodic_Admin_Charge,
   TRUE, 0
)</f>
        <v>0</v>
      </c>
      <c r="R689" s="1850">
        <f>N689-O689-Q689</f>
        <v>0</v>
      </c>
      <c r="S689" s="1850">
        <f>ROUND(S688-R689,2)</f>
        <v>0</v>
      </c>
      <c r="T689" s="1850">
        <f>ROUND(T688-(N689-Q689),2)</f>
        <v>0</v>
      </c>
      <c r="U689" s="1849"/>
      <c r="W689" s="1848"/>
      <c r="X689" s="1848"/>
      <c r="Y689" s="1848"/>
    </row>
    <row r="690" spans="2:25" hidden="1">
      <c r="B690" s="1815" t="b">
        <f>AND(I690=FALSE,N689=0,Q689=0,L689="")</f>
        <v>1</v>
      </c>
      <c r="C690" s="1844" t="str" cm="1">
        <f t="array" ref="C690">_xlfn.IFS(
    L690="", "",
    MONTH(L690) &lt;= End_of_Year_Month, YEAR(L690),
    TRUE, YEAR(L690) + 1
)</f>
        <v/>
      </c>
      <c r="F690" s="1857">
        <f>IF(L690="",0,L690)</f>
        <v>0</v>
      </c>
      <c r="G690" s="1856">
        <f>-(N690-Q690)</f>
        <v>0</v>
      </c>
      <c r="I690" s="1815" t="b">
        <f>K690&lt;=Number_Payments</f>
        <v>0</v>
      </c>
      <c r="J690" s="1855"/>
      <c r="K690" s="1351">
        <f>K689+1</f>
        <v>564</v>
      </c>
      <c r="L690" s="1854" t="str" cm="1">
        <f t="array" ref="L690">_xlfn.IFS(
    I689=FALSE, "",
    Payment_Frequency="Monthly", EDATE(L689, 1),
    Payment_Frequency="Weekly", DATE(YEAR(L689), MONTH(L689), DAY(L689) + 7),
    Payment_Frequency="Fortnightly", DATE(YEAR(L689), MONTH(L689), DAY(L689) + 14),
    Payment_Frequency="Quarterly", DATE(YEAR(L689), MONTH(L689) + 3, DAY(L689)),
    Payment_Frequency="Yearly", DATE(YEAR(L689) + 1, MONTH(L689), DAY(L689)),
    TRUE, ""
)</f>
        <v/>
      </c>
      <c r="M690" s="1853">
        <f>IF(ISERROR(L690-L689),0,L690-L689)</f>
        <v>0</v>
      </c>
      <c r="N690" s="1851" cm="1">
        <f t="array" ref="N690">_xlfn.IFS(
    AND(I690=TRUE, K690&lt;=No_Regular_Payments), Repay_Amt,
    AND(I690=TRUE, K690=No_Regular_Payments+1), Tm_Balloon_Amt,
   TRUE, 0
)</f>
        <v>0</v>
      </c>
      <c r="O690" s="1850" cm="1">
        <f t="array" ref="O690">_xlfn.IFS(
    M690=0,0,
   ABS(N690 - S689 - P690-Q690) &lt; 1, N690 - S689-Q690,
    TRUE, P690
)</f>
        <v>0</v>
      </c>
      <c r="P690" s="1852">
        <f>IF(M690=0,0,ROUND(S689*EXP(Int_Rate/365.25 * M690)-S689,2))</f>
        <v>0</v>
      </c>
      <c r="Q690" s="1851" cm="1">
        <f t="array" ref="Q690">_xlfn.IFS(
    AND(I690=TRUE, K690&lt;=No_Regular_Payments), Periodic_Admin_Charge,
   TRUE, 0
)</f>
        <v>0</v>
      </c>
      <c r="R690" s="1850">
        <f>N690-O690-Q690</f>
        <v>0</v>
      </c>
      <c r="S690" s="1850">
        <f>ROUND(S689-R690,2)</f>
        <v>0</v>
      </c>
      <c r="T690" s="1850">
        <f>ROUND(T689-(N690-Q690),2)</f>
        <v>0</v>
      </c>
      <c r="U690" s="1849"/>
      <c r="W690" s="1848"/>
      <c r="X690" s="1848"/>
      <c r="Y690" s="1848"/>
    </row>
    <row r="691" spans="2:25" hidden="1">
      <c r="B691" s="1815" t="b">
        <f>AND(I691=FALSE,N690=0,Q690=0,L690="")</f>
        <v>1</v>
      </c>
      <c r="C691" s="1844" t="str" cm="1">
        <f t="array" ref="C691">_xlfn.IFS(
    L691="", "",
    MONTH(L691) &lt;= End_of_Year_Month, YEAR(L691),
    TRUE, YEAR(L691) + 1
)</f>
        <v/>
      </c>
      <c r="F691" s="1857">
        <f>IF(L691="",0,L691)</f>
        <v>0</v>
      </c>
      <c r="G691" s="1856">
        <f>-(N691-Q691)</f>
        <v>0</v>
      </c>
      <c r="I691" s="1815" t="b">
        <f>K691&lt;=Number_Payments</f>
        <v>0</v>
      </c>
      <c r="J691" s="1855"/>
      <c r="K691" s="1351">
        <f>K690+1</f>
        <v>565</v>
      </c>
      <c r="L691" s="1854" t="str" cm="1">
        <f t="array" ref="L691">_xlfn.IFS(
    I690=FALSE, "",
    Payment_Frequency="Monthly", EDATE(L690, 1),
    Payment_Frequency="Weekly", DATE(YEAR(L690), MONTH(L690), DAY(L690) + 7),
    Payment_Frequency="Fortnightly", DATE(YEAR(L690), MONTH(L690), DAY(L690) + 14),
    Payment_Frequency="Quarterly", DATE(YEAR(L690), MONTH(L690) + 3, DAY(L690)),
    Payment_Frequency="Yearly", DATE(YEAR(L690) + 1, MONTH(L690), DAY(L690)),
    TRUE, ""
)</f>
        <v/>
      </c>
      <c r="M691" s="1853">
        <f>IF(ISERROR(L691-L690),0,L691-L690)</f>
        <v>0</v>
      </c>
      <c r="N691" s="1851" cm="1">
        <f t="array" ref="N691">_xlfn.IFS(
    AND(I691=TRUE, K691&lt;=No_Regular_Payments), Repay_Amt,
    AND(I691=TRUE, K691=No_Regular_Payments+1), Tm_Balloon_Amt,
   TRUE, 0
)</f>
        <v>0</v>
      </c>
      <c r="O691" s="1850" cm="1">
        <f t="array" ref="O691">_xlfn.IFS(
    M691=0,0,
   ABS(N691 - S690 - P691-Q691) &lt; 1, N691 - S690-Q691,
    TRUE, P691
)</f>
        <v>0</v>
      </c>
      <c r="P691" s="1852">
        <f>IF(M691=0,0,ROUND(S690*EXP(Int_Rate/365.25 * M691)-S690,2))</f>
        <v>0</v>
      </c>
      <c r="Q691" s="1851" cm="1">
        <f t="array" ref="Q691">_xlfn.IFS(
    AND(I691=TRUE, K691&lt;=No_Regular_Payments), Periodic_Admin_Charge,
   TRUE, 0
)</f>
        <v>0</v>
      </c>
      <c r="R691" s="1850">
        <f>N691-O691-Q691</f>
        <v>0</v>
      </c>
      <c r="S691" s="1850">
        <f>ROUND(S690-R691,2)</f>
        <v>0</v>
      </c>
      <c r="T691" s="1850">
        <f>ROUND(T690-(N691-Q691),2)</f>
        <v>0</v>
      </c>
      <c r="U691" s="1849"/>
      <c r="W691" s="1848"/>
      <c r="X691" s="1848"/>
      <c r="Y691" s="1848"/>
    </row>
    <row r="692" spans="2:25" hidden="1">
      <c r="B692" s="1815" t="b">
        <f>AND(I692=FALSE,N691=0,Q691=0,L691="")</f>
        <v>1</v>
      </c>
      <c r="C692" s="1844" t="str" cm="1">
        <f t="array" ref="C692">_xlfn.IFS(
    L692="", "",
    MONTH(L692) &lt;= End_of_Year_Month, YEAR(L692),
    TRUE, YEAR(L692) + 1
)</f>
        <v/>
      </c>
      <c r="F692" s="1857">
        <f>IF(L692="",0,L692)</f>
        <v>0</v>
      </c>
      <c r="G692" s="1856">
        <f>-(N692-Q692)</f>
        <v>0</v>
      </c>
      <c r="I692" s="1815" t="b">
        <f>K692&lt;=Number_Payments</f>
        <v>0</v>
      </c>
      <c r="J692" s="1855"/>
      <c r="K692" s="1351">
        <f>K691+1</f>
        <v>566</v>
      </c>
      <c r="L692" s="1854" t="str" cm="1">
        <f t="array" ref="L692">_xlfn.IFS(
    I691=FALSE, "",
    Payment_Frequency="Monthly", EDATE(L691, 1),
    Payment_Frequency="Weekly", DATE(YEAR(L691), MONTH(L691), DAY(L691) + 7),
    Payment_Frequency="Fortnightly", DATE(YEAR(L691), MONTH(L691), DAY(L691) + 14),
    Payment_Frequency="Quarterly", DATE(YEAR(L691), MONTH(L691) + 3, DAY(L691)),
    Payment_Frequency="Yearly", DATE(YEAR(L691) + 1, MONTH(L691), DAY(L691)),
    TRUE, ""
)</f>
        <v/>
      </c>
      <c r="M692" s="1853">
        <f>IF(ISERROR(L692-L691),0,L692-L691)</f>
        <v>0</v>
      </c>
      <c r="N692" s="1851" cm="1">
        <f t="array" ref="N692">_xlfn.IFS(
    AND(I692=TRUE, K692&lt;=No_Regular_Payments), Repay_Amt,
    AND(I692=TRUE, K692=No_Regular_Payments+1), Tm_Balloon_Amt,
   TRUE, 0
)</f>
        <v>0</v>
      </c>
      <c r="O692" s="1850" cm="1">
        <f t="array" ref="O692">_xlfn.IFS(
    M692=0,0,
   ABS(N692 - S691 - P692-Q692) &lt; 1, N692 - S691-Q692,
    TRUE, P692
)</f>
        <v>0</v>
      </c>
      <c r="P692" s="1852">
        <f>IF(M692=0,0,ROUND(S691*EXP(Int_Rate/365.25 * M692)-S691,2))</f>
        <v>0</v>
      </c>
      <c r="Q692" s="1851" cm="1">
        <f t="array" ref="Q692">_xlfn.IFS(
    AND(I692=TRUE, K692&lt;=No_Regular_Payments), Periodic_Admin_Charge,
   TRUE, 0
)</f>
        <v>0</v>
      </c>
      <c r="R692" s="1850">
        <f>N692-O692-Q692</f>
        <v>0</v>
      </c>
      <c r="S692" s="1850">
        <f>ROUND(S691-R692,2)</f>
        <v>0</v>
      </c>
      <c r="T692" s="1850">
        <f>ROUND(T691-(N692-Q692),2)</f>
        <v>0</v>
      </c>
      <c r="U692" s="1849"/>
      <c r="W692" s="1848"/>
      <c r="X692" s="1848"/>
      <c r="Y692" s="1848"/>
    </row>
    <row r="693" spans="2:25" hidden="1">
      <c r="B693" s="1815" t="b">
        <f>AND(I693=FALSE,N692=0,Q692=0,L692="")</f>
        <v>1</v>
      </c>
      <c r="C693" s="1844" t="str" cm="1">
        <f t="array" ref="C693">_xlfn.IFS(
    L693="", "",
    MONTH(L693) &lt;= End_of_Year_Month, YEAR(L693),
    TRUE, YEAR(L693) + 1
)</f>
        <v/>
      </c>
      <c r="F693" s="1857">
        <f>IF(L693="",0,L693)</f>
        <v>0</v>
      </c>
      <c r="G693" s="1856">
        <f>-(N693-Q693)</f>
        <v>0</v>
      </c>
      <c r="I693" s="1815" t="b">
        <f>K693&lt;=Number_Payments</f>
        <v>0</v>
      </c>
      <c r="J693" s="1855"/>
      <c r="K693" s="1351">
        <f>K692+1</f>
        <v>567</v>
      </c>
      <c r="L693" s="1854" t="str" cm="1">
        <f t="array" ref="L693">_xlfn.IFS(
    I692=FALSE, "",
    Payment_Frequency="Monthly", EDATE(L692, 1),
    Payment_Frequency="Weekly", DATE(YEAR(L692), MONTH(L692), DAY(L692) + 7),
    Payment_Frequency="Fortnightly", DATE(YEAR(L692), MONTH(L692), DAY(L692) + 14),
    Payment_Frequency="Quarterly", DATE(YEAR(L692), MONTH(L692) + 3, DAY(L692)),
    Payment_Frequency="Yearly", DATE(YEAR(L692) + 1, MONTH(L692), DAY(L692)),
    TRUE, ""
)</f>
        <v/>
      </c>
      <c r="M693" s="1853">
        <f>IF(ISERROR(L693-L692),0,L693-L692)</f>
        <v>0</v>
      </c>
      <c r="N693" s="1851" cm="1">
        <f t="array" ref="N693">_xlfn.IFS(
    AND(I693=TRUE, K693&lt;=No_Regular_Payments), Repay_Amt,
    AND(I693=TRUE, K693=No_Regular_Payments+1), Tm_Balloon_Amt,
   TRUE, 0
)</f>
        <v>0</v>
      </c>
      <c r="O693" s="1850" cm="1">
        <f t="array" ref="O693">_xlfn.IFS(
    M693=0,0,
   ABS(N693 - S692 - P693-Q693) &lt; 1, N693 - S692-Q693,
    TRUE, P693
)</f>
        <v>0</v>
      </c>
      <c r="P693" s="1852">
        <f>IF(M693=0,0,ROUND(S692*EXP(Int_Rate/365.25 * M693)-S692,2))</f>
        <v>0</v>
      </c>
      <c r="Q693" s="1851" cm="1">
        <f t="array" ref="Q693">_xlfn.IFS(
    AND(I693=TRUE, K693&lt;=No_Regular_Payments), Periodic_Admin_Charge,
   TRUE, 0
)</f>
        <v>0</v>
      </c>
      <c r="R693" s="1850">
        <f>N693-O693-Q693</f>
        <v>0</v>
      </c>
      <c r="S693" s="1850">
        <f>ROUND(S692-R693,2)</f>
        <v>0</v>
      </c>
      <c r="T693" s="1850">
        <f>ROUND(T692-(N693-Q693),2)</f>
        <v>0</v>
      </c>
      <c r="U693" s="1849"/>
      <c r="W693" s="1848"/>
      <c r="X693" s="1848"/>
      <c r="Y693" s="1848"/>
    </row>
    <row r="694" spans="2:25" hidden="1">
      <c r="B694" s="1815" t="b">
        <f>AND(I694=FALSE,N693=0,Q693=0,L693="")</f>
        <v>1</v>
      </c>
      <c r="C694" s="1844" t="str" cm="1">
        <f t="array" ref="C694">_xlfn.IFS(
    L694="", "",
    MONTH(L694) &lt;= End_of_Year_Month, YEAR(L694),
    TRUE, YEAR(L694) + 1
)</f>
        <v/>
      </c>
      <c r="F694" s="1857">
        <f>IF(L694="",0,L694)</f>
        <v>0</v>
      </c>
      <c r="G694" s="1856">
        <f>-(N694-Q694)</f>
        <v>0</v>
      </c>
      <c r="I694" s="1815" t="b">
        <f>K694&lt;=Number_Payments</f>
        <v>0</v>
      </c>
      <c r="J694" s="1855"/>
      <c r="K694" s="1351">
        <f>K693+1</f>
        <v>568</v>
      </c>
      <c r="L694" s="1854" t="str" cm="1">
        <f t="array" ref="L694">_xlfn.IFS(
    I693=FALSE, "",
    Payment_Frequency="Monthly", EDATE(L693, 1),
    Payment_Frequency="Weekly", DATE(YEAR(L693), MONTH(L693), DAY(L693) + 7),
    Payment_Frequency="Fortnightly", DATE(YEAR(L693), MONTH(L693), DAY(L693) + 14),
    Payment_Frequency="Quarterly", DATE(YEAR(L693), MONTH(L693) + 3, DAY(L693)),
    Payment_Frequency="Yearly", DATE(YEAR(L693) + 1, MONTH(L693), DAY(L693)),
    TRUE, ""
)</f>
        <v/>
      </c>
      <c r="M694" s="1853">
        <f>IF(ISERROR(L694-L693),0,L694-L693)</f>
        <v>0</v>
      </c>
      <c r="N694" s="1851" cm="1">
        <f t="array" ref="N694">_xlfn.IFS(
    AND(I694=TRUE, K694&lt;=No_Regular_Payments), Repay_Amt,
    AND(I694=TRUE, K694=No_Regular_Payments+1), Tm_Balloon_Amt,
   TRUE, 0
)</f>
        <v>0</v>
      </c>
      <c r="O694" s="1850" cm="1">
        <f t="array" ref="O694">_xlfn.IFS(
    M694=0,0,
   ABS(N694 - S693 - P694-Q694) &lt; 1, N694 - S693-Q694,
    TRUE, P694
)</f>
        <v>0</v>
      </c>
      <c r="P694" s="1852">
        <f>IF(M694=0,0,ROUND(S693*EXP(Int_Rate/365.25 * M694)-S693,2))</f>
        <v>0</v>
      </c>
      <c r="Q694" s="1851" cm="1">
        <f t="array" ref="Q694">_xlfn.IFS(
    AND(I694=TRUE, K694&lt;=No_Regular_Payments), Periodic_Admin_Charge,
   TRUE, 0
)</f>
        <v>0</v>
      </c>
      <c r="R694" s="1850">
        <f>N694-O694-Q694</f>
        <v>0</v>
      </c>
      <c r="S694" s="1850">
        <f>ROUND(S693-R694,2)</f>
        <v>0</v>
      </c>
      <c r="T694" s="1850">
        <f>ROUND(T693-(N694-Q694),2)</f>
        <v>0</v>
      </c>
      <c r="U694" s="1849"/>
      <c r="W694" s="1848"/>
      <c r="X694" s="1848"/>
      <c r="Y694" s="1848"/>
    </row>
    <row r="695" spans="2:25" hidden="1">
      <c r="B695" s="1815" t="b">
        <f>AND(I695=FALSE,N694=0,Q694=0,L694="")</f>
        <v>1</v>
      </c>
      <c r="C695" s="1844" t="str" cm="1">
        <f t="array" ref="C695">_xlfn.IFS(
    L695="", "",
    MONTH(L695) &lt;= End_of_Year_Month, YEAR(L695),
    TRUE, YEAR(L695) + 1
)</f>
        <v/>
      </c>
      <c r="F695" s="1857">
        <f>IF(L695="",0,L695)</f>
        <v>0</v>
      </c>
      <c r="G695" s="1856">
        <f>-(N695-Q695)</f>
        <v>0</v>
      </c>
      <c r="I695" s="1815" t="b">
        <f>K695&lt;=Number_Payments</f>
        <v>0</v>
      </c>
      <c r="J695" s="1855"/>
      <c r="K695" s="1351">
        <f>K694+1</f>
        <v>569</v>
      </c>
      <c r="L695" s="1854" t="str" cm="1">
        <f t="array" ref="L695">_xlfn.IFS(
    I694=FALSE, "",
    Payment_Frequency="Monthly", EDATE(L694, 1),
    Payment_Frequency="Weekly", DATE(YEAR(L694), MONTH(L694), DAY(L694) + 7),
    Payment_Frequency="Fortnightly", DATE(YEAR(L694), MONTH(L694), DAY(L694) + 14),
    Payment_Frequency="Quarterly", DATE(YEAR(L694), MONTH(L694) + 3, DAY(L694)),
    Payment_Frequency="Yearly", DATE(YEAR(L694) + 1, MONTH(L694), DAY(L694)),
    TRUE, ""
)</f>
        <v/>
      </c>
      <c r="M695" s="1853">
        <f>IF(ISERROR(L695-L694),0,L695-L694)</f>
        <v>0</v>
      </c>
      <c r="N695" s="1851" cm="1">
        <f t="array" ref="N695">_xlfn.IFS(
    AND(I695=TRUE, K695&lt;=No_Regular_Payments), Repay_Amt,
    AND(I695=TRUE, K695=No_Regular_Payments+1), Tm_Balloon_Amt,
   TRUE, 0
)</f>
        <v>0</v>
      </c>
      <c r="O695" s="1850" cm="1">
        <f t="array" ref="O695">_xlfn.IFS(
    M695=0,0,
   ABS(N695 - S694 - P695-Q695) &lt; 1, N695 - S694-Q695,
    TRUE, P695
)</f>
        <v>0</v>
      </c>
      <c r="P695" s="1852">
        <f>IF(M695=0,0,ROUND(S694*EXP(Int_Rate/365.25 * M695)-S694,2))</f>
        <v>0</v>
      </c>
      <c r="Q695" s="1851" cm="1">
        <f t="array" ref="Q695">_xlfn.IFS(
    AND(I695=TRUE, K695&lt;=No_Regular_Payments), Periodic_Admin_Charge,
   TRUE, 0
)</f>
        <v>0</v>
      </c>
      <c r="R695" s="1850">
        <f>N695-O695-Q695</f>
        <v>0</v>
      </c>
      <c r="S695" s="1850">
        <f>ROUND(S694-R695,2)</f>
        <v>0</v>
      </c>
      <c r="T695" s="1850">
        <f>ROUND(T694-(N695-Q695),2)</f>
        <v>0</v>
      </c>
      <c r="U695" s="1849"/>
      <c r="W695" s="1848"/>
      <c r="X695" s="1848"/>
      <c r="Y695" s="1848"/>
    </row>
    <row r="696" spans="2:25" hidden="1">
      <c r="B696" s="1815" t="b">
        <f>AND(I696=FALSE,N695=0,Q695=0,L695="")</f>
        <v>1</v>
      </c>
      <c r="C696" s="1844" t="str" cm="1">
        <f t="array" ref="C696">_xlfn.IFS(
    L696="", "",
    MONTH(L696) &lt;= End_of_Year_Month, YEAR(L696),
    TRUE, YEAR(L696) + 1
)</f>
        <v/>
      </c>
      <c r="F696" s="1857">
        <f>IF(L696="",0,L696)</f>
        <v>0</v>
      </c>
      <c r="G696" s="1856">
        <f>-(N696-Q696)</f>
        <v>0</v>
      </c>
      <c r="I696" s="1815" t="b">
        <f>K696&lt;=Number_Payments</f>
        <v>0</v>
      </c>
      <c r="J696" s="1855"/>
      <c r="K696" s="1351">
        <f>K695+1</f>
        <v>570</v>
      </c>
      <c r="L696" s="1854" t="str" cm="1">
        <f t="array" ref="L696">_xlfn.IFS(
    I695=FALSE, "",
    Payment_Frequency="Monthly", EDATE(L695, 1),
    Payment_Frequency="Weekly", DATE(YEAR(L695), MONTH(L695), DAY(L695) + 7),
    Payment_Frequency="Fortnightly", DATE(YEAR(L695), MONTH(L695), DAY(L695) + 14),
    Payment_Frequency="Quarterly", DATE(YEAR(L695), MONTH(L695) + 3, DAY(L695)),
    Payment_Frequency="Yearly", DATE(YEAR(L695) + 1, MONTH(L695), DAY(L695)),
    TRUE, ""
)</f>
        <v/>
      </c>
      <c r="M696" s="1853">
        <f>IF(ISERROR(L696-L695),0,L696-L695)</f>
        <v>0</v>
      </c>
      <c r="N696" s="1851" cm="1">
        <f t="array" ref="N696">_xlfn.IFS(
    AND(I696=TRUE, K696&lt;=No_Regular_Payments), Repay_Amt,
    AND(I696=TRUE, K696=No_Regular_Payments+1), Tm_Balloon_Amt,
   TRUE, 0
)</f>
        <v>0</v>
      </c>
      <c r="O696" s="1850" cm="1">
        <f t="array" ref="O696">_xlfn.IFS(
    M696=0,0,
   ABS(N696 - S695 - P696-Q696) &lt; 1, N696 - S695-Q696,
    TRUE, P696
)</f>
        <v>0</v>
      </c>
      <c r="P696" s="1852">
        <f>IF(M696=0,0,ROUND(S695*EXP(Int_Rate/365.25 * M696)-S695,2))</f>
        <v>0</v>
      </c>
      <c r="Q696" s="1851" cm="1">
        <f t="array" ref="Q696">_xlfn.IFS(
    AND(I696=TRUE, K696&lt;=No_Regular_Payments), Periodic_Admin_Charge,
   TRUE, 0
)</f>
        <v>0</v>
      </c>
      <c r="R696" s="1850">
        <f>N696-O696-Q696</f>
        <v>0</v>
      </c>
      <c r="S696" s="1850">
        <f>ROUND(S695-R696,2)</f>
        <v>0</v>
      </c>
      <c r="T696" s="1850">
        <f>ROUND(T695-(N696-Q696),2)</f>
        <v>0</v>
      </c>
      <c r="U696" s="1849"/>
      <c r="W696" s="1848"/>
      <c r="X696" s="1848"/>
      <c r="Y696" s="1848"/>
    </row>
    <row r="697" spans="2:25" hidden="1">
      <c r="B697" s="1815" t="b">
        <f>AND(I697=FALSE,N696=0,Q696=0,L696="")</f>
        <v>1</v>
      </c>
      <c r="C697" s="1844" t="str" cm="1">
        <f t="array" ref="C697">_xlfn.IFS(
    L697="", "",
    MONTH(L697) &lt;= End_of_Year_Month, YEAR(L697),
    TRUE, YEAR(L697) + 1
)</f>
        <v/>
      </c>
      <c r="F697" s="1857">
        <f>IF(L697="",0,L697)</f>
        <v>0</v>
      </c>
      <c r="G697" s="1856">
        <f>-(N697-Q697)</f>
        <v>0</v>
      </c>
      <c r="I697" s="1815" t="b">
        <f>K697&lt;=Number_Payments</f>
        <v>0</v>
      </c>
      <c r="J697" s="1855"/>
      <c r="K697" s="1351">
        <f>K696+1</f>
        <v>571</v>
      </c>
      <c r="L697" s="1854" t="str" cm="1">
        <f t="array" ref="L697">_xlfn.IFS(
    I696=FALSE, "",
    Payment_Frequency="Monthly", EDATE(L696, 1),
    Payment_Frequency="Weekly", DATE(YEAR(L696), MONTH(L696), DAY(L696) + 7),
    Payment_Frequency="Fortnightly", DATE(YEAR(L696), MONTH(L696), DAY(L696) + 14),
    Payment_Frequency="Quarterly", DATE(YEAR(L696), MONTH(L696) + 3, DAY(L696)),
    Payment_Frequency="Yearly", DATE(YEAR(L696) + 1, MONTH(L696), DAY(L696)),
    TRUE, ""
)</f>
        <v/>
      </c>
      <c r="M697" s="1853">
        <f>IF(ISERROR(L697-L696),0,L697-L696)</f>
        <v>0</v>
      </c>
      <c r="N697" s="1851" cm="1">
        <f t="array" ref="N697">_xlfn.IFS(
    AND(I697=TRUE, K697&lt;=No_Regular_Payments), Repay_Amt,
    AND(I697=TRUE, K697=No_Regular_Payments+1), Tm_Balloon_Amt,
   TRUE, 0
)</f>
        <v>0</v>
      </c>
      <c r="O697" s="1850" cm="1">
        <f t="array" ref="O697">_xlfn.IFS(
    M697=0,0,
   ABS(N697 - S696 - P697-Q697) &lt; 1, N697 - S696-Q697,
    TRUE, P697
)</f>
        <v>0</v>
      </c>
      <c r="P697" s="1852">
        <f>IF(M697=0,0,ROUND(S696*EXP(Int_Rate/365.25 * M697)-S696,2))</f>
        <v>0</v>
      </c>
      <c r="Q697" s="1851" cm="1">
        <f t="array" ref="Q697">_xlfn.IFS(
    AND(I697=TRUE, K697&lt;=No_Regular_Payments), Periodic_Admin_Charge,
   TRUE, 0
)</f>
        <v>0</v>
      </c>
      <c r="R697" s="1850">
        <f>N697-O697-Q697</f>
        <v>0</v>
      </c>
      <c r="S697" s="1850">
        <f>ROUND(S696-R697,2)</f>
        <v>0</v>
      </c>
      <c r="T697" s="1850">
        <f>ROUND(T696-(N697-Q697),2)</f>
        <v>0</v>
      </c>
      <c r="U697" s="1849"/>
      <c r="W697" s="1848"/>
      <c r="X697" s="1848"/>
      <c r="Y697" s="1848"/>
    </row>
    <row r="698" spans="2:25" hidden="1">
      <c r="B698" s="1815" t="b">
        <f>AND(I698=FALSE,N697=0,Q697=0,L697="")</f>
        <v>1</v>
      </c>
      <c r="C698" s="1844" t="str" cm="1">
        <f t="array" ref="C698">_xlfn.IFS(
    L698="", "",
    MONTH(L698) &lt;= End_of_Year_Month, YEAR(L698),
    TRUE, YEAR(L698) + 1
)</f>
        <v/>
      </c>
      <c r="F698" s="1857">
        <f>IF(L698="",0,L698)</f>
        <v>0</v>
      </c>
      <c r="G698" s="1856">
        <f>-(N698-Q698)</f>
        <v>0</v>
      </c>
      <c r="I698" s="1815" t="b">
        <f>K698&lt;=Number_Payments</f>
        <v>0</v>
      </c>
      <c r="J698" s="1855"/>
      <c r="K698" s="1351">
        <f>K697+1</f>
        <v>572</v>
      </c>
      <c r="L698" s="1854" t="str" cm="1">
        <f t="array" ref="L698">_xlfn.IFS(
    I697=FALSE, "",
    Payment_Frequency="Monthly", EDATE(L697, 1),
    Payment_Frequency="Weekly", DATE(YEAR(L697), MONTH(L697), DAY(L697) + 7),
    Payment_Frequency="Fortnightly", DATE(YEAR(L697), MONTH(L697), DAY(L697) + 14),
    Payment_Frequency="Quarterly", DATE(YEAR(L697), MONTH(L697) + 3, DAY(L697)),
    Payment_Frequency="Yearly", DATE(YEAR(L697) + 1, MONTH(L697), DAY(L697)),
    TRUE, ""
)</f>
        <v/>
      </c>
      <c r="M698" s="1853">
        <f>IF(ISERROR(L698-L697),0,L698-L697)</f>
        <v>0</v>
      </c>
      <c r="N698" s="1851" cm="1">
        <f t="array" ref="N698">_xlfn.IFS(
    AND(I698=TRUE, K698&lt;=No_Regular_Payments), Repay_Amt,
    AND(I698=TRUE, K698=No_Regular_Payments+1), Tm_Balloon_Amt,
   TRUE, 0
)</f>
        <v>0</v>
      </c>
      <c r="O698" s="1850" cm="1">
        <f t="array" ref="O698">_xlfn.IFS(
    M698=0,0,
   ABS(N698 - S697 - P698-Q698) &lt; 1, N698 - S697-Q698,
    TRUE, P698
)</f>
        <v>0</v>
      </c>
      <c r="P698" s="1852">
        <f>IF(M698=0,0,ROUND(S697*EXP(Int_Rate/365.25 * M698)-S697,2))</f>
        <v>0</v>
      </c>
      <c r="Q698" s="1851" cm="1">
        <f t="array" ref="Q698">_xlfn.IFS(
    AND(I698=TRUE, K698&lt;=No_Regular_Payments), Periodic_Admin_Charge,
   TRUE, 0
)</f>
        <v>0</v>
      </c>
      <c r="R698" s="1850">
        <f>N698-O698-Q698</f>
        <v>0</v>
      </c>
      <c r="S698" s="1850">
        <f>ROUND(S697-R698,2)</f>
        <v>0</v>
      </c>
      <c r="T698" s="1850">
        <f>ROUND(T697-(N698-Q698),2)</f>
        <v>0</v>
      </c>
      <c r="U698" s="1849"/>
      <c r="W698" s="1848"/>
      <c r="X698" s="1848"/>
      <c r="Y698" s="1848"/>
    </row>
    <row r="699" spans="2:25" hidden="1">
      <c r="B699" s="1815" t="b">
        <f>AND(I699=FALSE,N698=0,Q698=0,L698="")</f>
        <v>1</v>
      </c>
      <c r="C699" s="1844" t="str" cm="1">
        <f t="array" ref="C699">_xlfn.IFS(
    L699="", "",
    MONTH(L699) &lt;= End_of_Year_Month, YEAR(L699),
    TRUE, YEAR(L699) + 1
)</f>
        <v/>
      </c>
      <c r="F699" s="1857">
        <f>IF(L699="",0,L699)</f>
        <v>0</v>
      </c>
      <c r="G699" s="1856">
        <f>-(N699-Q699)</f>
        <v>0</v>
      </c>
      <c r="I699" s="1815" t="b">
        <f>K699&lt;=Number_Payments</f>
        <v>0</v>
      </c>
      <c r="J699" s="1855"/>
      <c r="K699" s="1351">
        <f>K698+1</f>
        <v>573</v>
      </c>
      <c r="L699" s="1854" t="str" cm="1">
        <f t="array" ref="L699">_xlfn.IFS(
    I698=FALSE, "",
    Payment_Frequency="Monthly", EDATE(L698, 1),
    Payment_Frequency="Weekly", DATE(YEAR(L698), MONTH(L698), DAY(L698) + 7),
    Payment_Frequency="Fortnightly", DATE(YEAR(L698), MONTH(L698), DAY(L698) + 14),
    Payment_Frequency="Quarterly", DATE(YEAR(L698), MONTH(L698) + 3, DAY(L698)),
    Payment_Frequency="Yearly", DATE(YEAR(L698) + 1, MONTH(L698), DAY(L698)),
    TRUE, ""
)</f>
        <v/>
      </c>
      <c r="M699" s="1853">
        <f>IF(ISERROR(L699-L698),0,L699-L698)</f>
        <v>0</v>
      </c>
      <c r="N699" s="1851" cm="1">
        <f t="array" ref="N699">_xlfn.IFS(
    AND(I699=TRUE, K699&lt;=No_Regular_Payments), Repay_Amt,
    AND(I699=TRUE, K699=No_Regular_Payments+1), Tm_Balloon_Amt,
   TRUE, 0
)</f>
        <v>0</v>
      </c>
      <c r="O699" s="1850" cm="1">
        <f t="array" ref="O699">_xlfn.IFS(
    M699=0,0,
   ABS(N699 - S698 - P699-Q699) &lt; 1, N699 - S698-Q699,
    TRUE, P699
)</f>
        <v>0</v>
      </c>
      <c r="P699" s="1852">
        <f>IF(M699=0,0,ROUND(S698*EXP(Int_Rate/365.25 * M699)-S698,2))</f>
        <v>0</v>
      </c>
      <c r="Q699" s="1851" cm="1">
        <f t="array" ref="Q699">_xlfn.IFS(
    AND(I699=TRUE, K699&lt;=No_Regular_Payments), Periodic_Admin_Charge,
   TRUE, 0
)</f>
        <v>0</v>
      </c>
      <c r="R699" s="1850">
        <f>N699-O699-Q699</f>
        <v>0</v>
      </c>
      <c r="S699" s="1850">
        <f>ROUND(S698-R699,2)</f>
        <v>0</v>
      </c>
      <c r="T699" s="1850">
        <f>ROUND(T698-(N699-Q699),2)</f>
        <v>0</v>
      </c>
      <c r="U699" s="1849"/>
      <c r="W699" s="1848"/>
      <c r="X699" s="1848"/>
      <c r="Y699" s="1848"/>
    </row>
    <row r="700" spans="2:25" hidden="1">
      <c r="B700" s="1815" t="b">
        <f>AND(I700=FALSE,N699=0,Q699=0,L699="")</f>
        <v>1</v>
      </c>
      <c r="C700" s="1844" t="str" cm="1">
        <f t="array" ref="C700">_xlfn.IFS(
    L700="", "",
    MONTH(L700) &lt;= End_of_Year_Month, YEAR(L700),
    TRUE, YEAR(L700) + 1
)</f>
        <v/>
      </c>
      <c r="F700" s="1857">
        <f>IF(L700="",0,L700)</f>
        <v>0</v>
      </c>
      <c r="G700" s="1856">
        <f>-(N700-Q700)</f>
        <v>0</v>
      </c>
      <c r="I700" s="1815" t="b">
        <f>K700&lt;=Number_Payments</f>
        <v>0</v>
      </c>
      <c r="J700" s="1855"/>
      <c r="K700" s="1351">
        <f>K699+1</f>
        <v>574</v>
      </c>
      <c r="L700" s="1854" t="str" cm="1">
        <f t="array" ref="L700">_xlfn.IFS(
    I699=FALSE, "",
    Payment_Frequency="Monthly", EDATE(L699, 1),
    Payment_Frequency="Weekly", DATE(YEAR(L699), MONTH(L699), DAY(L699) + 7),
    Payment_Frequency="Fortnightly", DATE(YEAR(L699), MONTH(L699), DAY(L699) + 14),
    Payment_Frequency="Quarterly", DATE(YEAR(L699), MONTH(L699) + 3, DAY(L699)),
    Payment_Frequency="Yearly", DATE(YEAR(L699) + 1, MONTH(L699), DAY(L699)),
    TRUE, ""
)</f>
        <v/>
      </c>
      <c r="M700" s="1853">
        <f>IF(ISERROR(L700-L699),0,L700-L699)</f>
        <v>0</v>
      </c>
      <c r="N700" s="1851" cm="1">
        <f t="array" ref="N700">_xlfn.IFS(
    AND(I700=TRUE, K700&lt;=No_Regular_Payments), Repay_Amt,
    AND(I700=TRUE, K700=No_Regular_Payments+1), Tm_Balloon_Amt,
   TRUE, 0
)</f>
        <v>0</v>
      </c>
      <c r="O700" s="1850" cm="1">
        <f t="array" ref="O700">_xlfn.IFS(
    M700=0,0,
   ABS(N700 - S699 - P700-Q700) &lt; 1, N700 - S699-Q700,
    TRUE, P700
)</f>
        <v>0</v>
      </c>
      <c r="P700" s="1852">
        <f>IF(M700=0,0,ROUND(S699*EXP(Int_Rate/365.25 * M700)-S699,2))</f>
        <v>0</v>
      </c>
      <c r="Q700" s="1851" cm="1">
        <f t="array" ref="Q700">_xlfn.IFS(
    AND(I700=TRUE, K700&lt;=No_Regular_Payments), Periodic_Admin_Charge,
   TRUE, 0
)</f>
        <v>0</v>
      </c>
      <c r="R700" s="1850">
        <f>N700-O700-Q700</f>
        <v>0</v>
      </c>
      <c r="S700" s="1850">
        <f>ROUND(S699-R700,2)</f>
        <v>0</v>
      </c>
      <c r="T700" s="1850">
        <f>ROUND(T699-(N700-Q700),2)</f>
        <v>0</v>
      </c>
      <c r="U700" s="1849"/>
      <c r="W700" s="1848"/>
      <c r="X700" s="1848"/>
      <c r="Y700" s="1848"/>
    </row>
    <row r="701" spans="2:25" hidden="1">
      <c r="B701" s="1815" t="b">
        <f>AND(I701=FALSE,N700=0,Q700=0,L700="")</f>
        <v>1</v>
      </c>
      <c r="C701" s="1844" t="str" cm="1">
        <f t="array" ref="C701">_xlfn.IFS(
    L701="", "",
    MONTH(L701) &lt;= End_of_Year_Month, YEAR(L701),
    TRUE, YEAR(L701) + 1
)</f>
        <v/>
      </c>
      <c r="F701" s="1857">
        <f>IF(L701="",0,L701)</f>
        <v>0</v>
      </c>
      <c r="G701" s="1856">
        <f>-(N701-Q701)</f>
        <v>0</v>
      </c>
      <c r="I701" s="1815" t="b">
        <f>K701&lt;=Number_Payments</f>
        <v>0</v>
      </c>
      <c r="J701" s="1855"/>
      <c r="K701" s="1351">
        <f>K700+1</f>
        <v>575</v>
      </c>
      <c r="L701" s="1854" t="str" cm="1">
        <f t="array" ref="L701">_xlfn.IFS(
    I700=FALSE, "",
    Payment_Frequency="Monthly", EDATE(L700, 1),
    Payment_Frequency="Weekly", DATE(YEAR(L700), MONTH(L700), DAY(L700) + 7),
    Payment_Frequency="Fortnightly", DATE(YEAR(L700), MONTH(L700), DAY(L700) + 14),
    Payment_Frequency="Quarterly", DATE(YEAR(L700), MONTH(L700) + 3, DAY(L700)),
    Payment_Frequency="Yearly", DATE(YEAR(L700) + 1, MONTH(L700), DAY(L700)),
    TRUE, ""
)</f>
        <v/>
      </c>
      <c r="M701" s="1853">
        <f>IF(ISERROR(L701-L700),0,L701-L700)</f>
        <v>0</v>
      </c>
      <c r="N701" s="1851" cm="1">
        <f t="array" ref="N701">_xlfn.IFS(
    AND(I701=TRUE, K701&lt;=No_Regular_Payments), Repay_Amt,
    AND(I701=TRUE, K701=No_Regular_Payments+1), Tm_Balloon_Amt,
   TRUE, 0
)</f>
        <v>0</v>
      </c>
      <c r="O701" s="1850" cm="1">
        <f t="array" ref="O701">_xlfn.IFS(
    M701=0,0,
   ABS(N701 - S700 - P701-Q701) &lt; 1, N701 - S700-Q701,
    TRUE, P701
)</f>
        <v>0</v>
      </c>
      <c r="P701" s="1852">
        <f>IF(M701=0,0,ROUND(S700*EXP(Int_Rate/365.25 * M701)-S700,2))</f>
        <v>0</v>
      </c>
      <c r="Q701" s="1851" cm="1">
        <f t="array" ref="Q701">_xlfn.IFS(
    AND(I701=TRUE, K701&lt;=No_Regular_Payments), Periodic_Admin_Charge,
   TRUE, 0
)</f>
        <v>0</v>
      </c>
      <c r="R701" s="1850">
        <f>N701-O701-Q701</f>
        <v>0</v>
      </c>
      <c r="S701" s="1850">
        <f>ROUND(S700-R701,2)</f>
        <v>0</v>
      </c>
      <c r="T701" s="1850">
        <f>ROUND(T700-(N701-Q701),2)</f>
        <v>0</v>
      </c>
      <c r="U701" s="1849"/>
      <c r="W701" s="1848"/>
      <c r="X701" s="1848"/>
      <c r="Y701" s="1848"/>
    </row>
    <row r="702" spans="2:25" hidden="1">
      <c r="B702" s="1815" t="b">
        <f>AND(I702=FALSE,N701=0,Q701=0,L701="")</f>
        <v>1</v>
      </c>
      <c r="C702" s="1844" t="str" cm="1">
        <f t="array" ref="C702">_xlfn.IFS(
    L702="", "",
    MONTH(L702) &lt;= End_of_Year_Month, YEAR(L702),
    TRUE, YEAR(L702) + 1
)</f>
        <v/>
      </c>
      <c r="F702" s="1857">
        <f>IF(L702="",0,L702)</f>
        <v>0</v>
      </c>
      <c r="G702" s="1856">
        <f>-(N702-Q702)</f>
        <v>0</v>
      </c>
      <c r="I702" s="1815" t="b">
        <f>K702&lt;=Number_Payments</f>
        <v>0</v>
      </c>
      <c r="J702" s="1855"/>
      <c r="K702" s="1351">
        <f>K701+1</f>
        <v>576</v>
      </c>
      <c r="L702" s="1854" t="str" cm="1">
        <f t="array" ref="L702">_xlfn.IFS(
    I701=FALSE, "",
    Payment_Frequency="Monthly", EDATE(L701, 1),
    Payment_Frequency="Weekly", DATE(YEAR(L701), MONTH(L701), DAY(L701) + 7),
    Payment_Frequency="Fortnightly", DATE(YEAR(L701), MONTH(L701), DAY(L701) + 14),
    Payment_Frequency="Quarterly", DATE(YEAR(L701), MONTH(L701) + 3, DAY(L701)),
    Payment_Frequency="Yearly", DATE(YEAR(L701) + 1, MONTH(L701), DAY(L701)),
    TRUE, ""
)</f>
        <v/>
      </c>
      <c r="M702" s="1853">
        <f>IF(ISERROR(L702-L701),0,L702-L701)</f>
        <v>0</v>
      </c>
      <c r="N702" s="1851" cm="1">
        <f t="array" ref="N702">_xlfn.IFS(
    AND(I702=TRUE, K702&lt;=No_Regular_Payments), Repay_Amt,
    AND(I702=TRUE, K702=No_Regular_Payments+1), Tm_Balloon_Amt,
   TRUE, 0
)</f>
        <v>0</v>
      </c>
      <c r="O702" s="1850" cm="1">
        <f t="array" ref="O702">_xlfn.IFS(
    M702=0,0,
   ABS(N702 - S701 - P702-Q702) &lt; 1, N702 - S701-Q702,
    TRUE, P702
)</f>
        <v>0</v>
      </c>
      <c r="P702" s="1852">
        <f>IF(M702=0,0,ROUND(S701*EXP(Int_Rate/365.25 * M702)-S701,2))</f>
        <v>0</v>
      </c>
      <c r="Q702" s="1851" cm="1">
        <f t="array" ref="Q702">_xlfn.IFS(
    AND(I702=TRUE, K702&lt;=No_Regular_Payments), Periodic_Admin_Charge,
   TRUE, 0
)</f>
        <v>0</v>
      </c>
      <c r="R702" s="1850">
        <f>N702-O702-Q702</f>
        <v>0</v>
      </c>
      <c r="S702" s="1850">
        <f>ROUND(S701-R702,2)</f>
        <v>0</v>
      </c>
      <c r="T702" s="1850">
        <f>ROUND(T701-(N702-Q702),2)</f>
        <v>0</v>
      </c>
      <c r="U702" s="1849"/>
      <c r="W702" s="1848"/>
      <c r="X702" s="1848"/>
      <c r="Y702" s="1848"/>
    </row>
    <row r="703" spans="2:25" hidden="1">
      <c r="B703" s="1815" t="b">
        <f>AND(I703=FALSE,N702=0,Q702=0,L702="")</f>
        <v>1</v>
      </c>
      <c r="C703" s="1844" t="str" cm="1">
        <f t="array" ref="C703">_xlfn.IFS(
    L703="", "",
    MONTH(L703) &lt;= End_of_Year_Month, YEAR(L703),
    TRUE, YEAR(L703) + 1
)</f>
        <v/>
      </c>
      <c r="F703" s="1857">
        <f>IF(L703="",0,L703)</f>
        <v>0</v>
      </c>
      <c r="G703" s="1856">
        <f>-(N703-Q703)</f>
        <v>0</v>
      </c>
      <c r="I703" s="1815" t="b">
        <f>K703&lt;=Number_Payments</f>
        <v>0</v>
      </c>
      <c r="J703" s="1855"/>
      <c r="K703" s="1351">
        <f>K702+1</f>
        <v>577</v>
      </c>
      <c r="L703" s="1854" t="str" cm="1">
        <f t="array" ref="L703">_xlfn.IFS(
    I702=FALSE, "",
    Payment_Frequency="Monthly", EDATE(L702, 1),
    Payment_Frequency="Weekly", DATE(YEAR(L702), MONTH(L702), DAY(L702) + 7),
    Payment_Frequency="Fortnightly", DATE(YEAR(L702), MONTH(L702), DAY(L702) + 14),
    Payment_Frequency="Quarterly", DATE(YEAR(L702), MONTH(L702) + 3, DAY(L702)),
    Payment_Frequency="Yearly", DATE(YEAR(L702) + 1, MONTH(L702), DAY(L702)),
    TRUE, ""
)</f>
        <v/>
      </c>
      <c r="M703" s="1853">
        <f>IF(ISERROR(L703-L702),0,L703-L702)</f>
        <v>0</v>
      </c>
      <c r="N703" s="1851" cm="1">
        <f t="array" ref="N703">_xlfn.IFS(
    AND(I703=TRUE, K703&lt;=No_Regular_Payments), Repay_Amt,
    AND(I703=TRUE, K703=No_Regular_Payments+1), Tm_Balloon_Amt,
   TRUE, 0
)</f>
        <v>0</v>
      </c>
      <c r="O703" s="1850" cm="1">
        <f t="array" ref="O703">_xlfn.IFS(
    M703=0,0,
   ABS(N703 - S702 - P703-Q703) &lt; 1, N703 - S702-Q703,
    TRUE, P703
)</f>
        <v>0</v>
      </c>
      <c r="P703" s="1852">
        <f>IF(M703=0,0,ROUND(S702*EXP(Int_Rate/365.25 * M703)-S702,2))</f>
        <v>0</v>
      </c>
      <c r="Q703" s="1851" cm="1">
        <f t="array" ref="Q703">_xlfn.IFS(
    AND(I703=TRUE, K703&lt;=No_Regular_Payments), Periodic_Admin_Charge,
   TRUE, 0
)</f>
        <v>0</v>
      </c>
      <c r="R703" s="1850">
        <f>N703-O703-Q703</f>
        <v>0</v>
      </c>
      <c r="S703" s="1850">
        <f>ROUND(S702-R703,2)</f>
        <v>0</v>
      </c>
      <c r="T703" s="1850">
        <f>ROUND(T702-(N703-Q703),2)</f>
        <v>0</v>
      </c>
      <c r="U703" s="1849"/>
      <c r="W703" s="1848"/>
      <c r="X703" s="1848"/>
      <c r="Y703" s="1848"/>
    </row>
    <row r="704" spans="2:25" hidden="1">
      <c r="B704" s="1815" t="b">
        <f>AND(I704=FALSE,N703=0,Q703=0,L703="")</f>
        <v>1</v>
      </c>
      <c r="C704" s="1844" t="str" cm="1">
        <f t="array" ref="C704">_xlfn.IFS(
    L704="", "",
    MONTH(L704) &lt;= End_of_Year_Month, YEAR(L704),
    TRUE, YEAR(L704) + 1
)</f>
        <v/>
      </c>
      <c r="F704" s="1857">
        <f>IF(L704="",0,L704)</f>
        <v>0</v>
      </c>
      <c r="G704" s="1856">
        <f>-(N704-Q704)</f>
        <v>0</v>
      </c>
      <c r="I704" s="1815" t="b">
        <f>K704&lt;=Number_Payments</f>
        <v>0</v>
      </c>
      <c r="J704" s="1855"/>
      <c r="K704" s="1351">
        <f>K703+1</f>
        <v>578</v>
      </c>
      <c r="L704" s="1854" t="str" cm="1">
        <f t="array" ref="L704">_xlfn.IFS(
    I703=FALSE, "",
    Payment_Frequency="Monthly", EDATE(L703, 1),
    Payment_Frequency="Weekly", DATE(YEAR(L703), MONTH(L703), DAY(L703) + 7),
    Payment_Frequency="Fortnightly", DATE(YEAR(L703), MONTH(L703), DAY(L703) + 14),
    Payment_Frequency="Quarterly", DATE(YEAR(L703), MONTH(L703) + 3, DAY(L703)),
    Payment_Frequency="Yearly", DATE(YEAR(L703) + 1, MONTH(L703), DAY(L703)),
    TRUE, ""
)</f>
        <v/>
      </c>
      <c r="M704" s="1853">
        <f>IF(ISERROR(L704-L703),0,L704-L703)</f>
        <v>0</v>
      </c>
      <c r="N704" s="1851" cm="1">
        <f t="array" ref="N704">_xlfn.IFS(
    AND(I704=TRUE, K704&lt;=No_Regular_Payments), Repay_Amt,
    AND(I704=TRUE, K704=No_Regular_Payments+1), Tm_Balloon_Amt,
   TRUE, 0
)</f>
        <v>0</v>
      </c>
      <c r="O704" s="1850" cm="1">
        <f t="array" ref="O704">_xlfn.IFS(
    M704=0,0,
   ABS(N704 - S703 - P704-Q704) &lt; 1, N704 - S703-Q704,
    TRUE, P704
)</f>
        <v>0</v>
      </c>
      <c r="P704" s="1852">
        <f>IF(M704=0,0,ROUND(S703*EXP(Int_Rate/365.25 * M704)-S703,2))</f>
        <v>0</v>
      </c>
      <c r="Q704" s="1851" cm="1">
        <f t="array" ref="Q704">_xlfn.IFS(
    AND(I704=TRUE, K704&lt;=No_Regular_Payments), Periodic_Admin_Charge,
   TRUE, 0
)</f>
        <v>0</v>
      </c>
      <c r="R704" s="1850">
        <f>N704-O704-Q704</f>
        <v>0</v>
      </c>
      <c r="S704" s="1850">
        <f>ROUND(S703-R704,2)</f>
        <v>0</v>
      </c>
      <c r="T704" s="1850">
        <f>ROUND(T703-(N704-Q704),2)</f>
        <v>0</v>
      </c>
      <c r="U704" s="1849"/>
      <c r="W704" s="1848"/>
      <c r="X704" s="1848"/>
      <c r="Y704" s="1848"/>
    </row>
    <row r="705" spans="2:25" hidden="1">
      <c r="B705" s="1815" t="b">
        <f>AND(I705=FALSE,N704=0,Q704=0,L704="")</f>
        <v>1</v>
      </c>
      <c r="C705" s="1844" t="str" cm="1">
        <f t="array" ref="C705">_xlfn.IFS(
    L705="", "",
    MONTH(L705) &lt;= End_of_Year_Month, YEAR(L705),
    TRUE, YEAR(L705) + 1
)</f>
        <v/>
      </c>
      <c r="F705" s="1857">
        <f>IF(L705="",0,L705)</f>
        <v>0</v>
      </c>
      <c r="G705" s="1856">
        <f>-(N705-Q705)</f>
        <v>0</v>
      </c>
      <c r="I705" s="1815" t="b">
        <f>K705&lt;=Number_Payments</f>
        <v>0</v>
      </c>
      <c r="J705" s="1855"/>
      <c r="K705" s="1351">
        <f>K704+1</f>
        <v>579</v>
      </c>
      <c r="L705" s="1854" t="str" cm="1">
        <f t="array" ref="L705">_xlfn.IFS(
    I704=FALSE, "",
    Payment_Frequency="Monthly", EDATE(L704, 1),
    Payment_Frequency="Weekly", DATE(YEAR(L704), MONTH(L704), DAY(L704) + 7),
    Payment_Frequency="Fortnightly", DATE(YEAR(L704), MONTH(L704), DAY(L704) + 14),
    Payment_Frequency="Quarterly", DATE(YEAR(L704), MONTH(L704) + 3, DAY(L704)),
    Payment_Frequency="Yearly", DATE(YEAR(L704) + 1, MONTH(L704), DAY(L704)),
    TRUE, ""
)</f>
        <v/>
      </c>
      <c r="M705" s="1853">
        <f>IF(ISERROR(L705-L704),0,L705-L704)</f>
        <v>0</v>
      </c>
      <c r="N705" s="1851" cm="1">
        <f t="array" ref="N705">_xlfn.IFS(
    AND(I705=TRUE, K705&lt;=No_Regular_Payments), Repay_Amt,
    AND(I705=TRUE, K705=No_Regular_Payments+1), Tm_Balloon_Amt,
   TRUE, 0
)</f>
        <v>0</v>
      </c>
      <c r="O705" s="1850" cm="1">
        <f t="array" ref="O705">_xlfn.IFS(
    M705=0,0,
   ABS(N705 - S704 - P705-Q705) &lt; 1, N705 - S704-Q705,
    TRUE, P705
)</f>
        <v>0</v>
      </c>
      <c r="P705" s="1852">
        <f>IF(M705=0,0,ROUND(S704*EXP(Int_Rate/365.25 * M705)-S704,2))</f>
        <v>0</v>
      </c>
      <c r="Q705" s="1851" cm="1">
        <f t="array" ref="Q705">_xlfn.IFS(
    AND(I705=TRUE, K705&lt;=No_Regular_Payments), Periodic_Admin_Charge,
   TRUE, 0
)</f>
        <v>0</v>
      </c>
      <c r="R705" s="1850">
        <f>N705-O705-Q705</f>
        <v>0</v>
      </c>
      <c r="S705" s="1850">
        <f>ROUND(S704-R705,2)</f>
        <v>0</v>
      </c>
      <c r="T705" s="1850">
        <f>ROUND(T704-(N705-Q705),2)</f>
        <v>0</v>
      </c>
      <c r="U705" s="1849"/>
      <c r="W705" s="1848"/>
      <c r="X705" s="1848"/>
      <c r="Y705" s="1848"/>
    </row>
    <row r="706" spans="2:25" hidden="1">
      <c r="B706" s="1815" t="b">
        <f>AND(I706=FALSE,N705=0,Q705=0,L705="")</f>
        <v>1</v>
      </c>
      <c r="C706" s="1844" t="str" cm="1">
        <f t="array" ref="C706">_xlfn.IFS(
    L706="", "",
    MONTH(L706) &lt;= End_of_Year_Month, YEAR(L706),
    TRUE, YEAR(L706) + 1
)</f>
        <v/>
      </c>
      <c r="F706" s="1857">
        <f>IF(L706="",0,L706)</f>
        <v>0</v>
      </c>
      <c r="G706" s="1856">
        <f>-(N706-Q706)</f>
        <v>0</v>
      </c>
      <c r="I706" s="1815" t="b">
        <f>K706&lt;=Number_Payments</f>
        <v>0</v>
      </c>
      <c r="J706" s="1855"/>
      <c r="K706" s="1351">
        <f>K705+1</f>
        <v>580</v>
      </c>
      <c r="L706" s="1854" t="str" cm="1">
        <f t="array" ref="L706">_xlfn.IFS(
    I705=FALSE, "",
    Payment_Frequency="Monthly", EDATE(L705, 1),
    Payment_Frequency="Weekly", DATE(YEAR(L705), MONTH(L705), DAY(L705) + 7),
    Payment_Frequency="Fortnightly", DATE(YEAR(L705), MONTH(L705), DAY(L705) + 14),
    Payment_Frequency="Quarterly", DATE(YEAR(L705), MONTH(L705) + 3, DAY(L705)),
    Payment_Frequency="Yearly", DATE(YEAR(L705) + 1, MONTH(L705), DAY(L705)),
    TRUE, ""
)</f>
        <v/>
      </c>
      <c r="M706" s="1853">
        <f>IF(ISERROR(L706-L705),0,L706-L705)</f>
        <v>0</v>
      </c>
      <c r="N706" s="1851" cm="1">
        <f t="array" ref="N706">_xlfn.IFS(
    AND(I706=TRUE, K706&lt;=No_Regular_Payments), Repay_Amt,
    AND(I706=TRUE, K706=No_Regular_Payments+1), Tm_Balloon_Amt,
   TRUE, 0
)</f>
        <v>0</v>
      </c>
      <c r="O706" s="1850" cm="1">
        <f t="array" ref="O706">_xlfn.IFS(
    M706=0,0,
   ABS(N706 - S705 - P706-Q706) &lt; 1, N706 - S705-Q706,
    TRUE, P706
)</f>
        <v>0</v>
      </c>
      <c r="P706" s="1852">
        <f>IF(M706=0,0,ROUND(S705*EXP(Int_Rate/365.25 * M706)-S705,2))</f>
        <v>0</v>
      </c>
      <c r="Q706" s="1851" cm="1">
        <f t="array" ref="Q706">_xlfn.IFS(
    AND(I706=TRUE, K706&lt;=No_Regular_Payments), Periodic_Admin_Charge,
   TRUE, 0
)</f>
        <v>0</v>
      </c>
      <c r="R706" s="1850">
        <f>N706-O706-Q706</f>
        <v>0</v>
      </c>
      <c r="S706" s="1850">
        <f>ROUND(S705-R706,2)</f>
        <v>0</v>
      </c>
      <c r="T706" s="1850">
        <f>ROUND(T705-(N706-Q706),2)</f>
        <v>0</v>
      </c>
      <c r="U706" s="1849"/>
      <c r="W706" s="1848"/>
      <c r="X706" s="1848"/>
      <c r="Y706" s="1848"/>
    </row>
    <row r="707" spans="2:25" hidden="1">
      <c r="B707" s="1815" t="b">
        <f>AND(I707=FALSE,N706=0,Q706=0,L706="")</f>
        <v>1</v>
      </c>
      <c r="C707" s="1844" t="str" cm="1">
        <f t="array" ref="C707">_xlfn.IFS(
    L707="", "",
    MONTH(L707) &lt;= End_of_Year_Month, YEAR(L707),
    TRUE, YEAR(L707) + 1
)</f>
        <v/>
      </c>
      <c r="F707" s="1857">
        <f>IF(L707="",0,L707)</f>
        <v>0</v>
      </c>
      <c r="G707" s="1856">
        <f>-(N707-Q707)</f>
        <v>0</v>
      </c>
      <c r="I707" s="1815" t="b">
        <f>K707&lt;=Number_Payments</f>
        <v>0</v>
      </c>
      <c r="J707" s="1855"/>
      <c r="K707" s="1351">
        <f>K706+1</f>
        <v>581</v>
      </c>
      <c r="L707" s="1854" t="str" cm="1">
        <f t="array" ref="L707">_xlfn.IFS(
    I706=FALSE, "",
    Payment_Frequency="Monthly", EDATE(L706, 1),
    Payment_Frequency="Weekly", DATE(YEAR(L706), MONTH(L706), DAY(L706) + 7),
    Payment_Frequency="Fortnightly", DATE(YEAR(L706), MONTH(L706), DAY(L706) + 14),
    Payment_Frequency="Quarterly", DATE(YEAR(L706), MONTH(L706) + 3, DAY(L706)),
    Payment_Frequency="Yearly", DATE(YEAR(L706) + 1, MONTH(L706), DAY(L706)),
    TRUE, ""
)</f>
        <v/>
      </c>
      <c r="M707" s="1853">
        <f>IF(ISERROR(L707-L706),0,L707-L706)</f>
        <v>0</v>
      </c>
      <c r="N707" s="1851" cm="1">
        <f t="array" ref="N707">_xlfn.IFS(
    AND(I707=TRUE, K707&lt;=No_Regular_Payments), Repay_Amt,
    AND(I707=TRUE, K707=No_Regular_Payments+1), Tm_Balloon_Amt,
   TRUE, 0
)</f>
        <v>0</v>
      </c>
      <c r="O707" s="1850" cm="1">
        <f t="array" ref="O707">_xlfn.IFS(
    M707=0,0,
   ABS(N707 - S706 - P707-Q707) &lt; 1, N707 - S706-Q707,
    TRUE, P707
)</f>
        <v>0</v>
      </c>
      <c r="P707" s="1852">
        <f>IF(M707=0,0,ROUND(S706*EXP(Int_Rate/365.25 * M707)-S706,2))</f>
        <v>0</v>
      </c>
      <c r="Q707" s="1851" cm="1">
        <f t="array" ref="Q707">_xlfn.IFS(
    AND(I707=TRUE, K707&lt;=No_Regular_Payments), Periodic_Admin_Charge,
   TRUE, 0
)</f>
        <v>0</v>
      </c>
      <c r="R707" s="1850">
        <f>N707-O707-Q707</f>
        <v>0</v>
      </c>
      <c r="S707" s="1850">
        <f>ROUND(S706-R707,2)</f>
        <v>0</v>
      </c>
      <c r="T707" s="1850">
        <f>ROUND(T706-(N707-Q707),2)</f>
        <v>0</v>
      </c>
      <c r="U707" s="1849"/>
      <c r="W707" s="1848"/>
      <c r="X707" s="1848"/>
      <c r="Y707" s="1848"/>
    </row>
    <row r="708" spans="2:25" hidden="1">
      <c r="B708" s="1815" t="b">
        <f>AND(I708=FALSE,N707=0,Q707=0,L707="")</f>
        <v>1</v>
      </c>
      <c r="C708" s="1844" t="str" cm="1">
        <f t="array" ref="C708">_xlfn.IFS(
    L708="", "",
    MONTH(L708) &lt;= End_of_Year_Month, YEAR(L708),
    TRUE, YEAR(L708) + 1
)</f>
        <v/>
      </c>
      <c r="F708" s="1857">
        <f>IF(L708="",0,L708)</f>
        <v>0</v>
      </c>
      <c r="G708" s="1856">
        <f>-(N708-Q708)</f>
        <v>0</v>
      </c>
      <c r="I708" s="1815" t="b">
        <f>K708&lt;=Number_Payments</f>
        <v>0</v>
      </c>
      <c r="J708" s="1855"/>
      <c r="K708" s="1351">
        <f>K707+1</f>
        <v>582</v>
      </c>
      <c r="L708" s="1854" t="str" cm="1">
        <f t="array" ref="L708">_xlfn.IFS(
    I707=FALSE, "",
    Payment_Frequency="Monthly", EDATE(L707, 1),
    Payment_Frequency="Weekly", DATE(YEAR(L707), MONTH(L707), DAY(L707) + 7),
    Payment_Frequency="Fortnightly", DATE(YEAR(L707), MONTH(L707), DAY(L707) + 14),
    Payment_Frequency="Quarterly", DATE(YEAR(L707), MONTH(L707) + 3, DAY(L707)),
    Payment_Frequency="Yearly", DATE(YEAR(L707) + 1, MONTH(L707), DAY(L707)),
    TRUE, ""
)</f>
        <v/>
      </c>
      <c r="M708" s="1853">
        <f>IF(ISERROR(L708-L707),0,L708-L707)</f>
        <v>0</v>
      </c>
      <c r="N708" s="1851" cm="1">
        <f t="array" ref="N708">_xlfn.IFS(
    AND(I708=TRUE, K708&lt;=No_Regular_Payments), Repay_Amt,
    AND(I708=TRUE, K708=No_Regular_Payments+1), Tm_Balloon_Amt,
   TRUE, 0
)</f>
        <v>0</v>
      </c>
      <c r="O708" s="1850" cm="1">
        <f t="array" ref="O708">_xlfn.IFS(
    M708=0,0,
   ABS(N708 - S707 - P708-Q708) &lt; 1, N708 - S707-Q708,
    TRUE, P708
)</f>
        <v>0</v>
      </c>
      <c r="P708" s="1852">
        <f>IF(M708=0,0,ROUND(S707*EXP(Int_Rate/365.25 * M708)-S707,2))</f>
        <v>0</v>
      </c>
      <c r="Q708" s="1851" cm="1">
        <f t="array" ref="Q708">_xlfn.IFS(
    AND(I708=TRUE, K708&lt;=No_Regular_Payments), Periodic_Admin_Charge,
   TRUE, 0
)</f>
        <v>0</v>
      </c>
      <c r="R708" s="1850">
        <f>N708-O708-Q708</f>
        <v>0</v>
      </c>
      <c r="S708" s="1850">
        <f>ROUND(S707-R708,2)</f>
        <v>0</v>
      </c>
      <c r="T708" s="1850">
        <f>ROUND(T707-(N708-Q708),2)</f>
        <v>0</v>
      </c>
      <c r="U708" s="1849"/>
      <c r="W708" s="1848"/>
      <c r="X708" s="1848"/>
      <c r="Y708" s="1848"/>
    </row>
    <row r="709" spans="2:25" hidden="1">
      <c r="B709" s="1815" t="b">
        <f>AND(I709=FALSE,N708=0,Q708=0,L708="")</f>
        <v>1</v>
      </c>
      <c r="C709" s="1844" t="str" cm="1">
        <f t="array" ref="C709">_xlfn.IFS(
    L709="", "",
    MONTH(L709) &lt;= End_of_Year_Month, YEAR(L709),
    TRUE, YEAR(L709) + 1
)</f>
        <v/>
      </c>
      <c r="F709" s="1857">
        <f>IF(L709="",0,L709)</f>
        <v>0</v>
      </c>
      <c r="G709" s="1856">
        <f>-(N709-Q709)</f>
        <v>0</v>
      </c>
      <c r="I709" s="1815" t="b">
        <f>K709&lt;=Number_Payments</f>
        <v>0</v>
      </c>
      <c r="J709" s="1855"/>
      <c r="K709" s="1351">
        <f>K708+1</f>
        <v>583</v>
      </c>
      <c r="L709" s="1854" t="str" cm="1">
        <f t="array" ref="L709">_xlfn.IFS(
    I708=FALSE, "",
    Payment_Frequency="Monthly", EDATE(L708, 1),
    Payment_Frequency="Weekly", DATE(YEAR(L708), MONTH(L708), DAY(L708) + 7),
    Payment_Frequency="Fortnightly", DATE(YEAR(L708), MONTH(L708), DAY(L708) + 14),
    Payment_Frequency="Quarterly", DATE(YEAR(L708), MONTH(L708) + 3, DAY(L708)),
    Payment_Frequency="Yearly", DATE(YEAR(L708) + 1, MONTH(L708), DAY(L708)),
    TRUE, ""
)</f>
        <v/>
      </c>
      <c r="M709" s="1853">
        <f>IF(ISERROR(L709-L708),0,L709-L708)</f>
        <v>0</v>
      </c>
      <c r="N709" s="1851" cm="1">
        <f t="array" ref="N709">_xlfn.IFS(
    AND(I709=TRUE, K709&lt;=No_Regular_Payments), Repay_Amt,
    AND(I709=TRUE, K709=No_Regular_Payments+1), Tm_Balloon_Amt,
   TRUE, 0
)</f>
        <v>0</v>
      </c>
      <c r="O709" s="1850" cm="1">
        <f t="array" ref="O709">_xlfn.IFS(
    M709=0,0,
   ABS(N709 - S708 - P709-Q709) &lt; 1, N709 - S708-Q709,
    TRUE, P709
)</f>
        <v>0</v>
      </c>
      <c r="P709" s="1852">
        <f>IF(M709=0,0,ROUND(S708*EXP(Int_Rate/365.25 * M709)-S708,2))</f>
        <v>0</v>
      </c>
      <c r="Q709" s="1851" cm="1">
        <f t="array" ref="Q709">_xlfn.IFS(
    AND(I709=TRUE, K709&lt;=No_Regular_Payments), Periodic_Admin_Charge,
   TRUE, 0
)</f>
        <v>0</v>
      </c>
      <c r="R709" s="1850">
        <f>N709-O709-Q709</f>
        <v>0</v>
      </c>
      <c r="S709" s="1850">
        <f>ROUND(S708-R709,2)</f>
        <v>0</v>
      </c>
      <c r="T709" s="1850">
        <f>ROUND(T708-(N709-Q709),2)</f>
        <v>0</v>
      </c>
      <c r="U709" s="1849"/>
      <c r="W709" s="1848"/>
      <c r="X709" s="1848"/>
      <c r="Y709" s="1848"/>
    </row>
    <row r="710" spans="2:25" hidden="1">
      <c r="B710" s="1815" t="b">
        <f>AND(I710=FALSE,N709=0,Q709=0,L709="")</f>
        <v>1</v>
      </c>
      <c r="C710" s="1844" t="str" cm="1">
        <f t="array" ref="C710">_xlfn.IFS(
    L710="", "",
    MONTH(L710) &lt;= End_of_Year_Month, YEAR(L710),
    TRUE, YEAR(L710) + 1
)</f>
        <v/>
      </c>
      <c r="F710" s="1857">
        <f>IF(L710="",0,L710)</f>
        <v>0</v>
      </c>
      <c r="G710" s="1856">
        <f>-(N710-Q710)</f>
        <v>0</v>
      </c>
      <c r="I710" s="1815" t="b">
        <f>K710&lt;=Number_Payments</f>
        <v>0</v>
      </c>
      <c r="J710" s="1855"/>
      <c r="K710" s="1351">
        <f>K709+1</f>
        <v>584</v>
      </c>
      <c r="L710" s="1854" t="str" cm="1">
        <f t="array" ref="L710">_xlfn.IFS(
    I709=FALSE, "",
    Payment_Frequency="Monthly", EDATE(L709, 1),
    Payment_Frequency="Weekly", DATE(YEAR(L709), MONTH(L709), DAY(L709) + 7),
    Payment_Frequency="Fortnightly", DATE(YEAR(L709), MONTH(L709), DAY(L709) + 14),
    Payment_Frequency="Quarterly", DATE(YEAR(L709), MONTH(L709) + 3, DAY(L709)),
    Payment_Frequency="Yearly", DATE(YEAR(L709) + 1, MONTH(L709), DAY(L709)),
    TRUE, ""
)</f>
        <v/>
      </c>
      <c r="M710" s="1853">
        <f>IF(ISERROR(L710-L709),0,L710-L709)</f>
        <v>0</v>
      </c>
      <c r="N710" s="1851" cm="1">
        <f t="array" ref="N710">_xlfn.IFS(
    AND(I710=TRUE, K710&lt;=No_Regular_Payments), Repay_Amt,
    AND(I710=TRUE, K710=No_Regular_Payments+1), Tm_Balloon_Amt,
   TRUE, 0
)</f>
        <v>0</v>
      </c>
      <c r="O710" s="1850" cm="1">
        <f t="array" ref="O710">_xlfn.IFS(
    M710=0,0,
   ABS(N710 - S709 - P710-Q710) &lt; 1, N710 - S709-Q710,
    TRUE, P710
)</f>
        <v>0</v>
      </c>
      <c r="P710" s="1852">
        <f>IF(M710=0,0,ROUND(S709*EXP(Int_Rate/365.25 * M710)-S709,2))</f>
        <v>0</v>
      </c>
      <c r="Q710" s="1851" cm="1">
        <f t="array" ref="Q710">_xlfn.IFS(
    AND(I710=TRUE, K710&lt;=No_Regular_Payments), Periodic_Admin_Charge,
   TRUE, 0
)</f>
        <v>0</v>
      </c>
      <c r="R710" s="1850">
        <f>N710-O710-Q710</f>
        <v>0</v>
      </c>
      <c r="S710" s="1850">
        <f>ROUND(S709-R710,2)</f>
        <v>0</v>
      </c>
      <c r="T710" s="1850">
        <f>ROUND(T709-(N710-Q710),2)</f>
        <v>0</v>
      </c>
      <c r="U710" s="1849"/>
      <c r="W710" s="1848"/>
      <c r="X710" s="1848"/>
      <c r="Y710" s="1848"/>
    </row>
    <row r="711" spans="2:25" hidden="1">
      <c r="B711" s="1815" t="b">
        <f>AND(I711=FALSE,N710=0,Q710=0,L710="")</f>
        <v>1</v>
      </c>
      <c r="C711" s="1844" t="str" cm="1">
        <f t="array" ref="C711">_xlfn.IFS(
    L711="", "",
    MONTH(L711) &lt;= End_of_Year_Month, YEAR(L711),
    TRUE, YEAR(L711) + 1
)</f>
        <v/>
      </c>
      <c r="F711" s="1857">
        <f>IF(L711="",0,L711)</f>
        <v>0</v>
      </c>
      <c r="G711" s="1856">
        <f>-(N711-Q711)</f>
        <v>0</v>
      </c>
      <c r="I711" s="1815" t="b">
        <f>K711&lt;=Number_Payments</f>
        <v>0</v>
      </c>
      <c r="J711" s="1855"/>
      <c r="K711" s="1351">
        <f>K710+1</f>
        <v>585</v>
      </c>
      <c r="L711" s="1854" t="str" cm="1">
        <f t="array" ref="L711">_xlfn.IFS(
    I710=FALSE, "",
    Payment_Frequency="Monthly", EDATE(L710, 1),
    Payment_Frequency="Weekly", DATE(YEAR(L710), MONTH(L710), DAY(L710) + 7),
    Payment_Frequency="Fortnightly", DATE(YEAR(L710), MONTH(L710), DAY(L710) + 14),
    Payment_Frequency="Quarterly", DATE(YEAR(L710), MONTH(L710) + 3, DAY(L710)),
    Payment_Frequency="Yearly", DATE(YEAR(L710) + 1, MONTH(L710), DAY(L710)),
    TRUE, ""
)</f>
        <v/>
      </c>
      <c r="M711" s="1853">
        <f>IF(ISERROR(L711-L710),0,L711-L710)</f>
        <v>0</v>
      </c>
      <c r="N711" s="1851" cm="1">
        <f t="array" ref="N711">_xlfn.IFS(
    AND(I711=TRUE, K711&lt;=No_Regular_Payments), Repay_Amt,
    AND(I711=TRUE, K711=No_Regular_Payments+1), Tm_Balloon_Amt,
   TRUE, 0
)</f>
        <v>0</v>
      </c>
      <c r="O711" s="1850" cm="1">
        <f t="array" ref="O711">_xlfn.IFS(
    M711=0,0,
   ABS(N711 - S710 - P711-Q711) &lt; 1, N711 - S710-Q711,
    TRUE, P711
)</f>
        <v>0</v>
      </c>
      <c r="P711" s="1852">
        <f>IF(M711=0,0,ROUND(S710*EXP(Int_Rate/365.25 * M711)-S710,2))</f>
        <v>0</v>
      </c>
      <c r="Q711" s="1851" cm="1">
        <f t="array" ref="Q711">_xlfn.IFS(
    AND(I711=TRUE, K711&lt;=No_Regular_Payments), Periodic_Admin_Charge,
   TRUE, 0
)</f>
        <v>0</v>
      </c>
      <c r="R711" s="1850">
        <f>N711-O711-Q711</f>
        <v>0</v>
      </c>
      <c r="S711" s="1850">
        <f>ROUND(S710-R711,2)</f>
        <v>0</v>
      </c>
      <c r="T711" s="1850">
        <f>ROUND(T710-(N711-Q711),2)</f>
        <v>0</v>
      </c>
      <c r="U711" s="1849"/>
      <c r="W711" s="1848"/>
      <c r="X711" s="1848"/>
      <c r="Y711" s="1848"/>
    </row>
    <row r="712" spans="2:25" hidden="1">
      <c r="B712" s="1815" t="b">
        <f>AND(I712=FALSE,N711=0,Q711=0,L711="")</f>
        <v>1</v>
      </c>
      <c r="C712" s="1844" t="str" cm="1">
        <f t="array" ref="C712">_xlfn.IFS(
    L712="", "",
    MONTH(L712) &lt;= End_of_Year_Month, YEAR(L712),
    TRUE, YEAR(L712) + 1
)</f>
        <v/>
      </c>
      <c r="F712" s="1857">
        <f>IF(L712="",0,L712)</f>
        <v>0</v>
      </c>
      <c r="G712" s="1856">
        <f>-(N712-Q712)</f>
        <v>0</v>
      </c>
      <c r="I712" s="1815" t="b">
        <f>K712&lt;=Number_Payments</f>
        <v>0</v>
      </c>
      <c r="J712" s="1855"/>
      <c r="K712" s="1351">
        <f>K711+1</f>
        <v>586</v>
      </c>
      <c r="L712" s="1854" t="str" cm="1">
        <f t="array" ref="L712">_xlfn.IFS(
    I711=FALSE, "",
    Payment_Frequency="Monthly", EDATE(L711, 1),
    Payment_Frequency="Weekly", DATE(YEAR(L711), MONTH(L711), DAY(L711) + 7),
    Payment_Frequency="Fortnightly", DATE(YEAR(L711), MONTH(L711), DAY(L711) + 14),
    Payment_Frequency="Quarterly", DATE(YEAR(L711), MONTH(L711) + 3, DAY(L711)),
    Payment_Frequency="Yearly", DATE(YEAR(L711) + 1, MONTH(L711), DAY(L711)),
    TRUE, ""
)</f>
        <v/>
      </c>
      <c r="M712" s="1853">
        <f>IF(ISERROR(L712-L711),0,L712-L711)</f>
        <v>0</v>
      </c>
      <c r="N712" s="1851" cm="1">
        <f t="array" ref="N712">_xlfn.IFS(
    AND(I712=TRUE, K712&lt;=No_Regular_Payments), Repay_Amt,
    AND(I712=TRUE, K712=No_Regular_Payments+1), Tm_Balloon_Amt,
   TRUE, 0
)</f>
        <v>0</v>
      </c>
      <c r="O712" s="1850" cm="1">
        <f t="array" ref="O712">_xlfn.IFS(
    M712=0,0,
   ABS(N712 - S711 - P712-Q712) &lt; 1, N712 - S711-Q712,
    TRUE, P712
)</f>
        <v>0</v>
      </c>
      <c r="P712" s="1852">
        <f>IF(M712=0,0,ROUND(S711*EXP(Int_Rate/365.25 * M712)-S711,2))</f>
        <v>0</v>
      </c>
      <c r="Q712" s="1851" cm="1">
        <f t="array" ref="Q712">_xlfn.IFS(
    AND(I712=TRUE, K712&lt;=No_Regular_Payments), Periodic_Admin_Charge,
   TRUE, 0
)</f>
        <v>0</v>
      </c>
      <c r="R712" s="1850">
        <f>N712-O712-Q712</f>
        <v>0</v>
      </c>
      <c r="S712" s="1850">
        <f>ROUND(S711-R712,2)</f>
        <v>0</v>
      </c>
      <c r="T712" s="1850">
        <f>ROUND(T711-(N712-Q712),2)</f>
        <v>0</v>
      </c>
      <c r="U712" s="1849"/>
      <c r="W712" s="1848"/>
      <c r="X712" s="1848"/>
      <c r="Y712" s="1848"/>
    </row>
    <row r="713" spans="2:25" hidden="1">
      <c r="B713" s="1815" t="b">
        <f>AND(I713=FALSE,N712=0,Q712=0,L712="")</f>
        <v>1</v>
      </c>
      <c r="C713" s="1844" t="str" cm="1">
        <f t="array" ref="C713">_xlfn.IFS(
    L713="", "",
    MONTH(L713) &lt;= End_of_Year_Month, YEAR(L713),
    TRUE, YEAR(L713) + 1
)</f>
        <v/>
      </c>
      <c r="F713" s="1857">
        <f>IF(L713="",0,L713)</f>
        <v>0</v>
      </c>
      <c r="G713" s="1856">
        <f>-(N713-Q713)</f>
        <v>0</v>
      </c>
      <c r="I713" s="1815" t="b">
        <f>K713&lt;=Number_Payments</f>
        <v>0</v>
      </c>
      <c r="J713" s="1855"/>
      <c r="K713" s="1351">
        <f>K712+1</f>
        <v>587</v>
      </c>
      <c r="L713" s="1854" t="str" cm="1">
        <f t="array" ref="L713">_xlfn.IFS(
    I712=FALSE, "",
    Payment_Frequency="Monthly", EDATE(L712, 1),
    Payment_Frequency="Weekly", DATE(YEAR(L712), MONTH(L712), DAY(L712) + 7),
    Payment_Frequency="Fortnightly", DATE(YEAR(L712), MONTH(L712), DAY(L712) + 14),
    Payment_Frequency="Quarterly", DATE(YEAR(L712), MONTH(L712) + 3, DAY(L712)),
    Payment_Frequency="Yearly", DATE(YEAR(L712) + 1, MONTH(L712), DAY(L712)),
    TRUE, ""
)</f>
        <v/>
      </c>
      <c r="M713" s="1853">
        <f>IF(ISERROR(L713-L712),0,L713-L712)</f>
        <v>0</v>
      </c>
      <c r="N713" s="1851" cm="1">
        <f t="array" ref="N713">_xlfn.IFS(
    AND(I713=TRUE, K713&lt;=No_Regular_Payments), Repay_Amt,
    AND(I713=TRUE, K713=No_Regular_Payments+1), Tm_Balloon_Amt,
   TRUE, 0
)</f>
        <v>0</v>
      </c>
      <c r="O713" s="1850" cm="1">
        <f t="array" ref="O713">_xlfn.IFS(
    M713=0,0,
   ABS(N713 - S712 - P713-Q713) &lt; 1, N713 - S712-Q713,
    TRUE, P713
)</f>
        <v>0</v>
      </c>
      <c r="P713" s="1852">
        <f>IF(M713=0,0,ROUND(S712*EXP(Int_Rate/365.25 * M713)-S712,2))</f>
        <v>0</v>
      </c>
      <c r="Q713" s="1851" cm="1">
        <f t="array" ref="Q713">_xlfn.IFS(
    AND(I713=TRUE, K713&lt;=No_Regular_Payments), Periodic_Admin_Charge,
   TRUE, 0
)</f>
        <v>0</v>
      </c>
      <c r="R713" s="1850">
        <f>N713-O713-Q713</f>
        <v>0</v>
      </c>
      <c r="S713" s="1850">
        <f>ROUND(S712-R713,2)</f>
        <v>0</v>
      </c>
      <c r="T713" s="1850">
        <f>ROUND(T712-(N713-Q713),2)</f>
        <v>0</v>
      </c>
      <c r="U713" s="1849"/>
      <c r="W713" s="1848"/>
      <c r="X713" s="1848"/>
      <c r="Y713" s="1848"/>
    </row>
    <row r="714" spans="2:25" hidden="1">
      <c r="B714" s="1815" t="b">
        <f>AND(I714=FALSE,N713=0,Q713=0,L713="")</f>
        <v>1</v>
      </c>
      <c r="C714" s="1844" t="str" cm="1">
        <f t="array" ref="C714">_xlfn.IFS(
    L714="", "",
    MONTH(L714) &lt;= End_of_Year_Month, YEAR(L714),
    TRUE, YEAR(L714) + 1
)</f>
        <v/>
      </c>
      <c r="F714" s="1857">
        <f>IF(L714="",0,L714)</f>
        <v>0</v>
      </c>
      <c r="G714" s="1856">
        <f>-(N714-Q714)</f>
        <v>0</v>
      </c>
      <c r="I714" s="1815" t="b">
        <f>K714&lt;=Number_Payments</f>
        <v>0</v>
      </c>
      <c r="J714" s="1855"/>
      <c r="K714" s="1351">
        <f>K713+1</f>
        <v>588</v>
      </c>
      <c r="L714" s="1854" t="str" cm="1">
        <f t="array" ref="L714">_xlfn.IFS(
    I713=FALSE, "",
    Payment_Frequency="Monthly", EDATE(L713, 1),
    Payment_Frequency="Weekly", DATE(YEAR(L713), MONTH(L713), DAY(L713) + 7),
    Payment_Frequency="Fortnightly", DATE(YEAR(L713), MONTH(L713), DAY(L713) + 14),
    Payment_Frequency="Quarterly", DATE(YEAR(L713), MONTH(L713) + 3, DAY(L713)),
    Payment_Frequency="Yearly", DATE(YEAR(L713) + 1, MONTH(L713), DAY(L713)),
    TRUE, ""
)</f>
        <v/>
      </c>
      <c r="M714" s="1853">
        <f>IF(ISERROR(L714-L713),0,L714-L713)</f>
        <v>0</v>
      </c>
      <c r="N714" s="1851" cm="1">
        <f t="array" ref="N714">_xlfn.IFS(
    AND(I714=TRUE, K714&lt;=No_Regular_Payments), Repay_Amt,
    AND(I714=TRUE, K714=No_Regular_Payments+1), Tm_Balloon_Amt,
   TRUE, 0
)</f>
        <v>0</v>
      </c>
      <c r="O714" s="1850" cm="1">
        <f t="array" ref="O714">_xlfn.IFS(
    M714=0,0,
   ABS(N714 - S713 - P714-Q714) &lt; 1, N714 - S713-Q714,
    TRUE, P714
)</f>
        <v>0</v>
      </c>
      <c r="P714" s="1852">
        <f>IF(M714=0,0,ROUND(S713*EXP(Int_Rate/365.25 * M714)-S713,2))</f>
        <v>0</v>
      </c>
      <c r="Q714" s="1851" cm="1">
        <f t="array" ref="Q714">_xlfn.IFS(
    AND(I714=TRUE, K714&lt;=No_Regular_Payments), Periodic_Admin_Charge,
   TRUE, 0
)</f>
        <v>0</v>
      </c>
      <c r="R714" s="1850">
        <f>N714-O714-Q714</f>
        <v>0</v>
      </c>
      <c r="S714" s="1850">
        <f>ROUND(S713-R714,2)</f>
        <v>0</v>
      </c>
      <c r="T714" s="1850">
        <f>ROUND(T713-(N714-Q714),2)</f>
        <v>0</v>
      </c>
      <c r="U714" s="1849"/>
      <c r="W714" s="1848"/>
      <c r="X714" s="1848"/>
      <c r="Y714" s="1848"/>
    </row>
    <row r="715" spans="2:25" hidden="1">
      <c r="B715" s="1815" t="b">
        <f>AND(I715=FALSE,N714=0,Q714=0,L714="")</f>
        <v>1</v>
      </c>
      <c r="C715" s="1844" t="str" cm="1">
        <f t="array" ref="C715">_xlfn.IFS(
    L715="", "",
    MONTH(L715) &lt;= End_of_Year_Month, YEAR(L715),
    TRUE, YEAR(L715) + 1
)</f>
        <v/>
      </c>
      <c r="F715" s="1857">
        <f>IF(L715="",0,L715)</f>
        <v>0</v>
      </c>
      <c r="G715" s="1856">
        <f>-(N715-Q715)</f>
        <v>0</v>
      </c>
      <c r="I715" s="1815" t="b">
        <f>K715&lt;=Number_Payments</f>
        <v>0</v>
      </c>
      <c r="J715" s="1855"/>
      <c r="K715" s="1351">
        <f>K714+1</f>
        <v>589</v>
      </c>
      <c r="L715" s="1854" t="str" cm="1">
        <f t="array" ref="L715">_xlfn.IFS(
    I714=FALSE, "",
    Payment_Frequency="Monthly", EDATE(L714, 1),
    Payment_Frequency="Weekly", DATE(YEAR(L714), MONTH(L714), DAY(L714) + 7),
    Payment_Frequency="Fortnightly", DATE(YEAR(L714), MONTH(L714), DAY(L714) + 14),
    Payment_Frequency="Quarterly", DATE(YEAR(L714), MONTH(L714) + 3, DAY(L714)),
    Payment_Frequency="Yearly", DATE(YEAR(L714) + 1, MONTH(L714), DAY(L714)),
    TRUE, ""
)</f>
        <v/>
      </c>
      <c r="M715" s="1853">
        <f>IF(ISERROR(L715-L714),0,L715-L714)</f>
        <v>0</v>
      </c>
      <c r="N715" s="1851" cm="1">
        <f t="array" ref="N715">_xlfn.IFS(
    AND(I715=TRUE, K715&lt;=No_Regular_Payments), Repay_Amt,
    AND(I715=TRUE, K715=No_Regular_Payments+1), Tm_Balloon_Amt,
   TRUE, 0
)</f>
        <v>0</v>
      </c>
      <c r="O715" s="1850" cm="1">
        <f t="array" ref="O715">_xlfn.IFS(
    M715=0,0,
   ABS(N715 - S714 - P715-Q715) &lt; 1, N715 - S714-Q715,
    TRUE, P715
)</f>
        <v>0</v>
      </c>
      <c r="P715" s="1852">
        <f>IF(M715=0,0,ROUND(S714*EXP(Int_Rate/365.25 * M715)-S714,2))</f>
        <v>0</v>
      </c>
      <c r="Q715" s="1851" cm="1">
        <f t="array" ref="Q715">_xlfn.IFS(
    AND(I715=TRUE, K715&lt;=No_Regular_Payments), Periodic_Admin_Charge,
   TRUE, 0
)</f>
        <v>0</v>
      </c>
      <c r="R715" s="1850">
        <f>N715-O715-Q715</f>
        <v>0</v>
      </c>
      <c r="S715" s="1850">
        <f>ROUND(S714-R715,2)</f>
        <v>0</v>
      </c>
      <c r="T715" s="1850">
        <f>ROUND(T714-(N715-Q715),2)</f>
        <v>0</v>
      </c>
      <c r="U715" s="1849"/>
      <c r="W715" s="1848"/>
      <c r="X715" s="1848"/>
      <c r="Y715" s="1848"/>
    </row>
    <row r="716" spans="2:25" hidden="1">
      <c r="B716" s="1815" t="b">
        <f>AND(I716=FALSE,N715=0,Q715=0,L715="")</f>
        <v>1</v>
      </c>
      <c r="C716" s="1844" t="str" cm="1">
        <f t="array" ref="C716">_xlfn.IFS(
    L716="", "",
    MONTH(L716) &lt;= End_of_Year_Month, YEAR(L716),
    TRUE, YEAR(L716) + 1
)</f>
        <v/>
      </c>
      <c r="F716" s="1857">
        <f>IF(L716="",0,L716)</f>
        <v>0</v>
      </c>
      <c r="G716" s="1856">
        <f>-(N716-Q716)</f>
        <v>0</v>
      </c>
      <c r="I716" s="1815" t="b">
        <f>K716&lt;=Number_Payments</f>
        <v>0</v>
      </c>
      <c r="J716" s="1855"/>
      <c r="K716" s="1351">
        <f>K715+1</f>
        <v>590</v>
      </c>
      <c r="L716" s="1854" t="str" cm="1">
        <f t="array" ref="L716">_xlfn.IFS(
    I715=FALSE, "",
    Payment_Frequency="Monthly", EDATE(L715, 1),
    Payment_Frequency="Weekly", DATE(YEAR(L715), MONTH(L715), DAY(L715) + 7),
    Payment_Frequency="Fortnightly", DATE(YEAR(L715), MONTH(L715), DAY(L715) + 14),
    Payment_Frequency="Quarterly", DATE(YEAR(L715), MONTH(L715) + 3, DAY(L715)),
    Payment_Frequency="Yearly", DATE(YEAR(L715) + 1, MONTH(L715), DAY(L715)),
    TRUE, ""
)</f>
        <v/>
      </c>
      <c r="M716" s="1853">
        <f>IF(ISERROR(L716-L715),0,L716-L715)</f>
        <v>0</v>
      </c>
      <c r="N716" s="1851" cm="1">
        <f t="array" ref="N716">_xlfn.IFS(
    AND(I716=TRUE, K716&lt;=No_Regular_Payments), Repay_Amt,
    AND(I716=TRUE, K716=No_Regular_Payments+1), Tm_Balloon_Amt,
   TRUE, 0
)</f>
        <v>0</v>
      </c>
      <c r="O716" s="1850" cm="1">
        <f t="array" ref="O716">_xlfn.IFS(
    M716=0,0,
   ABS(N716 - S715 - P716-Q716) &lt; 1, N716 - S715-Q716,
    TRUE, P716
)</f>
        <v>0</v>
      </c>
      <c r="P716" s="1852">
        <f>IF(M716=0,0,ROUND(S715*EXP(Int_Rate/365.25 * M716)-S715,2))</f>
        <v>0</v>
      </c>
      <c r="Q716" s="1851" cm="1">
        <f t="array" ref="Q716">_xlfn.IFS(
    AND(I716=TRUE, K716&lt;=No_Regular_Payments), Periodic_Admin_Charge,
   TRUE, 0
)</f>
        <v>0</v>
      </c>
      <c r="R716" s="1850">
        <f>N716-O716-Q716</f>
        <v>0</v>
      </c>
      <c r="S716" s="1850">
        <f>ROUND(S715-R716,2)</f>
        <v>0</v>
      </c>
      <c r="T716" s="1850">
        <f>ROUND(T715-(N716-Q716),2)</f>
        <v>0</v>
      </c>
      <c r="U716" s="1849"/>
      <c r="W716" s="1848"/>
      <c r="X716" s="1848"/>
      <c r="Y716" s="1848"/>
    </row>
    <row r="717" spans="2:25" hidden="1">
      <c r="B717" s="1815" t="b">
        <f>AND(I717=FALSE,N716=0,Q716=0,L716="")</f>
        <v>1</v>
      </c>
      <c r="C717" s="1844" t="str" cm="1">
        <f t="array" ref="C717">_xlfn.IFS(
    L717="", "",
    MONTH(L717) &lt;= End_of_Year_Month, YEAR(L717),
    TRUE, YEAR(L717) + 1
)</f>
        <v/>
      </c>
      <c r="F717" s="1857">
        <f>IF(L717="",0,L717)</f>
        <v>0</v>
      </c>
      <c r="G717" s="1856">
        <f>-(N717-Q717)</f>
        <v>0</v>
      </c>
      <c r="I717" s="1815" t="b">
        <f>K717&lt;=Number_Payments</f>
        <v>0</v>
      </c>
      <c r="J717" s="1855"/>
      <c r="K717" s="1351">
        <f>K716+1</f>
        <v>591</v>
      </c>
      <c r="L717" s="1854" t="str" cm="1">
        <f t="array" ref="L717">_xlfn.IFS(
    I716=FALSE, "",
    Payment_Frequency="Monthly", EDATE(L716, 1),
    Payment_Frequency="Weekly", DATE(YEAR(L716), MONTH(L716), DAY(L716) + 7),
    Payment_Frequency="Fortnightly", DATE(YEAR(L716), MONTH(L716), DAY(L716) + 14),
    Payment_Frequency="Quarterly", DATE(YEAR(L716), MONTH(L716) + 3, DAY(L716)),
    Payment_Frequency="Yearly", DATE(YEAR(L716) + 1, MONTH(L716), DAY(L716)),
    TRUE, ""
)</f>
        <v/>
      </c>
      <c r="M717" s="1853">
        <f>IF(ISERROR(L717-L716),0,L717-L716)</f>
        <v>0</v>
      </c>
      <c r="N717" s="1851" cm="1">
        <f t="array" ref="N717">_xlfn.IFS(
    AND(I717=TRUE, K717&lt;=No_Regular_Payments), Repay_Amt,
    AND(I717=TRUE, K717=No_Regular_Payments+1), Tm_Balloon_Amt,
   TRUE, 0
)</f>
        <v>0</v>
      </c>
      <c r="O717" s="1850" cm="1">
        <f t="array" ref="O717">_xlfn.IFS(
    M717=0,0,
   ABS(N717 - S716 - P717-Q717) &lt; 1, N717 - S716-Q717,
    TRUE, P717
)</f>
        <v>0</v>
      </c>
      <c r="P717" s="1852">
        <f>IF(M717=0,0,ROUND(S716*EXP(Int_Rate/365.25 * M717)-S716,2))</f>
        <v>0</v>
      </c>
      <c r="Q717" s="1851" cm="1">
        <f t="array" ref="Q717">_xlfn.IFS(
    AND(I717=TRUE, K717&lt;=No_Regular_Payments), Periodic_Admin_Charge,
   TRUE, 0
)</f>
        <v>0</v>
      </c>
      <c r="R717" s="1850">
        <f>N717-O717-Q717</f>
        <v>0</v>
      </c>
      <c r="S717" s="1850">
        <f>ROUND(S716-R717,2)</f>
        <v>0</v>
      </c>
      <c r="T717" s="1850">
        <f>ROUND(T716-(N717-Q717),2)</f>
        <v>0</v>
      </c>
      <c r="U717" s="1849"/>
      <c r="W717" s="1848"/>
      <c r="X717" s="1848"/>
      <c r="Y717" s="1848"/>
    </row>
    <row r="718" spans="2:25" hidden="1">
      <c r="B718" s="1815" t="b">
        <f>AND(I718=FALSE,N717=0,Q717=0,L717="")</f>
        <v>1</v>
      </c>
      <c r="C718" s="1844" t="str" cm="1">
        <f t="array" ref="C718">_xlfn.IFS(
    L718="", "",
    MONTH(L718) &lt;= End_of_Year_Month, YEAR(L718),
    TRUE, YEAR(L718) + 1
)</f>
        <v/>
      </c>
      <c r="F718" s="1857">
        <f>IF(L718="",0,L718)</f>
        <v>0</v>
      </c>
      <c r="G718" s="1856">
        <f>-(N718-Q718)</f>
        <v>0</v>
      </c>
      <c r="I718" s="1815" t="b">
        <f>K718&lt;=Number_Payments</f>
        <v>0</v>
      </c>
      <c r="J718" s="1855"/>
      <c r="K718" s="1351">
        <f>K717+1</f>
        <v>592</v>
      </c>
      <c r="L718" s="1854" t="str" cm="1">
        <f t="array" ref="L718">_xlfn.IFS(
    I717=FALSE, "",
    Payment_Frequency="Monthly", EDATE(L717, 1),
    Payment_Frequency="Weekly", DATE(YEAR(L717), MONTH(L717), DAY(L717) + 7),
    Payment_Frequency="Fortnightly", DATE(YEAR(L717), MONTH(L717), DAY(L717) + 14),
    Payment_Frequency="Quarterly", DATE(YEAR(L717), MONTH(L717) + 3, DAY(L717)),
    Payment_Frequency="Yearly", DATE(YEAR(L717) + 1, MONTH(L717), DAY(L717)),
    TRUE, ""
)</f>
        <v/>
      </c>
      <c r="M718" s="1853">
        <f>IF(ISERROR(L718-L717),0,L718-L717)</f>
        <v>0</v>
      </c>
      <c r="N718" s="1851" cm="1">
        <f t="array" ref="N718">_xlfn.IFS(
    AND(I718=TRUE, K718&lt;=No_Regular_Payments), Repay_Amt,
    AND(I718=TRUE, K718=No_Regular_Payments+1), Tm_Balloon_Amt,
   TRUE, 0
)</f>
        <v>0</v>
      </c>
      <c r="O718" s="1850" cm="1">
        <f t="array" ref="O718">_xlfn.IFS(
    M718=0,0,
   ABS(N718 - S717 - P718-Q718) &lt; 1, N718 - S717-Q718,
    TRUE, P718
)</f>
        <v>0</v>
      </c>
      <c r="P718" s="1852">
        <f>IF(M718=0,0,ROUND(S717*EXP(Int_Rate/365.25 * M718)-S717,2))</f>
        <v>0</v>
      </c>
      <c r="Q718" s="1851" cm="1">
        <f t="array" ref="Q718">_xlfn.IFS(
    AND(I718=TRUE, K718&lt;=No_Regular_Payments), Periodic_Admin_Charge,
   TRUE, 0
)</f>
        <v>0</v>
      </c>
      <c r="R718" s="1850">
        <f>N718-O718-Q718</f>
        <v>0</v>
      </c>
      <c r="S718" s="1850">
        <f>ROUND(S717-R718,2)</f>
        <v>0</v>
      </c>
      <c r="T718" s="1850">
        <f>ROUND(T717-(N718-Q718),2)</f>
        <v>0</v>
      </c>
      <c r="U718" s="1849"/>
      <c r="W718" s="1848"/>
      <c r="X718" s="1848"/>
      <c r="Y718" s="1848"/>
    </row>
    <row r="719" spans="2:25" hidden="1">
      <c r="B719" s="1815" t="b">
        <f>AND(I719=FALSE,N718=0,Q718=0,L718="")</f>
        <v>1</v>
      </c>
      <c r="C719" s="1844" t="str" cm="1">
        <f t="array" ref="C719">_xlfn.IFS(
    L719="", "",
    MONTH(L719) &lt;= End_of_Year_Month, YEAR(L719),
    TRUE, YEAR(L719) + 1
)</f>
        <v/>
      </c>
      <c r="F719" s="1857">
        <f>IF(L719="",0,L719)</f>
        <v>0</v>
      </c>
      <c r="G719" s="1856">
        <f>-(N719-Q719)</f>
        <v>0</v>
      </c>
      <c r="I719" s="1815" t="b">
        <f>K719&lt;=Number_Payments</f>
        <v>0</v>
      </c>
      <c r="J719" s="1855"/>
      <c r="K719" s="1351">
        <f>K718+1</f>
        <v>593</v>
      </c>
      <c r="L719" s="1854" t="str" cm="1">
        <f t="array" ref="L719">_xlfn.IFS(
    I718=FALSE, "",
    Payment_Frequency="Monthly", EDATE(L718, 1),
    Payment_Frequency="Weekly", DATE(YEAR(L718), MONTH(L718), DAY(L718) + 7),
    Payment_Frequency="Fortnightly", DATE(YEAR(L718), MONTH(L718), DAY(L718) + 14),
    Payment_Frequency="Quarterly", DATE(YEAR(L718), MONTH(L718) + 3, DAY(L718)),
    Payment_Frequency="Yearly", DATE(YEAR(L718) + 1, MONTH(L718), DAY(L718)),
    TRUE, ""
)</f>
        <v/>
      </c>
      <c r="M719" s="1853">
        <f>IF(ISERROR(L719-L718),0,L719-L718)</f>
        <v>0</v>
      </c>
      <c r="N719" s="1851" cm="1">
        <f t="array" ref="N719">_xlfn.IFS(
    AND(I719=TRUE, K719&lt;=No_Regular_Payments), Repay_Amt,
    AND(I719=TRUE, K719=No_Regular_Payments+1), Tm_Balloon_Amt,
   TRUE, 0
)</f>
        <v>0</v>
      </c>
      <c r="O719" s="1850" cm="1">
        <f t="array" ref="O719">_xlfn.IFS(
    M719=0,0,
   ABS(N719 - S718 - P719-Q719) &lt; 1, N719 - S718-Q719,
    TRUE, P719
)</f>
        <v>0</v>
      </c>
      <c r="P719" s="1852">
        <f>IF(M719=0,0,ROUND(S718*EXP(Int_Rate/365.25 * M719)-S718,2))</f>
        <v>0</v>
      </c>
      <c r="Q719" s="1851" cm="1">
        <f t="array" ref="Q719">_xlfn.IFS(
    AND(I719=TRUE, K719&lt;=No_Regular_Payments), Periodic_Admin_Charge,
   TRUE, 0
)</f>
        <v>0</v>
      </c>
      <c r="R719" s="1850">
        <f>N719-O719-Q719</f>
        <v>0</v>
      </c>
      <c r="S719" s="1850">
        <f>ROUND(S718-R719,2)</f>
        <v>0</v>
      </c>
      <c r="T719" s="1850">
        <f>ROUND(T718-(N719-Q719),2)</f>
        <v>0</v>
      </c>
      <c r="U719" s="1849"/>
      <c r="W719" s="1848"/>
      <c r="X719" s="1848"/>
      <c r="Y719" s="1848"/>
    </row>
    <row r="720" spans="2:25" hidden="1">
      <c r="B720" s="1815" t="b">
        <f>AND(I720=FALSE,N719=0,Q719=0,L719="")</f>
        <v>1</v>
      </c>
      <c r="C720" s="1844" t="str" cm="1">
        <f t="array" ref="C720">_xlfn.IFS(
    L720="", "",
    MONTH(L720) &lt;= End_of_Year_Month, YEAR(L720),
    TRUE, YEAR(L720) + 1
)</f>
        <v/>
      </c>
      <c r="F720" s="1857">
        <f>IF(L720="",0,L720)</f>
        <v>0</v>
      </c>
      <c r="G720" s="1856">
        <f>-(N720-Q720)</f>
        <v>0</v>
      </c>
      <c r="I720" s="1815" t="b">
        <f>K720&lt;=Number_Payments</f>
        <v>0</v>
      </c>
      <c r="J720" s="1855"/>
      <c r="K720" s="1351">
        <f>K719+1</f>
        <v>594</v>
      </c>
      <c r="L720" s="1854" t="str" cm="1">
        <f t="array" ref="L720">_xlfn.IFS(
    I719=FALSE, "",
    Payment_Frequency="Monthly", EDATE(L719, 1),
    Payment_Frequency="Weekly", DATE(YEAR(L719), MONTH(L719), DAY(L719) + 7),
    Payment_Frequency="Fortnightly", DATE(YEAR(L719), MONTH(L719), DAY(L719) + 14),
    Payment_Frequency="Quarterly", DATE(YEAR(L719), MONTH(L719) + 3, DAY(L719)),
    Payment_Frequency="Yearly", DATE(YEAR(L719) + 1, MONTH(L719), DAY(L719)),
    TRUE, ""
)</f>
        <v/>
      </c>
      <c r="M720" s="1853">
        <f>IF(ISERROR(L720-L719),0,L720-L719)</f>
        <v>0</v>
      </c>
      <c r="N720" s="1851" cm="1">
        <f t="array" ref="N720">_xlfn.IFS(
    AND(I720=TRUE, K720&lt;=No_Regular_Payments), Repay_Amt,
    AND(I720=TRUE, K720=No_Regular_Payments+1), Tm_Balloon_Amt,
   TRUE, 0
)</f>
        <v>0</v>
      </c>
      <c r="O720" s="1850" cm="1">
        <f t="array" ref="O720">_xlfn.IFS(
    M720=0,0,
   ABS(N720 - S719 - P720-Q720) &lt; 1, N720 - S719-Q720,
    TRUE, P720
)</f>
        <v>0</v>
      </c>
      <c r="P720" s="1852">
        <f>IF(M720=0,0,ROUND(S719*EXP(Int_Rate/365.25 * M720)-S719,2))</f>
        <v>0</v>
      </c>
      <c r="Q720" s="1851" cm="1">
        <f t="array" ref="Q720">_xlfn.IFS(
    AND(I720=TRUE, K720&lt;=No_Regular_Payments), Periodic_Admin_Charge,
   TRUE, 0
)</f>
        <v>0</v>
      </c>
      <c r="R720" s="1850">
        <f>N720-O720-Q720</f>
        <v>0</v>
      </c>
      <c r="S720" s="1850">
        <f>ROUND(S719-R720,2)</f>
        <v>0</v>
      </c>
      <c r="T720" s="1850">
        <f>ROUND(T719-(N720-Q720),2)</f>
        <v>0</v>
      </c>
      <c r="U720" s="1849"/>
      <c r="W720" s="1848"/>
      <c r="X720" s="1848"/>
      <c r="Y720" s="1848"/>
    </row>
    <row r="721" spans="2:25" hidden="1">
      <c r="B721" s="1815" t="b">
        <f>AND(I721=FALSE,N720=0,Q720=0,L720="")</f>
        <v>1</v>
      </c>
      <c r="C721" s="1844" t="str" cm="1">
        <f t="array" ref="C721">_xlfn.IFS(
    L721="", "",
    MONTH(L721) &lt;= End_of_Year_Month, YEAR(L721),
    TRUE, YEAR(L721) + 1
)</f>
        <v/>
      </c>
      <c r="F721" s="1857">
        <f>IF(L721="",0,L721)</f>
        <v>0</v>
      </c>
      <c r="G721" s="1856">
        <f>-(N721-Q721)</f>
        <v>0</v>
      </c>
      <c r="I721" s="1815" t="b">
        <f>K721&lt;=Number_Payments</f>
        <v>0</v>
      </c>
      <c r="J721" s="1855"/>
      <c r="K721" s="1351">
        <f>K720+1</f>
        <v>595</v>
      </c>
      <c r="L721" s="1854" t="str" cm="1">
        <f t="array" ref="L721">_xlfn.IFS(
    I720=FALSE, "",
    Payment_Frequency="Monthly", EDATE(L720, 1),
    Payment_Frequency="Weekly", DATE(YEAR(L720), MONTH(L720), DAY(L720) + 7),
    Payment_Frequency="Fortnightly", DATE(YEAR(L720), MONTH(L720), DAY(L720) + 14),
    Payment_Frequency="Quarterly", DATE(YEAR(L720), MONTH(L720) + 3, DAY(L720)),
    Payment_Frequency="Yearly", DATE(YEAR(L720) + 1, MONTH(L720), DAY(L720)),
    TRUE, ""
)</f>
        <v/>
      </c>
      <c r="M721" s="1853">
        <f>IF(ISERROR(L721-L720),0,L721-L720)</f>
        <v>0</v>
      </c>
      <c r="N721" s="1851" cm="1">
        <f t="array" ref="N721">_xlfn.IFS(
    AND(I721=TRUE, K721&lt;=No_Regular_Payments), Repay_Amt,
    AND(I721=TRUE, K721=No_Regular_Payments+1), Tm_Balloon_Amt,
   TRUE, 0
)</f>
        <v>0</v>
      </c>
      <c r="O721" s="1850" cm="1">
        <f t="array" ref="O721">_xlfn.IFS(
    M721=0,0,
   ABS(N721 - S720 - P721-Q721) &lt; 1, N721 - S720-Q721,
    TRUE, P721
)</f>
        <v>0</v>
      </c>
      <c r="P721" s="1852">
        <f>IF(M721=0,0,ROUND(S720*EXP(Int_Rate/365.25 * M721)-S720,2))</f>
        <v>0</v>
      </c>
      <c r="Q721" s="1851" cm="1">
        <f t="array" ref="Q721">_xlfn.IFS(
    AND(I721=TRUE, K721&lt;=No_Regular_Payments), Periodic_Admin_Charge,
   TRUE, 0
)</f>
        <v>0</v>
      </c>
      <c r="R721" s="1850">
        <f>N721-O721-Q721</f>
        <v>0</v>
      </c>
      <c r="S721" s="1850">
        <f>ROUND(S720-R721,2)</f>
        <v>0</v>
      </c>
      <c r="T721" s="1850">
        <f>ROUND(T720-(N721-Q721),2)</f>
        <v>0</v>
      </c>
      <c r="U721" s="1849"/>
      <c r="W721" s="1848"/>
      <c r="X721" s="1848"/>
      <c r="Y721" s="1848"/>
    </row>
    <row r="722" spans="2:25" hidden="1">
      <c r="B722" s="1815" t="b">
        <f>AND(I722=FALSE,N721=0,Q721=0,L721="")</f>
        <v>1</v>
      </c>
      <c r="C722" s="1844" t="str" cm="1">
        <f t="array" ref="C722">_xlfn.IFS(
    L722="", "",
    MONTH(L722) &lt;= End_of_Year_Month, YEAR(L722),
    TRUE, YEAR(L722) + 1
)</f>
        <v/>
      </c>
      <c r="F722" s="1857">
        <f>IF(L722="",0,L722)</f>
        <v>0</v>
      </c>
      <c r="G722" s="1856">
        <f>-(N722-Q722)</f>
        <v>0</v>
      </c>
      <c r="I722" s="1815" t="b">
        <f>K722&lt;=Number_Payments</f>
        <v>0</v>
      </c>
      <c r="J722" s="1855"/>
      <c r="K722" s="1351">
        <f>K721+1</f>
        <v>596</v>
      </c>
      <c r="L722" s="1854" t="str" cm="1">
        <f t="array" ref="L722">_xlfn.IFS(
    I721=FALSE, "",
    Payment_Frequency="Monthly", EDATE(L721, 1),
    Payment_Frequency="Weekly", DATE(YEAR(L721), MONTH(L721), DAY(L721) + 7),
    Payment_Frequency="Fortnightly", DATE(YEAR(L721), MONTH(L721), DAY(L721) + 14),
    Payment_Frequency="Quarterly", DATE(YEAR(L721), MONTH(L721) + 3, DAY(L721)),
    Payment_Frequency="Yearly", DATE(YEAR(L721) + 1, MONTH(L721), DAY(L721)),
    TRUE, ""
)</f>
        <v/>
      </c>
      <c r="M722" s="1853">
        <f>IF(ISERROR(L722-L721),0,L722-L721)</f>
        <v>0</v>
      </c>
      <c r="N722" s="1851" cm="1">
        <f t="array" ref="N722">_xlfn.IFS(
    AND(I722=TRUE, K722&lt;=No_Regular_Payments), Repay_Amt,
    AND(I722=TRUE, K722=No_Regular_Payments+1), Tm_Balloon_Amt,
   TRUE, 0
)</f>
        <v>0</v>
      </c>
      <c r="O722" s="1850" cm="1">
        <f t="array" ref="O722">_xlfn.IFS(
    M722=0,0,
   ABS(N722 - S721 - P722-Q722) &lt; 1, N722 - S721-Q722,
    TRUE, P722
)</f>
        <v>0</v>
      </c>
      <c r="P722" s="1852">
        <f>IF(M722=0,0,ROUND(S721*EXP(Int_Rate/365.25 * M722)-S721,2))</f>
        <v>0</v>
      </c>
      <c r="Q722" s="1851" cm="1">
        <f t="array" ref="Q722">_xlfn.IFS(
    AND(I722=TRUE, K722&lt;=No_Regular_Payments), Periodic_Admin_Charge,
   TRUE, 0
)</f>
        <v>0</v>
      </c>
      <c r="R722" s="1850">
        <f>N722-O722-Q722</f>
        <v>0</v>
      </c>
      <c r="S722" s="1850">
        <f>ROUND(S721-R722,2)</f>
        <v>0</v>
      </c>
      <c r="T722" s="1850">
        <f>ROUND(T721-(N722-Q722),2)</f>
        <v>0</v>
      </c>
      <c r="U722" s="1849"/>
      <c r="W722" s="1848"/>
      <c r="X722" s="1848"/>
      <c r="Y722" s="1848"/>
    </row>
    <row r="723" spans="2:25" hidden="1">
      <c r="B723" s="1815" t="b">
        <f>AND(I723=FALSE,N722=0,Q722=0,L722="")</f>
        <v>1</v>
      </c>
      <c r="C723" s="1844" t="str" cm="1">
        <f t="array" ref="C723">_xlfn.IFS(
    L723="", "",
    MONTH(L723) &lt;= End_of_Year_Month, YEAR(L723),
    TRUE, YEAR(L723) + 1
)</f>
        <v/>
      </c>
      <c r="F723" s="1857">
        <f>IF(L723="",0,L723)</f>
        <v>0</v>
      </c>
      <c r="G723" s="1856">
        <f>-(N723-Q723)</f>
        <v>0</v>
      </c>
      <c r="I723" s="1815" t="b">
        <f>K723&lt;=Number_Payments</f>
        <v>0</v>
      </c>
      <c r="J723" s="1855"/>
      <c r="K723" s="1351">
        <f>K722+1</f>
        <v>597</v>
      </c>
      <c r="L723" s="1854" t="str" cm="1">
        <f t="array" ref="L723">_xlfn.IFS(
    I722=FALSE, "",
    Payment_Frequency="Monthly", EDATE(L722, 1),
    Payment_Frequency="Weekly", DATE(YEAR(L722), MONTH(L722), DAY(L722) + 7),
    Payment_Frequency="Fortnightly", DATE(YEAR(L722), MONTH(L722), DAY(L722) + 14),
    Payment_Frequency="Quarterly", DATE(YEAR(L722), MONTH(L722) + 3, DAY(L722)),
    Payment_Frequency="Yearly", DATE(YEAR(L722) + 1, MONTH(L722), DAY(L722)),
    TRUE, ""
)</f>
        <v/>
      </c>
      <c r="M723" s="1853">
        <f>IF(ISERROR(L723-L722),0,L723-L722)</f>
        <v>0</v>
      </c>
      <c r="N723" s="1851" cm="1">
        <f t="array" ref="N723">_xlfn.IFS(
    AND(I723=TRUE, K723&lt;=No_Regular_Payments), Repay_Amt,
    AND(I723=TRUE, K723=No_Regular_Payments+1), Tm_Balloon_Amt,
   TRUE, 0
)</f>
        <v>0</v>
      </c>
      <c r="O723" s="1850" cm="1">
        <f t="array" ref="O723">_xlfn.IFS(
    M723=0,0,
   ABS(N723 - S722 - P723-Q723) &lt; 1, N723 - S722-Q723,
    TRUE, P723
)</f>
        <v>0</v>
      </c>
      <c r="P723" s="1852">
        <f>IF(M723=0,0,ROUND(S722*EXP(Int_Rate/365.25 * M723)-S722,2))</f>
        <v>0</v>
      </c>
      <c r="Q723" s="1851" cm="1">
        <f t="array" ref="Q723">_xlfn.IFS(
    AND(I723=TRUE, K723&lt;=No_Regular_Payments), Periodic_Admin_Charge,
   TRUE, 0
)</f>
        <v>0</v>
      </c>
      <c r="R723" s="1850">
        <f>N723-O723-Q723</f>
        <v>0</v>
      </c>
      <c r="S723" s="1850">
        <f>ROUND(S722-R723,2)</f>
        <v>0</v>
      </c>
      <c r="T723" s="1850">
        <f>ROUND(T722-(N723-Q723),2)</f>
        <v>0</v>
      </c>
      <c r="U723" s="1849"/>
      <c r="W723" s="1848"/>
      <c r="X723" s="1848"/>
      <c r="Y723" s="1848"/>
    </row>
    <row r="724" spans="2:25" hidden="1">
      <c r="B724" s="1815" t="b">
        <f>AND(I724=FALSE,N723=0,Q723=0,L723="")</f>
        <v>1</v>
      </c>
      <c r="C724" s="1844" t="str" cm="1">
        <f t="array" ref="C724">_xlfn.IFS(
    L724="", "",
    MONTH(L724) &lt;= End_of_Year_Month, YEAR(L724),
    TRUE, YEAR(L724) + 1
)</f>
        <v/>
      </c>
      <c r="F724" s="1857">
        <f>IF(L724="",0,L724)</f>
        <v>0</v>
      </c>
      <c r="G724" s="1856">
        <f>-(N724-Q724)</f>
        <v>0</v>
      </c>
      <c r="I724" s="1815" t="b">
        <f>K724&lt;=Number_Payments</f>
        <v>0</v>
      </c>
      <c r="J724" s="1855"/>
      <c r="K724" s="1351">
        <f>K723+1</f>
        <v>598</v>
      </c>
      <c r="L724" s="1854" t="str" cm="1">
        <f t="array" ref="L724">_xlfn.IFS(
    I723=FALSE, "",
    Payment_Frequency="Monthly", EDATE(L723, 1),
    Payment_Frequency="Weekly", DATE(YEAR(L723), MONTH(L723), DAY(L723) + 7),
    Payment_Frequency="Fortnightly", DATE(YEAR(L723), MONTH(L723), DAY(L723) + 14),
    Payment_Frequency="Quarterly", DATE(YEAR(L723), MONTH(L723) + 3, DAY(L723)),
    Payment_Frequency="Yearly", DATE(YEAR(L723) + 1, MONTH(L723), DAY(L723)),
    TRUE, ""
)</f>
        <v/>
      </c>
      <c r="M724" s="1853">
        <f>IF(ISERROR(L724-L723),0,L724-L723)</f>
        <v>0</v>
      </c>
      <c r="N724" s="1851" cm="1">
        <f t="array" ref="N724">_xlfn.IFS(
    AND(I724=TRUE, K724&lt;=No_Regular_Payments), Repay_Amt,
    AND(I724=TRUE, K724=No_Regular_Payments+1), Tm_Balloon_Amt,
   TRUE, 0
)</f>
        <v>0</v>
      </c>
      <c r="O724" s="1850" cm="1">
        <f t="array" ref="O724">_xlfn.IFS(
    M724=0,0,
   ABS(N724 - S723 - P724-Q724) &lt; 1, N724 - S723-Q724,
    TRUE, P724
)</f>
        <v>0</v>
      </c>
      <c r="P724" s="1852">
        <f>IF(M724=0,0,ROUND(S723*EXP(Int_Rate/365.25 * M724)-S723,2))</f>
        <v>0</v>
      </c>
      <c r="Q724" s="1851" cm="1">
        <f t="array" ref="Q724">_xlfn.IFS(
    AND(I724=TRUE, K724&lt;=No_Regular_Payments), Periodic_Admin_Charge,
   TRUE, 0
)</f>
        <v>0</v>
      </c>
      <c r="R724" s="1850">
        <f>N724-O724-Q724</f>
        <v>0</v>
      </c>
      <c r="S724" s="1850">
        <f>ROUND(S723-R724,2)</f>
        <v>0</v>
      </c>
      <c r="T724" s="1850">
        <f>ROUND(T723-(N724-Q724),2)</f>
        <v>0</v>
      </c>
      <c r="U724" s="1849"/>
      <c r="W724" s="1848"/>
      <c r="X724" s="1848"/>
      <c r="Y724" s="1848"/>
    </row>
    <row r="725" spans="2:25" hidden="1">
      <c r="B725" s="1815" t="b">
        <f>AND(I725=FALSE,N724=0,Q724=0,L724="")</f>
        <v>1</v>
      </c>
      <c r="C725" s="1844" t="str" cm="1">
        <f t="array" ref="C725">_xlfn.IFS(
    L725="", "",
    MONTH(L725) &lt;= End_of_Year_Month, YEAR(L725),
    TRUE, YEAR(L725) + 1
)</f>
        <v/>
      </c>
      <c r="F725" s="1857">
        <f>IF(L725="",0,L725)</f>
        <v>0</v>
      </c>
      <c r="G725" s="1856">
        <f>-(N725-Q725)</f>
        <v>0</v>
      </c>
      <c r="I725" s="1815" t="b">
        <f>K725&lt;=Number_Payments</f>
        <v>0</v>
      </c>
      <c r="J725" s="1855"/>
      <c r="K725" s="1351">
        <f>K724+1</f>
        <v>599</v>
      </c>
      <c r="L725" s="1854" t="str" cm="1">
        <f t="array" ref="L725">_xlfn.IFS(
    I724=FALSE, "",
    Payment_Frequency="Monthly", EDATE(L724, 1),
    Payment_Frequency="Weekly", DATE(YEAR(L724), MONTH(L724), DAY(L724) + 7),
    Payment_Frequency="Fortnightly", DATE(YEAR(L724), MONTH(L724), DAY(L724) + 14),
    Payment_Frequency="Quarterly", DATE(YEAR(L724), MONTH(L724) + 3, DAY(L724)),
    Payment_Frequency="Yearly", DATE(YEAR(L724) + 1, MONTH(L724), DAY(L724)),
    TRUE, ""
)</f>
        <v/>
      </c>
      <c r="M725" s="1853">
        <f>IF(ISERROR(L725-L724),0,L725-L724)</f>
        <v>0</v>
      </c>
      <c r="N725" s="1851" cm="1">
        <f t="array" ref="N725">_xlfn.IFS(
    AND(I725=TRUE, K725&lt;=No_Regular_Payments), Repay_Amt,
    AND(I725=TRUE, K725=No_Regular_Payments+1), Tm_Balloon_Amt,
   TRUE, 0
)</f>
        <v>0</v>
      </c>
      <c r="O725" s="1850" cm="1">
        <f t="array" ref="O725">_xlfn.IFS(
    M725=0,0,
   ABS(N725 - S724 - P725-Q725) &lt; 1, N725 - S724-Q725,
    TRUE, P725
)</f>
        <v>0</v>
      </c>
      <c r="P725" s="1852">
        <f>IF(M725=0,0,ROUND(S724*EXP(Int_Rate/365.25 * M725)-S724,2))</f>
        <v>0</v>
      </c>
      <c r="Q725" s="1851" cm="1">
        <f t="array" ref="Q725">_xlfn.IFS(
    AND(I725=TRUE, K725&lt;=No_Regular_Payments), Periodic_Admin_Charge,
   TRUE, 0
)</f>
        <v>0</v>
      </c>
      <c r="R725" s="1850">
        <f>N725-O725-Q725</f>
        <v>0</v>
      </c>
      <c r="S725" s="1850">
        <f>ROUND(S724-R725,2)</f>
        <v>0</v>
      </c>
      <c r="T725" s="1850">
        <f>ROUND(T724-(N725-Q725),2)</f>
        <v>0</v>
      </c>
      <c r="U725" s="1849"/>
      <c r="W725" s="1848"/>
      <c r="X725" s="1848"/>
      <c r="Y725" s="1848"/>
    </row>
    <row r="726" spans="2:25" hidden="1">
      <c r="B726" s="1815" t="b">
        <f>AND(I726=FALSE,N725=0,Q725=0,L725="")</f>
        <v>1</v>
      </c>
      <c r="C726" s="1844" t="str" cm="1">
        <f t="array" ref="C726">_xlfn.IFS(
    L726="", "",
    MONTH(L726) &lt;= End_of_Year_Month, YEAR(L726),
    TRUE, YEAR(L726) + 1
)</f>
        <v/>
      </c>
      <c r="F726" s="1857">
        <f>IF(L726="",0,L726)</f>
        <v>0</v>
      </c>
      <c r="G726" s="1856">
        <f>-(N726-Q726)</f>
        <v>0</v>
      </c>
      <c r="I726" s="1815" t="b">
        <f>K726&lt;=Number_Payments</f>
        <v>0</v>
      </c>
      <c r="J726" s="1855"/>
      <c r="K726" s="1351">
        <f>K725+1</f>
        <v>600</v>
      </c>
      <c r="L726" s="1854" t="str" cm="1">
        <f t="array" ref="L726">_xlfn.IFS(
    I725=FALSE, "",
    Payment_Frequency="Monthly", EDATE(L725, 1),
    Payment_Frequency="Weekly", DATE(YEAR(L725), MONTH(L725), DAY(L725) + 7),
    Payment_Frequency="Fortnightly", DATE(YEAR(L725), MONTH(L725), DAY(L725) + 14),
    Payment_Frequency="Quarterly", DATE(YEAR(L725), MONTH(L725) + 3, DAY(L725)),
    Payment_Frequency="Yearly", DATE(YEAR(L725) + 1, MONTH(L725), DAY(L725)),
    TRUE, ""
)</f>
        <v/>
      </c>
      <c r="M726" s="1853">
        <f>IF(ISERROR(L726-L725),0,L726-L725)</f>
        <v>0</v>
      </c>
      <c r="N726" s="1851" cm="1">
        <f t="array" ref="N726">_xlfn.IFS(
    AND(I726=TRUE, K726&lt;=No_Regular_Payments), Repay_Amt,
    AND(I726=TRUE, K726=No_Regular_Payments+1), Tm_Balloon_Amt,
   TRUE, 0
)</f>
        <v>0</v>
      </c>
      <c r="O726" s="1850" cm="1">
        <f t="array" ref="O726">_xlfn.IFS(
    M726=0,0,
   ABS(N726 - S725 - P726-Q726) &lt; 1, N726 - S725-Q726,
    TRUE, P726
)</f>
        <v>0</v>
      </c>
      <c r="P726" s="1852">
        <f>IF(M726=0,0,ROUND(S725*EXP(Int_Rate/365.25 * M726)-S725,2))</f>
        <v>0</v>
      </c>
      <c r="Q726" s="1851" cm="1">
        <f t="array" ref="Q726">_xlfn.IFS(
    AND(I726=TRUE, K726&lt;=No_Regular_Payments), Periodic_Admin_Charge,
   TRUE, 0
)</f>
        <v>0</v>
      </c>
      <c r="R726" s="1850">
        <f>N726-O726-Q726</f>
        <v>0</v>
      </c>
      <c r="S726" s="1850">
        <f>ROUND(S725-R726,2)</f>
        <v>0</v>
      </c>
      <c r="T726" s="1850">
        <f>ROUND(T725-(N726-Q726),2)</f>
        <v>0</v>
      </c>
      <c r="U726" s="1849"/>
      <c r="W726" s="1848"/>
      <c r="X726" s="1848"/>
      <c r="Y726" s="1848"/>
    </row>
    <row r="727" spans="2:25" hidden="1">
      <c r="B727" s="1815" t="b">
        <f>AND(I727=FALSE,N726=0,Q726=0,L726="")</f>
        <v>1</v>
      </c>
      <c r="C727" s="1844" t="str" cm="1">
        <f t="array" ref="C727">_xlfn.IFS(
    L727="", "",
    MONTH(L727) &lt;= End_of_Year_Month, YEAR(L727),
    TRUE, YEAR(L727) + 1
)</f>
        <v/>
      </c>
      <c r="F727" s="1857">
        <f>IF(L727="",0,L727)</f>
        <v>0</v>
      </c>
      <c r="G727" s="1856">
        <f>-(N727-Q727)</f>
        <v>0</v>
      </c>
      <c r="I727" s="1815" t="b">
        <f>K727&lt;=Number_Payments</f>
        <v>0</v>
      </c>
      <c r="J727" s="1855"/>
      <c r="K727" s="1351">
        <f>K726+1</f>
        <v>601</v>
      </c>
      <c r="L727" s="1854" t="str" cm="1">
        <f t="array" ref="L727">_xlfn.IFS(
    I726=FALSE, "",
    Payment_Frequency="Monthly", EDATE(L726, 1),
    Payment_Frequency="Weekly", DATE(YEAR(L726), MONTH(L726), DAY(L726) + 7),
    Payment_Frequency="Fortnightly", DATE(YEAR(L726), MONTH(L726), DAY(L726) + 14),
    Payment_Frequency="Quarterly", DATE(YEAR(L726), MONTH(L726) + 3, DAY(L726)),
    Payment_Frequency="Yearly", DATE(YEAR(L726) + 1, MONTH(L726), DAY(L726)),
    TRUE, ""
)</f>
        <v/>
      </c>
      <c r="M727" s="1853">
        <f>IF(ISERROR(L727-L726),0,L727-L726)</f>
        <v>0</v>
      </c>
      <c r="N727" s="1851" cm="1">
        <f t="array" ref="N727">_xlfn.IFS(
    AND(I727=TRUE, K727&lt;=No_Regular_Payments), Repay_Amt,
    AND(I727=TRUE, K727=No_Regular_Payments+1), Tm_Balloon_Amt,
   TRUE, 0
)</f>
        <v>0</v>
      </c>
      <c r="O727" s="1850" cm="1">
        <f t="array" ref="O727">_xlfn.IFS(
    M727=0,0,
   ABS(N727 - S726 - P727-Q727) &lt; 1, N727 - S726-Q727,
    TRUE, P727
)</f>
        <v>0</v>
      </c>
      <c r="P727" s="1852">
        <f>IF(M727=0,0,ROUND(S726*EXP(Int_Rate/365.25 * M727)-S726,2))</f>
        <v>0</v>
      </c>
      <c r="Q727" s="1851" cm="1">
        <f t="array" ref="Q727">_xlfn.IFS(
    AND(I727=TRUE, K727&lt;=No_Regular_Payments), Periodic_Admin_Charge,
   TRUE, 0
)</f>
        <v>0</v>
      </c>
      <c r="R727" s="1850">
        <f>N727-O727-Q727</f>
        <v>0</v>
      </c>
      <c r="S727" s="1850">
        <f>ROUND(S726-R727,2)</f>
        <v>0</v>
      </c>
      <c r="T727" s="1850">
        <f>ROUND(T726-(N727-Q727),2)</f>
        <v>0</v>
      </c>
      <c r="U727" s="1849"/>
      <c r="W727" s="1848"/>
      <c r="X727" s="1848"/>
      <c r="Y727" s="1848"/>
    </row>
    <row r="728" spans="2:25" hidden="1">
      <c r="B728" s="1815" t="b">
        <f>AND(I728=FALSE,N727=0,Q727=0,L727="")</f>
        <v>1</v>
      </c>
      <c r="C728" s="1844" t="str" cm="1">
        <f t="array" ref="C728">_xlfn.IFS(
    L728="", "",
    MONTH(L728) &lt;= End_of_Year_Month, YEAR(L728),
    TRUE, YEAR(L728) + 1
)</f>
        <v/>
      </c>
      <c r="F728" s="1857">
        <f>IF(L728="",0,L728)</f>
        <v>0</v>
      </c>
      <c r="G728" s="1856">
        <f>-(N728-Q728)</f>
        <v>0</v>
      </c>
      <c r="I728" s="1815" t="b">
        <f>K728&lt;=Number_Payments</f>
        <v>0</v>
      </c>
      <c r="J728" s="1855"/>
      <c r="K728" s="1351">
        <f>K727+1</f>
        <v>602</v>
      </c>
      <c r="L728" s="1854" t="str" cm="1">
        <f t="array" ref="L728">_xlfn.IFS(
    I727=FALSE, "",
    Payment_Frequency="Monthly", EDATE(L727, 1),
    Payment_Frequency="Weekly", DATE(YEAR(L727), MONTH(L727), DAY(L727) + 7),
    Payment_Frequency="Fortnightly", DATE(YEAR(L727), MONTH(L727), DAY(L727) + 14),
    Payment_Frequency="Quarterly", DATE(YEAR(L727), MONTH(L727) + 3, DAY(L727)),
    Payment_Frequency="Yearly", DATE(YEAR(L727) + 1, MONTH(L727), DAY(L727)),
    TRUE, ""
)</f>
        <v/>
      </c>
      <c r="M728" s="1853">
        <f>IF(ISERROR(L728-L727),0,L728-L727)</f>
        <v>0</v>
      </c>
      <c r="N728" s="1851" cm="1">
        <f t="array" ref="N728">_xlfn.IFS(
    AND(I728=TRUE, K728&lt;=No_Regular_Payments), Repay_Amt,
    AND(I728=TRUE, K728=No_Regular_Payments+1), Tm_Balloon_Amt,
   TRUE, 0
)</f>
        <v>0</v>
      </c>
      <c r="O728" s="1850" cm="1">
        <f t="array" ref="O728">_xlfn.IFS(
    M728=0,0,
   ABS(N728 - S727 - P728-Q728) &lt; 1, N728 - S727-Q728,
    TRUE, P728
)</f>
        <v>0</v>
      </c>
      <c r="P728" s="1852">
        <f>IF(M728=0,0,ROUND(S727*EXP(Int_Rate/365.25 * M728)-S727,2))</f>
        <v>0</v>
      </c>
      <c r="Q728" s="1851" cm="1">
        <f t="array" ref="Q728">_xlfn.IFS(
    AND(I728=TRUE, K728&lt;=No_Regular_Payments), Periodic_Admin_Charge,
   TRUE, 0
)</f>
        <v>0</v>
      </c>
      <c r="R728" s="1850">
        <f>N728-O728-Q728</f>
        <v>0</v>
      </c>
      <c r="S728" s="1850">
        <f>ROUND(S727-R728,2)</f>
        <v>0</v>
      </c>
      <c r="T728" s="1850">
        <f>ROUND(T727-(N728-Q728),2)</f>
        <v>0</v>
      </c>
      <c r="U728" s="1849"/>
      <c r="W728" s="1848"/>
      <c r="X728" s="1848"/>
      <c r="Y728" s="1848"/>
    </row>
    <row r="729" spans="2:25" hidden="1">
      <c r="B729" s="1815" t="b">
        <f>AND(I729=FALSE,N728=0,Q728=0,L728="")</f>
        <v>1</v>
      </c>
      <c r="C729" s="1844" t="str" cm="1">
        <f t="array" ref="C729">_xlfn.IFS(
    L729="", "",
    MONTH(L729) &lt;= End_of_Year_Month, YEAR(L729),
    TRUE, YEAR(L729) + 1
)</f>
        <v/>
      </c>
      <c r="F729" s="1857">
        <f>IF(L729="",0,L729)</f>
        <v>0</v>
      </c>
      <c r="G729" s="1856">
        <f>-(N729-Q729)</f>
        <v>0</v>
      </c>
      <c r="I729" s="1815" t="b">
        <f>K729&lt;=Number_Payments</f>
        <v>0</v>
      </c>
      <c r="J729" s="1855"/>
      <c r="K729" s="1351">
        <f>K728+1</f>
        <v>603</v>
      </c>
      <c r="L729" s="1854" t="str" cm="1">
        <f t="array" ref="L729">_xlfn.IFS(
    I728=FALSE, "",
    Payment_Frequency="Monthly", EDATE(L728, 1),
    Payment_Frequency="Weekly", DATE(YEAR(L728), MONTH(L728), DAY(L728) + 7),
    Payment_Frequency="Fortnightly", DATE(YEAR(L728), MONTH(L728), DAY(L728) + 14),
    Payment_Frequency="Quarterly", DATE(YEAR(L728), MONTH(L728) + 3, DAY(L728)),
    Payment_Frequency="Yearly", DATE(YEAR(L728) + 1, MONTH(L728), DAY(L728)),
    TRUE, ""
)</f>
        <v/>
      </c>
      <c r="M729" s="1853">
        <f>IF(ISERROR(L729-L728),0,L729-L728)</f>
        <v>0</v>
      </c>
      <c r="N729" s="1851" cm="1">
        <f t="array" ref="N729">_xlfn.IFS(
    AND(I729=TRUE, K729&lt;=No_Regular_Payments), Repay_Amt,
    AND(I729=TRUE, K729=No_Regular_Payments+1), Tm_Balloon_Amt,
   TRUE, 0
)</f>
        <v>0</v>
      </c>
      <c r="O729" s="1850" cm="1">
        <f t="array" ref="O729">_xlfn.IFS(
    M729=0,0,
   ABS(N729 - S728 - P729-Q729) &lt; 1, N729 - S728-Q729,
    TRUE, P729
)</f>
        <v>0</v>
      </c>
      <c r="P729" s="1852">
        <f>IF(M729=0,0,ROUND(S728*EXP(Int_Rate/365.25 * M729)-S728,2))</f>
        <v>0</v>
      </c>
      <c r="Q729" s="1851" cm="1">
        <f t="array" ref="Q729">_xlfn.IFS(
    AND(I729=TRUE, K729&lt;=No_Regular_Payments), Periodic_Admin_Charge,
   TRUE, 0
)</f>
        <v>0</v>
      </c>
      <c r="R729" s="1850">
        <f>N729-O729-Q729</f>
        <v>0</v>
      </c>
      <c r="S729" s="1850">
        <f>ROUND(S728-R729,2)</f>
        <v>0</v>
      </c>
      <c r="T729" s="1850">
        <f>ROUND(T728-(N729-Q729),2)</f>
        <v>0</v>
      </c>
      <c r="U729" s="1849"/>
      <c r="W729" s="1848"/>
      <c r="X729" s="1848"/>
      <c r="Y729" s="1848"/>
    </row>
    <row r="730" spans="2:25" hidden="1">
      <c r="B730" s="1815" t="b">
        <f>AND(I730=FALSE,N729=0,Q729=0,L729="")</f>
        <v>1</v>
      </c>
      <c r="C730" s="1844" t="str" cm="1">
        <f t="array" ref="C730">_xlfn.IFS(
    L730="", "",
    MONTH(L730) &lt;= End_of_Year_Month, YEAR(L730),
    TRUE, YEAR(L730) + 1
)</f>
        <v/>
      </c>
      <c r="F730" s="1857">
        <f>IF(L730="",0,L730)</f>
        <v>0</v>
      </c>
      <c r="G730" s="1856">
        <f>-(N730-Q730)</f>
        <v>0</v>
      </c>
      <c r="I730" s="1815" t="b">
        <f>K730&lt;=Number_Payments</f>
        <v>0</v>
      </c>
      <c r="J730" s="1855"/>
      <c r="K730" s="1351">
        <f>K729+1</f>
        <v>604</v>
      </c>
      <c r="L730" s="1854" t="str" cm="1">
        <f t="array" ref="L730">_xlfn.IFS(
    I729=FALSE, "",
    Payment_Frequency="Monthly", EDATE(L729, 1),
    Payment_Frequency="Weekly", DATE(YEAR(L729), MONTH(L729), DAY(L729) + 7),
    Payment_Frequency="Fortnightly", DATE(YEAR(L729), MONTH(L729), DAY(L729) + 14),
    Payment_Frequency="Quarterly", DATE(YEAR(L729), MONTH(L729) + 3, DAY(L729)),
    Payment_Frequency="Yearly", DATE(YEAR(L729) + 1, MONTH(L729), DAY(L729)),
    TRUE, ""
)</f>
        <v/>
      </c>
      <c r="M730" s="1853">
        <f>IF(ISERROR(L730-L729),0,L730-L729)</f>
        <v>0</v>
      </c>
      <c r="N730" s="1851" cm="1">
        <f t="array" ref="N730">_xlfn.IFS(
    AND(I730=TRUE, K730&lt;=No_Regular_Payments), Repay_Amt,
    AND(I730=TRUE, K730=No_Regular_Payments+1), Tm_Balloon_Amt,
   TRUE, 0
)</f>
        <v>0</v>
      </c>
      <c r="O730" s="1850" cm="1">
        <f t="array" ref="O730">_xlfn.IFS(
    M730=0,0,
   ABS(N730 - S729 - P730-Q730) &lt; 1, N730 - S729-Q730,
    TRUE, P730
)</f>
        <v>0</v>
      </c>
      <c r="P730" s="1852">
        <f>IF(M730=0,0,ROUND(S729*EXP(Int_Rate/365.25 * M730)-S729,2))</f>
        <v>0</v>
      </c>
      <c r="Q730" s="1851" cm="1">
        <f t="array" ref="Q730">_xlfn.IFS(
    AND(I730=TRUE, K730&lt;=No_Regular_Payments), Periodic_Admin_Charge,
   TRUE, 0
)</f>
        <v>0</v>
      </c>
      <c r="R730" s="1850">
        <f>N730-O730-Q730</f>
        <v>0</v>
      </c>
      <c r="S730" s="1850">
        <f>ROUND(S729-R730,2)</f>
        <v>0</v>
      </c>
      <c r="T730" s="1850">
        <f>ROUND(T729-(N730-Q730),2)</f>
        <v>0</v>
      </c>
      <c r="U730" s="1849"/>
      <c r="W730" s="1848"/>
      <c r="X730" s="1848"/>
      <c r="Y730" s="1848"/>
    </row>
    <row r="731" spans="2:25" hidden="1">
      <c r="B731" s="1815" t="b">
        <f>AND(I731=FALSE,N730=0,Q730=0,L730="")</f>
        <v>1</v>
      </c>
      <c r="C731" s="1844" t="str" cm="1">
        <f t="array" ref="C731">_xlfn.IFS(
    L731="", "",
    MONTH(L731) &lt;= End_of_Year_Month, YEAR(L731),
    TRUE, YEAR(L731) + 1
)</f>
        <v/>
      </c>
      <c r="F731" s="1857">
        <f>IF(L731="",0,L731)</f>
        <v>0</v>
      </c>
      <c r="G731" s="1856">
        <f>-(N731-Q731)</f>
        <v>0</v>
      </c>
      <c r="I731" s="1815" t="b">
        <f>K731&lt;=Number_Payments</f>
        <v>0</v>
      </c>
      <c r="J731" s="1855"/>
      <c r="K731" s="1351">
        <f>K730+1</f>
        <v>605</v>
      </c>
      <c r="L731" s="1854" t="str" cm="1">
        <f t="array" ref="L731">_xlfn.IFS(
    I730=FALSE, "",
    Payment_Frequency="Monthly", EDATE(L730, 1),
    Payment_Frequency="Weekly", DATE(YEAR(L730), MONTH(L730), DAY(L730) + 7),
    Payment_Frequency="Fortnightly", DATE(YEAR(L730), MONTH(L730), DAY(L730) + 14),
    Payment_Frequency="Quarterly", DATE(YEAR(L730), MONTH(L730) + 3, DAY(L730)),
    Payment_Frequency="Yearly", DATE(YEAR(L730) + 1, MONTH(L730), DAY(L730)),
    TRUE, ""
)</f>
        <v/>
      </c>
      <c r="M731" s="1853">
        <f>IF(ISERROR(L731-L730),0,L731-L730)</f>
        <v>0</v>
      </c>
      <c r="N731" s="1851" cm="1">
        <f t="array" ref="N731">_xlfn.IFS(
    AND(I731=TRUE, K731&lt;=No_Regular_Payments), Repay_Amt,
    AND(I731=TRUE, K731=No_Regular_Payments+1), Tm_Balloon_Amt,
   TRUE, 0
)</f>
        <v>0</v>
      </c>
      <c r="O731" s="1850" cm="1">
        <f t="array" ref="O731">_xlfn.IFS(
    M731=0,0,
   ABS(N731 - S730 - P731-Q731) &lt; 1, N731 - S730-Q731,
    TRUE, P731
)</f>
        <v>0</v>
      </c>
      <c r="P731" s="1852">
        <f>IF(M731=0,0,ROUND(S730*EXP(Int_Rate/365.25 * M731)-S730,2))</f>
        <v>0</v>
      </c>
      <c r="Q731" s="1851" cm="1">
        <f t="array" ref="Q731">_xlfn.IFS(
    AND(I731=TRUE, K731&lt;=No_Regular_Payments), Periodic_Admin_Charge,
   TRUE, 0
)</f>
        <v>0</v>
      </c>
      <c r="R731" s="1850">
        <f>N731-O731-Q731</f>
        <v>0</v>
      </c>
      <c r="S731" s="1850">
        <f>ROUND(S730-R731,2)</f>
        <v>0</v>
      </c>
      <c r="T731" s="1850">
        <f>ROUND(T730-(N731-Q731),2)</f>
        <v>0</v>
      </c>
      <c r="U731" s="1849"/>
      <c r="W731" s="1848"/>
      <c r="X731" s="1848"/>
      <c r="Y731" s="1848"/>
    </row>
    <row r="732" spans="2:25" hidden="1">
      <c r="B732" s="1815" t="b">
        <f>AND(I732=FALSE,N731=0,Q731=0,L731="")</f>
        <v>1</v>
      </c>
      <c r="C732" s="1844" t="str" cm="1">
        <f t="array" ref="C732">_xlfn.IFS(
    L732="", "",
    MONTH(L732) &lt;= End_of_Year_Month, YEAR(L732),
    TRUE, YEAR(L732) + 1
)</f>
        <v/>
      </c>
      <c r="F732" s="1857">
        <f>IF(L732="",0,L732)</f>
        <v>0</v>
      </c>
      <c r="G732" s="1856">
        <f>-(N732-Q732)</f>
        <v>0</v>
      </c>
      <c r="I732" s="1815" t="b">
        <f>K732&lt;=Number_Payments</f>
        <v>0</v>
      </c>
      <c r="J732" s="1855"/>
      <c r="K732" s="1351">
        <f>K731+1</f>
        <v>606</v>
      </c>
      <c r="L732" s="1854" t="str" cm="1">
        <f t="array" ref="L732">_xlfn.IFS(
    I731=FALSE, "",
    Payment_Frequency="Monthly", EDATE(L731, 1),
    Payment_Frequency="Weekly", DATE(YEAR(L731), MONTH(L731), DAY(L731) + 7),
    Payment_Frequency="Fortnightly", DATE(YEAR(L731), MONTH(L731), DAY(L731) + 14),
    Payment_Frequency="Quarterly", DATE(YEAR(L731), MONTH(L731) + 3, DAY(L731)),
    Payment_Frequency="Yearly", DATE(YEAR(L731) + 1, MONTH(L731), DAY(L731)),
    TRUE, ""
)</f>
        <v/>
      </c>
      <c r="M732" s="1853">
        <f>IF(ISERROR(L732-L731),0,L732-L731)</f>
        <v>0</v>
      </c>
      <c r="N732" s="1851" cm="1">
        <f t="array" ref="N732">_xlfn.IFS(
    AND(I732=TRUE, K732&lt;=No_Regular_Payments), Repay_Amt,
    AND(I732=TRUE, K732=No_Regular_Payments+1), Tm_Balloon_Amt,
   TRUE, 0
)</f>
        <v>0</v>
      </c>
      <c r="O732" s="1850" cm="1">
        <f t="array" ref="O732">_xlfn.IFS(
    M732=0,0,
   ABS(N732 - S731 - P732-Q732) &lt; 1, N732 - S731-Q732,
    TRUE, P732
)</f>
        <v>0</v>
      </c>
      <c r="P732" s="1852">
        <f>IF(M732=0,0,ROUND(S731*EXP(Int_Rate/365.25 * M732)-S731,2))</f>
        <v>0</v>
      </c>
      <c r="Q732" s="1851" cm="1">
        <f t="array" ref="Q732">_xlfn.IFS(
    AND(I732=TRUE, K732&lt;=No_Regular_Payments), Periodic_Admin_Charge,
   TRUE, 0
)</f>
        <v>0</v>
      </c>
      <c r="R732" s="1850">
        <f>N732-O732-Q732</f>
        <v>0</v>
      </c>
      <c r="S732" s="1850">
        <f>ROUND(S731-R732,2)</f>
        <v>0</v>
      </c>
      <c r="T732" s="1850">
        <f>ROUND(T731-(N732-Q732),2)</f>
        <v>0</v>
      </c>
      <c r="U732" s="1849"/>
      <c r="W732" s="1848"/>
      <c r="X732" s="1848"/>
      <c r="Y732" s="1848"/>
    </row>
    <row r="733" spans="2:25" hidden="1">
      <c r="B733" s="1815" t="b">
        <f>AND(I733=FALSE,N732=0,Q732=0,L732="")</f>
        <v>1</v>
      </c>
      <c r="C733" s="1844" t="str" cm="1">
        <f t="array" ref="C733">_xlfn.IFS(
    L733="", "",
    MONTH(L733) &lt;= End_of_Year_Month, YEAR(L733),
    TRUE, YEAR(L733) + 1
)</f>
        <v/>
      </c>
      <c r="F733" s="1857">
        <f>IF(L733="",0,L733)</f>
        <v>0</v>
      </c>
      <c r="G733" s="1856">
        <f>-(N733-Q733)</f>
        <v>0</v>
      </c>
      <c r="I733" s="1815" t="b">
        <f>K733&lt;=Number_Payments</f>
        <v>0</v>
      </c>
      <c r="J733" s="1855"/>
      <c r="K733" s="1351">
        <f>K732+1</f>
        <v>607</v>
      </c>
      <c r="L733" s="1854" t="str" cm="1">
        <f t="array" ref="L733">_xlfn.IFS(
    I732=FALSE, "",
    Payment_Frequency="Monthly", EDATE(L732, 1),
    Payment_Frequency="Weekly", DATE(YEAR(L732), MONTH(L732), DAY(L732) + 7),
    Payment_Frequency="Fortnightly", DATE(YEAR(L732), MONTH(L732), DAY(L732) + 14),
    Payment_Frequency="Quarterly", DATE(YEAR(L732), MONTH(L732) + 3, DAY(L732)),
    Payment_Frequency="Yearly", DATE(YEAR(L732) + 1, MONTH(L732), DAY(L732)),
    TRUE, ""
)</f>
        <v/>
      </c>
      <c r="M733" s="1853">
        <f>IF(ISERROR(L733-L732),0,L733-L732)</f>
        <v>0</v>
      </c>
      <c r="N733" s="1851" cm="1">
        <f t="array" ref="N733">_xlfn.IFS(
    AND(I733=TRUE, K733&lt;=No_Regular_Payments), Repay_Amt,
    AND(I733=TRUE, K733=No_Regular_Payments+1), Tm_Balloon_Amt,
   TRUE, 0
)</f>
        <v>0</v>
      </c>
      <c r="O733" s="1850" cm="1">
        <f t="array" ref="O733">_xlfn.IFS(
    M733=0,0,
   ABS(N733 - S732 - P733-Q733) &lt; 1, N733 - S732-Q733,
    TRUE, P733
)</f>
        <v>0</v>
      </c>
      <c r="P733" s="1852">
        <f>IF(M733=0,0,ROUND(S732*EXP(Int_Rate/365.25 * M733)-S732,2))</f>
        <v>0</v>
      </c>
      <c r="Q733" s="1851" cm="1">
        <f t="array" ref="Q733">_xlfn.IFS(
    AND(I733=TRUE, K733&lt;=No_Regular_Payments), Periodic_Admin_Charge,
   TRUE, 0
)</f>
        <v>0</v>
      </c>
      <c r="R733" s="1850">
        <f>N733-O733-Q733</f>
        <v>0</v>
      </c>
      <c r="S733" s="1850">
        <f>ROUND(S732-R733,2)</f>
        <v>0</v>
      </c>
      <c r="T733" s="1850">
        <f>ROUND(T732-(N733-Q733),2)</f>
        <v>0</v>
      </c>
      <c r="U733" s="1849"/>
      <c r="W733" s="1848"/>
      <c r="X733" s="1848"/>
      <c r="Y733" s="1848"/>
    </row>
    <row r="734" spans="2:25" hidden="1">
      <c r="B734" s="1815" t="b">
        <f>AND(I734=FALSE,N733=0,Q733=0,L733="")</f>
        <v>1</v>
      </c>
      <c r="C734" s="1844" t="str" cm="1">
        <f t="array" ref="C734">_xlfn.IFS(
    L734="", "",
    MONTH(L734) &lt;= End_of_Year_Month, YEAR(L734),
    TRUE, YEAR(L734) + 1
)</f>
        <v/>
      </c>
      <c r="F734" s="1857">
        <f>IF(L734="",0,L734)</f>
        <v>0</v>
      </c>
      <c r="G734" s="1856">
        <f>-(N734-Q734)</f>
        <v>0</v>
      </c>
      <c r="I734" s="1815" t="b">
        <f>K734&lt;=Number_Payments</f>
        <v>0</v>
      </c>
      <c r="J734" s="1855"/>
      <c r="K734" s="1351">
        <f>K733+1</f>
        <v>608</v>
      </c>
      <c r="L734" s="1854" t="str" cm="1">
        <f t="array" ref="L734">_xlfn.IFS(
    I733=FALSE, "",
    Payment_Frequency="Monthly", EDATE(L733, 1),
    Payment_Frequency="Weekly", DATE(YEAR(L733), MONTH(L733), DAY(L733) + 7),
    Payment_Frequency="Fortnightly", DATE(YEAR(L733), MONTH(L733), DAY(L733) + 14),
    Payment_Frequency="Quarterly", DATE(YEAR(L733), MONTH(L733) + 3, DAY(L733)),
    Payment_Frequency="Yearly", DATE(YEAR(L733) + 1, MONTH(L733), DAY(L733)),
    TRUE, ""
)</f>
        <v/>
      </c>
      <c r="M734" s="1853">
        <f>IF(ISERROR(L734-L733),0,L734-L733)</f>
        <v>0</v>
      </c>
      <c r="N734" s="1851" cm="1">
        <f t="array" ref="N734">_xlfn.IFS(
    AND(I734=TRUE, K734&lt;=No_Regular_Payments), Repay_Amt,
    AND(I734=TRUE, K734=No_Regular_Payments+1), Tm_Balloon_Amt,
   TRUE, 0
)</f>
        <v>0</v>
      </c>
      <c r="O734" s="1850" cm="1">
        <f t="array" ref="O734">_xlfn.IFS(
    M734=0,0,
   ABS(N734 - S733 - P734-Q734) &lt; 1, N734 - S733-Q734,
    TRUE, P734
)</f>
        <v>0</v>
      </c>
      <c r="P734" s="1852">
        <f>IF(M734=0,0,ROUND(S733*EXP(Int_Rate/365.25 * M734)-S733,2))</f>
        <v>0</v>
      </c>
      <c r="Q734" s="1851" cm="1">
        <f t="array" ref="Q734">_xlfn.IFS(
    AND(I734=TRUE, K734&lt;=No_Regular_Payments), Periodic_Admin_Charge,
   TRUE, 0
)</f>
        <v>0</v>
      </c>
      <c r="R734" s="1850">
        <f>N734-O734-Q734</f>
        <v>0</v>
      </c>
      <c r="S734" s="1850">
        <f>ROUND(S733-R734,2)</f>
        <v>0</v>
      </c>
      <c r="T734" s="1850">
        <f>ROUND(T733-(N734-Q734),2)</f>
        <v>0</v>
      </c>
      <c r="U734" s="1849"/>
      <c r="W734" s="1848"/>
      <c r="X734" s="1848"/>
      <c r="Y734" s="1848"/>
    </row>
    <row r="735" spans="2:25" hidden="1">
      <c r="B735" s="1815" t="b">
        <f>AND(I735=FALSE,N734=0,Q734=0,L734="")</f>
        <v>1</v>
      </c>
      <c r="C735" s="1844" t="str" cm="1">
        <f t="array" ref="C735">_xlfn.IFS(
    L735="", "",
    MONTH(L735) &lt;= End_of_Year_Month, YEAR(L735),
    TRUE, YEAR(L735) + 1
)</f>
        <v/>
      </c>
      <c r="F735" s="1857">
        <f>IF(L735="",0,L735)</f>
        <v>0</v>
      </c>
      <c r="G735" s="1856">
        <f>-(N735-Q735)</f>
        <v>0</v>
      </c>
      <c r="I735" s="1815" t="b">
        <f>K735&lt;=Number_Payments</f>
        <v>0</v>
      </c>
      <c r="J735" s="1855"/>
      <c r="K735" s="1351">
        <f>K734+1</f>
        <v>609</v>
      </c>
      <c r="L735" s="1854" t="str" cm="1">
        <f t="array" ref="L735">_xlfn.IFS(
    I734=FALSE, "",
    Payment_Frequency="Monthly", EDATE(L734, 1),
    Payment_Frequency="Weekly", DATE(YEAR(L734), MONTH(L734), DAY(L734) + 7),
    Payment_Frequency="Fortnightly", DATE(YEAR(L734), MONTH(L734), DAY(L734) + 14),
    Payment_Frequency="Quarterly", DATE(YEAR(L734), MONTH(L734) + 3, DAY(L734)),
    Payment_Frequency="Yearly", DATE(YEAR(L734) + 1, MONTH(L734), DAY(L734)),
    TRUE, ""
)</f>
        <v/>
      </c>
      <c r="M735" s="1853">
        <f>IF(ISERROR(L735-L734),0,L735-L734)</f>
        <v>0</v>
      </c>
      <c r="N735" s="1851" cm="1">
        <f t="array" ref="N735">_xlfn.IFS(
    AND(I735=TRUE, K735&lt;=No_Regular_Payments), Repay_Amt,
    AND(I735=TRUE, K735=No_Regular_Payments+1), Tm_Balloon_Amt,
   TRUE, 0
)</f>
        <v>0</v>
      </c>
      <c r="O735" s="1850" cm="1">
        <f t="array" ref="O735">_xlfn.IFS(
    M735=0,0,
   ABS(N735 - S734 - P735-Q735) &lt; 1, N735 - S734-Q735,
    TRUE, P735
)</f>
        <v>0</v>
      </c>
      <c r="P735" s="1852">
        <f>IF(M735=0,0,ROUND(S734*EXP(Int_Rate/365.25 * M735)-S734,2))</f>
        <v>0</v>
      </c>
      <c r="Q735" s="1851" cm="1">
        <f t="array" ref="Q735">_xlfn.IFS(
    AND(I735=TRUE, K735&lt;=No_Regular_Payments), Periodic_Admin_Charge,
   TRUE, 0
)</f>
        <v>0</v>
      </c>
      <c r="R735" s="1850">
        <f>N735-O735-Q735</f>
        <v>0</v>
      </c>
      <c r="S735" s="1850">
        <f>ROUND(S734-R735,2)</f>
        <v>0</v>
      </c>
      <c r="T735" s="1850">
        <f>ROUND(T734-(N735-Q735),2)</f>
        <v>0</v>
      </c>
      <c r="U735" s="1849"/>
      <c r="W735" s="1848"/>
      <c r="X735" s="1848"/>
      <c r="Y735" s="1848"/>
    </row>
    <row r="736" spans="2:25" hidden="1">
      <c r="B736" s="1815" t="b">
        <f>AND(I736=FALSE,N735=0,Q735=0,L735="")</f>
        <v>1</v>
      </c>
      <c r="C736" s="1844" t="str" cm="1">
        <f t="array" ref="C736">_xlfn.IFS(
    L736="", "",
    MONTH(L736) &lt;= End_of_Year_Month, YEAR(L736),
    TRUE, YEAR(L736) + 1
)</f>
        <v/>
      </c>
      <c r="F736" s="1857">
        <f>IF(L736="",0,L736)</f>
        <v>0</v>
      </c>
      <c r="G736" s="1856">
        <f>-(N736-Q736)</f>
        <v>0</v>
      </c>
      <c r="I736" s="1815" t="b">
        <f>K736&lt;=Number_Payments</f>
        <v>0</v>
      </c>
      <c r="J736" s="1855"/>
      <c r="K736" s="1351">
        <f>K735+1</f>
        <v>610</v>
      </c>
      <c r="L736" s="1854" t="str" cm="1">
        <f t="array" ref="L736">_xlfn.IFS(
    I735=FALSE, "",
    Payment_Frequency="Monthly", EDATE(L735, 1),
    Payment_Frequency="Weekly", DATE(YEAR(L735), MONTH(L735), DAY(L735) + 7),
    Payment_Frequency="Fortnightly", DATE(YEAR(L735), MONTH(L735), DAY(L735) + 14),
    Payment_Frequency="Quarterly", DATE(YEAR(L735), MONTH(L735) + 3, DAY(L735)),
    Payment_Frequency="Yearly", DATE(YEAR(L735) + 1, MONTH(L735), DAY(L735)),
    TRUE, ""
)</f>
        <v/>
      </c>
      <c r="M736" s="1853">
        <f>IF(ISERROR(L736-L735),0,L736-L735)</f>
        <v>0</v>
      </c>
      <c r="N736" s="1851" cm="1">
        <f t="array" ref="N736">_xlfn.IFS(
    AND(I736=TRUE, K736&lt;=No_Regular_Payments), Repay_Amt,
    AND(I736=TRUE, K736=No_Regular_Payments+1), Tm_Balloon_Amt,
   TRUE, 0
)</f>
        <v>0</v>
      </c>
      <c r="O736" s="1850" cm="1">
        <f t="array" ref="O736">_xlfn.IFS(
    M736=0,0,
   ABS(N736 - S735 - P736-Q736) &lt; 1, N736 - S735-Q736,
    TRUE, P736
)</f>
        <v>0</v>
      </c>
      <c r="P736" s="1852">
        <f>IF(M736=0,0,ROUND(S735*EXP(Int_Rate/365.25 * M736)-S735,2))</f>
        <v>0</v>
      </c>
      <c r="Q736" s="1851" cm="1">
        <f t="array" ref="Q736">_xlfn.IFS(
    AND(I736=TRUE, K736&lt;=No_Regular_Payments), Periodic_Admin_Charge,
   TRUE, 0
)</f>
        <v>0</v>
      </c>
      <c r="R736" s="1850">
        <f>N736-O736-Q736</f>
        <v>0</v>
      </c>
      <c r="S736" s="1850">
        <f>ROUND(S735-R736,2)</f>
        <v>0</v>
      </c>
      <c r="T736" s="1850">
        <f>ROUND(T735-(N736-Q736),2)</f>
        <v>0</v>
      </c>
      <c r="U736" s="1849"/>
      <c r="W736" s="1848"/>
      <c r="X736" s="1848"/>
      <c r="Y736" s="1848"/>
    </row>
    <row r="737" spans="2:25" hidden="1">
      <c r="B737" s="1815" t="b">
        <f>AND(I737=FALSE,N736=0,Q736=0,L736="")</f>
        <v>1</v>
      </c>
      <c r="C737" s="1844" t="str" cm="1">
        <f t="array" ref="C737">_xlfn.IFS(
    L737="", "",
    MONTH(L737) &lt;= End_of_Year_Month, YEAR(L737),
    TRUE, YEAR(L737) + 1
)</f>
        <v/>
      </c>
      <c r="F737" s="1857">
        <f>IF(L737="",0,L737)</f>
        <v>0</v>
      </c>
      <c r="G737" s="1856">
        <f>-(N737-Q737)</f>
        <v>0</v>
      </c>
      <c r="I737" s="1815" t="b">
        <f>K737&lt;=Number_Payments</f>
        <v>0</v>
      </c>
      <c r="J737" s="1855"/>
      <c r="K737" s="1351">
        <f>K736+1</f>
        <v>611</v>
      </c>
      <c r="L737" s="1854" t="str" cm="1">
        <f t="array" ref="L737">_xlfn.IFS(
    I736=FALSE, "",
    Payment_Frequency="Monthly", EDATE(L736, 1),
    Payment_Frequency="Weekly", DATE(YEAR(L736), MONTH(L736), DAY(L736) + 7),
    Payment_Frequency="Fortnightly", DATE(YEAR(L736), MONTH(L736), DAY(L736) + 14),
    Payment_Frequency="Quarterly", DATE(YEAR(L736), MONTH(L736) + 3, DAY(L736)),
    Payment_Frequency="Yearly", DATE(YEAR(L736) + 1, MONTH(L736), DAY(L736)),
    TRUE, ""
)</f>
        <v/>
      </c>
      <c r="M737" s="1853">
        <f>IF(ISERROR(L737-L736),0,L737-L736)</f>
        <v>0</v>
      </c>
      <c r="N737" s="1851" cm="1">
        <f t="array" ref="N737">_xlfn.IFS(
    AND(I737=TRUE, K737&lt;=No_Regular_Payments), Repay_Amt,
    AND(I737=TRUE, K737=No_Regular_Payments+1), Tm_Balloon_Amt,
   TRUE, 0
)</f>
        <v>0</v>
      </c>
      <c r="O737" s="1850" cm="1">
        <f t="array" ref="O737">_xlfn.IFS(
    M737=0,0,
   ABS(N737 - S736 - P737-Q737) &lt; 1, N737 - S736-Q737,
    TRUE, P737
)</f>
        <v>0</v>
      </c>
      <c r="P737" s="1852">
        <f>IF(M737=0,0,ROUND(S736*EXP(Int_Rate/365.25 * M737)-S736,2))</f>
        <v>0</v>
      </c>
      <c r="Q737" s="1851" cm="1">
        <f t="array" ref="Q737">_xlfn.IFS(
    AND(I737=TRUE, K737&lt;=No_Regular_Payments), Periodic_Admin_Charge,
   TRUE, 0
)</f>
        <v>0</v>
      </c>
      <c r="R737" s="1850">
        <f>N737-O737-Q737</f>
        <v>0</v>
      </c>
      <c r="S737" s="1850">
        <f>ROUND(S736-R737,2)</f>
        <v>0</v>
      </c>
      <c r="T737" s="1850">
        <f>ROUND(T736-(N737-Q737),2)</f>
        <v>0</v>
      </c>
      <c r="U737" s="1849"/>
      <c r="W737" s="1848"/>
      <c r="X737" s="1848"/>
      <c r="Y737" s="1848"/>
    </row>
    <row r="738" spans="2:25" hidden="1">
      <c r="B738" s="1815" t="b">
        <f>AND(I738=FALSE,N737=0,Q737=0,L737="")</f>
        <v>1</v>
      </c>
      <c r="C738" s="1844" t="str" cm="1">
        <f t="array" ref="C738">_xlfn.IFS(
    L738="", "",
    MONTH(L738) &lt;= End_of_Year_Month, YEAR(L738),
    TRUE, YEAR(L738) + 1
)</f>
        <v/>
      </c>
      <c r="F738" s="1857">
        <f>IF(L738="",0,L738)</f>
        <v>0</v>
      </c>
      <c r="G738" s="1856">
        <f>-(N738-Q738)</f>
        <v>0</v>
      </c>
      <c r="I738" s="1815" t="b">
        <f>K738&lt;=Number_Payments</f>
        <v>0</v>
      </c>
      <c r="J738" s="1855"/>
      <c r="K738" s="1351">
        <f>K737+1</f>
        <v>612</v>
      </c>
      <c r="L738" s="1854" t="str" cm="1">
        <f t="array" ref="L738">_xlfn.IFS(
    I737=FALSE, "",
    Payment_Frequency="Monthly", EDATE(L737, 1),
    Payment_Frequency="Weekly", DATE(YEAR(L737), MONTH(L737), DAY(L737) + 7),
    Payment_Frequency="Fortnightly", DATE(YEAR(L737), MONTH(L737), DAY(L737) + 14),
    Payment_Frequency="Quarterly", DATE(YEAR(L737), MONTH(L737) + 3, DAY(L737)),
    Payment_Frequency="Yearly", DATE(YEAR(L737) + 1, MONTH(L737), DAY(L737)),
    TRUE, ""
)</f>
        <v/>
      </c>
      <c r="M738" s="1853">
        <f>IF(ISERROR(L738-L737),0,L738-L737)</f>
        <v>0</v>
      </c>
      <c r="N738" s="1851" cm="1">
        <f t="array" ref="N738">_xlfn.IFS(
    AND(I738=TRUE, K738&lt;=No_Regular_Payments), Repay_Amt,
    AND(I738=TRUE, K738=No_Regular_Payments+1), Tm_Balloon_Amt,
   TRUE, 0
)</f>
        <v>0</v>
      </c>
      <c r="O738" s="1850" cm="1">
        <f t="array" ref="O738">_xlfn.IFS(
    M738=0,0,
   ABS(N738 - S737 - P738-Q738) &lt; 1, N738 - S737-Q738,
    TRUE, P738
)</f>
        <v>0</v>
      </c>
      <c r="P738" s="1852">
        <f>IF(M738=0,0,ROUND(S737*EXP(Int_Rate/365.25 * M738)-S737,2))</f>
        <v>0</v>
      </c>
      <c r="Q738" s="1851" cm="1">
        <f t="array" ref="Q738">_xlfn.IFS(
    AND(I738=TRUE, K738&lt;=No_Regular_Payments), Periodic_Admin_Charge,
   TRUE, 0
)</f>
        <v>0</v>
      </c>
      <c r="R738" s="1850">
        <f>N738-O738-Q738</f>
        <v>0</v>
      </c>
      <c r="S738" s="1850">
        <f>ROUND(S737-R738,2)</f>
        <v>0</v>
      </c>
      <c r="T738" s="1850">
        <f>ROUND(T737-(N738-Q738),2)</f>
        <v>0</v>
      </c>
      <c r="U738" s="1849"/>
      <c r="W738" s="1848"/>
      <c r="X738" s="1848"/>
      <c r="Y738" s="1848"/>
    </row>
    <row r="739" spans="2:25" hidden="1">
      <c r="B739" s="1815" t="b">
        <f>AND(I739=FALSE,N738=0,Q738=0,L738="")</f>
        <v>1</v>
      </c>
      <c r="C739" s="1844" t="str" cm="1">
        <f t="array" ref="C739">_xlfn.IFS(
    L739="", "",
    MONTH(L739) &lt;= End_of_Year_Month, YEAR(L739),
    TRUE, YEAR(L739) + 1
)</f>
        <v/>
      </c>
      <c r="F739" s="1857">
        <f>IF(L739="",0,L739)</f>
        <v>0</v>
      </c>
      <c r="G739" s="1856">
        <f>-(N739-Q739)</f>
        <v>0</v>
      </c>
      <c r="I739" s="1815" t="b">
        <f>K739&lt;=Number_Payments</f>
        <v>0</v>
      </c>
      <c r="J739" s="1855"/>
      <c r="K739" s="1351">
        <f>K738+1</f>
        <v>613</v>
      </c>
      <c r="L739" s="1854" t="str" cm="1">
        <f t="array" ref="L739">_xlfn.IFS(
    I738=FALSE, "",
    Payment_Frequency="Monthly", EDATE(L738, 1),
    Payment_Frequency="Weekly", DATE(YEAR(L738), MONTH(L738), DAY(L738) + 7),
    Payment_Frequency="Fortnightly", DATE(YEAR(L738), MONTH(L738), DAY(L738) + 14),
    Payment_Frequency="Quarterly", DATE(YEAR(L738), MONTH(L738) + 3, DAY(L738)),
    Payment_Frequency="Yearly", DATE(YEAR(L738) + 1, MONTH(L738), DAY(L738)),
    TRUE, ""
)</f>
        <v/>
      </c>
      <c r="M739" s="1853">
        <f>IF(ISERROR(L739-L738),0,L739-L738)</f>
        <v>0</v>
      </c>
      <c r="N739" s="1851" cm="1">
        <f t="array" ref="N739">_xlfn.IFS(
    AND(I739=TRUE, K739&lt;=No_Regular_Payments), Repay_Amt,
    AND(I739=TRUE, K739=No_Regular_Payments+1), Tm_Balloon_Amt,
   TRUE, 0
)</f>
        <v>0</v>
      </c>
      <c r="O739" s="1850" cm="1">
        <f t="array" ref="O739">_xlfn.IFS(
    M739=0,0,
   ABS(N739 - S738 - P739-Q739) &lt; 1, N739 - S738-Q739,
    TRUE, P739
)</f>
        <v>0</v>
      </c>
      <c r="P739" s="1852">
        <f>IF(M739=0,0,ROUND(S738*EXP(Int_Rate/365.25 * M739)-S738,2))</f>
        <v>0</v>
      </c>
      <c r="Q739" s="1851" cm="1">
        <f t="array" ref="Q739">_xlfn.IFS(
    AND(I739=TRUE, K739&lt;=No_Regular_Payments), Periodic_Admin_Charge,
   TRUE, 0
)</f>
        <v>0</v>
      </c>
      <c r="R739" s="1850">
        <f>N739-O739-Q739</f>
        <v>0</v>
      </c>
      <c r="S739" s="1850">
        <f>ROUND(S738-R739,2)</f>
        <v>0</v>
      </c>
      <c r="T739" s="1850">
        <f>ROUND(T738-(N739-Q739),2)</f>
        <v>0</v>
      </c>
      <c r="U739" s="1849"/>
      <c r="W739" s="1848"/>
      <c r="X739" s="1848"/>
      <c r="Y739" s="1848"/>
    </row>
    <row r="740" spans="2:25" hidden="1">
      <c r="B740" s="1815" t="b">
        <f>AND(I740=FALSE,N739=0,Q739=0,L739="")</f>
        <v>1</v>
      </c>
      <c r="C740" s="1844" t="str" cm="1">
        <f t="array" ref="C740">_xlfn.IFS(
    L740="", "",
    MONTH(L740) &lt;= End_of_Year_Month, YEAR(L740),
    TRUE, YEAR(L740) + 1
)</f>
        <v/>
      </c>
      <c r="F740" s="1857">
        <f>IF(L740="",0,L740)</f>
        <v>0</v>
      </c>
      <c r="G740" s="1856">
        <f>-(N740-Q740)</f>
        <v>0</v>
      </c>
      <c r="I740" s="1815" t="b">
        <f>K740&lt;=Number_Payments</f>
        <v>0</v>
      </c>
      <c r="J740" s="1855"/>
      <c r="K740" s="1351">
        <f>K739+1</f>
        <v>614</v>
      </c>
      <c r="L740" s="1854" t="str" cm="1">
        <f t="array" ref="L740">_xlfn.IFS(
    I739=FALSE, "",
    Payment_Frequency="Monthly", EDATE(L739, 1),
    Payment_Frequency="Weekly", DATE(YEAR(L739), MONTH(L739), DAY(L739) + 7),
    Payment_Frequency="Fortnightly", DATE(YEAR(L739), MONTH(L739), DAY(L739) + 14),
    Payment_Frequency="Quarterly", DATE(YEAR(L739), MONTH(L739) + 3, DAY(L739)),
    Payment_Frequency="Yearly", DATE(YEAR(L739) + 1, MONTH(L739), DAY(L739)),
    TRUE, ""
)</f>
        <v/>
      </c>
      <c r="M740" s="1853">
        <f>IF(ISERROR(L740-L739),0,L740-L739)</f>
        <v>0</v>
      </c>
      <c r="N740" s="1851" cm="1">
        <f t="array" ref="N740">_xlfn.IFS(
    AND(I740=TRUE, K740&lt;=No_Regular_Payments), Repay_Amt,
    AND(I740=TRUE, K740=No_Regular_Payments+1), Tm_Balloon_Amt,
   TRUE, 0
)</f>
        <v>0</v>
      </c>
      <c r="O740" s="1850" cm="1">
        <f t="array" ref="O740">_xlfn.IFS(
    M740=0,0,
   ABS(N740 - S739 - P740-Q740) &lt; 1, N740 - S739-Q740,
    TRUE, P740
)</f>
        <v>0</v>
      </c>
      <c r="P740" s="1852">
        <f>IF(M740=0,0,ROUND(S739*EXP(Int_Rate/365.25 * M740)-S739,2))</f>
        <v>0</v>
      </c>
      <c r="Q740" s="1851" cm="1">
        <f t="array" ref="Q740">_xlfn.IFS(
    AND(I740=TRUE, K740&lt;=No_Regular_Payments), Periodic_Admin_Charge,
   TRUE, 0
)</f>
        <v>0</v>
      </c>
      <c r="R740" s="1850">
        <f>N740-O740-Q740</f>
        <v>0</v>
      </c>
      <c r="S740" s="1850">
        <f>ROUND(S739-R740,2)</f>
        <v>0</v>
      </c>
      <c r="T740" s="1850">
        <f>ROUND(T739-(N740-Q740),2)</f>
        <v>0</v>
      </c>
      <c r="U740" s="1849"/>
      <c r="W740" s="1848"/>
      <c r="X740" s="1848"/>
      <c r="Y740" s="1848"/>
    </row>
    <row r="741" spans="2:25" hidden="1">
      <c r="B741" s="1815" t="b">
        <f>AND(I741=FALSE,N740=0,Q740=0,L740="")</f>
        <v>1</v>
      </c>
      <c r="C741" s="1844" t="str" cm="1">
        <f t="array" ref="C741">_xlfn.IFS(
    L741="", "",
    MONTH(L741) &lt;= End_of_Year_Month, YEAR(L741),
    TRUE, YEAR(L741) + 1
)</f>
        <v/>
      </c>
      <c r="F741" s="1857">
        <f>IF(L741="",0,L741)</f>
        <v>0</v>
      </c>
      <c r="G741" s="1856">
        <f>-(N741-Q741)</f>
        <v>0</v>
      </c>
      <c r="I741" s="1815" t="b">
        <f>K741&lt;=Number_Payments</f>
        <v>0</v>
      </c>
      <c r="J741" s="1855"/>
      <c r="K741" s="1351">
        <f>K740+1</f>
        <v>615</v>
      </c>
      <c r="L741" s="1854" t="str" cm="1">
        <f t="array" ref="L741">_xlfn.IFS(
    I740=FALSE, "",
    Payment_Frequency="Monthly", EDATE(L740, 1),
    Payment_Frequency="Weekly", DATE(YEAR(L740), MONTH(L740), DAY(L740) + 7),
    Payment_Frequency="Fortnightly", DATE(YEAR(L740), MONTH(L740), DAY(L740) + 14),
    Payment_Frequency="Quarterly", DATE(YEAR(L740), MONTH(L740) + 3, DAY(L740)),
    Payment_Frequency="Yearly", DATE(YEAR(L740) + 1, MONTH(L740), DAY(L740)),
    TRUE, ""
)</f>
        <v/>
      </c>
      <c r="M741" s="1853">
        <f>IF(ISERROR(L741-L740),0,L741-L740)</f>
        <v>0</v>
      </c>
      <c r="N741" s="1851" cm="1">
        <f t="array" ref="N741">_xlfn.IFS(
    AND(I741=TRUE, K741&lt;=No_Regular_Payments), Repay_Amt,
    AND(I741=TRUE, K741=No_Regular_Payments+1), Tm_Balloon_Amt,
   TRUE, 0
)</f>
        <v>0</v>
      </c>
      <c r="O741" s="1850" cm="1">
        <f t="array" ref="O741">_xlfn.IFS(
    M741=0,0,
   ABS(N741 - S740 - P741-Q741) &lt; 1, N741 - S740-Q741,
    TRUE, P741
)</f>
        <v>0</v>
      </c>
      <c r="P741" s="1852">
        <f>IF(M741=0,0,ROUND(S740*EXP(Int_Rate/365.25 * M741)-S740,2))</f>
        <v>0</v>
      </c>
      <c r="Q741" s="1851" cm="1">
        <f t="array" ref="Q741">_xlfn.IFS(
    AND(I741=TRUE, K741&lt;=No_Regular_Payments), Periodic_Admin_Charge,
   TRUE, 0
)</f>
        <v>0</v>
      </c>
      <c r="R741" s="1850">
        <f>N741-O741-Q741</f>
        <v>0</v>
      </c>
      <c r="S741" s="1850">
        <f>ROUND(S740-R741,2)</f>
        <v>0</v>
      </c>
      <c r="T741" s="1850">
        <f>ROUND(T740-(N741-Q741),2)</f>
        <v>0</v>
      </c>
      <c r="U741" s="1849"/>
      <c r="W741" s="1848"/>
      <c r="X741" s="1848"/>
      <c r="Y741" s="1848"/>
    </row>
    <row r="742" spans="2:25" hidden="1">
      <c r="B742" s="1815" t="b">
        <f>AND(I742=FALSE,N741=0,Q741=0,L741="")</f>
        <v>1</v>
      </c>
      <c r="C742" s="1844" t="str" cm="1">
        <f t="array" ref="C742">_xlfn.IFS(
    L742="", "",
    MONTH(L742) &lt;= End_of_Year_Month, YEAR(L742),
    TRUE, YEAR(L742) + 1
)</f>
        <v/>
      </c>
      <c r="F742" s="1857">
        <f>IF(L742="",0,L742)</f>
        <v>0</v>
      </c>
      <c r="G742" s="1856">
        <f>-(N742-Q742)</f>
        <v>0</v>
      </c>
      <c r="I742" s="1815" t="b">
        <f>K742&lt;=Number_Payments</f>
        <v>0</v>
      </c>
      <c r="J742" s="1855"/>
      <c r="K742" s="1351">
        <f>K741+1</f>
        <v>616</v>
      </c>
      <c r="L742" s="1854" t="str" cm="1">
        <f t="array" ref="L742">_xlfn.IFS(
    I741=FALSE, "",
    Payment_Frequency="Monthly", EDATE(L741, 1),
    Payment_Frequency="Weekly", DATE(YEAR(L741), MONTH(L741), DAY(L741) + 7),
    Payment_Frequency="Fortnightly", DATE(YEAR(L741), MONTH(L741), DAY(L741) + 14),
    Payment_Frequency="Quarterly", DATE(YEAR(L741), MONTH(L741) + 3, DAY(L741)),
    Payment_Frequency="Yearly", DATE(YEAR(L741) + 1, MONTH(L741), DAY(L741)),
    TRUE, ""
)</f>
        <v/>
      </c>
      <c r="M742" s="1853">
        <f>IF(ISERROR(L742-L741),0,L742-L741)</f>
        <v>0</v>
      </c>
      <c r="N742" s="1851" cm="1">
        <f t="array" ref="N742">_xlfn.IFS(
    AND(I742=TRUE, K742&lt;=No_Regular_Payments), Repay_Amt,
    AND(I742=TRUE, K742=No_Regular_Payments+1), Tm_Balloon_Amt,
   TRUE, 0
)</f>
        <v>0</v>
      </c>
      <c r="O742" s="1850" cm="1">
        <f t="array" ref="O742">_xlfn.IFS(
    M742=0,0,
   ABS(N742 - S741 - P742-Q742) &lt; 1, N742 - S741-Q742,
    TRUE, P742
)</f>
        <v>0</v>
      </c>
      <c r="P742" s="1852">
        <f>IF(M742=0,0,ROUND(S741*EXP(Int_Rate/365.25 * M742)-S741,2))</f>
        <v>0</v>
      </c>
      <c r="Q742" s="1851" cm="1">
        <f t="array" ref="Q742">_xlfn.IFS(
    AND(I742=TRUE, K742&lt;=No_Regular_Payments), Periodic_Admin_Charge,
   TRUE, 0
)</f>
        <v>0</v>
      </c>
      <c r="R742" s="1850">
        <f>N742-O742-Q742</f>
        <v>0</v>
      </c>
      <c r="S742" s="1850">
        <f>ROUND(S741-R742,2)</f>
        <v>0</v>
      </c>
      <c r="T742" s="1850">
        <f>ROUND(T741-(N742-Q742),2)</f>
        <v>0</v>
      </c>
      <c r="U742" s="1849"/>
      <c r="W742" s="1848"/>
      <c r="X742" s="1848"/>
      <c r="Y742" s="1848"/>
    </row>
    <row r="743" spans="2:25" hidden="1">
      <c r="B743" s="1815" t="b">
        <f>AND(I743=FALSE,N742=0,Q742=0,L742="")</f>
        <v>1</v>
      </c>
      <c r="C743" s="1844" t="str" cm="1">
        <f t="array" ref="C743">_xlfn.IFS(
    L743="", "",
    MONTH(L743) &lt;= End_of_Year_Month, YEAR(L743),
    TRUE, YEAR(L743) + 1
)</f>
        <v/>
      </c>
      <c r="F743" s="1857">
        <f>IF(L743="",0,L743)</f>
        <v>0</v>
      </c>
      <c r="G743" s="1856">
        <f>-(N743-Q743)</f>
        <v>0</v>
      </c>
      <c r="I743" s="1815" t="b">
        <f>K743&lt;=Number_Payments</f>
        <v>0</v>
      </c>
      <c r="J743" s="1855"/>
      <c r="K743" s="1351">
        <f>K742+1</f>
        <v>617</v>
      </c>
      <c r="L743" s="1854" t="str" cm="1">
        <f t="array" ref="L743">_xlfn.IFS(
    I742=FALSE, "",
    Payment_Frequency="Monthly", EDATE(L742, 1),
    Payment_Frequency="Weekly", DATE(YEAR(L742), MONTH(L742), DAY(L742) + 7),
    Payment_Frequency="Fortnightly", DATE(YEAR(L742), MONTH(L742), DAY(L742) + 14),
    Payment_Frequency="Quarterly", DATE(YEAR(L742), MONTH(L742) + 3, DAY(L742)),
    Payment_Frequency="Yearly", DATE(YEAR(L742) + 1, MONTH(L742), DAY(L742)),
    TRUE, ""
)</f>
        <v/>
      </c>
      <c r="M743" s="1853">
        <f>IF(ISERROR(L743-L742),0,L743-L742)</f>
        <v>0</v>
      </c>
      <c r="N743" s="1851" cm="1">
        <f t="array" ref="N743">_xlfn.IFS(
    AND(I743=TRUE, K743&lt;=No_Regular_Payments), Repay_Amt,
    AND(I743=TRUE, K743=No_Regular_Payments+1), Tm_Balloon_Amt,
   TRUE, 0
)</f>
        <v>0</v>
      </c>
      <c r="O743" s="1850" cm="1">
        <f t="array" ref="O743">_xlfn.IFS(
    M743=0,0,
   ABS(N743 - S742 - P743-Q743) &lt; 1, N743 - S742-Q743,
    TRUE, P743
)</f>
        <v>0</v>
      </c>
      <c r="P743" s="1852">
        <f>IF(M743=0,0,ROUND(S742*EXP(Int_Rate/365.25 * M743)-S742,2))</f>
        <v>0</v>
      </c>
      <c r="Q743" s="1851" cm="1">
        <f t="array" ref="Q743">_xlfn.IFS(
    AND(I743=TRUE, K743&lt;=No_Regular_Payments), Periodic_Admin_Charge,
   TRUE, 0
)</f>
        <v>0</v>
      </c>
      <c r="R743" s="1850">
        <f>N743-O743-Q743</f>
        <v>0</v>
      </c>
      <c r="S743" s="1850">
        <f>ROUND(S742-R743,2)</f>
        <v>0</v>
      </c>
      <c r="T743" s="1850">
        <f>ROUND(T742-(N743-Q743),2)</f>
        <v>0</v>
      </c>
      <c r="U743" s="1849"/>
      <c r="W743" s="1848"/>
      <c r="X743" s="1848"/>
      <c r="Y743" s="1848"/>
    </row>
    <row r="744" spans="2:25" hidden="1">
      <c r="B744" s="1815" t="b">
        <f>AND(I744=FALSE,N743=0,Q743=0,L743="")</f>
        <v>1</v>
      </c>
      <c r="C744" s="1844" t="str" cm="1">
        <f t="array" ref="C744">_xlfn.IFS(
    L744="", "",
    MONTH(L744) &lt;= End_of_Year_Month, YEAR(L744),
    TRUE, YEAR(L744) + 1
)</f>
        <v/>
      </c>
      <c r="F744" s="1857">
        <f>IF(L744="",0,L744)</f>
        <v>0</v>
      </c>
      <c r="G744" s="1856">
        <f>-(N744-Q744)</f>
        <v>0</v>
      </c>
      <c r="I744" s="1815" t="b">
        <f>K744&lt;=Number_Payments</f>
        <v>0</v>
      </c>
      <c r="J744" s="1855"/>
      <c r="K744" s="1351">
        <f>K743+1</f>
        <v>618</v>
      </c>
      <c r="L744" s="1854" t="str" cm="1">
        <f t="array" ref="L744">_xlfn.IFS(
    I743=FALSE, "",
    Payment_Frequency="Monthly", EDATE(L743, 1),
    Payment_Frequency="Weekly", DATE(YEAR(L743), MONTH(L743), DAY(L743) + 7),
    Payment_Frequency="Fortnightly", DATE(YEAR(L743), MONTH(L743), DAY(L743) + 14),
    Payment_Frequency="Quarterly", DATE(YEAR(L743), MONTH(L743) + 3, DAY(L743)),
    Payment_Frequency="Yearly", DATE(YEAR(L743) + 1, MONTH(L743), DAY(L743)),
    TRUE, ""
)</f>
        <v/>
      </c>
      <c r="M744" s="1853">
        <f>IF(ISERROR(L744-L743),0,L744-L743)</f>
        <v>0</v>
      </c>
      <c r="N744" s="1851" cm="1">
        <f t="array" ref="N744">_xlfn.IFS(
    AND(I744=TRUE, K744&lt;=No_Regular_Payments), Repay_Amt,
    AND(I744=TRUE, K744=No_Regular_Payments+1), Tm_Balloon_Amt,
   TRUE, 0
)</f>
        <v>0</v>
      </c>
      <c r="O744" s="1850" cm="1">
        <f t="array" ref="O744">_xlfn.IFS(
    M744=0,0,
   ABS(N744 - S743 - P744-Q744) &lt; 1, N744 - S743-Q744,
    TRUE, P744
)</f>
        <v>0</v>
      </c>
      <c r="P744" s="1852">
        <f>IF(M744=0,0,ROUND(S743*EXP(Int_Rate/365.25 * M744)-S743,2))</f>
        <v>0</v>
      </c>
      <c r="Q744" s="1851" cm="1">
        <f t="array" ref="Q744">_xlfn.IFS(
    AND(I744=TRUE, K744&lt;=No_Regular_Payments), Periodic_Admin_Charge,
   TRUE, 0
)</f>
        <v>0</v>
      </c>
      <c r="R744" s="1850">
        <f>N744-O744-Q744</f>
        <v>0</v>
      </c>
      <c r="S744" s="1850">
        <f>ROUND(S743-R744,2)</f>
        <v>0</v>
      </c>
      <c r="T744" s="1850">
        <f>ROUND(T743-(N744-Q744),2)</f>
        <v>0</v>
      </c>
      <c r="U744" s="1849"/>
      <c r="W744" s="1848"/>
      <c r="X744" s="1848"/>
      <c r="Y744" s="1848"/>
    </row>
    <row r="745" spans="2:25" hidden="1">
      <c r="B745" s="1815" t="b">
        <f>AND(I745=FALSE,N744=0,Q744=0,L744="")</f>
        <v>1</v>
      </c>
      <c r="C745" s="1844" t="str" cm="1">
        <f t="array" ref="C745">_xlfn.IFS(
    L745="", "",
    MONTH(L745) &lt;= End_of_Year_Month, YEAR(L745),
    TRUE, YEAR(L745) + 1
)</f>
        <v/>
      </c>
      <c r="F745" s="1857">
        <f>IF(L745="",0,L745)</f>
        <v>0</v>
      </c>
      <c r="G745" s="1856">
        <f>-(N745-Q745)</f>
        <v>0</v>
      </c>
      <c r="I745" s="1815" t="b">
        <f>K745&lt;=Number_Payments</f>
        <v>0</v>
      </c>
      <c r="J745" s="1855"/>
      <c r="K745" s="1351">
        <f>K744+1</f>
        <v>619</v>
      </c>
      <c r="L745" s="1854" t="str" cm="1">
        <f t="array" ref="L745">_xlfn.IFS(
    I744=FALSE, "",
    Payment_Frequency="Monthly", EDATE(L744, 1),
    Payment_Frequency="Weekly", DATE(YEAR(L744), MONTH(L744), DAY(L744) + 7),
    Payment_Frequency="Fortnightly", DATE(YEAR(L744), MONTH(L744), DAY(L744) + 14),
    Payment_Frequency="Quarterly", DATE(YEAR(L744), MONTH(L744) + 3, DAY(L744)),
    Payment_Frequency="Yearly", DATE(YEAR(L744) + 1, MONTH(L744), DAY(L744)),
    TRUE, ""
)</f>
        <v/>
      </c>
      <c r="M745" s="1853">
        <f>IF(ISERROR(L745-L744),0,L745-L744)</f>
        <v>0</v>
      </c>
      <c r="N745" s="1851" cm="1">
        <f t="array" ref="N745">_xlfn.IFS(
    AND(I745=TRUE, K745&lt;=No_Regular_Payments), Repay_Amt,
    AND(I745=TRUE, K745=No_Regular_Payments+1), Tm_Balloon_Amt,
   TRUE, 0
)</f>
        <v>0</v>
      </c>
      <c r="O745" s="1850" cm="1">
        <f t="array" ref="O745">_xlfn.IFS(
    M745=0,0,
   ABS(N745 - S744 - P745-Q745) &lt; 1, N745 - S744-Q745,
    TRUE, P745
)</f>
        <v>0</v>
      </c>
      <c r="P745" s="1852">
        <f>IF(M745=0,0,ROUND(S744*EXP(Int_Rate/365.25 * M745)-S744,2))</f>
        <v>0</v>
      </c>
      <c r="Q745" s="1851" cm="1">
        <f t="array" ref="Q745">_xlfn.IFS(
    AND(I745=TRUE, K745&lt;=No_Regular_Payments), Periodic_Admin_Charge,
   TRUE, 0
)</f>
        <v>0</v>
      </c>
      <c r="R745" s="1850">
        <f>N745-O745-Q745</f>
        <v>0</v>
      </c>
      <c r="S745" s="1850">
        <f>ROUND(S744-R745,2)</f>
        <v>0</v>
      </c>
      <c r="T745" s="1850">
        <f>ROUND(T744-(N745-Q745),2)</f>
        <v>0</v>
      </c>
      <c r="U745" s="1849"/>
      <c r="W745" s="1848"/>
      <c r="X745" s="1848"/>
      <c r="Y745" s="1848"/>
    </row>
    <row r="746" spans="2:25" hidden="1">
      <c r="B746" s="1815" t="b">
        <f>AND(I746=FALSE,N745=0,Q745=0,L745="")</f>
        <v>1</v>
      </c>
      <c r="C746" s="1844" t="str" cm="1">
        <f t="array" ref="C746">_xlfn.IFS(
    L746="", "",
    MONTH(L746) &lt;= End_of_Year_Month, YEAR(L746),
    TRUE, YEAR(L746) + 1
)</f>
        <v/>
      </c>
      <c r="F746" s="1857">
        <f>IF(L746="",0,L746)</f>
        <v>0</v>
      </c>
      <c r="G746" s="1856">
        <f>-(N746-Q746)</f>
        <v>0</v>
      </c>
      <c r="I746" s="1815" t="b">
        <f>K746&lt;=Number_Payments</f>
        <v>0</v>
      </c>
      <c r="J746" s="1855"/>
      <c r="K746" s="1351">
        <f>K745+1</f>
        <v>620</v>
      </c>
      <c r="L746" s="1854" t="str" cm="1">
        <f t="array" ref="L746">_xlfn.IFS(
    I745=FALSE, "",
    Payment_Frequency="Monthly", EDATE(L745, 1),
    Payment_Frequency="Weekly", DATE(YEAR(L745), MONTH(L745), DAY(L745) + 7),
    Payment_Frequency="Fortnightly", DATE(YEAR(L745), MONTH(L745), DAY(L745) + 14),
    Payment_Frequency="Quarterly", DATE(YEAR(L745), MONTH(L745) + 3, DAY(L745)),
    Payment_Frequency="Yearly", DATE(YEAR(L745) + 1, MONTH(L745), DAY(L745)),
    TRUE, ""
)</f>
        <v/>
      </c>
      <c r="M746" s="1853">
        <f>IF(ISERROR(L746-L745),0,L746-L745)</f>
        <v>0</v>
      </c>
      <c r="N746" s="1851" cm="1">
        <f t="array" ref="N746">_xlfn.IFS(
    AND(I746=TRUE, K746&lt;=No_Regular_Payments), Repay_Amt,
    AND(I746=TRUE, K746=No_Regular_Payments+1), Tm_Balloon_Amt,
   TRUE, 0
)</f>
        <v>0</v>
      </c>
      <c r="O746" s="1850" cm="1">
        <f t="array" ref="O746">_xlfn.IFS(
    M746=0,0,
   ABS(N746 - S745 - P746-Q746) &lt; 1, N746 - S745-Q746,
    TRUE, P746
)</f>
        <v>0</v>
      </c>
      <c r="P746" s="1852">
        <f>IF(M746=0,0,ROUND(S745*EXP(Int_Rate/365.25 * M746)-S745,2))</f>
        <v>0</v>
      </c>
      <c r="Q746" s="1851" cm="1">
        <f t="array" ref="Q746">_xlfn.IFS(
    AND(I746=TRUE, K746&lt;=No_Regular_Payments), Periodic_Admin_Charge,
   TRUE, 0
)</f>
        <v>0</v>
      </c>
      <c r="R746" s="1850">
        <f>N746-O746-Q746</f>
        <v>0</v>
      </c>
      <c r="S746" s="1850">
        <f>ROUND(S745-R746,2)</f>
        <v>0</v>
      </c>
      <c r="T746" s="1850">
        <f>ROUND(T745-(N746-Q746),2)</f>
        <v>0</v>
      </c>
      <c r="U746" s="1849"/>
      <c r="W746" s="1848"/>
      <c r="X746" s="1848"/>
      <c r="Y746" s="1848"/>
    </row>
    <row r="747" spans="2:25" hidden="1">
      <c r="B747" s="1815" t="b">
        <f>AND(I747=FALSE,N746=0,Q746=0,L746="")</f>
        <v>1</v>
      </c>
      <c r="C747" s="1844" t="str" cm="1">
        <f t="array" ref="C747">_xlfn.IFS(
    L747="", "",
    MONTH(L747) &lt;= End_of_Year_Month, YEAR(L747),
    TRUE, YEAR(L747) + 1
)</f>
        <v/>
      </c>
      <c r="F747" s="1857">
        <f>IF(L747="",0,L747)</f>
        <v>0</v>
      </c>
      <c r="G747" s="1856">
        <f>-(N747-Q747)</f>
        <v>0</v>
      </c>
      <c r="I747" s="1815" t="b">
        <f>K747&lt;=Number_Payments</f>
        <v>0</v>
      </c>
      <c r="J747" s="1855"/>
      <c r="K747" s="1351">
        <f>K746+1</f>
        <v>621</v>
      </c>
      <c r="L747" s="1854" t="str" cm="1">
        <f t="array" ref="L747">_xlfn.IFS(
    I746=FALSE, "",
    Payment_Frequency="Monthly", EDATE(L746, 1),
    Payment_Frequency="Weekly", DATE(YEAR(L746), MONTH(L746), DAY(L746) + 7),
    Payment_Frequency="Fortnightly", DATE(YEAR(L746), MONTH(L746), DAY(L746) + 14),
    Payment_Frequency="Quarterly", DATE(YEAR(L746), MONTH(L746) + 3, DAY(L746)),
    Payment_Frequency="Yearly", DATE(YEAR(L746) + 1, MONTH(L746), DAY(L746)),
    TRUE, ""
)</f>
        <v/>
      </c>
      <c r="M747" s="1853">
        <f>IF(ISERROR(L747-L746),0,L747-L746)</f>
        <v>0</v>
      </c>
      <c r="N747" s="1851" cm="1">
        <f t="array" ref="N747">_xlfn.IFS(
    AND(I747=TRUE, K747&lt;=No_Regular_Payments), Repay_Amt,
    AND(I747=TRUE, K747=No_Regular_Payments+1), Tm_Balloon_Amt,
   TRUE, 0
)</f>
        <v>0</v>
      </c>
      <c r="O747" s="1850" cm="1">
        <f t="array" ref="O747">_xlfn.IFS(
    M747=0,0,
   ABS(N747 - S746 - P747-Q747) &lt; 1, N747 - S746-Q747,
    TRUE, P747
)</f>
        <v>0</v>
      </c>
      <c r="P747" s="1852">
        <f>IF(M747=0,0,ROUND(S746*EXP(Int_Rate/365.25 * M747)-S746,2))</f>
        <v>0</v>
      </c>
      <c r="Q747" s="1851" cm="1">
        <f t="array" ref="Q747">_xlfn.IFS(
    AND(I747=TRUE, K747&lt;=No_Regular_Payments), Periodic_Admin_Charge,
   TRUE, 0
)</f>
        <v>0</v>
      </c>
      <c r="R747" s="1850">
        <f>N747-O747-Q747</f>
        <v>0</v>
      </c>
      <c r="S747" s="1850">
        <f>ROUND(S746-R747,2)</f>
        <v>0</v>
      </c>
      <c r="T747" s="1850">
        <f>ROUND(T746-(N747-Q747),2)</f>
        <v>0</v>
      </c>
      <c r="U747" s="1849"/>
      <c r="W747" s="1848"/>
      <c r="X747" s="1848"/>
      <c r="Y747" s="1848"/>
    </row>
    <row r="748" spans="2:25" hidden="1">
      <c r="B748" s="1815" t="b">
        <f>AND(I748=FALSE,N747=0,Q747=0,L747="")</f>
        <v>1</v>
      </c>
      <c r="C748" s="1844" t="str" cm="1">
        <f t="array" ref="C748">_xlfn.IFS(
    L748="", "",
    MONTH(L748) &lt;= End_of_Year_Month, YEAR(L748),
    TRUE, YEAR(L748) + 1
)</f>
        <v/>
      </c>
      <c r="F748" s="1857">
        <f>IF(L748="",0,L748)</f>
        <v>0</v>
      </c>
      <c r="G748" s="1856">
        <f>-(N748-Q748)</f>
        <v>0</v>
      </c>
      <c r="I748" s="1815" t="b">
        <f>K748&lt;=Number_Payments</f>
        <v>0</v>
      </c>
      <c r="J748" s="1855"/>
      <c r="K748" s="1351">
        <f>K747+1</f>
        <v>622</v>
      </c>
      <c r="L748" s="1854" t="str" cm="1">
        <f t="array" ref="L748">_xlfn.IFS(
    I747=FALSE, "",
    Payment_Frequency="Monthly", EDATE(L747, 1),
    Payment_Frequency="Weekly", DATE(YEAR(L747), MONTH(L747), DAY(L747) + 7),
    Payment_Frequency="Fortnightly", DATE(YEAR(L747), MONTH(L747), DAY(L747) + 14),
    Payment_Frequency="Quarterly", DATE(YEAR(L747), MONTH(L747) + 3, DAY(L747)),
    Payment_Frequency="Yearly", DATE(YEAR(L747) + 1, MONTH(L747), DAY(L747)),
    TRUE, ""
)</f>
        <v/>
      </c>
      <c r="M748" s="1853">
        <f>IF(ISERROR(L748-L747),0,L748-L747)</f>
        <v>0</v>
      </c>
      <c r="N748" s="1851" cm="1">
        <f t="array" ref="N748">_xlfn.IFS(
    AND(I748=TRUE, K748&lt;=No_Regular_Payments), Repay_Amt,
    AND(I748=TRUE, K748=No_Regular_Payments+1), Tm_Balloon_Amt,
   TRUE, 0
)</f>
        <v>0</v>
      </c>
      <c r="O748" s="1850" cm="1">
        <f t="array" ref="O748">_xlfn.IFS(
    M748=0,0,
   ABS(N748 - S747 - P748-Q748) &lt; 1, N748 - S747-Q748,
    TRUE, P748
)</f>
        <v>0</v>
      </c>
      <c r="P748" s="1852">
        <f>IF(M748=0,0,ROUND(S747*EXP(Int_Rate/365.25 * M748)-S747,2))</f>
        <v>0</v>
      </c>
      <c r="Q748" s="1851" cm="1">
        <f t="array" ref="Q748">_xlfn.IFS(
    AND(I748=TRUE, K748&lt;=No_Regular_Payments), Periodic_Admin_Charge,
   TRUE, 0
)</f>
        <v>0</v>
      </c>
      <c r="R748" s="1850">
        <f>N748-O748-Q748</f>
        <v>0</v>
      </c>
      <c r="S748" s="1850">
        <f>ROUND(S747-R748,2)</f>
        <v>0</v>
      </c>
      <c r="T748" s="1850">
        <f>ROUND(T747-(N748-Q748),2)</f>
        <v>0</v>
      </c>
      <c r="U748" s="1849"/>
      <c r="W748" s="1848"/>
      <c r="X748" s="1848"/>
      <c r="Y748" s="1848"/>
    </row>
    <row r="749" spans="2:25" hidden="1">
      <c r="B749" s="1815" t="b">
        <f>AND(I749=FALSE,N748=0,Q748=0,L748="")</f>
        <v>1</v>
      </c>
      <c r="C749" s="1844" t="str" cm="1">
        <f t="array" ref="C749">_xlfn.IFS(
    L749="", "",
    MONTH(L749) &lt;= End_of_Year_Month, YEAR(L749),
    TRUE, YEAR(L749) + 1
)</f>
        <v/>
      </c>
      <c r="F749" s="1857">
        <f>IF(L749="",0,L749)</f>
        <v>0</v>
      </c>
      <c r="G749" s="1856">
        <f>-(N749-Q749)</f>
        <v>0</v>
      </c>
      <c r="I749" s="1815" t="b">
        <f>K749&lt;=Number_Payments</f>
        <v>0</v>
      </c>
      <c r="J749" s="1855"/>
      <c r="K749" s="1351">
        <f>K748+1</f>
        <v>623</v>
      </c>
      <c r="L749" s="1854" t="str" cm="1">
        <f t="array" ref="L749">_xlfn.IFS(
    I748=FALSE, "",
    Payment_Frequency="Monthly", EDATE(L748, 1),
    Payment_Frequency="Weekly", DATE(YEAR(L748), MONTH(L748), DAY(L748) + 7),
    Payment_Frequency="Fortnightly", DATE(YEAR(L748), MONTH(L748), DAY(L748) + 14),
    Payment_Frequency="Quarterly", DATE(YEAR(L748), MONTH(L748) + 3, DAY(L748)),
    Payment_Frequency="Yearly", DATE(YEAR(L748) + 1, MONTH(L748), DAY(L748)),
    TRUE, ""
)</f>
        <v/>
      </c>
      <c r="M749" s="1853">
        <f>IF(ISERROR(L749-L748),0,L749-L748)</f>
        <v>0</v>
      </c>
      <c r="N749" s="1851" cm="1">
        <f t="array" ref="N749">_xlfn.IFS(
    AND(I749=TRUE, K749&lt;=No_Regular_Payments), Repay_Amt,
    AND(I749=TRUE, K749=No_Regular_Payments+1), Tm_Balloon_Amt,
   TRUE, 0
)</f>
        <v>0</v>
      </c>
      <c r="O749" s="1850" cm="1">
        <f t="array" ref="O749">_xlfn.IFS(
    M749=0,0,
   ABS(N749 - S748 - P749-Q749) &lt; 1, N749 - S748-Q749,
    TRUE, P749
)</f>
        <v>0</v>
      </c>
      <c r="P749" s="1852">
        <f>IF(M749=0,0,ROUND(S748*EXP(Int_Rate/365.25 * M749)-S748,2))</f>
        <v>0</v>
      </c>
      <c r="Q749" s="1851" cm="1">
        <f t="array" ref="Q749">_xlfn.IFS(
    AND(I749=TRUE, K749&lt;=No_Regular_Payments), Periodic_Admin_Charge,
   TRUE, 0
)</f>
        <v>0</v>
      </c>
      <c r="R749" s="1850">
        <f>N749-O749-Q749</f>
        <v>0</v>
      </c>
      <c r="S749" s="1850">
        <f>ROUND(S748-R749,2)</f>
        <v>0</v>
      </c>
      <c r="T749" s="1850">
        <f>ROUND(T748-(N749-Q749),2)</f>
        <v>0</v>
      </c>
      <c r="U749" s="1849"/>
      <c r="W749" s="1848"/>
      <c r="X749" s="1848"/>
      <c r="Y749" s="1848"/>
    </row>
    <row r="750" spans="2:25" hidden="1">
      <c r="B750" s="1815" t="b">
        <f>AND(I750=FALSE,N749=0,Q749=0,L749="")</f>
        <v>1</v>
      </c>
      <c r="C750" s="1844" t="str" cm="1">
        <f t="array" ref="C750">_xlfn.IFS(
    L750="", "",
    MONTH(L750) &lt;= End_of_Year_Month, YEAR(L750),
    TRUE, YEAR(L750) + 1
)</f>
        <v/>
      </c>
      <c r="F750" s="1857">
        <f>IF(L750="",0,L750)</f>
        <v>0</v>
      </c>
      <c r="G750" s="1856">
        <f>-(N750-Q750)</f>
        <v>0</v>
      </c>
      <c r="I750" s="1815" t="b">
        <f>K750&lt;=Number_Payments</f>
        <v>0</v>
      </c>
      <c r="J750" s="1855"/>
      <c r="K750" s="1351">
        <f>K749+1</f>
        <v>624</v>
      </c>
      <c r="L750" s="1854" t="str" cm="1">
        <f t="array" ref="L750">_xlfn.IFS(
    I749=FALSE, "",
    Payment_Frequency="Monthly", EDATE(L749, 1),
    Payment_Frequency="Weekly", DATE(YEAR(L749), MONTH(L749), DAY(L749) + 7),
    Payment_Frequency="Fortnightly", DATE(YEAR(L749), MONTH(L749), DAY(L749) + 14),
    Payment_Frequency="Quarterly", DATE(YEAR(L749), MONTH(L749) + 3, DAY(L749)),
    Payment_Frequency="Yearly", DATE(YEAR(L749) + 1, MONTH(L749), DAY(L749)),
    TRUE, ""
)</f>
        <v/>
      </c>
      <c r="M750" s="1853">
        <f>IF(ISERROR(L750-L749),0,L750-L749)</f>
        <v>0</v>
      </c>
      <c r="N750" s="1851" cm="1">
        <f t="array" ref="N750">_xlfn.IFS(
    AND(I750=TRUE, K750&lt;=No_Regular_Payments), Repay_Amt,
    AND(I750=TRUE, K750=No_Regular_Payments+1), Tm_Balloon_Amt,
   TRUE, 0
)</f>
        <v>0</v>
      </c>
      <c r="O750" s="1850" cm="1">
        <f t="array" ref="O750">_xlfn.IFS(
    M750=0,0,
   ABS(N750 - S749 - P750-Q750) &lt; 1, N750 - S749-Q750,
    TRUE, P750
)</f>
        <v>0</v>
      </c>
      <c r="P750" s="1852">
        <f>IF(M750=0,0,ROUND(S749*EXP(Int_Rate/365.25 * M750)-S749,2))</f>
        <v>0</v>
      </c>
      <c r="Q750" s="1851" cm="1">
        <f t="array" ref="Q750">_xlfn.IFS(
    AND(I750=TRUE, K750&lt;=No_Regular_Payments), Periodic_Admin_Charge,
   TRUE, 0
)</f>
        <v>0</v>
      </c>
      <c r="R750" s="1850">
        <f>N750-O750-Q750</f>
        <v>0</v>
      </c>
      <c r="S750" s="1850">
        <f>ROUND(S749-R750,2)</f>
        <v>0</v>
      </c>
      <c r="T750" s="1850">
        <f>ROUND(T749-(N750-Q750),2)</f>
        <v>0</v>
      </c>
      <c r="U750" s="1849"/>
      <c r="W750" s="1848"/>
      <c r="X750" s="1848"/>
      <c r="Y750" s="1848"/>
    </row>
    <row r="751" spans="2:25" hidden="1">
      <c r="B751" s="1815" t="b">
        <f>AND(I751=FALSE,N750=0,Q750=0,L750="")</f>
        <v>1</v>
      </c>
      <c r="C751" s="1844" t="str" cm="1">
        <f t="array" ref="C751">_xlfn.IFS(
    L751="", "",
    MONTH(L751) &lt;= End_of_Year_Month, YEAR(L751),
    TRUE, YEAR(L751) + 1
)</f>
        <v/>
      </c>
      <c r="F751" s="1857">
        <f>IF(L751="",0,L751)</f>
        <v>0</v>
      </c>
      <c r="G751" s="1856">
        <f>-(N751-Q751)</f>
        <v>0</v>
      </c>
      <c r="I751" s="1815" t="b">
        <f>K751&lt;=Number_Payments</f>
        <v>0</v>
      </c>
      <c r="J751" s="1855"/>
      <c r="K751" s="1351">
        <f>K750+1</f>
        <v>625</v>
      </c>
      <c r="L751" s="1854" t="str" cm="1">
        <f t="array" ref="L751">_xlfn.IFS(
    I750=FALSE, "",
    Payment_Frequency="Monthly", EDATE(L750, 1),
    Payment_Frequency="Weekly", DATE(YEAR(L750), MONTH(L750), DAY(L750) + 7),
    Payment_Frequency="Fortnightly", DATE(YEAR(L750), MONTH(L750), DAY(L750) + 14),
    Payment_Frequency="Quarterly", DATE(YEAR(L750), MONTH(L750) + 3, DAY(L750)),
    Payment_Frequency="Yearly", DATE(YEAR(L750) + 1, MONTH(L750), DAY(L750)),
    TRUE, ""
)</f>
        <v/>
      </c>
      <c r="M751" s="1853">
        <f>IF(ISERROR(L751-L750),0,L751-L750)</f>
        <v>0</v>
      </c>
      <c r="N751" s="1851" cm="1">
        <f t="array" ref="N751">_xlfn.IFS(
    AND(I751=TRUE, K751&lt;=No_Regular_Payments), Repay_Amt,
    AND(I751=TRUE, K751=No_Regular_Payments+1), Tm_Balloon_Amt,
   TRUE, 0
)</f>
        <v>0</v>
      </c>
      <c r="O751" s="1850" cm="1">
        <f t="array" ref="O751">_xlfn.IFS(
    M751=0,0,
   ABS(N751 - S750 - P751-Q751) &lt; 1, N751 - S750-Q751,
    TRUE, P751
)</f>
        <v>0</v>
      </c>
      <c r="P751" s="1852">
        <f>IF(M751=0,0,ROUND(S750*EXP(Int_Rate/365.25 * M751)-S750,2))</f>
        <v>0</v>
      </c>
      <c r="Q751" s="1851" cm="1">
        <f t="array" ref="Q751">_xlfn.IFS(
    AND(I751=TRUE, K751&lt;=No_Regular_Payments), Periodic_Admin_Charge,
   TRUE, 0
)</f>
        <v>0</v>
      </c>
      <c r="R751" s="1850">
        <f>N751-O751-Q751</f>
        <v>0</v>
      </c>
      <c r="S751" s="1850">
        <f>ROUND(S750-R751,2)</f>
        <v>0</v>
      </c>
      <c r="T751" s="1850">
        <f>ROUND(T750-(N751-Q751),2)</f>
        <v>0</v>
      </c>
      <c r="U751" s="1849"/>
      <c r="W751" s="1848"/>
      <c r="X751" s="1848"/>
      <c r="Y751" s="1848"/>
    </row>
    <row r="752" spans="2:25" hidden="1">
      <c r="B752" s="1815" t="b">
        <f>AND(I752=FALSE,N751=0,Q751=0,L751="")</f>
        <v>1</v>
      </c>
      <c r="C752" s="1844" t="str" cm="1">
        <f t="array" ref="C752">_xlfn.IFS(
    L752="", "",
    MONTH(L752) &lt;= End_of_Year_Month, YEAR(L752),
    TRUE, YEAR(L752) + 1
)</f>
        <v/>
      </c>
      <c r="F752" s="1857">
        <f>IF(L752="",0,L752)</f>
        <v>0</v>
      </c>
      <c r="G752" s="1856">
        <f>-(N752-Q752)</f>
        <v>0</v>
      </c>
      <c r="I752" s="1815" t="b">
        <f>K752&lt;=Number_Payments</f>
        <v>0</v>
      </c>
      <c r="J752" s="1855"/>
      <c r="K752" s="1351">
        <f>K751+1</f>
        <v>626</v>
      </c>
      <c r="L752" s="1854" t="str" cm="1">
        <f t="array" ref="L752">_xlfn.IFS(
    I751=FALSE, "",
    Payment_Frequency="Monthly", EDATE(L751, 1),
    Payment_Frequency="Weekly", DATE(YEAR(L751), MONTH(L751), DAY(L751) + 7),
    Payment_Frequency="Fortnightly", DATE(YEAR(L751), MONTH(L751), DAY(L751) + 14),
    Payment_Frequency="Quarterly", DATE(YEAR(L751), MONTH(L751) + 3, DAY(L751)),
    Payment_Frequency="Yearly", DATE(YEAR(L751) + 1, MONTH(L751), DAY(L751)),
    TRUE, ""
)</f>
        <v/>
      </c>
      <c r="M752" s="1853">
        <f>IF(ISERROR(L752-L751),0,L752-L751)</f>
        <v>0</v>
      </c>
      <c r="N752" s="1851" cm="1">
        <f t="array" ref="N752">_xlfn.IFS(
    AND(I752=TRUE, K752&lt;=No_Regular_Payments), Repay_Amt,
    AND(I752=TRUE, K752=No_Regular_Payments+1), Tm_Balloon_Amt,
   TRUE, 0
)</f>
        <v>0</v>
      </c>
      <c r="O752" s="1850" cm="1">
        <f t="array" ref="O752">_xlfn.IFS(
    M752=0,0,
   ABS(N752 - S751 - P752-Q752) &lt; 1, N752 - S751-Q752,
    TRUE, P752
)</f>
        <v>0</v>
      </c>
      <c r="P752" s="1852">
        <f>IF(M752=0,0,ROUND(S751*EXP(Int_Rate/365.25 * M752)-S751,2))</f>
        <v>0</v>
      </c>
      <c r="Q752" s="1851" cm="1">
        <f t="array" ref="Q752">_xlfn.IFS(
    AND(I752=TRUE, K752&lt;=No_Regular_Payments), Periodic_Admin_Charge,
   TRUE, 0
)</f>
        <v>0</v>
      </c>
      <c r="R752" s="1850">
        <f>N752-O752-Q752</f>
        <v>0</v>
      </c>
      <c r="S752" s="1850">
        <f>ROUND(S751-R752,2)</f>
        <v>0</v>
      </c>
      <c r="T752" s="1850">
        <f>ROUND(T751-(N752-Q752),2)</f>
        <v>0</v>
      </c>
      <c r="U752" s="1849"/>
      <c r="W752" s="1848"/>
      <c r="X752" s="1848"/>
      <c r="Y752" s="1848"/>
    </row>
    <row r="753" spans="2:25" hidden="1">
      <c r="B753" s="1815" t="b">
        <f>AND(I753=FALSE,N752=0,Q752=0,L752="")</f>
        <v>1</v>
      </c>
      <c r="C753" s="1844" t="str" cm="1">
        <f t="array" ref="C753">_xlfn.IFS(
    L753="", "",
    MONTH(L753) &lt;= End_of_Year_Month, YEAR(L753),
    TRUE, YEAR(L753) + 1
)</f>
        <v/>
      </c>
      <c r="F753" s="1857">
        <f>IF(L753="",0,L753)</f>
        <v>0</v>
      </c>
      <c r="G753" s="1856">
        <f>-(N753-Q753)</f>
        <v>0</v>
      </c>
      <c r="I753" s="1815" t="b">
        <f>K753&lt;=Number_Payments</f>
        <v>0</v>
      </c>
      <c r="J753" s="1855"/>
      <c r="K753" s="1351">
        <f>K752+1</f>
        <v>627</v>
      </c>
      <c r="L753" s="1854" t="str" cm="1">
        <f t="array" ref="L753">_xlfn.IFS(
    I752=FALSE, "",
    Payment_Frequency="Monthly", EDATE(L752, 1),
    Payment_Frequency="Weekly", DATE(YEAR(L752), MONTH(L752), DAY(L752) + 7),
    Payment_Frequency="Fortnightly", DATE(YEAR(L752), MONTH(L752), DAY(L752) + 14),
    Payment_Frequency="Quarterly", DATE(YEAR(L752), MONTH(L752) + 3, DAY(L752)),
    Payment_Frequency="Yearly", DATE(YEAR(L752) + 1, MONTH(L752), DAY(L752)),
    TRUE, ""
)</f>
        <v/>
      </c>
      <c r="M753" s="1853">
        <f>IF(ISERROR(L753-L752),0,L753-L752)</f>
        <v>0</v>
      </c>
      <c r="N753" s="1851" cm="1">
        <f t="array" ref="N753">_xlfn.IFS(
    AND(I753=TRUE, K753&lt;=No_Regular_Payments), Repay_Amt,
    AND(I753=TRUE, K753=No_Regular_Payments+1), Tm_Balloon_Amt,
   TRUE, 0
)</f>
        <v>0</v>
      </c>
      <c r="O753" s="1850" cm="1">
        <f t="array" ref="O753">_xlfn.IFS(
    M753=0,0,
   ABS(N753 - S752 - P753-Q753) &lt; 1, N753 - S752-Q753,
    TRUE, P753
)</f>
        <v>0</v>
      </c>
      <c r="P753" s="1852">
        <f>IF(M753=0,0,ROUND(S752*EXP(Int_Rate/365.25 * M753)-S752,2))</f>
        <v>0</v>
      </c>
      <c r="Q753" s="1851" cm="1">
        <f t="array" ref="Q753">_xlfn.IFS(
    AND(I753=TRUE, K753&lt;=No_Regular_Payments), Periodic_Admin_Charge,
   TRUE, 0
)</f>
        <v>0</v>
      </c>
      <c r="R753" s="1850">
        <f>N753-O753-Q753</f>
        <v>0</v>
      </c>
      <c r="S753" s="1850">
        <f>ROUND(S752-R753,2)</f>
        <v>0</v>
      </c>
      <c r="T753" s="1850">
        <f>ROUND(T752-(N753-Q753),2)</f>
        <v>0</v>
      </c>
      <c r="U753" s="1849"/>
      <c r="W753" s="1848"/>
      <c r="X753" s="1848"/>
      <c r="Y753" s="1848"/>
    </row>
    <row r="754" spans="2:25" hidden="1">
      <c r="B754" s="1815" t="b">
        <f>AND(I754=FALSE,N753=0,Q753=0,L753="")</f>
        <v>1</v>
      </c>
      <c r="C754" s="1844" t="str" cm="1">
        <f t="array" ref="C754">_xlfn.IFS(
    L754="", "",
    MONTH(L754) &lt;= End_of_Year_Month, YEAR(L754),
    TRUE, YEAR(L754) + 1
)</f>
        <v/>
      </c>
      <c r="F754" s="1857">
        <f>IF(L754="",0,L754)</f>
        <v>0</v>
      </c>
      <c r="G754" s="1856">
        <f>-(N754-Q754)</f>
        <v>0</v>
      </c>
      <c r="I754" s="1815" t="b">
        <f>K754&lt;=Number_Payments</f>
        <v>0</v>
      </c>
      <c r="J754" s="1855"/>
      <c r="K754" s="1351">
        <f>K753+1</f>
        <v>628</v>
      </c>
      <c r="L754" s="1854" t="str" cm="1">
        <f t="array" ref="L754">_xlfn.IFS(
    I753=FALSE, "",
    Payment_Frequency="Monthly", EDATE(L753, 1),
    Payment_Frequency="Weekly", DATE(YEAR(L753), MONTH(L753), DAY(L753) + 7),
    Payment_Frequency="Fortnightly", DATE(YEAR(L753), MONTH(L753), DAY(L753) + 14),
    Payment_Frequency="Quarterly", DATE(YEAR(L753), MONTH(L753) + 3, DAY(L753)),
    Payment_Frequency="Yearly", DATE(YEAR(L753) + 1, MONTH(L753), DAY(L753)),
    TRUE, ""
)</f>
        <v/>
      </c>
      <c r="M754" s="1853">
        <f>IF(ISERROR(L754-L753),0,L754-L753)</f>
        <v>0</v>
      </c>
      <c r="N754" s="1851" cm="1">
        <f t="array" ref="N754">_xlfn.IFS(
    AND(I754=TRUE, K754&lt;=No_Regular_Payments), Repay_Amt,
    AND(I754=TRUE, K754=No_Regular_Payments+1), Tm_Balloon_Amt,
   TRUE, 0
)</f>
        <v>0</v>
      </c>
      <c r="O754" s="1850" cm="1">
        <f t="array" ref="O754">_xlfn.IFS(
    M754=0,0,
   ABS(N754 - S753 - P754-Q754) &lt; 1, N754 - S753-Q754,
    TRUE, P754
)</f>
        <v>0</v>
      </c>
      <c r="P754" s="1852">
        <f>IF(M754=0,0,ROUND(S753*EXP(Int_Rate/365.25 * M754)-S753,2))</f>
        <v>0</v>
      </c>
      <c r="Q754" s="1851" cm="1">
        <f t="array" ref="Q754">_xlfn.IFS(
    AND(I754=TRUE, K754&lt;=No_Regular_Payments), Periodic_Admin_Charge,
   TRUE, 0
)</f>
        <v>0</v>
      </c>
      <c r="R754" s="1850">
        <f>N754-O754-Q754</f>
        <v>0</v>
      </c>
      <c r="S754" s="1850">
        <f>ROUND(S753-R754,2)</f>
        <v>0</v>
      </c>
      <c r="T754" s="1850">
        <f>ROUND(T753-(N754-Q754),2)</f>
        <v>0</v>
      </c>
      <c r="U754" s="1849"/>
      <c r="W754" s="1848"/>
      <c r="X754" s="1848"/>
      <c r="Y754" s="1848"/>
    </row>
    <row r="755" spans="2:25" hidden="1">
      <c r="B755" s="1815" t="b">
        <f>AND(I755=FALSE,N754=0,Q754=0,L754="")</f>
        <v>1</v>
      </c>
      <c r="C755" s="1844" t="str" cm="1">
        <f t="array" ref="C755">_xlfn.IFS(
    L755="", "",
    MONTH(L755) &lt;= End_of_Year_Month, YEAR(L755),
    TRUE, YEAR(L755) + 1
)</f>
        <v/>
      </c>
      <c r="F755" s="1857">
        <f>IF(L755="",0,L755)</f>
        <v>0</v>
      </c>
      <c r="G755" s="1856">
        <f>-(N755-Q755)</f>
        <v>0</v>
      </c>
      <c r="I755" s="1815" t="b">
        <f>K755&lt;=Number_Payments</f>
        <v>0</v>
      </c>
      <c r="J755" s="1855"/>
      <c r="K755" s="1351">
        <f>K754+1</f>
        <v>629</v>
      </c>
      <c r="L755" s="1854" t="str" cm="1">
        <f t="array" ref="L755">_xlfn.IFS(
    I754=FALSE, "",
    Payment_Frequency="Monthly", EDATE(L754, 1),
    Payment_Frequency="Weekly", DATE(YEAR(L754), MONTH(L754), DAY(L754) + 7),
    Payment_Frequency="Fortnightly", DATE(YEAR(L754), MONTH(L754), DAY(L754) + 14),
    Payment_Frequency="Quarterly", DATE(YEAR(L754), MONTH(L754) + 3, DAY(L754)),
    Payment_Frequency="Yearly", DATE(YEAR(L754) + 1, MONTH(L754), DAY(L754)),
    TRUE, ""
)</f>
        <v/>
      </c>
      <c r="M755" s="1853">
        <f>IF(ISERROR(L755-L754),0,L755-L754)</f>
        <v>0</v>
      </c>
      <c r="N755" s="1851" cm="1">
        <f t="array" ref="N755">_xlfn.IFS(
    AND(I755=TRUE, K755&lt;=No_Regular_Payments), Repay_Amt,
    AND(I755=TRUE, K755=No_Regular_Payments+1), Tm_Balloon_Amt,
   TRUE, 0
)</f>
        <v>0</v>
      </c>
      <c r="O755" s="1850" cm="1">
        <f t="array" ref="O755">_xlfn.IFS(
    M755=0,0,
   ABS(N755 - S754 - P755-Q755) &lt; 1, N755 - S754-Q755,
    TRUE, P755
)</f>
        <v>0</v>
      </c>
      <c r="P755" s="1852">
        <f>IF(M755=0,0,ROUND(S754*EXP(Int_Rate/365.25 * M755)-S754,2))</f>
        <v>0</v>
      </c>
      <c r="Q755" s="1851" cm="1">
        <f t="array" ref="Q755">_xlfn.IFS(
    AND(I755=TRUE, K755&lt;=No_Regular_Payments), Periodic_Admin_Charge,
   TRUE, 0
)</f>
        <v>0</v>
      </c>
      <c r="R755" s="1850">
        <f>N755-O755-Q755</f>
        <v>0</v>
      </c>
      <c r="S755" s="1850">
        <f>ROUND(S754-R755,2)</f>
        <v>0</v>
      </c>
      <c r="T755" s="1850">
        <f>ROUND(T754-(N755-Q755),2)</f>
        <v>0</v>
      </c>
      <c r="U755" s="1849"/>
      <c r="W755" s="1848"/>
      <c r="X755" s="1848"/>
      <c r="Y755" s="1848"/>
    </row>
    <row r="756" spans="2:25" hidden="1">
      <c r="B756" s="1815" t="b">
        <f>AND(I756=FALSE,N755=0,Q755=0,L755="")</f>
        <v>1</v>
      </c>
      <c r="C756" s="1844" t="str" cm="1">
        <f t="array" ref="C756">_xlfn.IFS(
    L756="", "",
    MONTH(L756) &lt;= End_of_Year_Month, YEAR(L756),
    TRUE, YEAR(L756) + 1
)</f>
        <v/>
      </c>
      <c r="F756" s="1857">
        <f>IF(L756="",0,L756)</f>
        <v>0</v>
      </c>
      <c r="G756" s="1856">
        <f>-(N756-Q756)</f>
        <v>0</v>
      </c>
      <c r="I756" s="1815" t="b">
        <f>K756&lt;=Number_Payments</f>
        <v>0</v>
      </c>
      <c r="J756" s="1855"/>
      <c r="K756" s="1351">
        <f>K755+1</f>
        <v>630</v>
      </c>
      <c r="L756" s="1854" t="str" cm="1">
        <f t="array" ref="L756">_xlfn.IFS(
    I755=FALSE, "",
    Payment_Frequency="Monthly", EDATE(L755, 1),
    Payment_Frequency="Weekly", DATE(YEAR(L755), MONTH(L755), DAY(L755) + 7),
    Payment_Frequency="Fortnightly", DATE(YEAR(L755), MONTH(L755), DAY(L755) + 14),
    Payment_Frequency="Quarterly", DATE(YEAR(L755), MONTH(L755) + 3, DAY(L755)),
    Payment_Frequency="Yearly", DATE(YEAR(L755) + 1, MONTH(L755), DAY(L755)),
    TRUE, ""
)</f>
        <v/>
      </c>
      <c r="M756" s="1853">
        <f>IF(ISERROR(L756-L755),0,L756-L755)</f>
        <v>0</v>
      </c>
      <c r="N756" s="1851" cm="1">
        <f t="array" ref="N756">_xlfn.IFS(
    AND(I756=TRUE, K756&lt;=No_Regular_Payments), Repay_Amt,
    AND(I756=TRUE, K756=No_Regular_Payments+1), Tm_Balloon_Amt,
   TRUE, 0
)</f>
        <v>0</v>
      </c>
      <c r="O756" s="1850" cm="1">
        <f t="array" ref="O756">_xlfn.IFS(
    M756=0,0,
   ABS(N756 - S755 - P756-Q756) &lt; 1, N756 - S755-Q756,
    TRUE, P756
)</f>
        <v>0</v>
      </c>
      <c r="P756" s="1852">
        <f>IF(M756=0,0,ROUND(S755*EXP(Int_Rate/365.25 * M756)-S755,2))</f>
        <v>0</v>
      </c>
      <c r="Q756" s="1851" cm="1">
        <f t="array" ref="Q756">_xlfn.IFS(
    AND(I756=TRUE, K756&lt;=No_Regular_Payments), Periodic_Admin_Charge,
   TRUE, 0
)</f>
        <v>0</v>
      </c>
      <c r="R756" s="1850">
        <f>N756-O756-Q756</f>
        <v>0</v>
      </c>
      <c r="S756" s="1850">
        <f>ROUND(S755-R756,2)</f>
        <v>0</v>
      </c>
      <c r="T756" s="1850">
        <f>ROUND(T755-(N756-Q756),2)</f>
        <v>0</v>
      </c>
      <c r="U756" s="1849"/>
      <c r="W756" s="1848"/>
      <c r="X756" s="1848"/>
      <c r="Y756" s="1848"/>
    </row>
    <row r="757" spans="2:25" hidden="1">
      <c r="B757" s="1815" t="b">
        <f>AND(I757=FALSE,N756=0,Q756=0,L756="")</f>
        <v>1</v>
      </c>
      <c r="C757" s="1844" t="str" cm="1">
        <f t="array" ref="C757">_xlfn.IFS(
    L757="", "",
    MONTH(L757) &lt;= End_of_Year_Month, YEAR(L757),
    TRUE, YEAR(L757) + 1
)</f>
        <v/>
      </c>
      <c r="F757" s="1857">
        <f>IF(L757="",0,L757)</f>
        <v>0</v>
      </c>
      <c r="G757" s="1856">
        <f>-(N757-Q757)</f>
        <v>0</v>
      </c>
      <c r="I757" s="1815" t="b">
        <f>K757&lt;=Number_Payments</f>
        <v>0</v>
      </c>
      <c r="J757" s="1855"/>
      <c r="K757" s="1351">
        <f>K756+1</f>
        <v>631</v>
      </c>
      <c r="L757" s="1854" t="str" cm="1">
        <f t="array" ref="L757">_xlfn.IFS(
    I756=FALSE, "",
    Payment_Frequency="Monthly", EDATE(L756, 1),
    Payment_Frequency="Weekly", DATE(YEAR(L756), MONTH(L756), DAY(L756) + 7),
    Payment_Frequency="Fortnightly", DATE(YEAR(L756), MONTH(L756), DAY(L756) + 14),
    Payment_Frequency="Quarterly", DATE(YEAR(L756), MONTH(L756) + 3, DAY(L756)),
    Payment_Frequency="Yearly", DATE(YEAR(L756) + 1, MONTH(L756), DAY(L756)),
    TRUE, ""
)</f>
        <v/>
      </c>
      <c r="M757" s="1853">
        <f>IF(ISERROR(L757-L756),0,L757-L756)</f>
        <v>0</v>
      </c>
      <c r="N757" s="1851" cm="1">
        <f t="array" ref="N757">_xlfn.IFS(
    AND(I757=TRUE, K757&lt;=No_Regular_Payments), Repay_Amt,
    AND(I757=TRUE, K757=No_Regular_Payments+1), Tm_Balloon_Amt,
   TRUE, 0
)</f>
        <v>0</v>
      </c>
      <c r="O757" s="1850" cm="1">
        <f t="array" ref="O757">_xlfn.IFS(
    M757=0,0,
   ABS(N757 - S756 - P757-Q757) &lt; 1, N757 - S756-Q757,
    TRUE, P757
)</f>
        <v>0</v>
      </c>
      <c r="P757" s="1852">
        <f>IF(M757=0,0,ROUND(S756*EXP(Int_Rate/365.25 * M757)-S756,2))</f>
        <v>0</v>
      </c>
      <c r="Q757" s="1851" cm="1">
        <f t="array" ref="Q757">_xlfn.IFS(
    AND(I757=TRUE, K757&lt;=No_Regular_Payments), Periodic_Admin_Charge,
   TRUE, 0
)</f>
        <v>0</v>
      </c>
      <c r="R757" s="1850">
        <f>N757-O757-Q757</f>
        <v>0</v>
      </c>
      <c r="S757" s="1850">
        <f>ROUND(S756-R757,2)</f>
        <v>0</v>
      </c>
      <c r="T757" s="1850">
        <f>ROUND(T756-(N757-Q757),2)</f>
        <v>0</v>
      </c>
      <c r="U757" s="1849"/>
      <c r="W757" s="1848"/>
      <c r="X757" s="1848"/>
      <c r="Y757" s="1848"/>
    </row>
    <row r="758" spans="2:25" hidden="1">
      <c r="B758" s="1815" t="b">
        <f>AND(I758=FALSE,N757=0,Q757=0,L757="")</f>
        <v>1</v>
      </c>
      <c r="C758" s="1844" t="str" cm="1">
        <f t="array" ref="C758">_xlfn.IFS(
    L758="", "",
    MONTH(L758) &lt;= End_of_Year_Month, YEAR(L758),
    TRUE, YEAR(L758) + 1
)</f>
        <v/>
      </c>
      <c r="F758" s="1857">
        <f>IF(L758="",0,L758)</f>
        <v>0</v>
      </c>
      <c r="G758" s="1856">
        <f>-(N758-Q758)</f>
        <v>0</v>
      </c>
      <c r="I758" s="1815" t="b">
        <f>K758&lt;=Number_Payments</f>
        <v>0</v>
      </c>
      <c r="J758" s="1855"/>
      <c r="K758" s="1351">
        <f>K757+1</f>
        <v>632</v>
      </c>
      <c r="L758" s="1854" t="str" cm="1">
        <f t="array" ref="L758">_xlfn.IFS(
    I757=FALSE, "",
    Payment_Frequency="Monthly", EDATE(L757, 1),
    Payment_Frequency="Weekly", DATE(YEAR(L757), MONTH(L757), DAY(L757) + 7),
    Payment_Frequency="Fortnightly", DATE(YEAR(L757), MONTH(L757), DAY(L757) + 14),
    Payment_Frequency="Quarterly", DATE(YEAR(L757), MONTH(L757) + 3, DAY(L757)),
    Payment_Frequency="Yearly", DATE(YEAR(L757) + 1, MONTH(L757), DAY(L757)),
    TRUE, ""
)</f>
        <v/>
      </c>
      <c r="M758" s="1853">
        <f>IF(ISERROR(L758-L757),0,L758-L757)</f>
        <v>0</v>
      </c>
      <c r="N758" s="1851" cm="1">
        <f t="array" ref="N758">_xlfn.IFS(
    AND(I758=TRUE, K758&lt;=No_Regular_Payments), Repay_Amt,
    AND(I758=TRUE, K758=No_Regular_Payments+1), Tm_Balloon_Amt,
   TRUE, 0
)</f>
        <v>0</v>
      </c>
      <c r="O758" s="1850" cm="1">
        <f t="array" ref="O758">_xlfn.IFS(
    M758=0,0,
   ABS(N758 - S757 - P758-Q758) &lt; 1, N758 - S757-Q758,
    TRUE, P758
)</f>
        <v>0</v>
      </c>
      <c r="P758" s="1852">
        <f>IF(M758=0,0,ROUND(S757*EXP(Int_Rate/365.25 * M758)-S757,2))</f>
        <v>0</v>
      </c>
      <c r="Q758" s="1851" cm="1">
        <f t="array" ref="Q758">_xlfn.IFS(
    AND(I758=TRUE, K758&lt;=No_Regular_Payments), Periodic_Admin_Charge,
   TRUE, 0
)</f>
        <v>0</v>
      </c>
      <c r="R758" s="1850">
        <f>N758-O758-Q758</f>
        <v>0</v>
      </c>
      <c r="S758" s="1850">
        <f>ROUND(S757-R758,2)</f>
        <v>0</v>
      </c>
      <c r="T758" s="1850">
        <f>ROUND(T757-(N758-Q758),2)</f>
        <v>0</v>
      </c>
      <c r="U758" s="1849"/>
      <c r="W758" s="1848"/>
      <c r="X758" s="1848"/>
      <c r="Y758" s="1848"/>
    </row>
    <row r="759" spans="2:25" hidden="1">
      <c r="B759" s="1815" t="b">
        <f>AND(I759=FALSE,N758=0,Q758=0,L758="")</f>
        <v>1</v>
      </c>
      <c r="C759" s="1844" t="str" cm="1">
        <f t="array" ref="C759">_xlfn.IFS(
    L759="", "",
    MONTH(L759) &lt;= End_of_Year_Month, YEAR(L759),
    TRUE, YEAR(L759) + 1
)</f>
        <v/>
      </c>
      <c r="F759" s="1857">
        <f>IF(L759="",0,L759)</f>
        <v>0</v>
      </c>
      <c r="G759" s="1856">
        <f>-(N759-Q759)</f>
        <v>0</v>
      </c>
      <c r="I759" s="1815" t="b">
        <f>K759&lt;=Number_Payments</f>
        <v>0</v>
      </c>
      <c r="J759" s="1855"/>
      <c r="K759" s="1351">
        <f>K758+1</f>
        <v>633</v>
      </c>
      <c r="L759" s="1854" t="str" cm="1">
        <f t="array" ref="L759">_xlfn.IFS(
    I758=FALSE, "",
    Payment_Frequency="Monthly", EDATE(L758, 1),
    Payment_Frequency="Weekly", DATE(YEAR(L758), MONTH(L758), DAY(L758) + 7),
    Payment_Frequency="Fortnightly", DATE(YEAR(L758), MONTH(L758), DAY(L758) + 14),
    Payment_Frequency="Quarterly", DATE(YEAR(L758), MONTH(L758) + 3, DAY(L758)),
    Payment_Frequency="Yearly", DATE(YEAR(L758) + 1, MONTH(L758), DAY(L758)),
    TRUE, ""
)</f>
        <v/>
      </c>
      <c r="M759" s="1853">
        <f>IF(ISERROR(L759-L758),0,L759-L758)</f>
        <v>0</v>
      </c>
      <c r="N759" s="1851" cm="1">
        <f t="array" ref="N759">_xlfn.IFS(
    AND(I759=TRUE, K759&lt;=No_Regular_Payments), Repay_Amt,
    AND(I759=TRUE, K759=No_Regular_Payments+1), Tm_Balloon_Amt,
   TRUE, 0
)</f>
        <v>0</v>
      </c>
      <c r="O759" s="1850" cm="1">
        <f t="array" ref="O759">_xlfn.IFS(
    M759=0,0,
   ABS(N759 - S758 - P759-Q759) &lt; 1, N759 - S758-Q759,
    TRUE, P759
)</f>
        <v>0</v>
      </c>
      <c r="P759" s="1852">
        <f>IF(M759=0,0,ROUND(S758*EXP(Int_Rate/365.25 * M759)-S758,2))</f>
        <v>0</v>
      </c>
      <c r="Q759" s="1851" cm="1">
        <f t="array" ref="Q759">_xlfn.IFS(
    AND(I759=TRUE, K759&lt;=No_Regular_Payments), Periodic_Admin_Charge,
   TRUE, 0
)</f>
        <v>0</v>
      </c>
      <c r="R759" s="1850">
        <f>N759-O759-Q759</f>
        <v>0</v>
      </c>
      <c r="S759" s="1850">
        <f>ROUND(S758-R759,2)</f>
        <v>0</v>
      </c>
      <c r="T759" s="1850">
        <f>ROUND(T758-(N759-Q759),2)</f>
        <v>0</v>
      </c>
      <c r="U759" s="1849"/>
      <c r="W759" s="1848"/>
      <c r="X759" s="1848"/>
      <c r="Y759" s="1848"/>
    </row>
    <row r="760" spans="2:25" hidden="1">
      <c r="B760" s="1815" t="b">
        <f>AND(I760=FALSE,N759=0,Q759=0,L759="")</f>
        <v>1</v>
      </c>
      <c r="C760" s="1844" t="str" cm="1">
        <f t="array" ref="C760">_xlfn.IFS(
    L760="", "",
    MONTH(L760) &lt;= End_of_Year_Month, YEAR(L760),
    TRUE, YEAR(L760) + 1
)</f>
        <v/>
      </c>
      <c r="F760" s="1857">
        <f>IF(L760="",0,L760)</f>
        <v>0</v>
      </c>
      <c r="G760" s="1856">
        <f>-(N760-Q760)</f>
        <v>0</v>
      </c>
      <c r="I760" s="1815" t="b">
        <f>K760&lt;=Number_Payments</f>
        <v>0</v>
      </c>
      <c r="J760" s="1855"/>
      <c r="K760" s="1351">
        <f>K759+1</f>
        <v>634</v>
      </c>
      <c r="L760" s="1854" t="str" cm="1">
        <f t="array" ref="L760">_xlfn.IFS(
    I759=FALSE, "",
    Payment_Frequency="Monthly", EDATE(L759, 1),
    Payment_Frequency="Weekly", DATE(YEAR(L759), MONTH(L759), DAY(L759) + 7),
    Payment_Frequency="Fortnightly", DATE(YEAR(L759), MONTH(L759), DAY(L759) + 14),
    Payment_Frequency="Quarterly", DATE(YEAR(L759), MONTH(L759) + 3, DAY(L759)),
    Payment_Frequency="Yearly", DATE(YEAR(L759) + 1, MONTH(L759), DAY(L759)),
    TRUE, ""
)</f>
        <v/>
      </c>
      <c r="M760" s="1853">
        <f>IF(ISERROR(L760-L759),0,L760-L759)</f>
        <v>0</v>
      </c>
      <c r="N760" s="1851" cm="1">
        <f t="array" ref="N760">_xlfn.IFS(
    AND(I760=TRUE, K760&lt;=No_Regular_Payments), Repay_Amt,
    AND(I760=TRUE, K760=No_Regular_Payments+1), Tm_Balloon_Amt,
   TRUE, 0
)</f>
        <v>0</v>
      </c>
      <c r="O760" s="1850" cm="1">
        <f t="array" ref="O760">_xlfn.IFS(
    M760=0,0,
   ABS(N760 - S759 - P760-Q760) &lt; 1, N760 - S759-Q760,
    TRUE, P760
)</f>
        <v>0</v>
      </c>
      <c r="P760" s="1852">
        <f>IF(M760=0,0,ROUND(S759*EXP(Int_Rate/365.25 * M760)-S759,2))</f>
        <v>0</v>
      </c>
      <c r="Q760" s="1851" cm="1">
        <f t="array" ref="Q760">_xlfn.IFS(
    AND(I760=TRUE, K760&lt;=No_Regular_Payments), Periodic_Admin_Charge,
   TRUE, 0
)</f>
        <v>0</v>
      </c>
      <c r="R760" s="1850">
        <f>N760-O760-Q760</f>
        <v>0</v>
      </c>
      <c r="S760" s="1850">
        <f>ROUND(S759-R760,2)</f>
        <v>0</v>
      </c>
      <c r="T760" s="1850">
        <f>ROUND(T759-(N760-Q760),2)</f>
        <v>0</v>
      </c>
      <c r="U760" s="1849"/>
      <c r="W760" s="1848"/>
      <c r="X760" s="1848"/>
      <c r="Y760" s="1848"/>
    </row>
    <row r="761" spans="2:25" hidden="1">
      <c r="B761" s="1815" t="b">
        <f>AND(I761=FALSE,N760=0,Q760=0,L760="")</f>
        <v>1</v>
      </c>
      <c r="C761" s="1844" t="str" cm="1">
        <f t="array" ref="C761">_xlfn.IFS(
    L761="", "",
    MONTH(L761) &lt;= End_of_Year_Month, YEAR(L761),
    TRUE, YEAR(L761) + 1
)</f>
        <v/>
      </c>
      <c r="F761" s="1857">
        <f>IF(L761="",0,L761)</f>
        <v>0</v>
      </c>
      <c r="G761" s="1856">
        <f>-(N761-Q761)</f>
        <v>0</v>
      </c>
      <c r="I761" s="1815" t="b">
        <f>K761&lt;=Number_Payments</f>
        <v>0</v>
      </c>
      <c r="J761" s="1855"/>
      <c r="K761" s="1351">
        <f>K760+1</f>
        <v>635</v>
      </c>
      <c r="L761" s="1854" t="str" cm="1">
        <f t="array" ref="L761">_xlfn.IFS(
    I760=FALSE, "",
    Payment_Frequency="Monthly", EDATE(L760, 1),
    Payment_Frequency="Weekly", DATE(YEAR(L760), MONTH(L760), DAY(L760) + 7),
    Payment_Frequency="Fortnightly", DATE(YEAR(L760), MONTH(L760), DAY(L760) + 14),
    Payment_Frequency="Quarterly", DATE(YEAR(L760), MONTH(L760) + 3, DAY(L760)),
    Payment_Frequency="Yearly", DATE(YEAR(L760) + 1, MONTH(L760), DAY(L760)),
    TRUE, ""
)</f>
        <v/>
      </c>
      <c r="M761" s="1853">
        <f>IF(ISERROR(L761-L760),0,L761-L760)</f>
        <v>0</v>
      </c>
      <c r="N761" s="1851" cm="1">
        <f t="array" ref="N761">_xlfn.IFS(
    AND(I761=TRUE, K761&lt;=No_Regular_Payments), Repay_Amt,
    AND(I761=TRUE, K761=No_Regular_Payments+1), Tm_Balloon_Amt,
   TRUE, 0
)</f>
        <v>0</v>
      </c>
      <c r="O761" s="1850" cm="1">
        <f t="array" ref="O761">_xlfn.IFS(
    M761=0,0,
   ABS(N761 - S760 - P761-Q761) &lt; 1, N761 - S760-Q761,
    TRUE, P761
)</f>
        <v>0</v>
      </c>
      <c r="P761" s="1852">
        <f>IF(M761=0,0,ROUND(S760*EXP(Int_Rate/365.25 * M761)-S760,2))</f>
        <v>0</v>
      </c>
      <c r="Q761" s="1851" cm="1">
        <f t="array" ref="Q761">_xlfn.IFS(
    AND(I761=TRUE, K761&lt;=No_Regular_Payments), Periodic_Admin_Charge,
   TRUE, 0
)</f>
        <v>0</v>
      </c>
      <c r="R761" s="1850">
        <f>N761-O761-Q761</f>
        <v>0</v>
      </c>
      <c r="S761" s="1850">
        <f>ROUND(S760-R761,2)</f>
        <v>0</v>
      </c>
      <c r="T761" s="1850">
        <f>ROUND(T760-(N761-Q761),2)</f>
        <v>0</v>
      </c>
      <c r="U761" s="1849"/>
      <c r="W761" s="1848"/>
      <c r="X761" s="1848"/>
      <c r="Y761" s="1848"/>
    </row>
    <row r="762" spans="2:25" hidden="1">
      <c r="B762" s="1815" t="b">
        <f>AND(I762=FALSE,N761=0,Q761=0,L761="")</f>
        <v>1</v>
      </c>
      <c r="C762" s="1844" t="str" cm="1">
        <f t="array" ref="C762">_xlfn.IFS(
    L762="", "",
    MONTH(L762) &lt;= End_of_Year_Month, YEAR(L762),
    TRUE, YEAR(L762) + 1
)</f>
        <v/>
      </c>
      <c r="F762" s="1857">
        <f>IF(L762="",0,L762)</f>
        <v>0</v>
      </c>
      <c r="G762" s="1856">
        <f>-(N762-Q762)</f>
        <v>0</v>
      </c>
      <c r="I762" s="1815" t="b">
        <f>K762&lt;=Number_Payments</f>
        <v>0</v>
      </c>
      <c r="J762" s="1855"/>
      <c r="K762" s="1351">
        <f>K761+1</f>
        <v>636</v>
      </c>
      <c r="L762" s="1854" t="str" cm="1">
        <f t="array" ref="L762">_xlfn.IFS(
    I761=FALSE, "",
    Payment_Frequency="Monthly", EDATE(L761, 1),
    Payment_Frequency="Weekly", DATE(YEAR(L761), MONTH(L761), DAY(L761) + 7),
    Payment_Frequency="Fortnightly", DATE(YEAR(L761), MONTH(L761), DAY(L761) + 14),
    Payment_Frequency="Quarterly", DATE(YEAR(L761), MONTH(L761) + 3, DAY(L761)),
    Payment_Frequency="Yearly", DATE(YEAR(L761) + 1, MONTH(L761), DAY(L761)),
    TRUE, ""
)</f>
        <v/>
      </c>
      <c r="M762" s="1853">
        <f>IF(ISERROR(L762-L761),0,L762-L761)</f>
        <v>0</v>
      </c>
      <c r="N762" s="1851" cm="1">
        <f t="array" ref="N762">_xlfn.IFS(
    AND(I762=TRUE, K762&lt;=No_Regular_Payments), Repay_Amt,
    AND(I762=TRUE, K762=No_Regular_Payments+1), Tm_Balloon_Amt,
   TRUE, 0
)</f>
        <v>0</v>
      </c>
      <c r="O762" s="1850" cm="1">
        <f t="array" ref="O762">_xlfn.IFS(
    M762=0,0,
   ABS(N762 - S761 - P762-Q762) &lt; 1, N762 - S761-Q762,
    TRUE, P762
)</f>
        <v>0</v>
      </c>
      <c r="P762" s="1852">
        <f>IF(M762=0,0,ROUND(S761*EXP(Int_Rate/365.25 * M762)-S761,2))</f>
        <v>0</v>
      </c>
      <c r="Q762" s="1851" cm="1">
        <f t="array" ref="Q762">_xlfn.IFS(
    AND(I762=TRUE, K762&lt;=No_Regular_Payments), Periodic_Admin_Charge,
   TRUE, 0
)</f>
        <v>0</v>
      </c>
      <c r="R762" s="1850">
        <f>N762-O762-Q762</f>
        <v>0</v>
      </c>
      <c r="S762" s="1850">
        <f>ROUND(S761-R762,2)</f>
        <v>0</v>
      </c>
      <c r="T762" s="1850">
        <f>ROUND(T761-(N762-Q762),2)</f>
        <v>0</v>
      </c>
      <c r="U762" s="1849"/>
      <c r="W762" s="1848"/>
      <c r="X762" s="1848"/>
      <c r="Y762" s="1848"/>
    </row>
    <row r="763" spans="2:25" hidden="1">
      <c r="B763" s="1815" t="b">
        <f>AND(I763=FALSE,N762=0,Q762=0,L762="")</f>
        <v>1</v>
      </c>
      <c r="C763" s="1844" t="str" cm="1">
        <f t="array" ref="C763">_xlfn.IFS(
    L763="", "",
    MONTH(L763) &lt;= End_of_Year_Month, YEAR(L763),
    TRUE, YEAR(L763) + 1
)</f>
        <v/>
      </c>
      <c r="F763" s="1857">
        <f>IF(L763="",0,L763)</f>
        <v>0</v>
      </c>
      <c r="G763" s="1856">
        <f>-(N763-Q763)</f>
        <v>0</v>
      </c>
      <c r="I763" s="1815" t="b">
        <f>K763&lt;=Number_Payments</f>
        <v>0</v>
      </c>
      <c r="J763" s="1855"/>
      <c r="K763" s="1351">
        <f>K762+1</f>
        <v>637</v>
      </c>
      <c r="L763" s="1854" t="str" cm="1">
        <f t="array" ref="L763">_xlfn.IFS(
    I762=FALSE, "",
    Payment_Frequency="Monthly", EDATE(L762, 1),
    Payment_Frequency="Weekly", DATE(YEAR(L762), MONTH(L762), DAY(L762) + 7),
    Payment_Frequency="Fortnightly", DATE(YEAR(L762), MONTH(L762), DAY(L762) + 14),
    Payment_Frequency="Quarterly", DATE(YEAR(L762), MONTH(L762) + 3, DAY(L762)),
    Payment_Frequency="Yearly", DATE(YEAR(L762) + 1, MONTH(L762), DAY(L762)),
    TRUE, ""
)</f>
        <v/>
      </c>
      <c r="M763" s="1853">
        <f>IF(ISERROR(L763-L762),0,L763-L762)</f>
        <v>0</v>
      </c>
      <c r="N763" s="1851" cm="1">
        <f t="array" ref="N763">_xlfn.IFS(
    AND(I763=TRUE, K763&lt;=No_Regular_Payments), Repay_Amt,
    AND(I763=TRUE, K763=No_Regular_Payments+1), Tm_Balloon_Amt,
   TRUE, 0
)</f>
        <v>0</v>
      </c>
      <c r="O763" s="1850" cm="1">
        <f t="array" ref="O763">_xlfn.IFS(
    M763=0,0,
   ABS(N763 - S762 - P763-Q763) &lt; 1, N763 - S762-Q763,
    TRUE, P763
)</f>
        <v>0</v>
      </c>
      <c r="P763" s="1852">
        <f>IF(M763=0,0,ROUND(S762*EXP(Int_Rate/365.25 * M763)-S762,2))</f>
        <v>0</v>
      </c>
      <c r="Q763" s="1851" cm="1">
        <f t="array" ref="Q763">_xlfn.IFS(
    AND(I763=TRUE, K763&lt;=No_Regular_Payments), Periodic_Admin_Charge,
   TRUE, 0
)</f>
        <v>0</v>
      </c>
      <c r="R763" s="1850">
        <f>N763-O763-Q763</f>
        <v>0</v>
      </c>
      <c r="S763" s="1850">
        <f>ROUND(S762-R763,2)</f>
        <v>0</v>
      </c>
      <c r="T763" s="1850">
        <f>ROUND(T762-(N763-Q763),2)</f>
        <v>0</v>
      </c>
      <c r="U763" s="1849"/>
      <c r="W763" s="1848"/>
      <c r="X763" s="1848"/>
      <c r="Y763" s="1848"/>
    </row>
    <row r="764" spans="2:25" hidden="1">
      <c r="B764" s="1815" t="b">
        <f>AND(I764=FALSE,N763=0,Q763=0,L763="")</f>
        <v>1</v>
      </c>
      <c r="C764" s="1844" t="str" cm="1">
        <f t="array" ref="C764">_xlfn.IFS(
    L764="", "",
    MONTH(L764) &lt;= End_of_Year_Month, YEAR(L764),
    TRUE, YEAR(L764) + 1
)</f>
        <v/>
      </c>
      <c r="F764" s="1857">
        <f>IF(L764="",0,L764)</f>
        <v>0</v>
      </c>
      <c r="G764" s="1856">
        <f>-(N764-Q764)</f>
        <v>0</v>
      </c>
      <c r="I764" s="1815" t="b">
        <f>K764&lt;=Number_Payments</f>
        <v>0</v>
      </c>
      <c r="J764" s="1855"/>
      <c r="K764" s="1351">
        <f>K763+1</f>
        <v>638</v>
      </c>
      <c r="L764" s="1854" t="str" cm="1">
        <f t="array" ref="L764">_xlfn.IFS(
    I763=FALSE, "",
    Payment_Frequency="Monthly", EDATE(L763, 1),
    Payment_Frequency="Weekly", DATE(YEAR(L763), MONTH(L763), DAY(L763) + 7),
    Payment_Frequency="Fortnightly", DATE(YEAR(L763), MONTH(L763), DAY(L763) + 14),
    Payment_Frequency="Quarterly", DATE(YEAR(L763), MONTH(L763) + 3, DAY(L763)),
    Payment_Frequency="Yearly", DATE(YEAR(L763) + 1, MONTH(L763), DAY(L763)),
    TRUE, ""
)</f>
        <v/>
      </c>
      <c r="M764" s="1853">
        <f>IF(ISERROR(L764-L763),0,L764-L763)</f>
        <v>0</v>
      </c>
      <c r="N764" s="1851" cm="1">
        <f t="array" ref="N764">_xlfn.IFS(
    AND(I764=TRUE, K764&lt;=No_Regular_Payments), Repay_Amt,
    AND(I764=TRUE, K764=No_Regular_Payments+1), Tm_Balloon_Amt,
   TRUE, 0
)</f>
        <v>0</v>
      </c>
      <c r="O764" s="1850" cm="1">
        <f t="array" ref="O764">_xlfn.IFS(
    M764=0,0,
   ABS(N764 - S763 - P764-Q764) &lt; 1, N764 - S763-Q764,
    TRUE, P764
)</f>
        <v>0</v>
      </c>
      <c r="P764" s="1852">
        <f>IF(M764=0,0,ROUND(S763*EXP(Int_Rate/365.25 * M764)-S763,2))</f>
        <v>0</v>
      </c>
      <c r="Q764" s="1851" cm="1">
        <f t="array" ref="Q764">_xlfn.IFS(
    AND(I764=TRUE, K764&lt;=No_Regular_Payments), Periodic_Admin_Charge,
   TRUE, 0
)</f>
        <v>0</v>
      </c>
      <c r="R764" s="1850">
        <f>N764-O764-Q764</f>
        <v>0</v>
      </c>
      <c r="S764" s="1850">
        <f>ROUND(S763-R764,2)</f>
        <v>0</v>
      </c>
      <c r="T764" s="1850">
        <f>ROUND(T763-(N764-Q764),2)</f>
        <v>0</v>
      </c>
      <c r="U764" s="1849"/>
      <c r="W764" s="1848"/>
      <c r="X764" s="1848"/>
      <c r="Y764" s="1848"/>
    </row>
    <row r="765" spans="2:25" hidden="1">
      <c r="B765" s="1815" t="b">
        <f>AND(I765=FALSE,N764=0,Q764=0,L764="")</f>
        <v>1</v>
      </c>
      <c r="C765" s="1844" t="str" cm="1">
        <f t="array" ref="C765">_xlfn.IFS(
    L765="", "",
    MONTH(L765) &lt;= End_of_Year_Month, YEAR(L765),
    TRUE, YEAR(L765) + 1
)</f>
        <v/>
      </c>
      <c r="F765" s="1857">
        <f>IF(L765="",0,L765)</f>
        <v>0</v>
      </c>
      <c r="G765" s="1856">
        <f>-(N765-Q765)</f>
        <v>0</v>
      </c>
      <c r="I765" s="1815" t="b">
        <f>K765&lt;=Number_Payments</f>
        <v>0</v>
      </c>
      <c r="J765" s="1855"/>
      <c r="K765" s="1351">
        <f>K764+1</f>
        <v>639</v>
      </c>
      <c r="L765" s="1854" t="str" cm="1">
        <f t="array" ref="L765">_xlfn.IFS(
    I764=FALSE, "",
    Payment_Frequency="Monthly", EDATE(L764, 1),
    Payment_Frequency="Weekly", DATE(YEAR(L764), MONTH(L764), DAY(L764) + 7),
    Payment_Frequency="Fortnightly", DATE(YEAR(L764), MONTH(L764), DAY(L764) + 14),
    Payment_Frequency="Quarterly", DATE(YEAR(L764), MONTH(L764) + 3, DAY(L764)),
    Payment_Frequency="Yearly", DATE(YEAR(L764) + 1, MONTH(L764), DAY(L764)),
    TRUE, ""
)</f>
        <v/>
      </c>
      <c r="M765" s="1853">
        <f>IF(ISERROR(L765-L764),0,L765-L764)</f>
        <v>0</v>
      </c>
      <c r="N765" s="1851" cm="1">
        <f t="array" ref="N765">_xlfn.IFS(
    AND(I765=TRUE, K765&lt;=No_Regular_Payments), Repay_Amt,
    AND(I765=TRUE, K765=No_Regular_Payments+1), Tm_Balloon_Amt,
   TRUE, 0
)</f>
        <v>0</v>
      </c>
      <c r="O765" s="1850" cm="1">
        <f t="array" ref="O765">_xlfn.IFS(
    M765=0,0,
   ABS(N765 - S764 - P765-Q765) &lt; 1, N765 - S764-Q765,
    TRUE, P765
)</f>
        <v>0</v>
      </c>
      <c r="P765" s="1852">
        <f>IF(M765=0,0,ROUND(S764*EXP(Int_Rate/365.25 * M765)-S764,2))</f>
        <v>0</v>
      </c>
      <c r="Q765" s="1851" cm="1">
        <f t="array" ref="Q765">_xlfn.IFS(
    AND(I765=TRUE, K765&lt;=No_Regular_Payments), Periodic_Admin_Charge,
   TRUE, 0
)</f>
        <v>0</v>
      </c>
      <c r="R765" s="1850">
        <f>N765-O765-Q765</f>
        <v>0</v>
      </c>
      <c r="S765" s="1850">
        <f>ROUND(S764-R765,2)</f>
        <v>0</v>
      </c>
      <c r="T765" s="1850">
        <f>ROUND(T764-(N765-Q765),2)</f>
        <v>0</v>
      </c>
      <c r="U765" s="1849"/>
      <c r="W765" s="1848"/>
      <c r="X765" s="1848"/>
      <c r="Y765" s="1848"/>
    </row>
    <row r="766" spans="2:25" hidden="1">
      <c r="B766" s="1815" t="b">
        <f>AND(I766=FALSE,N765=0,Q765=0,L765="")</f>
        <v>1</v>
      </c>
      <c r="C766" s="1844" t="str" cm="1">
        <f t="array" ref="C766">_xlfn.IFS(
    L766="", "",
    MONTH(L766) &lt;= End_of_Year_Month, YEAR(L766),
    TRUE, YEAR(L766) + 1
)</f>
        <v/>
      </c>
      <c r="F766" s="1857">
        <f>IF(L766="",0,L766)</f>
        <v>0</v>
      </c>
      <c r="G766" s="1856">
        <f>-(N766-Q766)</f>
        <v>0</v>
      </c>
      <c r="I766" s="1815" t="b">
        <f>K766&lt;=Number_Payments</f>
        <v>0</v>
      </c>
      <c r="J766" s="1855"/>
      <c r="K766" s="1351">
        <f>K765+1</f>
        <v>640</v>
      </c>
      <c r="L766" s="1854" t="str" cm="1">
        <f t="array" ref="L766">_xlfn.IFS(
    I765=FALSE, "",
    Payment_Frequency="Monthly", EDATE(L765, 1),
    Payment_Frequency="Weekly", DATE(YEAR(L765), MONTH(L765), DAY(L765) + 7),
    Payment_Frequency="Fortnightly", DATE(YEAR(L765), MONTH(L765), DAY(L765) + 14),
    Payment_Frequency="Quarterly", DATE(YEAR(L765), MONTH(L765) + 3, DAY(L765)),
    Payment_Frequency="Yearly", DATE(YEAR(L765) + 1, MONTH(L765), DAY(L765)),
    TRUE, ""
)</f>
        <v/>
      </c>
      <c r="M766" s="1853">
        <f>IF(ISERROR(L766-L765),0,L766-L765)</f>
        <v>0</v>
      </c>
      <c r="N766" s="1851" cm="1">
        <f t="array" ref="N766">_xlfn.IFS(
    AND(I766=TRUE, K766&lt;=No_Regular_Payments), Repay_Amt,
    AND(I766=TRUE, K766=No_Regular_Payments+1), Tm_Balloon_Amt,
   TRUE, 0
)</f>
        <v>0</v>
      </c>
      <c r="O766" s="1850" cm="1">
        <f t="array" ref="O766">_xlfn.IFS(
    M766=0,0,
   ABS(N766 - S765 - P766-Q766) &lt; 1, N766 - S765-Q766,
    TRUE, P766
)</f>
        <v>0</v>
      </c>
      <c r="P766" s="1852">
        <f>IF(M766=0,0,ROUND(S765*EXP(Int_Rate/365.25 * M766)-S765,2))</f>
        <v>0</v>
      </c>
      <c r="Q766" s="1851" cm="1">
        <f t="array" ref="Q766">_xlfn.IFS(
    AND(I766=TRUE, K766&lt;=No_Regular_Payments), Periodic_Admin_Charge,
   TRUE, 0
)</f>
        <v>0</v>
      </c>
      <c r="R766" s="1850">
        <f>N766-O766-Q766</f>
        <v>0</v>
      </c>
      <c r="S766" s="1850">
        <f>ROUND(S765-R766,2)</f>
        <v>0</v>
      </c>
      <c r="T766" s="1850">
        <f>ROUND(T765-(N766-Q766),2)</f>
        <v>0</v>
      </c>
      <c r="U766" s="1849"/>
      <c r="W766" s="1848"/>
      <c r="X766" s="1848"/>
      <c r="Y766" s="1848"/>
    </row>
    <row r="767" spans="2:25" hidden="1">
      <c r="B767" s="1815" t="b">
        <f>AND(I767=FALSE,N766=0,Q766=0,L766="")</f>
        <v>1</v>
      </c>
      <c r="C767" s="1844" t="str" cm="1">
        <f t="array" ref="C767">_xlfn.IFS(
    L767="", "",
    MONTH(L767) &lt;= End_of_Year_Month, YEAR(L767),
    TRUE, YEAR(L767) + 1
)</f>
        <v/>
      </c>
      <c r="F767" s="1857">
        <f>IF(L767="",0,L767)</f>
        <v>0</v>
      </c>
      <c r="G767" s="1856">
        <f>-(N767-Q767)</f>
        <v>0</v>
      </c>
      <c r="I767" s="1815" t="b">
        <f>K767&lt;=Number_Payments</f>
        <v>0</v>
      </c>
      <c r="J767" s="1855"/>
      <c r="K767" s="1351">
        <f>K766+1</f>
        <v>641</v>
      </c>
      <c r="L767" s="1854" t="str" cm="1">
        <f t="array" ref="L767">_xlfn.IFS(
    I766=FALSE, "",
    Payment_Frequency="Monthly", EDATE(L766, 1),
    Payment_Frequency="Weekly", DATE(YEAR(L766), MONTH(L766), DAY(L766) + 7),
    Payment_Frequency="Fortnightly", DATE(YEAR(L766), MONTH(L766), DAY(L766) + 14),
    Payment_Frequency="Quarterly", DATE(YEAR(L766), MONTH(L766) + 3, DAY(L766)),
    Payment_Frequency="Yearly", DATE(YEAR(L766) + 1, MONTH(L766), DAY(L766)),
    TRUE, ""
)</f>
        <v/>
      </c>
      <c r="M767" s="1853">
        <f>IF(ISERROR(L767-L766),0,L767-L766)</f>
        <v>0</v>
      </c>
      <c r="N767" s="1851" cm="1">
        <f t="array" ref="N767">_xlfn.IFS(
    AND(I767=TRUE, K767&lt;=No_Regular_Payments), Repay_Amt,
    AND(I767=TRUE, K767=No_Regular_Payments+1), Tm_Balloon_Amt,
   TRUE, 0
)</f>
        <v>0</v>
      </c>
      <c r="O767" s="1850" cm="1">
        <f t="array" ref="O767">_xlfn.IFS(
    M767=0,0,
   ABS(N767 - S766 - P767-Q767) &lt; 1, N767 - S766-Q767,
    TRUE, P767
)</f>
        <v>0</v>
      </c>
      <c r="P767" s="1852">
        <f>IF(M767=0,0,ROUND(S766*EXP(Int_Rate/365.25 * M767)-S766,2))</f>
        <v>0</v>
      </c>
      <c r="Q767" s="1851" cm="1">
        <f t="array" ref="Q767">_xlfn.IFS(
    AND(I767=TRUE, K767&lt;=No_Regular_Payments), Periodic_Admin_Charge,
   TRUE, 0
)</f>
        <v>0</v>
      </c>
      <c r="R767" s="1850">
        <f>N767-O767-Q767</f>
        <v>0</v>
      </c>
      <c r="S767" s="1850">
        <f>ROUND(S766-R767,2)</f>
        <v>0</v>
      </c>
      <c r="T767" s="1850">
        <f>ROUND(T766-(N767-Q767),2)</f>
        <v>0</v>
      </c>
      <c r="U767" s="1849"/>
      <c r="W767" s="1848"/>
      <c r="X767" s="1848"/>
      <c r="Y767" s="1848"/>
    </row>
    <row r="768" spans="2:25" hidden="1">
      <c r="B768" s="1815" t="b">
        <f>AND(I768=FALSE,N767=0,Q767=0,L767="")</f>
        <v>1</v>
      </c>
      <c r="C768" s="1844" t="str" cm="1">
        <f t="array" ref="C768">_xlfn.IFS(
    L768="", "",
    MONTH(L768) &lt;= End_of_Year_Month, YEAR(L768),
    TRUE, YEAR(L768) + 1
)</f>
        <v/>
      </c>
      <c r="F768" s="1857">
        <f>IF(L768="",0,L768)</f>
        <v>0</v>
      </c>
      <c r="G768" s="1856">
        <f>-(N768-Q768)</f>
        <v>0</v>
      </c>
      <c r="I768" s="1815" t="b">
        <f>K768&lt;=Number_Payments</f>
        <v>0</v>
      </c>
      <c r="J768" s="1855"/>
      <c r="K768" s="1351">
        <f>K767+1</f>
        <v>642</v>
      </c>
      <c r="L768" s="1854" t="str" cm="1">
        <f t="array" ref="L768">_xlfn.IFS(
    I767=FALSE, "",
    Payment_Frequency="Monthly", EDATE(L767, 1),
    Payment_Frequency="Weekly", DATE(YEAR(L767), MONTH(L767), DAY(L767) + 7),
    Payment_Frequency="Fortnightly", DATE(YEAR(L767), MONTH(L767), DAY(L767) + 14),
    Payment_Frequency="Quarterly", DATE(YEAR(L767), MONTH(L767) + 3, DAY(L767)),
    Payment_Frequency="Yearly", DATE(YEAR(L767) + 1, MONTH(L767), DAY(L767)),
    TRUE, ""
)</f>
        <v/>
      </c>
      <c r="M768" s="1853">
        <f>IF(ISERROR(L768-L767),0,L768-L767)</f>
        <v>0</v>
      </c>
      <c r="N768" s="1851" cm="1">
        <f t="array" ref="N768">_xlfn.IFS(
    AND(I768=TRUE, K768&lt;=No_Regular_Payments), Repay_Amt,
    AND(I768=TRUE, K768=No_Regular_Payments+1), Tm_Balloon_Amt,
   TRUE, 0
)</f>
        <v>0</v>
      </c>
      <c r="O768" s="1850" cm="1">
        <f t="array" ref="O768">_xlfn.IFS(
    M768=0,0,
   ABS(N768 - S767 - P768-Q768) &lt; 1, N768 - S767-Q768,
    TRUE, P768
)</f>
        <v>0</v>
      </c>
      <c r="P768" s="1852">
        <f>IF(M768=0,0,ROUND(S767*EXP(Int_Rate/365.25 * M768)-S767,2))</f>
        <v>0</v>
      </c>
      <c r="Q768" s="1851" cm="1">
        <f t="array" ref="Q768">_xlfn.IFS(
    AND(I768=TRUE, K768&lt;=No_Regular_Payments), Periodic_Admin_Charge,
   TRUE, 0
)</f>
        <v>0</v>
      </c>
      <c r="R768" s="1850">
        <f>N768-O768-Q768</f>
        <v>0</v>
      </c>
      <c r="S768" s="1850">
        <f>ROUND(S767-R768,2)</f>
        <v>0</v>
      </c>
      <c r="T768" s="1850">
        <f>ROUND(T767-(N768-Q768),2)</f>
        <v>0</v>
      </c>
      <c r="U768" s="1849"/>
      <c r="W768" s="1848"/>
      <c r="X768" s="1848"/>
      <c r="Y768" s="1848"/>
    </row>
    <row r="769" spans="2:25" hidden="1">
      <c r="B769" s="1815" t="b">
        <f>AND(I769=FALSE,N768=0,Q768=0,L768="")</f>
        <v>1</v>
      </c>
      <c r="C769" s="1844" t="str" cm="1">
        <f t="array" ref="C769">_xlfn.IFS(
    L769="", "",
    MONTH(L769) &lt;= End_of_Year_Month, YEAR(L769),
    TRUE, YEAR(L769) + 1
)</f>
        <v/>
      </c>
      <c r="F769" s="1857">
        <f>IF(L769="",0,L769)</f>
        <v>0</v>
      </c>
      <c r="G769" s="1856">
        <f>-(N769-Q769)</f>
        <v>0</v>
      </c>
      <c r="I769" s="1815" t="b">
        <f>K769&lt;=Number_Payments</f>
        <v>0</v>
      </c>
      <c r="J769" s="1855"/>
      <c r="K769" s="1351">
        <f>K768+1</f>
        <v>643</v>
      </c>
      <c r="L769" s="1854" t="str" cm="1">
        <f t="array" ref="L769">_xlfn.IFS(
    I768=FALSE, "",
    Payment_Frequency="Monthly", EDATE(L768, 1),
    Payment_Frequency="Weekly", DATE(YEAR(L768), MONTH(L768), DAY(L768) + 7),
    Payment_Frequency="Fortnightly", DATE(YEAR(L768), MONTH(L768), DAY(L768) + 14),
    Payment_Frequency="Quarterly", DATE(YEAR(L768), MONTH(L768) + 3, DAY(L768)),
    Payment_Frequency="Yearly", DATE(YEAR(L768) + 1, MONTH(L768), DAY(L768)),
    TRUE, ""
)</f>
        <v/>
      </c>
      <c r="M769" s="1853">
        <f>IF(ISERROR(L769-L768),0,L769-L768)</f>
        <v>0</v>
      </c>
      <c r="N769" s="1851" cm="1">
        <f t="array" ref="N769">_xlfn.IFS(
    AND(I769=TRUE, K769&lt;=No_Regular_Payments), Repay_Amt,
    AND(I769=TRUE, K769=No_Regular_Payments+1), Tm_Balloon_Amt,
   TRUE, 0
)</f>
        <v>0</v>
      </c>
      <c r="O769" s="1850" cm="1">
        <f t="array" ref="O769">_xlfn.IFS(
    M769=0,0,
   ABS(N769 - S768 - P769-Q769) &lt; 1, N769 - S768-Q769,
    TRUE, P769
)</f>
        <v>0</v>
      </c>
      <c r="P769" s="1852">
        <f>IF(M769=0,0,ROUND(S768*EXP(Int_Rate/365.25 * M769)-S768,2))</f>
        <v>0</v>
      </c>
      <c r="Q769" s="1851" cm="1">
        <f t="array" ref="Q769">_xlfn.IFS(
    AND(I769=TRUE, K769&lt;=No_Regular_Payments), Periodic_Admin_Charge,
   TRUE, 0
)</f>
        <v>0</v>
      </c>
      <c r="R769" s="1850">
        <f>N769-O769-Q769</f>
        <v>0</v>
      </c>
      <c r="S769" s="1850">
        <f>ROUND(S768-R769,2)</f>
        <v>0</v>
      </c>
      <c r="T769" s="1850">
        <f>ROUND(T768-(N769-Q769),2)</f>
        <v>0</v>
      </c>
      <c r="U769" s="1849"/>
      <c r="W769" s="1848"/>
      <c r="X769" s="1848"/>
      <c r="Y769" s="1848"/>
    </row>
    <row r="770" spans="2:25" hidden="1">
      <c r="B770" s="1815" t="b">
        <f>AND(I770=FALSE,N769=0,Q769=0,L769="")</f>
        <v>1</v>
      </c>
      <c r="C770" s="1844" t="str" cm="1">
        <f t="array" ref="C770">_xlfn.IFS(
    L770="", "",
    MONTH(L770) &lt;= End_of_Year_Month, YEAR(L770),
    TRUE, YEAR(L770) + 1
)</f>
        <v/>
      </c>
      <c r="F770" s="1857">
        <f>IF(L770="",0,L770)</f>
        <v>0</v>
      </c>
      <c r="G770" s="1856">
        <f>-(N770-Q770)</f>
        <v>0</v>
      </c>
      <c r="I770" s="1815" t="b">
        <f>K770&lt;=Number_Payments</f>
        <v>0</v>
      </c>
      <c r="J770" s="1855"/>
      <c r="K770" s="1351">
        <f>K769+1</f>
        <v>644</v>
      </c>
      <c r="L770" s="1854" t="str" cm="1">
        <f t="array" ref="L770">_xlfn.IFS(
    I769=FALSE, "",
    Payment_Frequency="Monthly", EDATE(L769, 1),
    Payment_Frequency="Weekly", DATE(YEAR(L769), MONTH(L769), DAY(L769) + 7),
    Payment_Frequency="Fortnightly", DATE(YEAR(L769), MONTH(L769), DAY(L769) + 14),
    Payment_Frequency="Quarterly", DATE(YEAR(L769), MONTH(L769) + 3, DAY(L769)),
    Payment_Frequency="Yearly", DATE(YEAR(L769) + 1, MONTH(L769), DAY(L769)),
    TRUE, ""
)</f>
        <v/>
      </c>
      <c r="M770" s="1853">
        <f>IF(ISERROR(L770-L769),0,L770-L769)</f>
        <v>0</v>
      </c>
      <c r="N770" s="1851" cm="1">
        <f t="array" ref="N770">_xlfn.IFS(
    AND(I770=TRUE, K770&lt;=No_Regular_Payments), Repay_Amt,
    AND(I770=TRUE, K770=No_Regular_Payments+1), Tm_Balloon_Amt,
   TRUE, 0
)</f>
        <v>0</v>
      </c>
      <c r="O770" s="1850" cm="1">
        <f t="array" ref="O770">_xlfn.IFS(
    M770=0,0,
   ABS(N770 - S769 - P770-Q770) &lt; 1, N770 - S769-Q770,
    TRUE, P770
)</f>
        <v>0</v>
      </c>
      <c r="P770" s="1852">
        <f>IF(M770=0,0,ROUND(S769*EXP(Int_Rate/365.25 * M770)-S769,2))</f>
        <v>0</v>
      </c>
      <c r="Q770" s="1851" cm="1">
        <f t="array" ref="Q770">_xlfn.IFS(
    AND(I770=TRUE, K770&lt;=No_Regular_Payments), Periodic_Admin_Charge,
   TRUE, 0
)</f>
        <v>0</v>
      </c>
      <c r="R770" s="1850">
        <f>N770-O770-Q770</f>
        <v>0</v>
      </c>
      <c r="S770" s="1850">
        <f>ROUND(S769-R770,2)</f>
        <v>0</v>
      </c>
      <c r="T770" s="1850">
        <f>ROUND(T769-(N770-Q770),2)</f>
        <v>0</v>
      </c>
      <c r="U770" s="1849"/>
      <c r="W770" s="1848"/>
      <c r="X770" s="1848"/>
      <c r="Y770" s="1848"/>
    </row>
    <row r="771" spans="2:25" hidden="1">
      <c r="B771" s="1815" t="b">
        <f>AND(I771=FALSE,N770=0,Q770=0,L770="")</f>
        <v>1</v>
      </c>
      <c r="C771" s="1844" t="str" cm="1">
        <f t="array" ref="C771">_xlfn.IFS(
    L771="", "",
    MONTH(L771) &lt;= End_of_Year_Month, YEAR(L771),
    TRUE, YEAR(L771) + 1
)</f>
        <v/>
      </c>
      <c r="F771" s="1857">
        <f>IF(L771="",0,L771)</f>
        <v>0</v>
      </c>
      <c r="G771" s="1856">
        <f>-(N771-Q771)</f>
        <v>0</v>
      </c>
      <c r="I771" s="1815" t="b">
        <f>K771&lt;=Number_Payments</f>
        <v>0</v>
      </c>
      <c r="J771" s="1855"/>
      <c r="K771" s="1351">
        <f>K770+1</f>
        <v>645</v>
      </c>
      <c r="L771" s="1854" t="str" cm="1">
        <f t="array" ref="L771">_xlfn.IFS(
    I770=FALSE, "",
    Payment_Frequency="Monthly", EDATE(L770, 1),
    Payment_Frequency="Weekly", DATE(YEAR(L770), MONTH(L770), DAY(L770) + 7),
    Payment_Frequency="Fortnightly", DATE(YEAR(L770), MONTH(L770), DAY(L770) + 14),
    Payment_Frequency="Quarterly", DATE(YEAR(L770), MONTH(L770) + 3, DAY(L770)),
    Payment_Frequency="Yearly", DATE(YEAR(L770) + 1, MONTH(L770), DAY(L770)),
    TRUE, ""
)</f>
        <v/>
      </c>
      <c r="M771" s="1853">
        <f>IF(ISERROR(L771-L770),0,L771-L770)</f>
        <v>0</v>
      </c>
      <c r="N771" s="1851" cm="1">
        <f t="array" ref="N771">_xlfn.IFS(
    AND(I771=TRUE, K771&lt;=No_Regular_Payments), Repay_Amt,
    AND(I771=TRUE, K771=No_Regular_Payments+1), Tm_Balloon_Amt,
   TRUE, 0
)</f>
        <v>0</v>
      </c>
      <c r="O771" s="1850" cm="1">
        <f t="array" ref="O771">_xlfn.IFS(
    M771=0,0,
   ABS(N771 - S770 - P771-Q771) &lt; 1, N771 - S770-Q771,
    TRUE, P771
)</f>
        <v>0</v>
      </c>
      <c r="P771" s="1852">
        <f>IF(M771=0,0,ROUND(S770*EXP(Int_Rate/365.25 * M771)-S770,2))</f>
        <v>0</v>
      </c>
      <c r="Q771" s="1851" cm="1">
        <f t="array" ref="Q771">_xlfn.IFS(
    AND(I771=TRUE, K771&lt;=No_Regular_Payments), Periodic_Admin_Charge,
   TRUE, 0
)</f>
        <v>0</v>
      </c>
      <c r="R771" s="1850">
        <f>N771-O771-Q771</f>
        <v>0</v>
      </c>
      <c r="S771" s="1850">
        <f>ROUND(S770-R771,2)</f>
        <v>0</v>
      </c>
      <c r="T771" s="1850">
        <f>ROUND(T770-(N771-Q771),2)</f>
        <v>0</v>
      </c>
      <c r="U771" s="1849"/>
      <c r="W771" s="1848"/>
      <c r="X771" s="1848"/>
      <c r="Y771" s="1848"/>
    </row>
    <row r="772" spans="2:25" hidden="1">
      <c r="B772" s="1815" t="b">
        <f>AND(I772=FALSE,N771=0,Q771=0,L771="")</f>
        <v>1</v>
      </c>
      <c r="C772" s="1844" t="str" cm="1">
        <f t="array" ref="C772">_xlfn.IFS(
    L772="", "",
    MONTH(L772) &lt;= End_of_Year_Month, YEAR(L772),
    TRUE, YEAR(L772) + 1
)</f>
        <v/>
      </c>
      <c r="F772" s="1857">
        <f>IF(L772="",0,L772)</f>
        <v>0</v>
      </c>
      <c r="G772" s="1856">
        <f>-(N772-Q772)</f>
        <v>0</v>
      </c>
      <c r="I772" s="1815" t="b">
        <f>K772&lt;=Number_Payments</f>
        <v>0</v>
      </c>
      <c r="J772" s="1855"/>
      <c r="K772" s="1351">
        <f>K771+1</f>
        <v>646</v>
      </c>
      <c r="L772" s="1854" t="str" cm="1">
        <f t="array" ref="L772">_xlfn.IFS(
    I771=FALSE, "",
    Payment_Frequency="Monthly", EDATE(L771, 1),
    Payment_Frequency="Weekly", DATE(YEAR(L771), MONTH(L771), DAY(L771) + 7),
    Payment_Frequency="Fortnightly", DATE(YEAR(L771), MONTH(L771), DAY(L771) + 14),
    Payment_Frequency="Quarterly", DATE(YEAR(L771), MONTH(L771) + 3, DAY(L771)),
    Payment_Frequency="Yearly", DATE(YEAR(L771) + 1, MONTH(L771), DAY(L771)),
    TRUE, ""
)</f>
        <v/>
      </c>
      <c r="M772" s="1853">
        <f>IF(ISERROR(L772-L771),0,L772-L771)</f>
        <v>0</v>
      </c>
      <c r="N772" s="1851" cm="1">
        <f t="array" ref="N772">_xlfn.IFS(
    AND(I772=TRUE, K772&lt;=No_Regular_Payments), Repay_Amt,
    AND(I772=TRUE, K772=No_Regular_Payments+1), Tm_Balloon_Amt,
   TRUE, 0
)</f>
        <v>0</v>
      </c>
      <c r="O772" s="1850" cm="1">
        <f t="array" ref="O772">_xlfn.IFS(
    M772=0,0,
   ABS(N772 - S771 - P772-Q772) &lt; 1, N772 - S771-Q772,
    TRUE, P772
)</f>
        <v>0</v>
      </c>
      <c r="P772" s="1852">
        <f>IF(M772=0,0,ROUND(S771*EXP(Int_Rate/365.25 * M772)-S771,2))</f>
        <v>0</v>
      </c>
      <c r="Q772" s="1851" cm="1">
        <f t="array" ref="Q772">_xlfn.IFS(
    AND(I772=TRUE, K772&lt;=No_Regular_Payments), Periodic_Admin_Charge,
   TRUE, 0
)</f>
        <v>0</v>
      </c>
      <c r="R772" s="1850">
        <f>N772-O772-Q772</f>
        <v>0</v>
      </c>
      <c r="S772" s="1850">
        <f>ROUND(S771-R772,2)</f>
        <v>0</v>
      </c>
      <c r="T772" s="1850">
        <f>ROUND(T771-(N772-Q772),2)</f>
        <v>0</v>
      </c>
      <c r="U772" s="1849"/>
      <c r="W772" s="1848"/>
      <c r="X772" s="1848"/>
      <c r="Y772" s="1848"/>
    </row>
    <row r="773" spans="2:25" hidden="1">
      <c r="B773" s="1815" t="b">
        <f>AND(I773=FALSE,N772=0,Q772=0,L772="")</f>
        <v>1</v>
      </c>
      <c r="C773" s="1844" t="str" cm="1">
        <f t="array" ref="C773">_xlfn.IFS(
    L773="", "",
    MONTH(L773) &lt;= End_of_Year_Month, YEAR(L773),
    TRUE, YEAR(L773) + 1
)</f>
        <v/>
      </c>
      <c r="F773" s="1857">
        <f>IF(L773="",0,L773)</f>
        <v>0</v>
      </c>
      <c r="G773" s="1856">
        <f>-(N773-Q773)</f>
        <v>0</v>
      </c>
      <c r="I773" s="1815" t="b">
        <f>K773&lt;=Number_Payments</f>
        <v>0</v>
      </c>
      <c r="J773" s="1855"/>
      <c r="K773" s="1351">
        <f>K772+1</f>
        <v>647</v>
      </c>
      <c r="L773" s="1854" t="str" cm="1">
        <f t="array" ref="L773">_xlfn.IFS(
    I772=FALSE, "",
    Payment_Frequency="Monthly", EDATE(L772, 1),
    Payment_Frequency="Weekly", DATE(YEAR(L772), MONTH(L772), DAY(L772) + 7),
    Payment_Frequency="Fortnightly", DATE(YEAR(L772), MONTH(L772), DAY(L772) + 14),
    Payment_Frequency="Quarterly", DATE(YEAR(L772), MONTH(L772) + 3, DAY(L772)),
    Payment_Frequency="Yearly", DATE(YEAR(L772) + 1, MONTH(L772), DAY(L772)),
    TRUE, ""
)</f>
        <v/>
      </c>
      <c r="M773" s="1853">
        <f>IF(ISERROR(L773-L772),0,L773-L772)</f>
        <v>0</v>
      </c>
      <c r="N773" s="1851" cm="1">
        <f t="array" ref="N773">_xlfn.IFS(
    AND(I773=TRUE, K773&lt;=No_Regular_Payments), Repay_Amt,
    AND(I773=TRUE, K773=No_Regular_Payments+1), Tm_Balloon_Amt,
   TRUE, 0
)</f>
        <v>0</v>
      </c>
      <c r="O773" s="1850" cm="1">
        <f t="array" ref="O773">_xlfn.IFS(
    M773=0,0,
   ABS(N773 - S772 - P773-Q773) &lt; 1, N773 - S772-Q773,
    TRUE, P773
)</f>
        <v>0</v>
      </c>
      <c r="P773" s="1852">
        <f>IF(M773=0,0,ROUND(S772*EXP(Int_Rate/365.25 * M773)-S772,2))</f>
        <v>0</v>
      </c>
      <c r="Q773" s="1851" cm="1">
        <f t="array" ref="Q773">_xlfn.IFS(
    AND(I773=TRUE, K773&lt;=No_Regular_Payments), Periodic_Admin_Charge,
   TRUE, 0
)</f>
        <v>0</v>
      </c>
      <c r="R773" s="1850">
        <f>N773-O773-Q773</f>
        <v>0</v>
      </c>
      <c r="S773" s="1850">
        <f>ROUND(S772-R773,2)</f>
        <v>0</v>
      </c>
      <c r="T773" s="1850">
        <f>ROUND(T772-(N773-Q773),2)</f>
        <v>0</v>
      </c>
      <c r="U773" s="1849"/>
      <c r="W773" s="1848"/>
      <c r="X773" s="1848"/>
      <c r="Y773" s="1848"/>
    </row>
    <row r="774" spans="2:25" hidden="1">
      <c r="B774" s="1815" t="b">
        <f>AND(I774=FALSE,N773=0,Q773=0,L773="")</f>
        <v>1</v>
      </c>
      <c r="C774" s="1844" t="str" cm="1">
        <f t="array" ref="C774">_xlfn.IFS(
    L774="", "",
    MONTH(L774) &lt;= End_of_Year_Month, YEAR(L774),
    TRUE, YEAR(L774) + 1
)</f>
        <v/>
      </c>
      <c r="F774" s="1857">
        <f>IF(L774="",0,L774)</f>
        <v>0</v>
      </c>
      <c r="G774" s="1856">
        <f>-(N774-Q774)</f>
        <v>0</v>
      </c>
      <c r="I774" s="1815" t="b">
        <f>K774&lt;=Number_Payments</f>
        <v>0</v>
      </c>
      <c r="J774" s="1855"/>
      <c r="K774" s="1351">
        <f>K773+1</f>
        <v>648</v>
      </c>
      <c r="L774" s="1854" t="str" cm="1">
        <f t="array" ref="L774">_xlfn.IFS(
    I773=FALSE, "",
    Payment_Frequency="Monthly", EDATE(L773, 1),
    Payment_Frequency="Weekly", DATE(YEAR(L773), MONTH(L773), DAY(L773) + 7),
    Payment_Frequency="Fortnightly", DATE(YEAR(L773), MONTH(L773), DAY(L773) + 14),
    Payment_Frequency="Quarterly", DATE(YEAR(L773), MONTH(L773) + 3, DAY(L773)),
    Payment_Frequency="Yearly", DATE(YEAR(L773) + 1, MONTH(L773), DAY(L773)),
    TRUE, ""
)</f>
        <v/>
      </c>
      <c r="M774" s="1853">
        <f>IF(ISERROR(L774-L773),0,L774-L773)</f>
        <v>0</v>
      </c>
      <c r="N774" s="1851" cm="1">
        <f t="array" ref="N774">_xlfn.IFS(
    AND(I774=TRUE, K774&lt;=No_Regular_Payments), Repay_Amt,
    AND(I774=TRUE, K774=No_Regular_Payments+1), Tm_Balloon_Amt,
   TRUE, 0
)</f>
        <v>0</v>
      </c>
      <c r="O774" s="1850" cm="1">
        <f t="array" ref="O774">_xlfn.IFS(
    M774=0,0,
   ABS(N774 - S773 - P774-Q774) &lt; 1, N774 - S773-Q774,
    TRUE, P774
)</f>
        <v>0</v>
      </c>
      <c r="P774" s="1852">
        <f>IF(M774=0,0,ROUND(S773*EXP(Int_Rate/365.25 * M774)-S773,2))</f>
        <v>0</v>
      </c>
      <c r="Q774" s="1851" cm="1">
        <f t="array" ref="Q774">_xlfn.IFS(
    AND(I774=TRUE, K774&lt;=No_Regular_Payments), Periodic_Admin_Charge,
   TRUE, 0
)</f>
        <v>0</v>
      </c>
      <c r="R774" s="1850">
        <f>N774-O774-Q774</f>
        <v>0</v>
      </c>
      <c r="S774" s="1850">
        <f>ROUND(S773-R774,2)</f>
        <v>0</v>
      </c>
      <c r="T774" s="1850">
        <f>ROUND(T773-(N774-Q774),2)</f>
        <v>0</v>
      </c>
      <c r="U774" s="1849"/>
      <c r="W774" s="1848"/>
      <c r="X774" s="1848"/>
      <c r="Y774" s="1848"/>
    </row>
    <row r="775" spans="2:25" hidden="1">
      <c r="B775" s="1815" t="b">
        <f>AND(I775=FALSE,N774=0,Q774=0,L774="")</f>
        <v>1</v>
      </c>
      <c r="C775" s="1844" t="str" cm="1">
        <f t="array" ref="C775">_xlfn.IFS(
    L775="", "",
    MONTH(L775) &lt;= End_of_Year_Month, YEAR(L775),
    TRUE, YEAR(L775) + 1
)</f>
        <v/>
      </c>
      <c r="F775" s="1857">
        <f>IF(L775="",0,L775)</f>
        <v>0</v>
      </c>
      <c r="G775" s="1856">
        <f>-(N775-Q775)</f>
        <v>0</v>
      </c>
      <c r="I775" s="1815" t="b">
        <f>K775&lt;=Number_Payments</f>
        <v>0</v>
      </c>
      <c r="J775" s="1855"/>
      <c r="K775" s="1351">
        <f>K774+1</f>
        <v>649</v>
      </c>
      <c r="L775" s="1854" t="str" cm="1">
        <f t="array" ref="L775">_xlfn.IFS(
    I774=FALSE, "",
    Payment_Frequency="Monthly", EDATE(L774, 1),
    Payment_Frequency="Weekly", DATE(YEAR(L774), MONTH(L774), DAY(L774) + 7),
    Payment_Frequency="Fortnightly", DATE(YEAR(L774), MONTH(L774), DAY(L774) + 14),
    Payment_Frequency="Quarterly", DATE(YEAR(L774), MONTH(L774) + 3, DAY(L774)),
    Payment_Frequency="Yearly", DATE(YEAR(L774) + 1, MONTH(L774), DAY(L774)),
    TRUE, ""
)</f>
        <v/>
      </c>
      <c r="M775" s="1853">
        <f>IF(ISERROR(L775-L774),0,L775-L774)</f>
        <v>0</v>
      </c>
      <c r="N775" s="1851" cm="1">
        <f t="array" ref="N775">_xlfn.IFS(
    AND(I775=TRUE, K775&lt;=No_Regular_Payments), Repay_Amt,
    AND(I775=TRUE, K775=No_Regular_Payments+1), Tm_Balloon_Amt,
   TRUE, 0
)</f>
        <v>0</v>
      </c>
      <c r="O775" s="1850" cm="1">
        <f t="array" ref="O775">_xlfn.IFS(
    M775=0,0,
   ABS(N775 - S774 - P775-Q775) &lt; 1, N775 - S774-Q775,
    TRUE, P775
)</f>
        <v>0</v>
      </c>
      <c r="P775" s="1852">
        <f>IF(M775=0,0,ROUND(S774*EXP(Int_Rate/365.25 * M775)-S774,2))</f>
        <v>0</v>
      </c>
      <c r="Q775" s="1851" cm="1">
        <f t="array" ref="Q775">_xlfn.IFS(
    AND(I775=TRUE, K775&lt;=No_Regular_Payments), Periodic_Admin_Charge,
   TRUE, 0
)</f>
        <v>0</v>
      </c>
      <c r="R775" s="1850">
        <f>N775-O775-Q775</f>
        <v>0</v>
      </c>
      <c r="S775" s="1850">
        <f>ROUND(S774-R775,2)</f>
        <v>0</v>
      </c>
      <c r="T775" s="1850">
        <f>ROUND(T774-(N775-Q775),2)</f>
        <v>0</v>
      </c>
      <c r="U775" s="1849"/>
      <c r="W775" s="1848"/>
      <c r="X775" s="1848"/>
      <c r="Y775" s="1848"/>
    </row>
    <row r="776" spans="2:25" hidden="1">
      <c r="B776" s="1815" t="b">
        <f>AND(I776=FALSE,N775=0,Q775=0,L775="")</f>
        <v>1</v>
      </c>
      <c r="C776" s="1844" t="str" cm="1">
        <f t="array" ref="C776">_xlfn.IFS(
    L776="", "",
    MONTH(L776) &lt;= End_of_Year_Month, YEAR(L776),
    TRUE, YEAR(L776) + 1
)</f>
        <v/>
      </c>
      <c r="F776" s="1857">
        <f>IF(L776="",0,L776)</f>
        <v>0</v>
      </c>
      <c r="G776" s="1856">
        <f>-(N776-Q776)</f>
        <v>0</v>
      </c>
      <c r="I776" s="1815" t="b">
        <f>K776&lt;=Number_Payments</f>
        <v>0</v>
      </c>
      <c r="J776" s="1855"/>
      <c r="K776" s="1351">
        <f>K775+1</f>
        <v>650</v>
      </c>
      <c r="L776" s="1854" t="str" cm="1">
        <f t="array" ref="L776">_xlfn.IFS(
    I775=FALSE, "",
    Payment_Frequency="Monthly", EDATE(L775, 1),
    Payment_Frequency="Weekly", DATE(YEAR(L775), MONTH(L775), DAY(L775) + 7),
    Payment_Frequency="Fortnightly", DATE(YEAR(L775), MONTH(L775), DAY(L775) + 14),
    Payment_Frequency="Quarterly", DATE(YEAR(L775), MONTH(L775) + 3, DAY(L775)),
    Payment_Frequency="Yearly", DATE(YEAR(L775) + 1, MONTH(L775), DAY(L775)),
    TRUE, ""
)</f>
        <v/>
      </c>
      <c r="M776" s="1853">
        <f>IF(ISERROR(L776-L775),0,L776-L775)</f>
        <v>0</v>
      </c>
      <c r="N776" s="1851" cm="1">
        <f t="array" ref="N776">_xlfn.IFS(
    AND(I776=TRUE, K776&lt;=No_Regular_Payments), Repay_Amt,
    AND(I776=TRUE, K776=No_Regular_Payments+1), Tm_Balloon_Amt,
   TRUE, 0
)</f>
        <v>0</v>
      </c>
      <c r="O776" s="1850" cm="1">
        <f t="array" ref="O776">_xlfn.IFS(
    M776=0,0,
   ABS(N776 - S775 - P776-Q776) &lt; 1, N776 - S775-Q776,
    TRUE, P776
)</f>
        <v>0</v>
      </c>
      <c r="P776" s="1852">
        <f>IF(M776=0,0,ROUND(S775*EXP(Int_Rate/365.25 * M776)-S775,2))</f>
        <v>0</v>
      </c>
      <c r="Q776" s="1851" cm="1">
        <f t="array" ref="Q776">_xlfn.IFS(
    AND(I776=TRUE, K776&lt;=No_Regular_Payments), Periodic_Admin_Charge,
   TRUE, 0
)</f>
        <v>0</v>
      </c>
      <c r="R776" s="1850">
        <f>N776-O776-Q776</f>
        <v>0</v>
      </c>
      <c r="S776" s="1850">
        <f>ROUND(S775-R776,2)</f>
        <v>0</v>
      </c>
      <c r="T776" s="1850">
        <f>ROUND(T775-(N776-Q776),2)</f>
        <v>0</v>
      </c>
      <c r="U776" s="1849"/>
      <c r="W776" s="1848"/>
      <c r="X776" s="1848"/>
      <c r="Y776" s="1848"/>
    </row>
    <row r="777" spans="2:25" hidden="1">
      <c r="B777" s="1815" t="b">
        <f>AND(I777=FALSE,N776=0,Q776=0,L776="")</f>
        <v>1</v>
      </c>
      <c r="C777" s="1844" t="str" cm="1">
        <f t="array" ref="C777">_xlfn.IFS(
    L777="", "",
    MONTH(L777) &lt;= End_of_Year_Month, YEAR(L777),
    TRUE, YEAR(L777) + 1
)</f>
        <v/>
      </c>
      <c r="F777" s="1857">
        <f>IF(L777="",0,L777)</f>
        <v>0</v>
      </c>
      <c r="G777" s="1856">
        <f>-(N777-Q777)</f>
        <v>0</v>
      </c>
      <c r="I777" s="1815" t="b">
        <f>K777&lt;=Number_Payments</f>
        <v>0</v>
      </c>
      <c r="J777" s="1855"/>
      <c r="K777" s="1351">
        <f>K776+1</f>
        <v>651</v>
      </c>
      <c r="L777" s="1854" t="str" cm="1">
        <f t="array" ref="L777">_xlfn.IFS(
    I776=FALSE, "",
    Payment_Frequency="Monthly", EDATE(L776, 1),
    Payment_Frequency="Weekly", DATE(YEAR(L776), MONTH(L776), DAY(L776) + 7),
    Payment_Frequency="Fortnightly", DATE(YEAR(L776), MONTH(L776), DAY(L776) + 14),
    Payment_Frequency="Quarterly", DATE(YEAR(L776), MONTH(L776) + 3, DAY(L776)),
    Payment_Frequency="Yearly", DATE(YEAR(L776) + 1, MONTH(L776), DAY(L776)),
    TRUE, ""
)</f>
        <v/>
      </c>
      <c r="M777" s="1853">
        <f>IF(ISERROR(L777-L776),0,L777-L776)</f>
        <v>0</v>
      </c>
      <c r="N777" s="1851" cm="1">
        <f t="array" ref="N777">_xlfn.IFS(
    AND(I777=TRUE, K777&lt;=No_Regular_Payments), Repay_Amt,
    AND(I777=TRUE, K777=No_Regular_Payments+1), Tm_Balloon_Amt,
   TRUE, 0
)</f>
        <v>0</v>
      </c>
      <c r="O777" s="1850" cm="1">
        <f t="array" ref="O777">_xlfn.IFS(
    M777=0,0,
   ABS(N777 - S776 - P777-Q777) &lt; 1, N777 - S776-Q777,
    TRUE, P777
)</f>
        <v>0</v>
      </c>
      <c r="P777" s="1852">
        <f>IF(M777=0,0,ROUND(S776*EXP(Int_Rate/365.25 * M777)-S776,2))</f>
        <v>0</v>
      </c>
      <c r="Q777" s="1851" cm="1">
        <f t="array" ref="Q777">_xlfn.IFS(
    AND(I777=TRUE, K777&lt;=No_Regular_Payments), Periodic_Admin_Charge,
   TRUE, 0
)</f>
        <v>0</v>
      </c>
      <c r="R777" s="1850">
        <f>N777-O777-Q777</f>
        <v>0</v>
      </c>
      <c r="S777" s="1850">
        <f>ROUND(S776-R777,2)</f>
        <v>0</v>
      </c>
      <c r="T777" s="1850">
        <f>ROUND(T776-(N777-Q777),2)</f>
        <v>0</v>
      </c>
      <c r="U777" s="1849"/>
      <c r="W777" s="1848"/>
      <c r="X777" s="1848"/>
      <c r="Y777" s="1848"/>
    </row>
    <row r="778" spans="2:25" hidden="1">
      <c r="B778" s="1815" t="b">
        <f>AND(I778=FALSE,N777=0,Q777=0,L777="")</f>
        <v>1</v>
      </c>
      <c r="C778" s="1844" t="str" cm="1">
        <f t="array" ref="C778">_xlfn.IFS(
    L778="", "",
    MONTH(L778) &lt;= End_of_Year_Month, YEAR(L778),
    TRUE, YEAR(L778) + 1
)</f>
        <v/>
      </c>
      <c r="F778" s="1857">
        <f>IF(L778="",0,L778)</f>
        <v>0</v>
      </c>
      <c r="G778" s="1856">
        <f>-(N778-Q778)</f>
        <v>0</v>
      </c>
      <c r="I778" s="1815" t="b">
        <f>K778&lt;=Number_Payments</f>
        <v>0</v>
      </c>
      <c r="J778" s="1855"/>
      <c r="K778" s="1351">
        <f>K777+1</f>
        <v>652</v>
      </c>
      <c r="L778" s="1854" t="str" cm="1">
        <f t="array" ref="L778">_xlfn.IFS(
    I777=FALSE, "",
    Payment_Frequency="Monthly", EDATE(L777, 1),
    Payment_Frequency="Weekly", DATE(YEAR(L777), MONTH(L777), DAY(L777) + 7),
    Payment_Frequency="Fortnightly", DATE(YEAR(L777), MONTH(L777), DAY(L777) + 14),
    Payment_Frequency="Quarterly", DATE(YEAR(L777), MONTH(L777) + 3, DAY(L777)),
    Payment_Frequency="Yearly", DATE(YEAR(L777) + 1, MONTH(L777), DAY(L777)),
    TRUE, ""
)</f>
        <v/>
      </c>
      <c r="M778" s="1853">
        <f>IF(ISERROR(L778-L777),0,L778-L777)</f>
        <v>0</v>
      </c>
      <c r="N778" s="1851" cm="1">
        <f t="array" ref="N778">_xlfn.IFS(
    AND(I778=TRUE, K778&lt;=No_Regular_Payments), Repay_Amt,
    AND(I778=TRUE, K778=No_Regular_Payments+1), Tm_Balloon_Amt,
   TRUE, 0
)</f>
        <v>0</v>
      </c>
      <c r="O778" s="1850" cm="1">
        <f t="array" ref="O778">_xlfn.IFS(
    M778=0,0,
   ABS(N778 - S777 - P778-Q778) &lt; 1, N778 - S777-Q778,
    TRUE, P778
)</f>
        <v>0</v>
      </c>
      <c r="P778" s="1852">
        <f>IF(M778=0,0,ROUND(S777*EXP(Int_Rate/365.25 * M778)-S777,2))</f>
        <v>0</v>
      </c>
      <c r="Q778" s="1851" cm="1">
        <f t="array" ref="Q778">_xlfn.IFS(
    AND(I778=TRUE, K778&lt;=No_Regular_Payments), Periodic_Admin_Charge,
   TRUE, 0
)</f>
        <v>0</v>
      </c>
      <c r="R778" s="1850">
        <f>N778-O778-Q778</f>
        <v>0</v>
      </c>
      <c r="S778" s="1850">
        <f>ROUND(S777-R778,2)</f>
        <v>0</v>
      </c>
      <c r="T778" s="1850">
        <f>ROUND(T777-(N778-Q778),2)</f>
        <v>0</v>
      </c>
      <c r="U778" s="1849"/>
      <c r="W778" s="1848"/>
      <c r="X778" s="1848"/>
      <c r="Y778" s="1848"/>
    </row>
    <row r="779" spans="2:25" hidden="1">
      <c r="B779" s="1815" t="b">
        <f>AND(I779=FALSE,N778=0,Q778=0,L778="")</f>
        <v>1</v>
      </c>
      <c r="C779" s="1844" t="str" cm="1">
        <f t="array" ref="C779">_xlfn.IFS(
    L779="", "",
    MONTH(L779) &lt;= End_of_Year_Month, YEAR(L779),
    TRUE, YEAR(L779) + 1
)</f>
        <v/>
      </c>
      <c r="F779" s="1857">
        <f>IF(L779="",0,L779)</f>
        <v>0</v>
      </c>
      <c r="G779" s="1856">
        <f>-(N779-Q779)</f>
        <v>0</v>
      </c>
      <c r="I779" s="1815" t="b">
        <f>K779&lt;=Number_Payments</f>
        <v>0</v>
      </c>
      <c r="J779" s="1855"/>
      <c r="K779" s="1351">
        <f>K778+1</f>
        <v>653</v>
      </c>
      <c r="L779" s="1854" t="str" cm="1">
        <f t="array" ref="L779">_xlfn.IFS(
    I778=FALSE, "",
    Payment_Frequency="Monthly", EDATE(L778, 1),
    Payment_Frequency="Weekly", DATE(YEAR(L778), MONTH(L778), DAY(L778) + 7),
    Payment_Frequency="Fortnightly", DATE(YEAR(L778), MONTH(L778), DAY(L778) + 14),
    Payment_Frequency="Quarterly", DATE(YEAR(L778), MONTH(L778) + 3, DAY(L778)),
    Payment_Frequency="Yearly", DATE(YEAR(L778) + 1, MONTH(L778), DAY(L778)),
    TRUE, ""
)</f>
        <v/>
      </c>
      <c r="M779" s="1853">
        <f>IF(ISERROR(L779-L778),0,L779-L778)</f>
        <v>0</v>
      </c>
      <c r="N779" s="1851" cm="1">
        <f t="array" ref="N779">_xlfn.IFS(
    AND(I779=TRUE, K779&lt;=No_Regular_Payments), Repay_Amt,
    AND(I779=TRUE, K779=No_Regular_Payments+1), Tm_Balloon_Amt,
   TRUE, 0
)</f>
        <v>0</v>
      </c>
      <c r="O779" s="1850" cm="1">
        <f t="array" ref="O779">_xlfn.IFS(
    M779=0,0,
   ABS(N779 - S778 - P779-Q779) &lt; 1, N779 - S778-Q779,
    TRUE, P779
)</f>
        <v>0</v>
      </c>
      <c r="P779" s="1852">
        <f>IF(M779=0,0,ROUND(S778*EXP(Int_Rate/365.25 * M779)-S778,2))</f>
        <v>0</v>
      </c>
      <c r="Q779" s="1851" cm="1">
        <f t="array" ref="Q779">_xlfn.IFS(
    AND(I779=TRUE, K779&lt;=No_Regular_Payments), Periodic_Admin_Charge,
   TRUE, 0
)</f>
        <v>0</v>
      </c>
      <c r="R779" s="1850">
        <f>N779-O779-Q779</f>
        <v>0</v>
      </c>
      <c r="S779" s="1850">
        <f>ROUND(S778-R779,2)</f>
        <v>0</v>
      </c>
      <c r="T779" s="1850">
        <f>ROUND(T778-(N779-Q779),2)</f>
        <v>0</v>
      </c>
      <c r="U779" s="1849"/>
      <c r="W779" s="1848"/>
      <c r="X779" s="1848"/>
      <c r="Y779" s="1848"/>
    </row>
    <row r="780" spans="2:25" hidden="1">
      <c r="B780" s="1815" t="b">
        <f>AND(I780=FALSE,N779=0,Q779=0,L779="")</f>
        <v>1</v>
      </c>
      <c r="C780" s="1844" t="str" cm="1">
        <f t="array" ref="C780">_xlfn.IFS(
    L780="", "",
    MONTH(L780) &lt;= End_of_Year_Month, YEAR(L780),
    TRUE, YEAR(L780) + 1
)</f>
        <v/>
      </c>
      <c r="F780" s="1857">
        <f>IF(L780="",0,L780)</f>
        <v>0</v>
      </c>
      <c r="G780" s="1856">
        <f>-(N780-Q780)</f>
        <v>0</v>
      </c>
      <c r="I780" s="1815" t="b">
        <f>K780&lt;=Number_Payments</f>
        <v>0</v>
      </c>
      <c r="J780" s="1855"/>
      <c r="K780" s="1351">
        <f>K779+1</f>
        <v>654</v>
      </c>
      <c r="L780" s="1854" t="str" cm="1">
        <f t="array" ref="L780">_xlfn.IFS(
    I779=FALSE, "",
    Payment_Frequency="Monthly", EDATE(L779, 1),
    Payment_Frequency="Weekly", DATE(YEAR(L779), MONTH(L779), DAY(L779) + 7),
    Payment_Frequency="Fortnightly", DATE(YEAR(L779), MONTH(L779), DAY(L779) + 14),
    Payment_Frequency="Quarterly", DATE(YEAR(L779), MONTH(L779) + 3, DAY(L779)),
    Payment_Frequency="Yearly", DATE(YEAR(L779) + 1, MONTH(L779), DAY(L779)),
    TRUE, ""
)</f>
        <v/>
      </c>
      <c r="M780" s="1853">
        <f>IF(ISERROR(L780-L779),0,L780-L779)</f>
        <v>0</v>
      </c>
      <c r="N780" s="1851" cm="1">
        <f t="array" ref="N780">_xlfn.IFS(
    AND(I780=TRUE, K780&lt;=No_Regular_Payments), Repay_Amt,
    AND(I780=TRUE, K780=No_Regular_Payments+1), Tm_Balloon_Amt,
   TRUE, 0
)</f>
        <v>0</v>
      </c>
      <c r="O780" s="1850" cm="1">
        <f t="array" ref="O780">_xlfn.IFS(
    M780=0,0,
   ABS(N780 - S779 - P780-Q780) &lt; 1, N780 - S779-Q780,
    TRUE, P780
)</f>
        <v>0</v>
      </c>
      <c r="P780" s="1852">
        <f>IF(M780=0,0,ROUND(S779*EXP(Int_Rate/365.25 * M780)-S779,2))</f>
        <v>0</v>
      </c>
      <c r="Q780" s="1851" cm="1">
        <f t="array" ref="Q780">_xlfn.IFS(
    AND(I780=TRUE, K780&lt;=No_Regular_Payments), Periodic_Admin_Charge,
   TRUE, 0
)</f>
        <v>0</v>
      </c>
      <c r="R780" s="1850">
        <f>N780-O780-Q780</f>
        <v>0</v>
      </c>
      <c r="S780" s="1850">
        <f>ROUND(S779-R780,2)</f>
        <v>0</v>
      </c>
      <c r="T780" s="1850">
        <f>ROUND(T779-(N780-Q780),2)</f>
        <v>0</v>
      </c>
      <c r="U780" s="1849"/>
      <c r="W780" s="1848"/>
      <c r="X780" s="1848"/>
      <c r="Y780" s="1848"/>
    </row>
    <row r="781" spans="2:25" hidden="1">
      <c r="B781" s="1815" t="b">
        <f>AND(I781=FALSE,N780=0,Q780=0,L780="")</f>
        <v>1</v>
      </c>
      <c r="C781" s="1844" t="str" cm="1">
        <f t="array" ref="C781">_xlfn.IFS(
    L781="", "",
    MONTH(L781) &lt;= End_of_Year_Month, YEAR(L781),
    TRUE, YEAR(L781) + 1
)</f>
        <v/>
      </c>
      <c r="F781" s="1857">
        <f>IF(L781="",0,L781)</f>
        <v>0</v>
      </c>
      <c r="G781" s="1856">
        <f>-(N781-Q781)</f>
        <v>0</v>
      </c>
      <c r="I781" s="1815" t="b">
        <f>K781&lt;=Number_Payments</f>
        <v>0</v>
      </c>
      <c r="J781" s="1855"/>
      <c r="K781" s="1351">
        <f>K780+1</f>
        <v>655</v>
      </c>
      <c r="L781" s="1854" t="str" cm="1">
        <f t="array" ref="L781">_xlfn.IFS(
    I780=FALSE, "",
    Payment_Frequency="Monthly", EDATE(L780, 1),
    Payment_Frequency="Weekly", DATE(YEAR(L780), MONTH(L780), DAY(L780) + 7),
    Payment_Frequency="Fortnightly", DATE(YEAR(L780), MONTH(L780), DAY(L780) + 14),
    Payment_Frequency="Quarterly", DATE(YEAR(L780), MONTH(L780) + 3, DAY(L780)),
    Payment_Frequency="Yearly", DATE(YEAR(L780) + 1, MONTH(L780), DAY(L780)),
    TRUE, ""
)</f>
        <v/>
      </c>
      <c r="M781" s="1853">
        <f>IF(ISERROR(L781-L780),0,L781-L780)</f>
        <v>0</v>
      </c>
      <c r="N781" s="1851" cm="1">
        <f t="array" ref="N781">_xlfn.IFS(
    AND(I781=TRUE, K781&lt;=No_Regular_Payments), Repay_Amt,
    AND(I781=TRUE, K781=No_Regular_Payments+1), Tm_Balloon_Amt,
   TRUE, 0
)</f>
        <v>0</v>
      </c>
      <c r="O781" s="1850" cm="1">
        <f t="array" ref="O781">_xlfn.IFS(
    M781=0,0,
   ABS(N781 - S780 - P781-Q781) &lt; 1, N781 - S780-Q781,
    TRUE, P781
)</f>
        <v>0</v>
      </c>
      <c r="P781" s="1852">
        <f>IF(M781=0,0,ROUND(S780*EXP(Int_Rate/365.25 * M781)-S780,2))</f>
        <v>0</v>
      </c>
      <c r="Q781" s="1851" cm="1">
        <f t="array" ref="Q781">_xlfn.IFS(
    AND(I781=TRUE, K781&lt;=No_Regular_Payments), Periodic_Admin_Charge,
   TRUE, 0
)</f>
        <v>0</v>
      </c>
      <c r="R781" s="1850">
        <f>N781-O781-Q781</f>
        <v>0</v>
      </c>
      <c r="S781" s="1850">
        <f>ROUND(S780-R781,2)</f>
        <v>0</v>
      </c>
      <c r="T781" s="1850">
        <f>ROUND(T780-(N781-Q781),2)</f>
        <v>0</v>
      </c>
      <c r="U781" s="1849"/>
      <c r="W781" s="1848"/>
      <c r="X781" s="1848"/>
      <c r="Y781" s="1848"/>
    </row>
    <row r="782" spans="2:25" hidden="1">
      <c r="B782" s="1815" t="b">
        <f>AND(I782=FALSE,N781=0,Q781=0,L781="")</f>
        <v>1</v>
      </c>
      <c r="C782" s="1844" t="str" cm="1">
        <f t="array" ref="C782">_xlfn.IFS(
    L782="", "",
    MONTH(L782) &lt;= End_of_Year_Month, YEAR(L782),
    TRUE, YEAR(L782) + 1
)</f>
        <v/>
      </c>
      <c r="F782" s="1857">
        <f>IF(L782="",0,L782)</f>
        <v>0</v>
      </c>
      <c r="G782" s="1856">
        <f>-(N782-Q782)</f>
        <v>0</v>
      </c>
      <c r="I782" s="1815" t="b">
        <f>K782&lt;=Number_Payments</f>
        <v>0</v>
      </c>
      <c r="J782" s="1855"/>
      <c r="K782" s="1351">
        <f>K781+1</f>
        <v>656</v>
      </c>
      <c r="L782" s="1854" t="str" cm="1">
        <f t="array" ref="L782">_xlfn.IFS(
    I781=FALSE, "",
    Payment_Frequency="Monthly", EDATE(L781, 1),
    Payment_Frequency="Weekly", DATE(YEAR(L781), MONTH(L781), DAY(L781) + 7),
    Payment_Frequency="Fortnightly", DATE(YEAR(L781), MONTH(L781), DAY(L781) + 14),
    Payment_Frequency="Quarterly", DATE(YEAR(L781), MONTH(L781) + 3, DAY(L781)),
    Payment_Frequency="Yearly", DATE(YEAR(L781) + 1, MONTH(L781), DAY(L781)),
    TRUE, ""
)</f>
        <v/>
      </c>
      <c r="M782" s="1853">
        <f>IF(ISERROR(L782-L781),0,L782-L781)</f>
        <v>0</v>
      </c>
      <c r="N782" s="1851" cm="1">
        <f t="array" ref="N782">_xlfn.IFS(
    AND(I782=TRUE, K782&lt;=No_Regular_Payments), Repay_Amt,
    AND(I782=TRUE, K782=No_Regular_Payments+1), Tm_Balloon_Amt,
   TRUE, 0
)</f>
        <v>0</v>
      </c>
      <c r="O782" s="1850" cm="1">
        <f t="array" ref="O782">_xlfn.IFS(
    M782=0,0,
   ABS(N782 - S781 - P782-Q782) &lt; 1, N782 - S781-Q782,
    TRUE, P782
)</f>
        <v>0</v>
      </c>
      <c r="P782" s="1852">
        <f>IF(M782=0,0,ROUND(S781*EXP(Int_Rate/365.25 * M782)-S781,2))</f>
        <v>0</v>
      </c>
      <c r="Q782" s="1851" cm="1">
        <f t="array" ref="Q782">_xlfn.IFS(
    AND(I782=TRUE, K782&lt;=No_Regular_Payments), Periodic_Admin_Charge,
   TRUE, 0
)</f>
        <v>0</v>
      </c>
      <c r="R782" s="1850">
        <f>N782-O782-Q782</f>
        <v>0</v>
      </c>
      <c r="S782" s="1850">
        <f>ROUND(S781-R782,2)</f>
        <v>0</v>
      </c>
      <c r="T782" s="1850">
        <f>ROUND(T781-(N782-Q782),2)</f>
        <v>0</v>
      </c>
      <c r="U782" s="1849"/>
      <c r="W782" s="1848"/>
      <c r="X782" s="1848"/>
      <c r="Y782" s="1848"/>
    </row>
    <row r="783" spans="2:25" hidden="1">
      <c r="B783" s="1815" t="b">
        <f>AND(I783=FALSE,N782=0,Q782=0,L782="")</f>
        <v>1</v>
      </c>
      <c r="C783" s="1844" t="str" cm="1">
        <f t="array" ref="C783">_xlfn.IFS(
    L783="", "",
    MONTH(L783) &lt;= End_of_Year_Month, YEAR(L783),
    TRUE, YEAR(L783) + 1
)</f>
        <v/>
      </c>
      <c r="F783" s="1857">
        <f>IF(L783="",0,L783)</f>
        <v>0</v>
      </c>
      <c r="G783" s="1856">
        <f>-(N783-Q783)</f>
        <v>0</v>
      </c>
      <c r="I783" s="1815" t="b">
        <f>K783&lt;=Number_Payments</f>
        <v>0</v>
      </c>
      <c r="J783" s="1855"/>
      <c r="K783" s="1351">
        <f>K782+1</f>
        <v>657</v>
      </c>
      <c r="L783" s="1854" t="str" cm="1">
        <f t="array" ref="L783">_xlfn.IFS(
    I782=FALSE, "",
    Payment_Frequency="Monthly", EDATE(L782, 1),
    Payment_Frequency="Weekly", DATE(YEAR(L782), MONTH(L782), DAY(L782) + 7),
    Payment_Frequency="Fortnightly", DATE(YEAR(L782), MONTH(L782), DAY(L782) + 14),
    Payment_Frequency="Quarterly", DATE(YEAR(L782), MONTH(L782) + 3, DAY(L782)),
    Payment_Frequency="Yearly", DATE(YEAR(L782) + 1, MONTH(L782), DAY(L782)),
    TRUE, ""
)</f>
        <v/>
      </c>
      <c r="M783" s="1853">
        <f>IF(ISERROR(L783-L782),0,L783-L782)</f>
        <v>0</v>
      </c>
      <c r="N783" s="1851" cm="1">
        <f t="array" ref="N783">_xlfn.IFS(
    AND(I783=TRUE, K783&lt;=No_Regular_Payments), Repay_Amt,
    AND(I783=TRUE, K783=No_Regular_Payments+1), Tm_Balloon_Amt,
   TRUE, 0
)</f>
        <v>0</v>
      </c>
      <c r="O783" s="1850" cm="1">
        <f t="array" ref="O783">_xlfn.IFS(
    M783=0,0,
   ABS(N783 - S782 - P783-Q783) &lt; 1, N783 - S782-Q783,
    TRUE, P783
)</f>
        <v>0</v>
      </c>
      <c r="P783" s="1852">
        <f>IF(M783=0,0,ROUND(S782*EXP(Int_Rate/365.25 * M783)-S782,2))</f>
        <v>0</v>
      </c>
      <c r="Q783" s="1851" cm="1">
        <f t="array" ref="Q783">_xlfn.IFS(
    AND(I783=TRUE, K783&lt;=No_Regular_Payments), Periodic_Admin_Charge,
   TRUE, 0
)</f>
        <v>0</v>
      </c>
      <c r="R783" s="1850">
        <f>N783-O783-Q783</f>
        <v>0</v>
      </c>
      <c r="S783" s="1850">
        <f>ROUND(S782-R783,2)</f>
        <v>0</v>
      </c>
      <c r="T783" s="1850">
        <f>ROUND(T782-(N783-Q783),2)</f>
        <v>0</v>
      </c>
      <c r="U783" s="1849"/>
      <c r="W783" s="1848"/>
      <c r="X783" s="1848"/>
      <c r="Y783" s="1848"/>
    </row>
    <row r="784" spans="2:25" hidden="1">
      <c r="B784" s="1815" t="b">
        <f>AND(I784=FALSE,N783=0,Q783=0,L783="")</f>
        <v>1</v>
      </c>
      <c r="C784" s="1844" t="str" cm="1">
        <f t="array" ref="C784">_xlfn.IFS(
    L784="", "",
    MONTH(L784) &lt;= End_of_Year_Month, YEAR(L784),
    TRUE, YEAR(L784) + 1
)</f>
        <v/>
      </c>
      <c r="F784" s="1857">
        <f>IF(L784="",0,L784)</f>
        <v>0</v>
      </c>
      <c r="G784" s="1856">
        <f>-(N784-Q784)</f>
        <v>0</v>
      </c>
      <c r="I784" s="1815" t="b">
        <f>K784&lt;=Number_Payments</f>
        <v>0</v>
      </c>
      <c r="J784" s="1855"/>
      <c r="K784" s="1351">
        <f>K783+1</f>
        <v>658</v>
      </c>
      <c r="L784" s="1854" t="str" cm="1">
        <f t="array" ref="L784">_xlfn.IFS(
    I783=FALSE, "",
    Payment_Frequency="Monthly", EDATE(L783, 1),
    Payment_Frequency="Weekly", DATE(YEAR(L783), MONTH(L783), DAY(L783) + 7),
    Payment_Frequency="Fortnightly", DATE(YEAR(L783), MONTH(L783), DAY(L783) + 14),
    Payment_Frequency="Quarterly", DATE(YEAR(L783), MONTH(L783) + 3, DAY(L783)),
    Payment_Frequency="Yearly", DATE(YEAR(L783) + 1, MONTH(L783), DAY(L783)),
    TRUE, ""
)</f>
        <v/>
      </c>
      <c r="M784" s="1853">
        <f>IF(ISERROR(L784-L783),0,L784-L783)</f>
        <v>0</v>
      </c>
      <c r="N784" s="1851" cm="1">
        <f t="array" ref="N784">_xlfn.IFS(
    AND(I784=TRUE, K784&lt;=No_Regular_Payments), Repay_Amt,
    AND(I784=TRUE, K784=No_Regular_Payments+1), Tm_Balloon_Amt,
   TRUE, 0
)</f>
        <v>0</v>
      </c>
      <c r="O784" s="1850" cm="1">
        <f t="array" ref="O784">_xlfn.IFS(
    M784=0,0,
   ABS(N784 - S783 - P784-Q784) &lt; 1, N784 - S783-Q784,
    TRUE, P784
)</f>
        <v>0</v>
      </c>
      <c r="P784" s="1852">
        <f>IF(M784=0,0,ROUND(S783*EXP(Int_Rate/365.25 * M784)-S783,2))</f>
        <v>0</v>
      </c>
      <c r="Q784" s="1851" cm="1">
        <f t="array" ref="Q784">_xlfn.IFS(
    AND(I784=TRUE, K784&lt;=No_Regular_Payments), Periodic_Admin_Charge,
   TRUE, 0
)</f>
        <v>0</v>
      </c>
      <c r="R784" s="1850">
        <f>N784-O784-Q784</f>
        <v>0</v>
      </c>
      <c r="S784" s="1850">
        <f>ROUND(S783-R784,2)</f>
        <v>0</v>
      </c>
      <c r="T784" s="1850">
        <f>ROUND(T783-(N784-Q784),2)</f>
        <v>0</v>
      </c>
      <c r="U784" s="1849"/>
      <c r="W784" s="1848"/>
      <c r="X784" s="1848"/>
      <c r="Y784" s="1848"/>
    </row>
    <row r="785" spans="2:25" hidden="1">
      <c r="B785" s="1815" t="b">
        <f>AND(I785=FALSE,N784=0,Q784=0,L784="")</f>
        <v>1</v>
      </c>
      <c r="C785" s="1844" t="str" cm="1">
        <f t="array" ref="C785">_xlfn.IFS(
    L785="", "",
    MONTH(L785) &lt;= End_of_Year_Month, YEAR(L785),
    TRUE, YEAR(L785) + 1
)</f>
        <v/>
      </c>
      <c r="F785" s="1857">
        <f>IF(L785="",0,L785)</f>
        <v>0</v>
      </c>
      <c r="G785" s="1856">
        <f>-(N785-Q785)</f>
        <v>0</v>
      </c>
      <c r="I785" s="1815" t="b">
        <f>K785&lt;=Number_Payments</f>
        <v>0</v>
      </c>
      <c r="J785" s="1855"/>
      <c r="K785" s="1351">
        <f>K784+1</f>
        <v>659</v>
      </c>
      <c r="L785" s="1854" t="str" cm="1">
        <f t="array" ref="L785">_xlfn.IFS(
    I784=FALSE, "",
    Payment_Frequency="Monthly", EDATE(L784, 1),
    Payment_Frequency="Weekly", DATE(YEAR(L784), MONTH(L784), DAY(L784) + 7),
    Payment_Frequency="Fortnightly", DATE(YEAR(L784), MONTH(L784), DAY(L784) + 14),
    Payment_Frequency="Quarterly", DATE(YEAR(L784), MONTH(L784) + 3, DAY(L784)),
    Payment_Frequency="Yearly", DATE(YEAR(L784) + 1, MONTH(L784), DAY(L784)),
    TRUE, ""
)</f>
        <v/>
      </c>
      <c r="M785" s="1853">
        <f>IF(ISERROR(L785-L784),0,L785-L784)</f>
        <v>0</v>
      </c>
      <c r="N785" s="1851" cm="1">
        <f t="array" ref="N785">_xlfn.IFS(
    AND(I785=TRUE, K785&lt;=No_Regular_Payments), Repay_Amt,
    AND(I785=TRUE, K785=No_Regular_Payments+1), Tm_Balloon_Amt,
   TRUE, 0
)</f>
        <v>0</v>
      </c>
      <c r="O785" s="1850" cm="1">
        <f t="array" ref="O785">_xlfn.IFS(
    M785=0,0,
   ABS(N785 - S784 - P785-Q785) &lt; 1, N785 - S784-Q785,
    TRUE, P785
)</f>
        <v>0</v>
      </c>
      <c r="P785" s="1852">
        <f>IF(M785=0,0,ROUND(S784*EXP(Int_Rate/365.25 * M785)-S784,2))</f>
        <v>0</v>
      </c>
      <c r="Q785" s="1851" cm="1">
        <f t="array" ref="Q785">_xlfn.IFS(
    AND(I785=TRUE, K785&lt;=No_Regular_Payments), Periodic_Admin_Charge,
   TRUE, 0
)</f>
        <v>0</v>
      </c>
      <c r="R785" s="1850">
        <f>N785-O785-Q785</f>
        <v>0</v>
      </c>
      <c r="S785" s="1850">
        <f>ROUND(S784-R785,2)</f>
        <v>0</v>
      </c>
      <c r="T785" s="1850">
        <f>ROUND(T784-(N785-Q785),2)</f>
        <v>0</v>
      </c>
      <c r="U785" s="1849"/>
      <c r="W785" s="1848"/>
      <c r="X785" s="1848"/>
      <c r="Y785" s="1848"/>
    </row>
    <row r="786" spans="2:25" hidden="1">
      <c r="B786" s="1815" t="b">
        <f>AND(I786=FALSE,N785=0,Q785=0,L785="")</f>
        <v>1</v>
      </c>
      <c r="C786" s="1844" t="str" cm="1">
        <f t="array" ref="C786">_xlfn.IFS(
    L786="", "",
    MONTH(L786) &lt;= End_of_Year_Month, YEAR(L786),
    TRUE, YEAR(L786) + 1
)</f>
        <v/>
      </c>
      <c r="F786" s="1857">
        <f>IF(L786="",0,L786)</f>
        <v>0</v>
      </c>
      <c r="G786" s="1856">
        <f>-(N786-Q786)</f>
        <v>0</v>
      </c>
      <c r="I786" s="1815" t="b">
        <f>K786&lt;=Number_Payments</f>
        <v>0</v>
      </c>
      <c r="J786" s="1855"/>
      <c r="K786" s="1351">
        <f>K785+1</f>
        <v>660</v>
      </c>
      <c r="L786" s="1854" t="str" cm="1">
        <f t="array" ref="L786">_xlfn.IFS(
    I785=FALSE, "",
    Payment_Frequency="Monthly", EDATE(L785, 1),
    Payment_Frequency="Weekly", DATE(YEAR(L785), MONTH(L785), DAY(L785) + 7),
    Payment_Frequency="Fortnightly", DATE(YEAR(L785), MONTH(L785), DAY(L785) + 14),
    Payment_Frequency="Quarterly", DATE(YEAR(L785), MONTH(L785) + 3, DAY(L785)),
    Payment_Frequency="Yearly", DATE(YEAR(L785) + 1, MONTH(L785), DAY(L785)),
    TRUE, ""
)</f>
        <v/>
      </c>
      <c r="M786" s="1853">
        <f>IF(ISERROR(L786-L785),0,L786-L785)</f>
        <v>0</v>
      </c>
      <c r="N786" s="1851" cm="1">
        <f t="array" ref="N786">_xlfn.IFS(
    AND(I786=TRUE, K786&lt;=No_Regular_Payments), Repay_Amt,
    AND(I786=TRUE, K786=No_Regular_Payments+1), Tm_Balloon_Amt,
   TRUE, 0
)</f>
        <v>0</v>
      </c>
      <c r="O786" s="1850" cm="1">
        <f t="array" ref="O786">_xlfn.IFS(
    M786=0,0,
   ABS(N786 - S785 - P786-Q786) &lt; 1, N786 - S785-Q786,
    TRUE, P786
)</f>
        <v>0</v>
      </c>
      <c r="P786" s="1852">
        <f>IF(M786=0,0,ROUND(S785*EXP(Int_Rate/365.25 * M786)-S785,2))</f>
        <v>0</v>
      </c>
      <c r="Q786" s="1851" cm="1">
        <f t="array" ref="Q786">_xlfn.IFS(
    AND(I786=TRUE, K786&lt;=No_Regular_Payments), Periodic_Admin_Charge,
   TRUE, 0
)</f>
        <v>0</v>
      </c>
      <c r="R786" s="1850">
        <f>N786-O786-Q786</f>
        <v>0</v>
      </c>
      <c r="S786" s="1850">
        <f>ROUND(S785-R786,2)</f>
        <v>0</v>
      </c>
      <c r="T786" s="1850">
        <f>ROUND(T785-(N786-Q786),2)</f>
        <v>0</v>
      </c>
      <c r="U786" s="1849"/>
      <c r="W786" s="1848"/>
      <c r="X786" s="1848"/>
      <c r="Y786" s="1848"/>
    </row>
    <row r="787" spans="2:25" hidden="1">
      <c r="B787" s="1815" t="b">
        <f>AND(I787=FALSE,N786=0,Q786=0,L786="")</f>
        <v>1</v>
      </c>
      <c r="C787" s="1844" t="str" cm="1">
        <f t="array" ref="C787">_xlfn.IFS(
    L787="", "",
    MONTH(L787) &lt;= End_of_Year_Month, YEAR(L787),
    TRUE, YEAR(L787) + 1
)</f>
        <v/>
      </c>
      <c r="F787" s="1857">
        <f>IF(L787="",0,L787)</f>
        <v>0</v>
      </c>
      <c r="G787" s="1856">
        <f>-(N787-Q787)</f>
        <v>0</v>
      </c>
      <c r="I787" s="1815" t="b">
        <f>K787&lt;=Number_Payments</f>
        <v>0</v>
      </c>
      <c r="J787" s="1855"/>
      <c r="K787" s="1351">
        <f>K786+1</f>
        <v>661</v>
      </c>
      <c r="L787" s="1854" t="str" cm="1">
        <f t="array" ref="L787">_xlfn.IFS(
    I786=FALSE, "",
    Payment_Frequency="Monthly", EDATE(L786, 1),
    Payment_Frequency="Weekly", DATE(YEAR(L786), MONTH(L786), DAY(L786) + 7),
    Payment_Frequency="Fortnightly", DATE(YEAR(L786), MONTH(L786), DAY(L786) + 14),
    Payment_Frequency="Quarterly", DATE(YEAR(L786), MONTH(L786) + 3, DAY(L786)),
    Payment_Frequency="Yearly", DATE(YEAR(L786) + 1, MONTH(L786), DAY(L786)),
    TRUE, ""
)</f>
        <v/>
      </c>
      <c r="M787" s="1853">
        <f>IF(ISERROR(L787-L786),0,L787-L786)</f>
        <v>0</v>
      </c>
      <c r="N787" s="1851" cm="1">
        <f t="array" ref="N787">_xlfn.IFS(
    AND(I787=TRUE, K787&lt;=No_Regular_Payments), Repay_Amt,
    AND(I787=TRUE, K787=No_Regular_Payments+1), Tm_Balloon_Amt,
   TRUE, 0
)</f>
        <v>0</v>
      </c>
      <c r="O787" s="1850" cm="1">
        <f t="array" ref="O787">_xlfn.IFS(
    M787=0,0,
   ABS(N787 - S786 - P787-Q787) &lt; 1, N787 - S786-Q787,
    TRUE, P787
)</f>
        <v>0</v>
      </c>
      <c r="P787" s="1852">
        <f>IF(M787=0,0,ROUND(S786*EXP(Int_Rate/365.25 * M787)-S786,2))</f>
        <v>0</v>
      </c>
      <c r="Q787" s="1851" cm="1">
        <f t="array" ref="Q787">_xlfn.IFS(
    AND(I787=TRUE, K787&lt;=No_Regular_Payments), Periodic_Admin_Charge,
   TRUE, 0
)</f>
        <v>0</v>
      </c>
      <c r="R787" s="1850">
        <f>N787-O787-Q787</f>
        <v>0</v>
      </c>
      <c r="S787" s="1850">
        <f>ROUND(S786-R787,2)</f>
        <v>0</v>
      </c>
      <c r="T787" s="1850">
        <f>ROUND(T786-(N787-Q787),2)</f>
        <v>0</v>
      </c>
      <c r="U787" s="1849"/>
      <c r="W787" s="1848"/>
      <c r="X787" s="1848"/>
      <c r="Y787" s="1848"/>
    </row>
    <row r="788" spans="2:25" hidden="1">
      <c r="B788" s="1815" t="b">
        <f>AND(I788=FALSE,N787=0,Q787=0,L787="")</f>
        <v>1</v>
      </c>
      <c r="C788" s="1844" t="str" cm="1">
        <f t="array" ref="C788">_xlfn.IFS(
    L788="", "",
    MONTH(L788) &lt;= End_of_Year_Month, YEAR(L788),
    TRUE, YEAR(L788) + 1
)</f>
        <v/>
      </c>
      <c r="F788" s="1857">
        <f>IF(L788="",0,L788)</f>
        <v>0</v>
      </c>
      <c r="G788" s="1856">
        <f>-(N788-Q788)</f>
        <v>0</v>
      </c>
      <c r="I788" s="1815" t="b">
        <f>K788&lt;=Number_Payments</f>
        <v>0</v>
      </c>
      <c r="J788" s="1855"/>
      <c r="K788" s="1351">
        <f>K787+1</f>
        <v>662</v>
      </c>
      <c r="L788" s="1854" t="str" cm="1">
        <f t="array" ref="L788">_xlfn.IFS(
    I787=FALSE, "",
    Payment_Frequency="Monthly", EDATE(L787, 1),
    Payment_Frequency="Weekly", DATE(YEAR(L787), MONTH(L787), DAY(L787) + 7),
    Payment_Frequency="Fortnightly", DATE(YEAR(L787), MONTH(L787), DAY(L787) + 14),
    Payment_Frequency="Quarterly", DATE(YEAR(L787), MONTH(L787) + 3, DAY(L787)),
    Payment_Frequency="Yearly", DATE(YEAR(L787) + 1, MONTH(L787), DAY(L787)),
    TRUE, ""
)</f>
        <v/>
      </c>
      <c r="M788" s="1853">
        <f>IF(ISERROR(L788-L787),0,L788-L787)</f>
        <v>0</v>
      </c>
      <c r="N788" s="1851" cm="1">
        <f t="array" ref="N788">_xlfn.IFS(
    AND(I788=TRUE, K788&lt;=No_Regular_Payments), Repay_Amt,
    AND(I788=TRUE, K788=No_Regular_Payments+1), Tm_Balloon_Amt,
   TRUE, 0
)</f>
        <v>0</v>
      </c>
      <c r="O788" s="1850" cm="1">
        <f t="array" ref="O788">_xlfn.IFS(
    M788=0,0,
   ABS(N788 - S787 - P788-Q788) &lt; 1, N788 - S787-Q788,
    TRUE, P788
)</f>
        <v>0</v>
      </c>
      <c r="P788" s="1852">
        <f>IF(M788=0,0,ROUND(S787*EXP(Int_Rate/365.25 * M788)-S787,2))</f>
        <v>0</v>
      </c>
      <c r="Q788" s="1851" cm="1">
        <f t="array" ref="Q788">_xlfn.IFS(
    AND(I788=TRUE, K788&lt;=No_Regular_Payments), Periodic_Admin_Charge,
   TRUE, 0
)</f>
        <v>0</v>
      </c>
      <c r="R788" s="1850">
        <f>N788-O788-Q788</f>
        <v>0</v>
      </c>
      <c r="S788" s="1850">
        <f>ROUND(S787-R788,2)</f>
        <v>0</v>
      </c>
      <c r="T788" s="1850">
        <f>ROUND(T787-(N788-Q788),2)</f>
        <v>0</v>
      </c>
      <c r="U788" s="1849"/>
      <c r="W788" s="1848"/>
      <c r="X788" s="1848"/>
      <c r="Y788" s="1848"/>
    </row>
    <row r="789" spans="2:25" hidden="1">
      <c r="B789" s="1815" t="b">
        <f>AND(I789=FALSE,N788=0,Q788=0,L788="")</f>
        <v>1</v>
      </c>
      <c r="C789" s="1844" t="str" cm="1">
        <f t="array" ref="C789">_xlfn.IFS(
    L789="", "",
    MONTH(L789) &lt;= End_of_Year_Month, YEAR(L789),
    TRUE, YEAR(L789) + 1
)</f>
        <v/>
      </c>
      <c r="F789" s="1857">
        <f>IF(L789="",0,L789)</f>
        <v>0</v>
      </c>
      <c r="G789" s="1856">
        <f>-(N789-Q789)</f>
        <v>0</v>
      </c>
      <c r="I789" s="1815" t="b">
        <f>K789&lt;=Number_Payments</f>
        <v>0</v>
      </c>
      <c r="J789" s="1855"/>
      <c r="K789" s="1351">
        <f>K788+1</f>
        <v>663</v>
      </c>
      <c r="L789" s="1854" t="str" cm="1">
        <f t="array" ref="L789">_xlfn.IFS(
    I788=FALSE, "",
    Payment_Frequency="Monthly", EDATE(L788, 1),
    Payment_Frequency="Weekly", DATE(YEAR(L788), MONTH(L788), DAY(L788) + 7),
    Payment_Frequency="Fortnightly", DATE(YEAR(L788), MONTH(L788), DAY(L788) + 14),
    Payment_Frequency="Quarterly", DATE(YEAR(L788), MONTH(L788) + 3, DAY(L788)),
    Payment_Frequency="Yearly", DATE(YEAR(L788) + 1, MONTH(L788), DAY(L788)),
    TRUE, ""
)</f>
        <v/>
      </c>
      <c r="M789" s="1853">
        <f>IF(ISERROR(L789-L788),0,L789-L788)</f>
        <v>0</v>
      </c>
      <c r="N789" s="1851" cm="1">
        <f t="array" ref="N789">_xlfn.IFS(
    AND(I789=TRUE, K789&lt;=No_Regular_Payments), Repay_Amt,
    AND(I789=TRUE, K789=No_Regular_Payments+1), Tm_Balloon_Amt,
   TRUE, 0
)</f>
        <v>0</v>
      </c>
      <c r="O789" s="1850" cm="1">
        <f t="array" ref="O789">_xlfn.IFS(
    M789=0,0,
   ABS(N789 - S788 - P789-Q789) &lt; 1, N789 - S788-Q789,
    TRUE, P789
)</f>
        <v>0</v>
      </c>
      <c r="P789" s="1852">
        <f>IF(M789=0,0,ROUND(S788*EXP(Int_Rate/365.25 * M789)-S788,2))</f>
        <v>0</v>
      </c>
      <c r="Q789" s="1851" cm="1">
        <f t="array" ref="Q789">_xlfn.IFS(
    AND(I789=TRUE, K789&lt;=No_Regular_Payments), Periodic_Admin_Charge,
   TRUE, 0
)</f>
        <v>0</v>
      </c>
      <c r="R789" s="1850">
        <f>N789-O789-Q789</f>
        <v>0</v>
      </c>
      <c r="S789" s="1850">
        <f>ROUND(S788-R789,2)</f>
        <v>0</v>
      </c>
      <c r="T789" s="1850">
        <f>ROUND(T788-(N789-Q789),2)</f>
        <v>0</v>
      </c>
      <c r="U789" s="1849"/>
      <c r="W789" s="1848"/>
      <c r="X789" s="1848"/>
      <c r="Y789" s="1848"/>
    </row>
    <row r="790" spans="2:25" hidden="1">
      <c r="B790" s="1815" t="b">
        <f>AND(I790=FALSE,N789=0,Q789=0,L789="")</f>
        <v>1</v>
      </c>
      <c r="C790" s="1844" t="str" cm="1">
        <f t="array" ref="C790">_xlfn.IFS(
    L790="", "",
    MONTH(L790) &lt;= End_of_Year_Month, YEAR(L790),
    TRUE, YEAR(L790) + 1
)</f>
        <v/>
      </c>
      <c r="F790" s="1857">
        <f>IF(L790="",0,L790)</f>
        <v>0</v>
      </c>
      <c r="G790" s="1856">
        <f>-(N790-Q790)</f>
        <v>0</v>
      </c>
      <c r="I790" s="1815" t="b">
        <f>K790&lt;=Number_Payments</f>
        <v>0</v>
      </c>
      <c r="J790" s="1855"/>
      <c r="K790" s="1351">
        <f>K789+1</f>
        <v>664</v>
      </c>
      <c r="L790" s="1854" t="str" cm="1">
        <f t="array" ref="L790">_xlfn.IFS(
    I789=FALSE, "",
    Payment_Frequency="Monthly", EDATE(L789, 1),
    Payment_Frequency="Weekly", DATE(YEAR(L789), MONTH(L789), DAY(L789) + 7),
    Payment_Frequency="Fortnightly", DATE(YEAR(L789), MONTH(L789), DAY(L789) + 14),
    Payment_Frequency="Quarterly", DATE(YEAR(L789), MONTH(L789) + 3, DAY(L789)),
    Payment_Frequency="Yearly", DATE(YEAR(L789) + 1, MONTH(L789), DAY(L789)),
    TRUE, ""
)</f>
        <v/>
      </c>
      <c r="M790" s="1853">
        <f>IF(ISERROR(L790-L789),0,L790-L789)</f>
        <v>0</v>
      </c>
      <c r="N790" s="1851" cm="1">
        <f t="array" ref="N790">_xlfn.IFS(
    AND(I790=TRUE, K790&lt;=No_Regular_Payments), Repay_Amt,
    AND(I790=TRUE, K790=No_Regular_Payments+1), Tm_Balloon_Amt,
   TRUE, 0
)</f>
        <v>0</v>
      </c>
      <c r="O790" s="1850" cm="1">
        <f t="array" ref="O790">_xlfn.IFS(
    M790=0,0,
   ABS(N790 - S789 - P790-Q790) &lt; 1, N790 - S789-Q790,
    TRUE, P790
)</f>
        <v>0</v>
      </c>
      <c r="P790" s="1852">
        <f>IF(M790=0,0,ROUND(S789*EXP(Int_Rate/365.25 * M790)-S789,2))</f>
        <v>0</v>
      </c>
      <c r="Q790" s="1851" cm="1">
        <f t="array" ref="Q790">_xlfn.IFS(
    AND(I790=TRUE, K790&lt;=No_Regular_Payments), Periodic_Admin_Charge,
   TRUE, 0
)</f>
        <v>0</v>
      </c>
      <c r="R790" s="1850">
        <f>N790-O790-Q790</f>
        <v>0</v>
      </c>
      <c r="S790" s="1850">
        <f>ROUND(S789-R790,2)</f>
        <v>0</v>
      </c>
      <c r="T790" s="1850">
        <f>ROUND(T789-(N790-Q790),2)</f>
        <v>0</v>
      </c>
      <c r="U790" s="1849"/>
      <c r="W790" s="1848"/>
      <c r="X790" s="1848"/>
      <c r="Y790" s="1848"/>
    </row>
    <row r="791" spans="2:25" hidden="1">
      <c r="B791" s="1815" t="b">
        <f>AND(I791=FALSE,N790=0,Q790=0,L790="")</f>
        <v>1</v>
      </c>
      <c r="C791" s="1844" t="str" cm="1">
        <f t="array" ref="C791">_xlfn.IFS(
    L791="", "",
    MONTH(L791) &lt;= End_of_Year_Month, YEAR(L791),
    TRUE, YEAR(L791) + 1
)</f>
        <v/>
      </c>
      <c r="F791" s="1857">
        <f>IF(L791="",0,L791)</f>
        <v>0</v>
      </c>
      <c r="G791" s="1856">
        <f>-(N791-Q791)</f>
        <v>0</v>
      </c>
      <c r="I791" s="1815" t="b">
        <f>K791&lt;=Number_Payments</f>
        <v>0</v>
      </c>
      <c r="J791" s="1855"/>
      <c r="K791" s="1351">
        <f>K790+1</f>
        <v>665</v>
      </c>
      <c r="L791" s="1854" t="str" cm="1">
        <f t="array" ref="L791">_xlfn.IFS(
    I790=FALSE, "",
    Payment_Frequency="Monthly", EDATE(L790, 1),
    Payment_Frequency="Weekly", DATE(YEAR(L790), MONTH(L790), DAY(L790) + 7),
    Payment_Frequency="Fortnightly", DATE(YEAR(L790), MONTH(L790), DAY(L790) + 14),
    Payment_Frequency="Quarterly", DATE(YEAR(L790), MONTH(L790) + 3, DAY(L790)),
    Payment_Frequency="Yearly", DATE(YEAR(L790) + 1, MONTH(L790), DAY(L790)),
    TRUE, ""
)</f>
        <v/>
      </c>
      <c r="M791" s="1853">
        <f>IF(ISERROR(L791-L790),0,L791-L790)</f>
        <v>0</v>
      </c>
      <c r="N791" s="1851" cm="1">
        <f t="array" ref="N791">_xlfn.IFS(
    AND(I791=TRUE, K791&lt;=No_Regular_Payments), Repay_Amt,
    AND(I791=TRUE, K791=No_Regular_Payments+1), Tm_Balloon_Amt,
   TRUE, 0
)</f>
        <v>0</v>
      </c>
      <c r="O791" s="1850" cm="1">
        <f t="array" ref="O791">_xlfn.IFS(
    M791=0,0,
   ABS(N791 - S790 - P791-Q791) &lt; 1, N791 - S790-Q791,
    TRUE, P791
)</f>
        <v>0</v>
      </c>
      <c r="P791" s="1852">
        <f>IF(M791=0,0,ROUND(S790*EXP(Int_Rate/365.25 * M791)-S790,2))</f>
        <v>0</v>
      </c>
      <c r="Q791" s="1851" cm="1">
        <f t="array" ref="Q791">_xlfn.IFS(
    AND(I791=TRUE, K791&lt;=No_Regular_Payments), Periodic_Admin_Charge,
   TRUE, 0
)</f>
        <v>0</v>
      </c>
      <c r="R791" s="1850">
        <f>N791-O791-Q791</f>
        <v>0</v>
      </c>
      <c r="S791" s="1850">
        <f>ROUND(S790-R791,2)</f>
        <v>0</v>
      </c>
      <c r="T791" s="1850">
        <f>ROUND(T790-(N791-Q791),2)</f>
        <v>0</v>
      </c>
      <c r="U791" s="1849"/>
      <c r="W791" s="1848"/>
      <c r="X791" s="1848"/>
      <c r="Y791" s="1848"/>
    </row>
    <row r="792" spans="2:25" hidden="1">
      <c r="B792" s="1815" t="b">
        <f>AND(I792=FALSE,N791=0,Q791=0,L791="")</f>
        <v>1</v>
      </c>
      <c r="C792" s="1844" t="str" cm="1">
        <f t="array" ref="C792">_xlfn.IFS(
    L792="", "",
    MONTH(L792) &lt;= End_of_Year_Month, YEAR(L792),
    TRUE, YEAR(L792) + 1
)</f>
        <v/>
      </c>
      <c r="F792" s="1857">
        <f>IF(L792="",0,L792)</f>
        <v>0</v>
      </c>
      <c r="G792" s="1856">
        <f>-(N792-Q792)</f>
        <v>0</v>
      </c>
      <c r="I792" s="1815" t="b">
        <f>K792&lt;=Number_Payments</f>
        <v>0</v>
      </c>
      <c r="J792" s="1855"/>
      <c r="K792" s="1351">
        <f>K791+1</f>
        <v>666</v>
      </c>
      <c r="L792" s="1854" t="str" cm="1">
        <f t="array" ref="L792">_xlfn.IFS(
    I791=FALSE, "",
    Payment_Frequency="Monthly", EDATE(L791, 1),
    Payment_Frequency="Weekly", DATE(YEAR(L791), MONTH(L791), DAY(L791) + 7),
    Payment_Frequency="Fortnightly", DATE(YEAR(L791), MONTH(L791), DAY(L791) + 14),
    Payment_Frequency="Quarterly", DATE(YEAR(L791), MONTH(L791) + 3, DAY(L791)),
    Payment_Frequency="Yearly", DATE(YEAR(L791) + 1, MONTH(L791), DAY(L791)),
    TRUE, ""
)</f>
        <v/>
      </c>
      <c r="M792" s="1853">
        <f>IF(ISERROR(L792-L791),0,L792-L791)</f>
        <v>0</v>
      </c>
      <c r="N792" s="1851" cm="1">
        <f t="array" ref="N792">_xlfn.IFS(
    AND(I792=TRUE, K792&lt;=No_Regular_Payments), Repay_Amt,
    AND(I792=TRUE, K792=No_Regular_Payments+1), Tm_Balloon_Amt,
   TRUE, 0
)</f>
        <v>0</v>
      </c>
      <c r="O792" s="1850" cm="1">
        <f t="array" ref="O792">_xlfn.IFS(
    M792=0,0,
   ABS(N792 - S791 - P792-Q792) &lt; 1, N792 - S791-Q792,
    TRUE, P792
)</f>
        <v>0</v>
      </c>
      <c r="P792" s="1852">
        <f>IF(M792=0,0,ROUND(S791*EXP(Int_Rate/365.25 * M792)-S791,2))</f>
        <v>0</v>
      </c>
      <c r="Q792" s="1851" cm="1">
        <f t="array" ref="Q792">_xlfn.IFS(
    AND(I792=TRUE, K792&lt;=No_Regular_Payments), Periodic_Admin_Charge,
   TRUE, 0
)</f>
        <v>0</v>
      </c>
      <c r="R792" s="1850">
        <f>N792-O792-Q792</f>
        <v>0</v>
      </c>
      <c r="S792" s="1850">
        <f>ROUND(S791-R792,2)</f>
        <v>0</v>
      </c>
      <c r="T792" s="1850">
        <f>ROUND(T791-(N792-Q792),2)</f>
        <v>0</v>
      </c>
      <c r="U792" s="1849"/>
      <c r="W792" s="1848"/>
      <c r="X792" s="1848"/>
      <c r="Y792" s="1848"/>
    </row>
    <row r="793" spans="2:25" hidden="1">
      <c r="B793" s="1815" t="b">
        <f>AND(I793=FALSE,N792=0,Q792=0,L792="")</f>
        <v>1</v>
      </c>
      <c r="C793" s="1844" t="str" cm="1">
        <f t="array" ref="C793">_xlfn.IFS(
    L793="", "",
    MONTH(L793) &lt;= End_of_Year_Month, YEAR(L793),
    TRUE, YEAR(L793) + 1
)</f>
        <v/>
      </c>
      <c r="F793" s="1857">
        <f>IF(L793="",0,L793)</f>
        <v>0</v>
      </c>
      <c r="G793" s="1856">
        <f>-(N793-Q793)</f>
        <v>0</v>
      </c>
      <c r="I793" s="1815" t="b">
        <f>K793&lt;=Number_Payments</f>
        <v>0</v>
      </c>
      <c r="J793" s="1855"/>
      <c r="K793" s="1351">
        <f>K792+1</f>
        <v>667</v>
      </c>
      <c r="L793" s="1854" t="str" cm="1">
        <f t="array" ref="L793">_xlfn.IFS(
    I792=FALSE, "",
    Payment_Frequency="Monthly", EDATE(L792, 1),
    Payment_Frequency="Weekly", DATE(YEAR(L792), MONTH(L792), DAY(L792) + 7),
    Payment_Frequency="Fortnightly", DATE(YEAR(L792), MONTH(L792), DAY(L792) + 14),
    Payment_Frequency="Quarterly", DATE(YEAR(L792), MONTH(L792) + 3, DAY(L792)),
    Payment_Frequency="Yearly", DATE(YEAR(L792) + 1, MONTH(L792), DAY(L792)),
    TRUE, ""
)</f>
        <v/>
      </c>
      <c r="M793" s="1853">
        <f>IF(ISERROR(L793-L792),0,L793-L792)</f>
        <v>0</v>
      </c>
      <c r="N793" s="1851" cm="1">
        <f t="array" ref="N793">_xlfn.IFS(
    AND(I793=TRUE, K793&lt;=No_Regular_Payments), Repay_Amt,
    AND(I793=TRUE, K793=No_Regular_Payments+1), Tm_Balloon_Amt,
   TRUE, 0
)</f>
        <v>0</v>
      </c>
      <c r="O793" s="1850" cm="1">
        <f t="array" ref="O793">_xlfn.IFS(
    M793=0,0,
   ABS(N793 - S792 - P793-Q793) &lt; 1, N793 - S792-Q793,
    TRUE, P793
)</f>
        <v>0</v>
      </c>
      <c r="P793" s="1852">
        <f>IF(M793=0,0,ROUND(S792*EXP(Int_Rate/365.25 * M793)-S792,2))</f>
        <v>0</v>
      </c>
      <c r="Q793" s="1851" cm="1">
        <f t="array" ref="Q793">_xlfn.IFS(
    AND(I793=TRUE, K793&lt;=No_Regular_Payments), Periodic_Admin_Charge,
   TRUE, 0
)</f>
        <v>0</v>
      </c>
      <c r="R793" s="1850">
        <f>N793-O793-Q793</f>
        <v>0</v>
      </c>
      <c r="S793" s="1850">
        <f>ROUND(S792-R793,2)</f>
        <v>0</v>
      </c>
      <c r="T793" s="1850">
        <f>ROUND(T792-(N793-Q793),2)</f>
        <v>0</v>
      </c>
      <c r="U793" s="1849"/>
      <c r="W793" s="1848"/>
      <c r="X793" s="1848"/>
      <c r="Y793" s="1848"/>
    </row>
    <row r="794" spans="2:25" hidden="1">
      <c r="B794" s="1815" t="b">
        <f>AND(I794=FALSE,N793=0,Q793=0,L793="")</f>
        <v>1</v>
      </c>
      <c r="C794" s="1844" t="str" cm="1">
        <f t="array" ref="C794">_xlfn.IFS(
    L794="", "",
    MONTH(L794) &lt;= End_of_Year_Month, YEAR(L794),
    TRUE, YEAR(L794) + 1
)</f>
        <v/>
      </c>
      <c r="F794" s="1857">
        <f>IF(L794="",0,L794)</f>
        <v>0</v>
      </c>
      <c r="G794" s="1856">
        <f>-(N794-Q794)</f>
        <v>0</v>
      </c>
      <c r="I794" s="1815" t="b">
        <f>K794&lt;=Number_Payments</f>
        <v>0</v>
      </c>
      <c r="J794" s="1855"/>
      <c r="K794" s="1351">
        <f>K793+1</f>
        <v>668</v>
      </c>
      <c r="L794" s="1854" t="str" cm="1">
        <f t="array" ref="L794">_xlfn.IFS(
    I793=FALSE, "",
    Payment_Frequency="Monthly", EDATE(L793, 1),
    Payment_Frequency="Weekly", DATE(YEAR(L793), MONTH(L793), DAY(L793) + 7),
    Payment_Frequency="Fortnightly", DATE(YEAR(L793), MONTH(L793), DAY(L793) + 14),
    Payment_Frequency="Quarterly", DATE(YEAR(L793), MONTH(L793) + 3, DAY(L793)),
    Payment_Frequency="Yearly", DATE(YEAR(L793) + 1, MONTH(L793), DAY(L793)),
    TRUE, ""
)</f>
        <v/>
      </c>
      <c r="M794" s="1853">
        <f>IF(ISERROR(L794-L793),0,L794-L793)</f>
        <v>0</v>
      </c>
      <c r="N794" s="1851" cm="1">
        <f t="array" ref="N794">_xlfn.IFS(
    AND(I794=TRUE, K794&lt;=No_Regular_Payments), Repay_Amt,
    AND(I794=TRUE, K794=No_Regular_Payments+1), Tm_Balloon_Amt,
   TRUE, 0
)</f>
        <v>0</v>
      </c>
      <c r="O794" s="1850" cm="1">
        <f t="array" ref="O794">_xlfn.IFS(
    M794=0,0,
   ABS(N794 - S793 - P794-Q794) &lt; 1, N794 - S793-Q794,
    TRUE, P794
)</f>
        <v>0</v>
      </c>
      <c r="P794" s="1852">
        <f>IF(M794=0,0,ROUND(S793*EXP(Int_Rate/365.25 * M794)-S793,2))</f>
        <v>0</v>
      </c>
      <c r="Q794" s="1851" cm="1">
        <f t="array" ref="Q794">_xlfn.IFS(
    AND(I794=TRUE, K794&lt;=No_Regular_Payments), Periodic_Admin_Charge,
   TRUE, 0
)</f>
        <v>0</v>
      </c>
      <c r="R794" s="1850">
        <f>N794-O794-Q794</f>
        <v>0</v>
      </c>
      <c r="S794" s="1850">
        <f>ROUND(S793-R794,2)</f>
        <v>0</v>
      </c>
      <c r="T794" s="1850">
        <f>ROUND(T793-(N794-Q794),2)</f>
        <v>0</v>
      </c>
      <c r="U794" s="1849"/>
      <c r="W794" s="1848"/>
      <c r="X794" s="1848"/>
      <c r="Y794" s="1848"/>
    </row>
    <row r="795" spans="2:25" hidden="1">
      <c r="B795" s="1815" t="b">
        <f>AND(I795=FALSE,N794=0,Q794=0,L794="")</f>
        <v>1</v>
      </c>
      <c r="C795" s="1844" t="str" cm="1">
        <f t="array" ref="C795">_xlfn.IFS(
    L795="", "",
    MONTH(L795) &lt;= End_of_Year_Month, YEAR(L795),
    TRUE, YEAR(L795) + 1
)</f>
        <v/>
      </c>
      <c r="F795" s="1857">
        <f>IF(L795="",0,L795)</f>
        <v>0</v>
      </c>
      <c r="G795" s="1856">
        <f>-(N795-Q795)</f>
        <v>0</v>
      </c>
      <c r="I795" s="1815" t="b">
        <f>K795&lt;=Number_Payments</f>
        <v>0</v>
      </c>
      <c r="J795" s="1855"/>
      <c r="K795" s="1351">
        <f>K794+1</f>
        <v>669</v>
      </c>
      <c r="L795" s="1854" t="str" cm="1">
        <f t="array" ref="L795">_xlfn.IFS(
    I794=FALSE, "",
    Payment_Frequency="Monthly", EDATE(L794, 1),
    Payment_Frequency="Weekly", DATE(YEAR(L794), MONTH(L794), DAY(L794) + 7),
    Payment_Frequency="Fortnightly", DATE(YEAR(L794), MONTH(L794), DAY(L794) + 14),
    Payment_Frequency="Quarterly", DATE(YEAR(L794), MONTH(L794) + 3, DAY(L794)),
    Payment_Frequency="Yearly", DATE(YEAR(L794) + 1, MONTH(L794), DAY(L794)),
    TRUE, ""
)</f>
        <v/>
      </c>
      <c r="M795" s="1853">
        <f>IF(ISERROR(L795-L794),0,L795-L794)</f>
        <v>0</v>
      </c>
      <c r="N795" s="1851" cm="1">
        <f t="array" ref="N795">_xlfn.IFS(
    AND(I795=TRUE, K795&lt;=No_Regular_Payments), Repay_Amt,
    AND(I795=TRUE, K795=No_Regular_Payments+1), Tm_Balloon_Amt,
   TRUE, 0
)</f>
        <v>0</v>
      </c>
      <c r="O795" s="1850" cm="1">
        <f t="array" ref="O795">_xlfn.IFS(
    M795=0,0,
   ABS(N795 - S794 - P795-Q795) &lt; 1, N795 - S794-Q795,
    TRUE, P795
)</f>
        <v>0</v>
      </c>
      <c r="P795" s="1852">
        <f>IF(M795=0,0,ROUND(S794*EXP(Int_Rate/365.25 * M795)-S794,2))</f>
        <v>0</v>
      </c>
      <c r="Q795" s="1851" cm="1">
        <f t="array" ref="Q795">_xlfn.IFS(
    AND(I795=TRUE, K795&lt;=No_Regular_Payments), Periodic_Admin_Charge,
   TRUE, 0
)</f>
        <v>0</v>
      </c>
      <c r="R795" s="1850">
        <f>N795-O795-Q795</f>
        <v>0</v>
      </c>
      <c r="S795" s="1850">
        <f>ROUND(S794-R795,2)</f>
        <v>0</v>
      </c>
      <c r="T795" s="1850">
        <f>ROUND(T794-(N795-Q795),2)</f>
        <v>0</v>
      </c>
      <c r="U795" s="1849"/>
      <c r="W795" s="1848"/>
      <c r="X795" s="1848"/>
      <c r="Y795" s="1848"/>
    </row>
    <row r="796" spans="2:25" hidden="1">
      <c r="B796" s="1815" t="b">
        <f>AND(I796=FALSE,N795=0,Q795=0,L795="")</f>
        <v>1</v>
      </c>
      <c r="C796" s="1844" t="str" cm="1">
        <f t="array" ref="C796">_xlfn.IFS(
    L796="", "",
    MONTH(L796) &lt;= End_of_Year_Month, YEAR(L796),
    TRUE, YEAR(L796) + 1
)</f>
        <v/>
      </c>
      <c r="F796" s="1857">
        <f>IF(L796="",0,L796)</f>
        <v>0</v>
      </c>
      <c r="G796" s="1856">
        <f>-(N796-Q796)</f>
        <v>0</v>
      </c>
      <c r="I796" s="1815" t="b">
        <f>K796&lt;=Number_Payments</f>
        <v>0</v>
      </c>
      <c r="J796" s="1855"/>
      <c r="K796" s="1351">
        <f>K795+1</f>
        <v>670</v>
      </c>
      <c r="L796" s="1854" t="str" cm="1">
        <f t="array" ref="L796">_xlfn.IFS(
    I795=FALSE, "",
    Payment_Frequency="Monthly", EDATE(L795, 1),
    Payment_Frequency="Weekly", DATE(YEAR(L795), MONTH(L795), DAY(L795) + 7),
    Payment_Frequency="Fortnightly", DATE(YEAR(L795), MONTH(L795), DAY(L795) + 14),
    Payment_Frequency="Quarterly", DATE(YEAR(L795), MONTH(L795) + 3, DAY(L795)),
    Payment_Frequency="Yearly", DATE(YEAR(L795) + 1, MONTH(L795), DAY(L795)),
    TRUE, ""
)</f>
        <v/>
      </c>
      <c r="M796" s="1853">
        <f>IF(ISERROR(L796-L795),0,L796-L795)</f>
        <v>0</v>
      </c>
      <c r="N796" s="1851" cm="1">
        <f t="array" ref="N796">_xlfn.IFS(
    AND(I796=TRUE, K796&lt;=No_Regular_Payments), Repay_Amt,
    AND(I796=TRUE, K796=No_Regular_Payments+1), Tm_Balloon_Amt,
   TRUE, 0
)</f>
        <v>0</v>
      </c>
      <c r="O796" s="1850" cm="1">
        <f t="array" ref="O796">_xlfn.IFS(
    M796=0,0,
   ABS(N796 - S795 - P796-Q796) &lt; 1, N796 - S795-Q796,
    TRUE, P796
)</f>
        <v>0</v>
      </c>
      <c r="P796" s="1852">
        <f>IF(M796=0,0,ROUND(S795*EXP(Int_Rate/365.25 * M796)-S795,2))</f>
        <v>0</v>
      </c>
      <c r="Q796" s="1851" cm="1">
        <f t="array" ref="Q796">_xlfn.IFS(
    AND(I796=TRUE, K796&lt;=No_Regular_Payments), Periodic_Admin_Charge,
   TRUE, 0
)</f>
        <v>0</v>
      </c>
      <c r="R796" s="1850">
        <f>N796-O796-Q796</f>
        <v>0</v>
      </c>
      <c r="S796" s="1850">
        <f>ROUND(S795-R796,2)</f>
        <v>0</v>
      </c>
      <c r="T796" s="1850">
        <f>ROUND(T795-(N796-Q796),2)</f>
        <v>0</v>
      </c>
      <c r="U796" s="1849"/>
      <c r="W796" s="1848"/>
      <c r="X796" s="1848"/>
      <c r="Y796" s="1848"/>
    </row>
    <row r="797" spans="2:25" hidden="1">
      <c r="B797" s="1815" t="b">
        <f>AND(I797=FALSE,N796=0,Q796=0,L796="")</f>
        <v>1</v>
      </c>
      <c r="C797" s="1844" t="str" cm="1">
        <f t="array" ref="C797">_xlfn.IFS(
    L797="", "",
    MONTH(L797) &lt;= End_of_Year_Month, YEAR(L797),
    TRUE, YEAR(L797) + 1
)</f>
        <v/>
      </c>
      <c r="F797" s="1857">
        <f>IF(L797="",0,L797)</f>
        <v>0</v>
      </c>
      <c r="G797" s="1856">
        <f>-(N797-Q797)</f>
        <v>0</v>
      </c>
      <c r="I797" s="1815" t="b">
        <f>K797&lt;=Number_Payments</f>
        <v>0</v>
      </c>
      <c r="J797" s="1855"/>
      <c r="K797" s="1351">
        <f>K796+1</f>
        <v>671</v>
      </c>
      <c r="L797" s="1854" t="str" cm="1">
        <f t="array" ref="L797">_xlfn.IFS(
    I796=FALSE, "",
    Payment_Frequency="Monthly", EDATE(L796, 1),
    Payment_Frequency="Weekly", DATE(YEAR(L796), MONTH(L796), DAY(L796) + 7),
    Payment_Frequency="Fortnightly", DATE(YEAR(L796), MONTH(L796), DAY(L796) + 14),
    Payment_Frequency="Quarterly", DATE(YEAR(L796), MONTH(L796) + 3, DAY(L796)),
    Payment_Frequency="Yearly", DATE(YEAR(L796) + 1, MONTH(L796), DAY(L796)),
    TRUE, ""
)</f>
        <v/>
      </c>
      <c r="M797" s="1853">
        <f>IF(ISERROR(L797-L796),0,L797-L796)</f>
        <v>0</v>
      </c>
      <c r="N797" s="1851" cm="1">
        <f t="array" ref="N797">_xlfn.IFS(
    AND(I797=TRUE, K797&lt;=No_Regular_Payments), Repay_Amt,
    AND(I797=TRUE, K797=No_Regular_Payments+1), Tm_Balloon_Amt,
   TRUE, 0
)</f>
        <v>0</v>
      </c>
      <c r="O797" s="1850" cm="1">
        <f t="array" ref="O797">_xlfn.IFS(
    M797=0,0,
   ABS(N797 - S796 - P797-Q797) &lt; 1, N797 - S796-Q797,
    TRUE, P797
)</f>
        <v>0</v>
      </c>
      <c r="P797" s="1852">
        <f>IF(M797=0,0,ROUND(S796*EXP(Int_Rate/365.25 * M797)-S796,2))</f>
        <v>0</v>
      </c>
      <c r="Q797" s="1851" cm="1">
        <f t="array" ref="Q797">_xlfn.IFS(
    AND(I797=TRUE, K797&lt;=No_Regular_Payments), Periodic_Admin_Charge,
   TRUE, 0
)</f>
        <v>0</v>
      </c>
      <c r="R797" s="1850">
        <f>N797-O797-Q797</f>
        <v>0</v>
      </c>
      <c r="S797" s="1850">
        <f>ROUND(S796-R797,2)</f>
        <v>0</v>
      </c>
      <c r="T797" s="1850">
        <f>ROUND(T796-(N797-Q797),2)</f>
        <v>0</v>
      </c>
      <c r="U797" s="1849"/>
      <c r="W797" s="1848"/>
      <c r="X797" s="1848"/>
      <c r="Y797" s="1848"/>
    </row>
    <row r="798" spans="2:25" hidden="1">
      <c r="B798" s="1815" t="b">
        <f>AND(I798=FALSE,N797=0,Q797=0,L797="")</f>
        <v>1</v>
      </c>
      <c r="C798" s="1844" t="str" cm="1">
        <f t="array" ref="C798">_xlfn.IFS(
    L798="", "",
    MONTH(L798) &lt;= End_of_Year_Month, YEAR(L798),
    TRUE, YEAR(L798) + 1
)</f>
        <v/>
      </c>
      <c r="F798" s="1857">
        <f>IF(L798="",0,L798)</f>
        <v>0</v>
      </c>
      <c r="G798" s="1856">
        <f>-(N798-Q798)</f>
        <v>0</v>
      </c>
      <c r="I798" s="1815" t="b">
        <f>K798&lt;=Number_Payments</f>
        <v>0</v>
      </c>
      <c r="J798" s="1855"/>
      <c r="K798" s="1351">
        <f>K797+1</f>
        <v>672</v>
      </c>
      <c r="L798" s="1854" t="str" cm="1">
        <f t="array" ref="L798">_xlfn.IFS(
    I797=FALSE, "",
    Payment_Frequency="Monthly", EDATE(L797, 1),
    Payment_Frequency="Weekly", DATE(YEAR(L797), MONTH(L797), DAY(L797) + 7),
    Payment_Frequency="Fortnightly", DATE(YEAR(L797), MONTH(L797), DAY(L797) + 14),
    Payment_Frequency="Quarterly", DATE(YEAR(L797), MONTH(L797) + 3, DAY(L797)),
    Payment_Frequency="Yearly", DATE(YEAR(L797) + 1, MONTH(L797), DAY(L797)),
    TRUE, ""
)</f>
        <v/>
      </c>
      <c r="M798" s="1853">
        <f>IF(ISERROR(L798-L797),0,L798-L797)</f>
        <v>0</v>
      </c>
      <c r="N798" s="1851" cm="1">
        <f t="array" ref="N798">_xlfn.IFS(
    AND(I798=TRUE, K798&lt;=No_Regular_Payments), Repay_Amt,
    AND(I798=TRUE, K798=No_Regular_Payments+1), Tm_Balloon_Amt,
   TRUE, 0
)</f>
        <v>0</v>
      </c>
      <c r="O798" s="1850" cm="1">
        <f t="array" ref="O798">_xlfn.IFS(
    M798=0,0,
   ABS(N798 - S797 - P798-Q798) &lt; 1, N798 - S797-Q798,
    TRUE, P798
)</f>
        <v>0</v>
      </c>
      <c r="P798" s="1852">
        <f>IF(M798=0,0,ROUND(S797*EXP(Int_Rate/365.25 * M798)-S797,2))</f>
        <v>0</v>
      </c>
      <c r="Q798" s="1851" cm="1">
        <f t="array" ref="Q798">_xlfn.IFS(
    AND(I798=TRUE, K798&lt;=No_Regular_Payments), Periodic_Admin_Charge,
   TRUE, 0
)</f>
        <v>0</v>
      </c>
      <c r="R798" s="1850">
        <f>N798-O798-Q798</f>
        <v>0</v>
      </c>
      <c r="S798" s="1850">
        <f>ROUND(S797-R798,2)</f>
        <v>0</v>
      </c>
      <c r="T798" s="1850">
        <f>ROUND(T797-(N798-Q798),2)</f>
        <v>0</v>
      </c>
      <c r="U798" s="1849"/>
      <c r="W798" s="1848"/>
      <c r="X798" s="1848"/>
      <c r="Y798" s="1848"/>
    </row>
    <row r="799" spans="2:25" hidden="1">
      <c r="B799" s="1815" t="b">
        <f>AND(I799=FALSE,N798=0,Q798=0,L798="")</f>
        <v>1</v>
      </c>
      <c r="C799" s="1844" t="str" cm="1">
        <f t="array" ref="C799">_xlfn.IFS(
    L799="", "",
    MONTH(L799) &lt;= End_of_Year_Month, YEAR(L799),
    TRUE, YEAR(L799) + 1
)</f>
        <v/>
      </c>
      <c r="F799" s="1857">
        <f>IF(L799="",0,L799)</f>
        <v>0</v>
      </c>
      <c r="G799" s="1856">
        <f>-(N799-Q799)</f>
        <v>0</v>
      </c>
      <c r="I799" s="1815" t="b">
        <f>K799&lt;=Number_Payments</f>
        <v>0</v>
      </c>
      <c r="J799" s="1855"/>
      <c r="K799" s="1351">
        <f>K798+1</f>
        <v>673</v>
      </c>
      <c r="L799" s="1854" t="str" cm="1">
        <f t="array" ref="L799">_xlfn.IFS(
    I798=FALSE, "",
    Payment_Frequency="Monthly", EDATE(L798, 1),
    Payment_Frequency="Weekly", DATE(YEAR(L798), MONTH(L798), DAY(L798) + 7),
    Payment_Frequency="Fortnightly", DATE(YEAR(L798), MONTH(L798), DAY(L798) + 14),
    Payment_Frequency="Quarterly", DATE(YEAR(L798), MONTH(L798) + 3, DAY(L798)),
    Payment_Frequency="Yearly", DATE(YEAR(L798) + 1, MONTH(L798), DAY(L798)),
    TRUE, ""
)</f>
        <v/>
      </c>
      <c r="M799" s="1853">
        <f>IF(ISERROR(L799-L798),0,L799-L798)</f>
        <v>0</v>
      </c>
      <c r="N799" s="1851" cm="1">
        <f t="array" ref="N799">_xlfn.IFS(
    AND(I799=TRUE, K799&lt;=No_Regular_Payments), Repay_Amt,
    AND(I799=TRUE, K799=No_Regular_Payments+1), Tm_Balloon_Amt,
   TRUE, 0
)</f>
        <v>0</v>
      </c>
      <c r="O799" s="1850" cm="1">
        <f t="array" ref="O799">_xlfn.IFS(
    M799=0,0,
   ABS(N799 - S798 - P799-Q799) &lt; 1, N799 - S798-Q799,
    TRUE, P799
)</f>
        <v>0</v>
      </c>
      <c r="P799" s="1852">
        <f>IF(M799=0,0,ROUND(S798*EXP(Int_Rate/365.25 * M799)-S798,2))</f>
        <v>0</v>
      </c>
      <c r="Q799" s="1851" cm="1">
        <f t="array" ref="Q799">_xlfn.IFS(
    AND(I799=TRUE, K799&lt;=No_Regular_Payments), Periodic_Admin_Charge,
   TRUE, 0
)</f>
        <v>0</v>
      </c>
      <c r="R799" s="1850">
        <f>N799-O799-Q799</f>
        <v>0</v>
      </c>
      <c r="S799" s="1850">
        <f>ROUND(S798-R799,2)</f>
        <v>0</v>
      </c>
      <c r="T799" s="1850">
        <f>ROUND(T798-(N799-Q799),2)</f>
        <v>0</v>
      </c>
      <c r="U799" s="1849"/>
      <c r="W799" s="1848"/>
      <c r="X799" s="1848"/>
      <c r="Y799" s="1848"/>
    </row>
    <row r="800" spans="2:25" hidden="1">
      <c r="B800" s="1815" t="b">
        <f>AND(I800=FALSE,N799=0,Q799=0,L799="")</f>
        <v>1</v>
      </c>
      <c r="C800" s="1844" t="str" cm="1">
        <f t="array" ref="C800">_xlfn.IFS(
    L800="", "",
    MONTH(L800) &lt;= End_of_Year_Month, YEAR(L800),
    TRUE, YEAR(L800) + 1
)</f>
        <v/>
      </c>
      <c r="F800" s="1857">
        <f>IF(L800="",0,L800)</f>
        <v>0</v>
      </c>
      <c r="G800" s="1856">
        <f>-(N800-Q800)</f>
        <v>0</v>
      </c>
      <c r="I800" s="1815" t="b">
        <f>K800&lt;=Number_Payments</f>
        <v>0</v>
      </c>
      <c r="J800" s="1855"/>
      <c r="K800" s="1351">
        <f>K799+1</f>
        <v>674</v>
      </c>
      <c r="L800" s="1854" t="str" cm="1">
        <f t="array" ref="L800">_xlfn.IFS(
    I799=FALSE, "",
    Payment_Frequency="Monthly", EDATE(L799, 1),
    Payment_Frequency="Weekly", DATE(YEAR(L799), MONTH(L799), DAY(L799) + 7),
    Payment_Frequency="Fortnightly", DATE(YEAR(L799), MONTH(L799), DAY(L799) + 14),
    Payment_Frequency="Quarterly", DATE(YEAR(L799), MONTH(L799) + 3, DAY(L799)),
    Payment_Frequency="Yearly", DATE(YEAR(L799) + 1, MONTH(L799), DAY(L799)),
    TRUE, ""
)</f>
        <v/>
      </c>
      <c r="M800" s="1853">
        <f>IF(ISERROR(L800-L799),0,L800-L799)</f>
        <v>0</v>
      </c>
      <c r="N800" s="1851" cm="1">
        <f t="array" ref="N800">_xlfn.IFS(
    AND(I800=TRUE, K800&lt;=No_Regular_Payments), Repay_Amt,
    AND(I800=TRUE, K800=No_Regular_Payments+1), Tm_Balloon_Amt,
   TRUE, 0
)</f>
        <v>0</v>
      </c>
      <c r="O800" s="1850" cm="1">
        <f t="array" ref="O800">_xlfn.IFS(
    M800=0,0,
   ABS(N800 - S799 - P800-Q800) &lt; 1, N800 - S799-Q800,
    TRUE, P800
)</f>
        <v>0</v>
      </c>
      <c r="P800" s="1852">
        <f>IF(M800=0,0,ROUND(S799*EXP(Int_Rate/365.25 * M800)-S799,2))</f>
        <v>0</v>
      </c>
      <c r="Q800" s="1851" cm="1">
        <f t="array" ref="Q800">_xlfn.IFS(
    AND(I800=TRUE, K800&lt;=No_Regular_Payments), Periodic_Admin_Charge,
   TRUE, 0
)</f>
        <v>0</v>
      </c>
      <c r="R800" s="1850">
        <f>N800-O800-Q800</f>
        <v>0</v>
      </c>
      <c r="S800" s="1850">
        <f>ROUND(S799-R800,2)</f>
        <v>0</v>
      </c>
      <c r="T800" s="1850">
        <f>ROUND(T799-(N800-Q800),2)</f>
        <v>0</v>
      </c>
      <c r="U800" s="1849"/>
      <c r="W800" s="1848"/>
      <c r="X800" s="1848"/>
      <c r="Y800" s="1848"/>
    </row>
    <row r="801" spans="2:25" hidden="1">
      <c r="B801" s="1815" t="b">
        <f>AND(I801=FALSE,N800=0,Q800=0,L800="")</f>
        <v>1</v>
      </c>
      <c r="C801" s="1844" t="str" cm="1">
        <f t="array" ref="C801">_xlfn.IFS(
    L801="", "",
    MONTH(L801) &lt;= End_of_Year_Month, YEAR(L801),
    TRUE, YEAR(L801) + 1
)</f>
        <v/>
      </c>
      <c r="F801" s="1857">
        <f>IF(L801="",0,L801)</f>
        <v>0</v>
      </c>
      <c r="G801" s="1856">
        <f>-(N801-Q801)</f>
        <v>0</v>
      </c>
      <c r="I801" s="1815" t="b">
        <f>K801&lt;=Number_Payments</f>
        <v>0</v>
      </c>
      <c r="J801" s="1855"/>
      <c r="K801" s="1351">
        <f>K800+1</f>
        <v>675</v>
      </c>
      <c r="L801" s="1854" t="str" cm="1">
        <f t="array" ref="L801">_xlfn.IFS(
    I800=FALSE, "",
    Payment_Frequency="Monthly", EDATE(L800, 1),
    Payment_Frequency="Weekly", DATE(YEAR(L800), MONTH(L800), DAY(L800) + 7),
    Payment_Frequency="Fortnightly", DATE(YEAR(L800), MONTH(L800), DAY(L800) + 14),
    Payment_Frequency="Quarterly", DATE(YEAR(L800), MONTH(L800) + 3, DAY(L800)),
    Payment_Frequency="Yearly", DATE(YEAR(L800) + 1, MONTH(L800), DAY(L800)),
    TRUE, ""
)</f>
        <v/>
      </c>
      <c r="M801" s="1853">
        <f>IF(ISERROR(L801-L800),0,L801-L800)</f>
        <v>0</v>
      </c>
      <c r="N801" s="1851" cm="1">
        <f t="array" ref="N801">_xlfn.IFS(
    AND(I801=TRUE, K801&lt;=No_Regular_Payments), Repay_Amt,
    AND(I801=TRUE, K801=No_Regular_Payments+1), Tm_Balloon_Amt,
   TRUE, 0
)</f>
        <v>0</v>
      </c>
      <c r="O801" s="1850" cm="1">
        <f t="array" ref="O801">_xlfn.IFS(
    M801=0,0,
   ABS(N801 - S800 - P801-Q801) &lt; 1, N801 - S800-Q801,
    TRUE, P801
)</f>
        <v>0</v>
      </c>
      <c r="P801" s="1852">
        <f>IF(M801=0,0,ROUND(S800*EXP(Int_Rate/365.25 * M801)-S800,2))</f>
        <v>0</v>
      </c>
      <c r="Q801" s="1851" cm="1">
        <f t="array" ref="Q801">_xlfn.IFS(
    AND(I801=TRUE, K801&lt;=No_Regular_Payments), Periodic_Admin_Charge,
   TRUE, 0
)</f>
        <v>0</v>
      </c>
      <c r="R801" s="1850">
        <f>N801-O801-Q801</f>
        <v>0</v>
      </c>
      <c r="S801" s="1850">
        <f>ROUND(S800-R801,2)</f>
        <v>0</v>
      </c>
      <c r="T801" s="1850">
        <f>ROUND(T800-(N801-Q801),2)</f>
        <v>0</v>
      </c>
      <c r="U801" s="1849"/>
      <c r="W801" s="1848"/>
      <c r="X801" s="1848"/>
      <c r="Y801" s="1848"/>
    </row>
    <row r="802" spans="2:25" hidden="1">
      <c r="B802" s="1815" t="b">
        <f>AND(I802=FALSE,N801=0,Q801=0,L801="")</f>
        <v>1</v>
      </c>
      <c r="C802" s="1844" t="str" cm="1">
        <f t="array" ref="C802">_xlfn.IFS(
    L802="", "",
    MONTH(L802) &lt;= End_of_Year_Month, YEAR(L802),
    TRUE, YEAR(L802) + 1
)</f>
        <v/>
      </c>
      <c r="F802" s="1857">
        <f>IF(L802="",0,L802)</f>
        <v>0</v>
      </c>
      <c r="G802" s="1856">
        <f>-(N802-Q802)</f>
        <v>0</v>
      </c>
      <c r="I802" s="1815" t="b">
        <f>K802&lt;=Number_Payments</f>
        <v>0</v>
      </c>
      <c r="J802" s="1855"/>
      <c r="K802" s="1351">
        <f>K801+1</f>
        <v>676</v>
      </c>
      <c r="L802" s="1854" t="str" cm="1">
        <f t="array" ref="L802">_xlfn.IFS(
    I801=FALSE, "",
    Payment_Frequency="Monthly", EDATE(L801, 1),
    Payment_Frequency="Weekly", DATE(YEAR(L801), MONTH(L801), DAY(L801) + 7),
    Payment_Frequency="Fortnightly", DATE(YEAR(L801), MONTH(L801), DAY(L801) + 14),
    Payment_Frequency="Quarterly", DATE(YEAR(L801), MONTH(L801) + 3, DAY(L801)),
    Payment_Frequency="Yearly", DATE(YEAR(L801) + 1, MONTH(L801), DAY(L801)),
    TRUE, ""
)</f>
        <v/>
      </c>
      <c r="M802" s="1853">
        <f>IF(ISERROR(L802-L801),0,L802-L801)</f>
        <v>0</v>
      </c>
      <c r="N802" s="1851" cm="1">
        <f t="array" ref="N802">_xlfn.IFS(
    AND(I802=TRUE, K802&lt;=No_Regular_Payments), Repay_Amt,
    AND(I802=TRUE, K802=No_Regular_Payments+1), Tm_Balloon_Amt,
   TRUE, 0
)</f>
        <v>0</v>
      </c>
      <c r="O802" s="1850" cm="1">
        <f t="array" ref="O802">_xlfn.IFS(
    M802=0,0,
   ABS(N802 - S801 - P802-Q802) &lt; 1, N802 - S801-Q802,
    TRUE, P802
)</f>
        <v>0</v>
      </c>
      <c r="P802" s="1852">
        <f>IF(M802=0,0,ROUND(S801*EXP(Int_Rate/365.25 * M802)-S801,2))</f>
        <v>0</v>
      </c>
      <c r="Q802" s="1851" cm="1">
        <f t="array" ref="Q802">_xlfn.IFS(
    AND(I802=TRUE, K802&lt;=No_Regular_Payments), Periodic_Admin_Charge,
   TRUE, 0
)</f>
        <v>0</v>
      </c>
      <c r="R802" s="1850">
        <f>N802-O802-Q802</f>
        <v>0</v>
      </c>
      <c r="S802" s="1850">
        <f>ROUND(S801-R802,2)</f>
        <v>0</v>
      </c>
      <c r="T802" s="1850">
        <f>ROUND(T801-(N802-Q802),2)</f>
        <v>0</v>
      </c>
      <c r="U802" s="1849"/>
      <c r="W802" s="1848"/>
      <c r="X802" s="1848"/>
      <c r="Y802" s="1848"/>
    </row>
    <row r="803" spans="2:25" hidden="1">
      <c r="B803" s="1815" t="b">
        <f>AND(I803=FALSE,N802=0,Q802=0,L802="")</f>
        <v>1</v>
      </c>
      <c r="C803" s="1844" t="str" cm="1">
        <f t="array" ref="C803">_xlfn.IFS(
    L803="", "",
    MONTH(L803) &lt;= End_of_Year_Month, YEAR(L803),
    TRUE, YEAR(L803) + 1
)</f>
        <v/>
      </c>
      <c r="F803" s="1857">
        <f>IF(L803="",0,L803)</f>
        <v>0</v>
      </c>
      <c r="G803" s="1856">
        <f>-(N803-Q803)</f>
        <v>0</v>
      </c>
      <c r="I803" s="1815" t="b">
        <f>K803&lt;=Number_Payments</f>
        <v>0</v>
      </c>
      <c r="J803" s="1855"/>
      <c r="K803" s="1351">
        <f>K802+1</f>
        <v>677</v>
      </c>
      <c r="L803" s="1854" t="str" cm="1">
        <f t="array" ref="L803">_xlfn.IFS(
    I802=FALSE, "",
    Payment_Frequency="Monthly", EDATE(L802, 1),
    Payment_Frequency="Weekly", DATE(YEAR(L802), MONTH(L802), DAY(L802) + 7),
    Payment_Frequency="Fortnightly", DATE(YEAR(L802), MONTH(L802), DAY(L802) + 14),
    Payment_Frequency="Quarterly", DATE(YEAR(L802), MONTH(L802) + 3, DAY(L802)),
    Payment_Frequency="Yearly", DATE(YEAR(L802) + 1, MONTH(L802), DAY(L802)),
    TRUE, ""
)</f>
        <v/>
      </c>
      <c r="M803" s="1853">
        <f>IF(ISERROR(L803-L802),0,L803-L802)</f>
        <v>0</v>
      </c>
      <c r="N803" s="1851" cm="1">
        <f t="array" ref="N803">_xlfn.IFS(
    AND(I803=TRUE, K803&lt;=No_Regular_Payments), Repay_Amt,
    AND(I803=TRUE, K803=No_Regular_Payments+1), Tm_Balloon_Amt,
   TRUE, 0
)</f>
        <v>0</v>
      </c>
      <c r="O803" s="1850" cm="1">
        <f t="array" ref="O803">_xlfn.IFS(
    M803=0,0,
   ABS(N803 - S802 - P803-Q803) &lt; 1, N803 - S802-Q803,
    TRUE, P803
)</f>
        <v>0</v>
      </c>
      <c r="P803" s="1852">
        <f>IF(M803=0,0,ROUND(S802*EXP(Int_Rate/365.25 * M803)-S802,2))</f>
        <v>0</v>
      </c>
      <c r="Q803" s="1851" cm="1">
        <f t="array" ref="Q803">_xlfn.IFS(
    AND(I803=TRUE, K803&lt;=No_Regular_Payments), Periodic_Admin_Charge,
   TRUE, 0
)</f>
        <v>0</v>
      </c>
      <c r="R803" s="1850">
        <f>N803-O803-Q803</f>
        <v>0</v>
      </c>
      <c r="S803" s="1850">
        <f>ROUND(S802-R803,2)</f>
        <v>0</v>
      </c>
      <c r="T803" s="1850">
        <f>ROUND(T802-(N803-Q803),2)</f>
        <v>0</v>
      </c>
      <c r="U803" s="1849"/>
      <c r="W803" s="1848"/>
      <c r="X803" s="1848"/>
      <c r="Y803" s="1848"/>
    </row>
    <row r="804" spans="2:25" hidden="1">
      <c r="B804" s="1815" t="b">
        <f>AND(I804=FALSE,N803=0,Q803=0,L803="")</f>
        <v>1</v>
      </c>
      <c r="C804" s="1844" t="str" cm="1">
        <f t="array" ref="C804">_xlfn.IFS(
    L804="", "",
    MONTH(L804) &lt;= End_of_Year_Month, YEAR(L804),
    TRUE, YEAR(L804) + 1
)</f>
        <v/>
      </c>
      <c r="F804" s="1857">
        <f>IF(L804="",0,L804)</f>
        <v>0</v>
      </c>
      <c r="G804" s="1856">
        <f>-(N804-Q804)</f>
        <v>0</v>
      </c>
      <c r="I804" s="1815" t="b">
        <f>K804&lt;=Number_Payments</f>
        <v>0</v>
      </c>
      <c r="J804" s="1855"/>
      <c r="K804" s="1351">
        <f>K803+1</f>
        <v>678</v>
      </c>
      <c r="L804" s="1854" t="str" cm="1">
        <f t="array" ref="L804">_xlfn.IFS(
    I803=FALSE, "",
    Payment_Frequency="Monthly", EDATE(L803, 1),
    Payment_Frequency="Weekly", DATE(YEAR(L803), MONTH(L803), DAY(L803) + 7),
    Payment_Frequency="Fortnightly", DATE(YEAR(L803), MONTH(L803), DAY(L803) + 14),
    Payment_Frequency="Quarterly", DATE(YEAR(L803), MONTH(L803) + 3, DAY(L803)),
    Payment_Frequency="Yearly", DATE(YEAR(L803) + 1, MONTH(L803), DAY(L803)),
    TRUE, ""
)</f>
        <v/>
      </c>
      <c r="M804" s="1853">
        <f>IF(ISERROR(L804-L803),0,L804-L803)</f>
        <v>0</v>
      </c>
      <c r="N804" s="1851" cm="1">
        <f t="array" ref="N804">_xlfn.IFS(
    AND(I804=TRUE, K804&lt;=No_Regular_Payments), Repay_Amt,
    AND(I804=TRUE, K804=No_Regular_Payments+1), Tm_Balloon_Amt,
   TRUE, 0
)</f>
        <v>0</v>
      </c>
      <c r="O804" s="1850" cm="1">
        <f t="array" ref="O804">_xlfn.IFS(
    M804=0,0,
   ABS(N804 - S803 - P804-Q804) &lt; 1, N804 - S803-Q804,
    TRUE, P804
)</f>
        <v>0</v>
      </c>
      <c r="P804" s="1852">
        <f>IF(M804=0,0,ROUND(S803*EXP(Int_Rate/365.25 * M804)-S803,2))</f>
        <v>0</v>
      </c>
      <c r="Q804" s="1851" cm="1">
        <f t="array" ref="Q804">_xlfn.IFS(
    AND(I804=TRUE, K804&lt;=No_Regular_Payments), Periodic_Admin_Charge,
   TRUE, 0
)</f>
        <v>0</v>
      </c>
      <c r="R804" s="1850">
        <f>N804-O804-Q804</f>
        <v>0</v>
      </c>
      <c r="S804" s="1850">
        <f>ROUND(S803-R804,2)</f>
        <v>0</v>
      </c>
      <c r="T804" s="1850">
        <f>ROUND(T803-(N804-Q804),2)</f>
        <v>0</v>
      </c>
      <c r="U804" s="1849"/>
      <c r="W804" s="1848"/>
      <c r="X804" s="1848"/>
      <c r="Y804" s="1848"/>
    </row>
    <row r="805" spans="2:25" hidden="1">
      <c r="B805" s="1815" t="b">
        <f>AND(I805=FALSE,N804=0,Q804=0,L804="")</f>
        <v>1</v>
      </c>
      <c r="C805" s="1844" t="str" cm="1">
        <f t="array" ref="C805">_xlfn.IFS(
    L805="", "",
    MONTH(L805) &lt;= End_of_Year_Month, YEAR(L805),
    TRUE, YEAR(L805) + 1
)</f>
        <v/>
      </c>
      <c r="F805" s="1857">
        <f>IF(L805="",0,L805)</f>
        <v>0</v>
      </c>
      <c r="G805" s="1856">
        <f>-(N805-Q805)</f>
        <v>0</v>
      </c>
      <c r="I805" s="1815" t="b">
        <f>K805&lt;=Number_Payments</f>
        <v>0</v>
      </c>
      <c r="J805" s="1855"/>
      <c r="K805" s="1351">
        <f>K804+1</f>
        <v>679</v>
      </c>
      <c r="L805" s="1854" t="str" cm="1">
        <f t="array" ref="L805">_xlfn.IFS(
    I804=FALSE, "",
    Payment_Frequency="Monthly", EDATE(L804, 1),
    Payment_Frequency="Weekly", DATE(YEAR(L804), MONTH(L804), DAY(L804) + 7),
    Payment_Frequency="Fortnightly", DATE(YEAR(L804), MONTH(L804), DAY(L804) + 14),
    Payment_Frequency="Quarterly", DATE(YEAR(L804), MONTH(L804) + 3, DAY(L804)),
    Payment_Frequency="Yearly", DATE(YEAR(L804) + 1, MONTH(L804), DAY(L804)),
    TRUE, ""
)</f>
        <v/>
      </c>
      <c r="M805" s="1853">
        <f>IF(ISERROR(L805-L804),0,L805-L804)</f>
        <v>0</v>
      </c>
      <c r="N805" s="1851" cm="1">
        <f t="array" ref="N805">_xlfn.IFS(
    AND(I805=TRUE, K805&lt;=No_Regular_Payments), Repay_Amt,
    AND(I805=TRUE, K805=No_Regular_Payments+1), Tm_Balloon_Amt,
   TRUE, 0
)</f>
        <v>0</v>
      </c>
      <c r="O805" s="1850" cm="1">
        <f t="array" ref="O805">_xlfn.IFS(
    M805=0,0,
   ABS(N805 - S804 - P805-Q805) &lt; 1, N805 - S804-Q805,
    TRUE, P805
)</f>
        <v>0</v>
      </c>
      <c r="P805" s="1852">
        <f>IF(M805=0,0,ROUND(S804*EXP(Int_Rate/365.25 * M805)-S804,2))</f>
        <v>0</v>
      </c>
      <c r="Q805" s="1851" cm="1">
        <f t="array" ref="Q805">_xlfn.IFS(
    AND(I805=TRUE, K805&lt;=No_Regular_Payments), Periodic_Admin_Charge,
   TRUE, 0
)</f>
        <v>0</v>
      </c>
      <c r="R805" s="1850">
        <f>N805-O805-Q805</f>
        <v>0</v>
      </c>
      <c r="S805" s="1850">
        <f>ROUND(S804-R805,2)</f>
        <v>0</v>
      </c>
      <c r="T805" s="1850">
        <f>ROUND(T804-(N805-Q805),2)</f>
        <v>0</v>
      </c>
      <c r="U805" s="1849"/>
      <c r="W805" s="1848"/>
      <c r="X805" s="1848"/>
      <c r="Y805" s="1848"/>
    </row>
    <row r="806" spans="2:25" hidden="1">
      <c r="B806" s="1815" t="b">
        <f>AND(I806=FALSE,N805=0,Q805=0,L805="")</f>
        <v>1</v>
      </c>
      <c r="C806" s="1844" t="str" cm="1">
        <f t="array" ref="C806">_xlfn.IFS(
    L806="", "",
    MONTH(L806) &lt;= End_of_Year_Month, YEAR(L806),
    TRUE, YEAR(L806) + 1
)</f>
        <v/>
      </c>
      <c r="F806" s="1857">
        <f>IF(L806="",0,L806)</f>
        <v>0</v>
      </c>
      <c r="G806" s="1856">
        <f>-(N806-Q806)</f>
        <v>0</v>
      </c>
      <c r="I806" s="1815" t="b">
        <f>K806&lt;=Number_Payments</f>
        <v>0</v>
      </c>
      <c r="J806" s="1855"/>
      <c r="K806" s="1351">
        <f>K805+1</f>
        <v>680</v>
      </c>
      <c r="L806" s="1854" t="str" cm="1">
        <f t="array" ref="L806">_xlfn.IFS(
    I805=FALSE, "",
    Payment_Frequency="Monthly", EDATE(L805, 1),
    Payment_Frequency="Weekly", DATE(YEAR(L805), MONTH(L805), DAY(L805) + 7),
    Payment_Frequency="Fortnightly", DATE(YEAR(L805), MONTH(L805), DAY(L805) + 14),
    Payment_Frequency="Quarterly", DATE(YEAR(L805), MONTH(L805) + 3, DAY(L805)),
    Payment_Frequency="Yearly", DATE(YEAR(L805) + 1, MONTH(L805), DAY(L805)),
    TRUE, ""
)</f>
        <v/>
      </c>
      <c r="M806" s="1853">
        <f>IF(ISERROR(L806-L805),0,L806-L805)</f>
        <v>0</v>
      </c>
      <c r="N806" s="1851" cm="1">
        <f t="array" ref="N806">_xlfn.IFS(
    AND(I806=TRUE, K806&lt;=No_Regular_Payments), Repay_Amt,
    AND(I806=TRUE, K806=No_Regular_Payments+1), Tm_Balloon_Amt,
   TRUE, 0
)</f>
        <v>0</v>
      </c>
      <c r="O806" s="1850" cm="1">
        <f t="array" ref="O806">_xlfn.IFS(
    M806=0,0,
   ABS(N806 - S805 - P806-Q806) &lt; 1, N806 - S805-Q806,
    TRUE, P806
)</f>
        <v>0</v>
      </c>
      <c r="P806" s="1852">
        <f>IF(M806=0,0,ROUND(S805*EXP(Int_Rate/365.25 * M806)-S805,2))</f>
        <v>0</v>
      </c>
      <c r="Q806" s="1851" cm="1">
        <f t="array" ref="Q806">_xlfn.IFS(
    AND(I806=TRUE, K806&lt;=No_Regular_Payments), Periodic_Admin_Charge,
   TRUE, 0
)</f>
        <v>0</v>
      </c>
      <c r="R806" s="1850">
        <f>N806-O806-Q806</f>
        <v>0</v>
      </c>
      <c r="S806" s="1850">
        <f>ROUND(S805-R806,2)</f>
        <v>0</v>
      </c>
      <c r="T806" s="1850">
        <f>ROUND(T805-(N806-Q806),2)</f>
        <v>0</v>
      </c>
      <c r="U806" s="1849"/>
      <c r="W806" s="1848"/>
      <c r="X806" s="1848"/>
      <c r="Y806" s="1848"/>
    </row>
    <row r="807" spans="2:25" hidden="1">
      <c r="B807" s="1815" t="b">
        <f>AND(I807=FALSE,N806=0,Q806=0,L806="")</f>
        <v>1</v>
      </c>
      <c r="C807" s="1844" t="str" cm="1">
        <f t="array" ref="C807">_xlfn.IFS(
    L807="", "",
    MONTH(L807) &lt;= End_of_Year_Month, YEAR(L807),
    TRUE, YEAR(L807) + 1
)</f>
        <v/>
      </c>
      <c r="F807" s="1857">
        <f>IF(L807="",0,L807)</f>
        <v>0</v>
      </c>
      <c r="G807" s="1856">
        <f>-(N807-Q807)</f>
        <v>0</v>
      </c>
      <c r="I807" s="1815" t="b">
        <f>K807&lt;=Number_Payments</f>
        <v>0</v>
      </c>
      <c r="J807" s="1855"/>
      <c r="K807" s="1351">
        <f>K806+1</f>
        <v>681</v>
      </c>
      <c r="L807" s="1854" t="str" cm="1">
        <f t="array" ref="L807">_xlfn.IFS(
    I806=FALSE, "",
    Payment_Frequency="Monthly", EDATE(L806, 1),
    Payment_Frequency="Weekly", DATE(YEAR(L806), MONTH(L806), DAY(L806) + 7),
    Payment_Frequency="Fortnightly", DATE(YEAR(L806), MONTH(L806), DAY(L806) + 14),
    Payment_Frequency="Quarterly", DATE(YEAR(L806), MONTH(L806) + 3, DAY(L806)),
    Payment_Frequency="Yearly", DATE(YEAR(L806) + 1, MONTH(L806), DAY(L806)),
    TRUE, ""
)</f>
        <v/>
      </c>
      <c r="M807" s="1853">
        <f>IF(ISERROR(L807-L806),0,L807-L806)</f>
        <v>0</v>
      </c>
      <c r="N807" s="1851" cm="1">
        <f t="array" ref="N807">_xlfn.IFS(
    AND(I807=TRUE, K807&lt;=No_Regular_Payments), Repay_Amt,
    AND(I807=TRUE, K807=No_Regular_Payments+1), Tm_Balloon_Amt,
   TRUE, 0
)</f>
        <v>0</v>
      </c>
      <c r="O807" s="1850" cm="1">
        <f t="array" ref="O807">_xlfn.IFS(
    M807=0,0,
   ABS(N807 - S806 - P807-Q807) &lt; 1, N807 - S806-Q807,
    TRUE, P807
)</f>
        <v>0</v>
      </c>
      <c r="P807" s="1852">
        <f>IF(M807=0,0,ROUND(S806*EXP(Int_Rate/365.25 * M807)-S806,2))</f>
        <v>0</v>
      </c>
      <c r="Q807" s="1851" cm="1">
        <f t="array" ref="Q807">_xlfn.IFS(
    AND(I807=TRUE, K807&lt;=No_Regular_Payments), Periodic_Admin_Charge,
   TRUE, 0
)</f>
        <v>0</v>
      </c>
      <c r="R807" s="1850">
        <f>N807-O807-Q807</f>
        <v>0</v>
      </c>
      <c r="S807" s="1850">
        <f>ROUND(S806-R807,2)</f>
        <v>0</v>
      </c>
      <c r="T807" s="1850">
        <f>ROUND(T806-(N807-Q807),2)</f>
        <v>0</v>
      </c>
      <c r="U807" s="1849"/>
      <c r="W807" s="1848"/>
      <c r="X807" s="1848"/>
      <c r="Y807" s="1848"/>
    </row>
    <row r="808" spans="2:25" hidden="1">
      <c r="B808" s="1815" t="b">
        <f>AND(I808=FALSE,N807=0,Q807=0,L807="")</f>
        <v>1</v>
      </c>
      <c r="C808" s="1844" t="str" cm="1">
        <f t="array" ref="C808">_xlfn.IFS(
    L808="", "",
    MONTH(L808) &lt;= End_of_Year_Month, YEAR(L808),
    TRUE, YEAR(L808) + 1
)</f>
        <v/>
      </c>
      <c r="F808" s="1857">
        <f>IF(L808="",0,L808)</f>
        <v>0</v>
      </c>
      <c r="G808" s="1856">
        <f>-(N808-Q808)</f>
        <v>0</v>
      </c>
      <c r="I808" s="1815" t="b">
        <f>K808&lt;=Number_Payments</f>
        <v>0</v>
      </c>
      <c r="J808" s="1855"/>
      <c r="K808" s="1351">
        <f>K807+1</f>
        <v>682</v>
      </c>
      <c r="L808" s="1854" t="str" cm="1">
        <f t="array" ref="L808">_xlfn.IFS(
    I807=FALSE, "",
    Payment_Frequency="Monthly", EDATE(L807, 1),
    Payment_Frequency="Weekly", DATE(YEAR(L807), MONTH(L807), DAY(L807) + 7),
    Payment_Frequency="Fortnightly", DATE(YEAR(L807), MONTH(L807), DAY(L807) + 14),
    Payment_Frequency="Quarterly", DATE(YEAR(L807), MONTH(L807) + 3, DAY(L807)),
    Payment_Frequency="Yearly", DATE(YEAR(L807) + 1, MONTH(L807), DAY(L807)),
    TRUE, ""
)</f>
        <v/>
      </c>
      <c r="M808" s="1853">
        <f>IF(ISERROR(L808-L807),0,L808-L807)</f>
        <v>0</v>
      </c>
      <c r="N808" s="1851" cm="1">
        <f t="array" ref="N808">_xlfn.IFS(
    AND(I808=TRUE, K808&lt;=No_Regular_Payments), Repay_Amt,
    AND(I808=TRUE, K808=No_Regular_Payments+1), Tm_Balloon_Amt,
   TRUE, 0
)</f>
        <v>0</v>
      </c>
      <c r="O808" s="1850" cm="1">
        <f t="array" ref="O808">_xlfn.IFS(
    M808=0,0,
   ABS(N808 - S807 - P808-Q808) &lt; 1, N808 - S807-Q808,
    TRUE, P808
)</f>
        <v>0</v>
      </c>
      <c r="P808" s="1852">
        <f>IF(M808=0,0,ROUND(S807*EXP(Int_Rate/365.25 * M808)-S807,2))</f>
        <v>0</v>
      </c>
      <c r="Q808" s="1851" cm="1">
        <f t="array" ref="Q808">_xlfn.IFS(
    AND(I808=TRUE, K808&lt;=No_Regular_Payments), Periodic_Admin_Charge,
   TRUE, 0
)</f>
        <v>0</v>
      </c>
      <c r="R808" s="1850">
        <f>N808-O808-Q808</f>
        <v>0</v>
      </c>
      <c r="S808" s="1850">
        <f>ROUND(S807-R808,2)</f>
        <v>0</v>
      </c>
      <c r="T808" s="1850">
        <f>ROUND(T807-(N808-Q808),2)</f>
        <v>0</v>
      </c>
      <c r="U808" s="1849"/>
      <c r="W808" s="1848"/>
      <c r="X808" s="1848"/>
      <c r="Y808" s="1848"/>
    </row>
    <row r="809" spans="2:25" hidden="1">
      <c r="B809" s="1815" t="b">
        <f>AND(I809=FALSE,N808=0,Q808=0,L808="")</f>
        <v>1</v>
      </c>
      <c r="C809" s="1844" t="str" cm="1">
        <f t="array" ref="C809">_xlfn.IFS(
    L809="", "",
    MONTH(L809) &lt;= End_of_Year_Month, YEAR(L809),
    TRUE, YEAR(L809) + 1
)</f>
        <v/>
      </c>
      <c r="F809" s="1857">
        <f>IF(L809="",0,L809)</f>
        <v>0</v>
      </c>
      <c r="G809" s="1856">
        <f>-(N809-Q809)</f>
        <v>0</v>
      </c>
      <c r="I809" s="1815" t="b">
        <f>K809&lt;=Number_Payments</f>
        <v>0</v>
      </c>
      <c r="J809" s="1855"/>
      <c r="K809" s="1351">
        <f>K808+1</f>
        <v>683</v>
      </c>
      <c r="L809" s="1854" t="str" cm="1">
        <f t="array" ref="L809">_xlfn.IFS(
    I808=FALSE, "",
    Payment_Frequency="Monthly", EDATE(L808, 1),
    Payment_Frequency="Weekly", DATE(YEAR(L808), MONTH(L808), DAY(L808) + 7),
    Payment_Frequency="Fortnightly", DATE(YEAR(L808), MONTH(L808), DAY(L808) + 14),
    Payment_Frequency="Quarterly", DATE(YEAR(L808), MONTH(L808) + 3, DAY(L808)),
    Payment_Frequency="Yearly", DATE(YEAR(L808) + 1, MONTH(L808), DAY(L808)),
    TRUE, ""
)</f>
        <v/>
      </c>
      <c r="M809" s="1853">
        <f>IF(ISERROR(L809-L808),0,L809-L808)</f>
        <v>0</v>
      </c>
      <c r="N809" s="1851" cm="1">
        <f t="array" ref="N809">_xlfn.IFS(
    AND(I809=TRUE, K809&lt;=No_Regular_Payments), Repay_Amt,
    AND(I809=TRUE, K809=No_Regular_Payments+1), Tm_Balloon_Amt,
   TRUE, 0
)</f>
        <v>0</v>
      </c>
      <c r="O809" s="1850" cm="1">
        <f t="array" ref="O809">_xlfn.IFS(
    M809=0,0,
   ABS(N809 - S808 - P809-Q809) &lt; 1, N809 - S808-Q809,
    TRUE, P809
)</f>
        <v>0</v>
      </c>
      <c r="P809" s="1852">
        <f>IF(M809=0,0,ROUND(S808*EXP(Int_Rate/365.25 * M809)-S808,2))</f>
        <v>0</v>
      </c>
      <c r="Q809" s="1851" cm="1">
        <f t="array" ref="Q809">_xlfn.IFS(
    AND(I809=TRUE, K809&lt;=No_Regular_Payments), Periodic_Admin_Charge,
   TRUE, 0
)</f>
        <v>0</v>
      </c>
      <c r="R809" s="1850">
        <f>N809-O809-Q809</f>
        <v>0</v>
      </c>
      <c r="S809" s="1850">
        <f>ROUND(S808-R809,2)</f>
        <v>0</v>
      </c>
      <c r="T809" s="1850">
        <f>ROUND(T808-(N809-Q809),2)</f>
        <v>0</v>
      </c>
      <c r="U809" s="1849"/>
      <c r="W809" s="1848"/>
      <c r="X809" s="1848"/>
      <c r="Y809" s="1848"/>
    </row>
    <row r="810" spans="2:25" hidden="1">
      <c r="B810" s="1815" t="b">
        <f>AND(I810=FALSE,N809=0,Q809=0,L809="")</f>
        <v>1</v>
      </c>
      <c r="C810" s="1844" t="str" cm="1">
        <f t="array" ref="C810">_xlfn.IFS(
    L810="", "",
    MONTH(L810) &lt;= End_of_Year_Month, YEAR(L810),
    TRUE, YEAR(L810) + 1
)</f>
        <v/>
      </c>
      <c r="F810" s="1857">
        <f>IF(L810="",0,L810)</f>
        <v>0</v>
      </c>
      <c r="G810" s="1856">
        <f>-(N810-Q810)</f>
        <v>0</v>
      </c>
      <c r="I810" s="1815" t="b">
        <f>K810&lt;=Number_Payments</f>
        <v>0</v>
      </c>
      <c r="J810" s="1855"/>
      <c r="K810" s="1351">
        <f>K809+1</f>
        <v>684</v>
      </c>
      <c r="L810" s="1854" t="str" cm="1">
        <f t="array" ref="L810">_xlfn.IFS(
    I809=FALSE, "",
    Payment_Frequency="Monthly", EDATE(L809, 1),
    Payment_Frequency="Weekly", DATE(YEAR(L809), MONTH(L809), DAY(L809) + 7),
    Payment_Frequency="Fortnightly", DATE(YEAR(L809), MONTH(L809), DAY(L809) + 14),
    Payment_Frequency="Quarterly", DATE(YEAR(L809), MONTH(L809) + 3, DAY(L809)),
    Payment_Frequency="Yearly", DATE(YEAR(L809) + 1, MONTH(L809), DAY(L809)),
    TRUE, ""
)</f>
        <v/>
      </c>
      <c r="M810" s="1853">
        <f>IF(ISERROR(L810-L809),0,L810-L809)</f>
        <v>0</v>
      </c>
      <c r="N810" s="1851" cm="1">
        <f t="array" ref="N810">_xlfn.IFS(
    AND(I810=TRUE, K810&lt;=No_Regular_Payments), Repay_Amt,
    AND(I810=TRUE, K810=No_Regular_Payments+1), Tm_Balloon_Amt,
   TRUE, 0
)</f>
        <v>0</v>
      </c>
      <c r="O810" s="1850" cm="1">
        <f t="array" ref="O810">_xlfn.IFS(
    M810=0,0,
   ABS(N810 - S809 - P810-Q810) &lt; 1, N810 - S809-Q810,
    TRUE, P810
)</f>
        <v>0</v>
      </c>
      <c r="P810" s="1852">
        <f>IF(M810=0,0,ROUND(S809*EXP(Int_Rate/365.25 * M810)-S809,2))</f>
        <v>0</v>
      </c>
      <c r="Q810" s="1851" cm="1">
        <f t="array" ref="Q810">_xlfn.IFS(
    AND(I810=TRUE, K810&lt;=No_Regular_Payments), Periodic_Admin_Charge,
   TRUE, 0
)</f>
        <v>0</v>
      </c>
      <c r="R810" s="1850">
        <f>N810-O810-Q810</f>
        <v>0</v>
      </c>
      <c r="S810" s="1850">
        <f>ROUND(S809-R810,2)</f>
        <v>0</v>
      </c>
      <c r="T810" s="1850">
        <f>ROUND(T809-(N810-Q810),2)</f>
        <v>0</v>
      </c>
      <c r="U810" s="1849"/>
      <c r="W810" s="1848"/>
      <c r="X810" s="1848"/>
      <c r="Y810" s="1848"/>
    </row>
    <row r="811" spans="2:25" hidden="1">
      <c r="B811" s="1815" t="b">
        <f>AND(I811=FALSE,N810=0,Q810=0,L810="")</f>
        <v>1</v>
      </c>
      <c r="C811" s="1844" t="str" cm="1">
        <f t="array" ref="C811">_xlfn.IFS(
    L811="", "",
    MONTH(L811) &lt;= End_of_Year_Month, YEAR(L811),
    TRUE, YEAR(L811) + 1
)</f>
        <v/>
      </c>
      <c r="F811" s="1857">
        <f>IF(L811="",0,L811)</f>
        <v>0</v>
      </c>
      <c r="G811" s="1856">
        <f>-(N811-Q811)</f>
        <v>0</v>
      </c>
      <c r="I811" s="1815" t="b">
        <f>K811&lt;=Number_Payments</f>
        <v>0</v>
      </c>
      <c r="J811" s="1855"/>
      <c r="K811" s="1351">
        <f>K810+1</f>
        <v>685</v>
      </c>
      <c r="L811" s="1854" t="str" cm="1">
        <f t="array" ref="L811">_xlfn.IFS(
    I810=FALSE, "",
    Payment_Frequency="Monthly", EDATE(L810, 1),
    Payment_Frequency="Weekly", DATE(YEAR(L810), MONTH(L810), DAY(L810) + 7),
    Payment_Frequency="Fortnightly", DATE(YEAR(L810), MONTH(L810), DAY(L810) + 14),
    Payment_Frequency="Quarterly", DATE(YEAR(L810), MONTH(L810) + 3, DAY(L810)),
    Payment_Frequency="Yearly", DATE(YEAR(L810) + 1, MONTH(L810), DAY(L810)),
    TRUE, ""
)</f>
        <v/>
      </c>
      <c r="M811" s="1853">
        <f>IF(ISERROR(L811-L810),0,L811-L810)</f>
        <v>0</v>
      </c>
      <c r="N811" s="1851" cm="1">
        <f t="array" ref="N811">_xlfn.IFS(
    AND(I811=TRUE, K811&lt;=No_Regular_Payments), Repay_Amt,
    AND(I811=TRUE, K811=No_Regular_Payments+1), Tm_Balloon_Amt,
   TRUE, 0
)</f>
        <v>0</v>
      </c>
      <c r="O811" s="1850" cm="1">
        <f t="array" ref="O811">_xlfn.IFS(
    M811=0,0,
   ABS(N811 - S810 - P811-Q811) &lt; 1, N811 - S810-Q811,
    TRUE, P811
)</f>
        <v>0</v>
      </c>
      <c r="P811" s="1852">
        <f>IF(M811=0,0,ROUND(S810*EXP(Int_Rate/365.25 * M811)-S810,2))</f>
        <v>0</v>
      </c>
      <c r="Q811" s="1851" cm="1">
        <f t="array" ref="Q811">_xlfn.IFS(
    AND(I811=TRUE, K811&lt;=No_Regular_Payments), Periodic_Admin_Charge,
   TRUE, 0
)</f>
        <v>0</v>
      </c>
      <c r="R811" s="1850">
        <f>N811-O811-Q811</f>
        <v>0</v>
      </c>
      <c r="S811" s="1850">
        <f>ROUND(S810-R811,2)</f>
        <v>0</v>
      </c>
      <c r="T811" s="1850">
        <f>ROUND(T810-(N811-Q811),2)</f>
        <v>0</v>
      </c>
      <c r="U811" s="1849"/>
      <c r="W811" s="1848"/>
      <c r="X811" s="1848"/>
      <c r="Y811" s="1848"/>
    </row>
    <row r="812" spans="2:25" hidden="1">
      <c r="B812" s="1815" t="b">
        <f>AND(I812=FALSE,N811=0,Q811=0,L811="")</f>
        <v>1</v>
      </c>
      <c r="C812" s="1844" t="str" cm="1">
        <f t="array" ref="C812">_xlfn.IFS(
    L812="", "",
    MONTH(L812) &lt;= End_of_Year_Month, YEAR(L812),
    TRUE, YEAR(L812) + 1
)</f>
        <v/>
      </c>
      <c r="F812" s="1857">
        <f>IF(L812="",0,L812)</f>
        <v>0</v>
      </c>
      <c r="G812" s="1856">
        <f>-(N812-Q812)</f>
        <v>0</v>
      </c>
      <c r="I812" s="1815" t="b">
        <f>K812&lt;=Number_Payments</f>
        <v>0</v>
      </c>
      <c r="J812" s="1855"/>
      <c r="K812" s="1351">
        <f>K811+1</f>
        <v>686</v>
      </c>
      <c r="L812" s="1854" t="str" cm="1">
        <f t="array" ref="L812">_xlfn.IFS(
    I811=FALSE, "",
    Payment_Frequency="Monthly", EDATE(L811, 1),
    Payment_Frequency="Weekly", DATE(YEAR(L811), MONTH(L811), DAY(L811) + 7),
    Payment_Frequency="Fortnightly", DATE(YEAR(L811), MONTH(L811), DAY(L811) + 14),
    Payment_Frequency="Quarterly", DATE(YEAR(L811), MONTH(L811) + 3, DAY(L811)),
    Payment_Frequency="Yearly", DATE(YEAR(L811) + 1, MONTH(L811), DAY(L811)),
    TRUE, ""
)</f>
        <v/>
      </c>
      <c r="M812" s="1853">
        <f>IF(ISERROR(L812-L811),0,L812-L811)</f>
        <v>0</v>
      </c>
      <c r="N812" s="1851" cm="1">
        <f t="array" ref="N812">_xlfn.IFS(
    AND(I812=TRUE, K812&lt;=No_Regular_Payments), Repay_Amt,
    AND(I812=TRUE, K812=No_Regular_Payments+1), Tm_Balloon_Amt,
   TRUE, 0
)</f>
        <v>0</v>
      </c>
      <c r="O812" s="1850" cm="1">
        <f t="array" ref="O812">_xlfn.IFS(
    M812=0,0,
   ABS(N812 - S811 - P812-Q812) &lt; 1, N812 - S811-Q812,
    TRUE, P812
)</f>
        <v>0</v>
      </c>
      <c r="P812" s="1852">
        <f>IF(M812=0,0,ROUND(S811*EXP(Int_Rate/365.25 * M812)-S811,2))</f>
        <v>0</v>
      </c>
      <c r="Q812" s="1851" cm="1">
        <f t="array" ref="Q812">_xlfn.IFS(
    AND(I812=TRUE, K812&lt;=No_Regular_Payments), Periodic_Admin_Charge,
   TRUE, 0
)</f>
        <v>0</v>
      </c>
      <c r="R812" s="1850">
        <f>N812-O812-Q812</f>
        <v>0</v>
      </c>
      <c r="S812" s="1850">
        <f>ROUND(S811-R812,2)</f>
        <v>0</v>
      </c>
      <c r="T812" s="1850">
        <f>ROUND(T811-(N812-Q812),2)</f>
        <v>0</v>
      </c>
      <c r="U812" s="1849"/>
      <c r="W812" s="1848"/>
      <c r="X812" s="1848"/>
      <c r="Y812" s="1848"/>
    </row>
    <row r="813" spans="2:25" hidden="1">
      <c r="B813" s="1815" t="b">
        <f>AND(I813=FALSE,N812=0,Q812=0,L812="")</f>
        <v>1</v>
      </c>
      <c r="C813" s="1844" t="str" cm="1">
        <f t="array" ref="C813">_xlfn.IFS(
    L813="", "",
    MONTH(L813) &lt;= End_of_Year_Month, YEAR(L813),
    TRUE, YEAR(L813) + 1
)</f>
        <v/>
      </c>
      <c r="F813" s="1857">
        <f>IF(L813="",0,L813)</f>
        <v>0</v>
      </c>
      <c r="G813" s="1856">
        <f>-(N813-Q813)</f>
        <v>0</v>
      </c>
      <c r="I813" s="1815" t="b">
        <f>K813&lt;=Number_Payments</f>
        <v>0</v>
      </c>
      <c r="J813" s="1855"/>
      <c r="K813" s="1351">
        <f>K812+1</f>
        <v>687</v>
      </c>
      <c r="L813" s="1854" t="str" cm="1">
        <f t="array" ref="L813">_xlfn.IFS(
    I812=FALSE, "",
    Payment_Frequency="Monthly", EDATE(L812, 1),
    Payment_Frequency="Weekly", DATE(YEAR(L812), MONTH(L812), DAY(L812) + 7),
    Payment_Frequency="Fortnightly", DATE(YEAR(L812), MONTH(L812), DAY(L812) + 14),
    Payment_Frequency="Quarterly", DATE(YEAR(L812), MONTH(L812) + 3, DAY(L812)),
    Payment_Frequency="Yearly", DATE(YEAR(L812) + 1, MONTH(L812), DAY(L812)),
    TRUE, ""
)</f>
        <v/>
      </c>
      <c r="M813" s="1853">
        <f>IF(ISERROR(L813-L812),0,L813-L812)</f>
        <v>0</v>
      </c>
      <c r="N813" s="1851" cm="1">
        <f t="array" ref="N813">_xlfn.IFS(
    AND(I813=TRUE, K813&lt;=No_Regular_Payments), Repay_Amt,
    AND(I813=TRUE, K813=No_Regular_Payments+1), Tm_Balloon_Amt,
   TRUE, 0
)</f>
        <v>0</v>
      </c>
      <c r="O813" s="1850" cm="1">
        <f t="array" ref="O813">_xlfn.IFS(
    M813=0,0,
   ABS(N813 - S812 - P813-Q813) &lt; 1, N813 - S812-Q813,
    TRUE, P813
)</f>
        <v>0</v>
      </c>
      <c r="P813" s="1852">
        <f>IF(M813=0,0,ROUND(S812*EXP(Int_Rate/365.25 * M813)-S812,2))</f>
        <v>0</v>
      </c>
      <c r="Q813" s="1851" cm="1">
        <f t="array" ref="Q813">_xlfn.IFS(
    AND(I813=TRUE, K813&lt;=No_Regular_Payments), Periodic_Admin_Charge,
   TRUE, 0
)</f>
        <v>0</v>
      </c>
      <c r="R813" s="1850">
        <f>N813-O813-Q813</f>
        <v>0</v>
      </c>
      <c r="S813" s="1850">
        <f>ROUND(S812-R813,2)</f>
        <v>0</v>
      </c>
      <c r="T813" s="1850">
        <f>ROUND(T812-(N813-Q813),2)</f>
        <v>0</v>
      </c>
      <c r="U813" s="1849"/>
      <c r="W813" s="1848"/>
      <c r="X813" s="1848"/>
      <c r="Y813" s="1848"/>
    </row>
    <row r="814" spans="2:25" hidden="1">
      <c r="B814" s="1815" t="b">
        <f>AND(I814=FALSE,N813=0,Q813=0,L813="")</f>
        <v>1</v>
      </c>
      <c r="C814" s="1844" t="str" cm="1">
        <f t="array" ref="C814">_xlfn.IFS(
    L814="", "",
    MONTH(L814) &lt;= End_of_Year_Month, YEAR(L814),
    TRUE, YEAR(L814) + 1
)</f>
        <v/>
      </c>
      <c r="F814" s="1857">
        <f>IF(L814="",0,L814)</f>
        <v>0</v>
      </c>
      <c r="G814" s="1856">
        <f>-(N814-Q814)</f>
        <v>0</v>
      </c>
      <c r="I814" s="1815" t="b">
        <f>K814&lt;=Number_Payments</f>
        <v>0</v>
      </c>
      <c r="J814" s="1855"/>
      <c r="K814" s="1351">
        <f>K813+1</f>
        <v>688</v>
      </c>
      <c r="L814" s="1854" t="str" cm="1">
        <f t="array" ref="L814">_xlfn.IFS(
    I813=FALSE, "",
    Payment_Frequency="Monthly", EDATE(L813, 1),
    Payment_Frequency="Weekly", DATE(YEAR(L813), MONTH(L813), DAY(L813) + 7),
    Payment_Frequency="Fortnightly", DATE(YEAR(L813), MONTH(L813), DAY(L813) + 14),
    Payment_Frequency="Quarterly", DATE(YEAR(L813), MONTH(L813) + 3, DAY(L813)),
    Payment_Frequency="Yearly", DATE(YEAR(L813) + 1, MONTH(L813), DAY(L813)),
    TRUE, ""
)</f>
        <v/>
      </c>
      <c r="M814" s="1853">
        <f>IF(ISERROR(L814-L813),0,L814-L813)</f>
        <v>0</v>
      </c>
      <c r="N814" s="1851" cm="1">
        <f t="array" ref="N814">_xlfn.IFS(
    AND(I814=TRUE, K814&lt;=No_Regular_Payments), Repay_Amt,
    AND(I814=TRUE, K814=No_Regular_Payments+1), Tm_Balloon_Amt,
   TRUE, 0
)</f>
        <v>0</v>
      </c>
      <c r="O814" s="1850" cm="1">
        <f t="array" ref="O814">_xlfn.IFS(
    M814=0,0,
   ABS(N814 - S813 - P814-Q814) &lt; 1, N814 - S813-Q814,
    TRUE, P814
)</f>
        <v>0</v>
      </c>
      <c r="P814" s="1852">
        <f>IF(M814=0,0,ROUND(S813*EXP(Int_Rate/365.25 * M814)-S813,2))</f>
        <v>0</v>
      </c>
      <c r="Q814" s="1851" cm="1">
        <f t="array" ref="Q814">_xlfn.IFS(
    AND(I814=TRUE, K814&lt;=No_Regular_Payments), Periodic_Admin_Charge,
   TRUE, 0
)</f>
        <v>0</v>
      </c>
      <c r="R814" s="1850">
        <f>N814-O814-Q814</f>
        <v>0</v>
      </c>
      <c r="S814" s="1850">
        <f>ROUND(S813-R814,2)</f>
        <v>0</v>
      </c>
      <c r="T814" s="1850">
        <f>ROUND(T813-(N814-Q814),2)</f>
        <v>0</v>
      </c>
      <c r="U814" s="1849"/>
      <c r="W814" s="1848"/>
      <c r="X814" s="1848"/>
      <c r="Y814" s="1848"/>
    </row>
    <row r="815" spans="2:25" hidden="1">
      <c r="B815" s="1815" t="b">
        <f>AND(I815=FALSE,N814=0,Q814=0,L814="")</f>
        <v>1</v>
      </c>
      <c r="C815" s="1844" t="str" cm="1">
        <f t="array" ref="C815">_xlfn.IFS(
    L815="", "",
    MONTH(L815) &lt;= End_of_Year_Month, YEAR(L815),
    TRUE, YEAR(L815) + 1
)</f>
        <v/>
      </c>
      <c r="F815" s="1857">
        <f>IF(L815="",0,L815)</f>
        <v>0</v>
      </c>
      <c r="G815" s="1856">
        <f>-(N815-Q815)</f>
        <v>0</v>
      </c>
      <c r="I815" s="1815" t="b">
        <f>K815&lt;=Number_Payments</f>
        <v>0</v>
      </c>
      <c r="J815" s="1855"/>
      <c r="K815" s="1351">
        <f>K814+1</f>
        <v>689</v>
      </c>
      <c r="L815" s="1854" t="str" cm="1">
        <f t="array" ref="L815">_xlfn.IFS(
    I814=FALSE, "",
    Payment_Frequency="Monthly", EDATE(L814, 1),
    Payment_Frequency="Weekly", DATE(YEAR(L814), MONTH(L814), DAY(L814) + 7),
    Payment_Frequency="Fortnightly", DATE(YEAR(L814), MONTH(L814), DAY(L814) + 14),
    Payment_Frequency="Quarterly", DATE(YEAR(L814), MONTH(L814) + 3, DAY(L814)),
    Payment_Frequency="Yearly", DATE(YEAR(L814) + 1, MONTH(L814), DAY(L814)),
    TRUE, ""
)</f>
        <v/>
      </c>
      <c r="M815" s="1853">
        <f>IF(ISERROR(L815-L814),0,L815-L814)</f>
        <v>0</v>
      </c>
      <c r="N815" s="1851" cm="1">
        <f t="array" ref="N815">_xlfn.IFS(
    AND(I815=TRUE, K815&lt;=No_Regular_Payments), Repay_Amt,
    AND(I815=TRUE, K815=No_Regular_Payments+1), Tm_Balloon_Amt,
   TRUE, 0
)</f>
        <v>0</v>
      </c>
      <c r="O815" s="1850" cm="1">
        <f t="array" ref="O815">_xlfn.IFS(
    M815=0,0,
   ABS(N815 - S814 - P815-Q815) &lt; 1, N815 - S814-Q815,
    TRUE, P815
)</f>
        <v>0</v>
      </c>
      <c r="P815" s="1852">
        <f>IF(M815=0,0,ROUND(S814*EXP(Int_Rate/365.25 * M815)-S814,2))</f>
        <v>0</v>
      </c>
      <c r="Q815" s="1851" cm="1">
        <f t="array" ref="Q815">_xlfn.IFS(
    AND(I815=TRUE, K815&lt;=No_Regular_Payments), Periodic_Admin_Charge,
   TRUE, 0
)</f>
        <v>0</v>
      </c>
      <c r="R815" s="1850">
        <f>N815-O815-Q815</f>
        <v>0</v>
      </c>
      <c r="S815" s="1850">
        <f>ROUND(S814-R815,2)</f>
        <v>0</v>
      </c>
      <c r="T815" s="1850">
        <f>ROUND(T814-(N815-Q815),2)</f>
        <v>0</v>
      </c>
      <c r="U815" s="1849"/>
      <c r="W815" s="1848"/>
      <c r="X815" s="1848"/>
      <c r="Y815" s="1848"/>
    </row>
    <row r="816" spans="2:25" hidden="1">
      <c r="B816" s="1815" t="b">
        <f>AND(I816=FALSE,N815=0,Q815=0,L815="")</f>
        <v>1</v>
      </c>
      <c r="C816" s="1844" t="str" cm="1">
        <f t="array" ref="C816">_xlfn.IFS(
    L816="", "",
    MONTH(L816) &lt;= End_of_Year_Month, YEAR(L816),
    TRUE, YEAR(L816) + 1
)</f>
        <v/>
      </c>
      <c r="F816" s="1857">
        <f>IF(L816="",0,L816)</f>
        <v>0</v>
      </c>
      <c r="G816" s="1856">
        <f>-(N816-Q816)</f>
        <v>0</v>
      </c>
      <c r="I816" s="1815" t="b">
        <f>K816&lt;=Number_Payments</f>
        <v>0</v>
      </c>
      <c r="J816" s="1855"/>
      <c r="K816" s="1351">
        <f>K815+1</f>
        <v>690</v>
      </c>
      <c r="L816" s="1854" t="str" cm="1">
        <f t="array" ref="L816">_xlfn.IFS(
    I815=FALSE, "",
    Payment_Frequency="Monthly", EDATE(L815, 1),
    Payment_Frequency="Weekly", DATE(YEAR(L815), MONTH(L815), DAY(L815) + 7),
    Payment_Frequency="Fortnightly", DATE(YEAR(L815), MONTH(L815), DAY(L815) + 14),
    Payment_Frequency="Quarterly", DATE(YEAR(L815), MONTH(L815) + 3, DAY(L815)),
    Payment_Frequency="Yearly", DATE(YEAR(L815) + 1, MONTH(L815), DAY(L815)),
    TRUE, ""
)</f>
        <v/>
      </c>
      <c r="M816" s="1853">
        <f>IF(ISERROR(L816-L815),0,L816-L815)</f>
        <v>0</v>
      </c>
      <c r="N816" s="1851" cm="1">
        <f t="array" ref="N816">_xlfn.IFS(
    AND(I816=TRUE, K816&lt;=No_Regular_Payments), Repay_Amt,
    AND(I816=TRUE, K816=No_Regular_Payments+1), Tm_Balloon_Amt,
   TRUE, 0
)</f>
        <v>0</v>
      </c>
      <c r="O816" s="1850" cm="1">
        <f t="array" ref="O816">_xlfn.IFS(
    M816=0,0,
   ABS(N816 - S815 - P816-Q816) &lt; 1, N816 - S815-Q816,
    TRUE, P816
)</f>
        <v>0</v>
      </c>
      <c r="P816" s="1852">
        <f>IF(M816=0,0,ROUND(S815*EXP(Int_Rate/365.25 * M816)-S815,2))</f>
        <v>0</v>
      </c>
      <c r="Q816" s="1851" cm="1">
        <f t="array" ref="Q816">_xlfn.IFS(
    AND(I816=TRUE, K816&lt;=No_Regular_Payments), Periodic_Admin_Charge,
   TRUE, 0
)</f>
        <v>0</v>
      </c>
      <c r="R816" s="1850">
        <f>N816-O816-Q816</f>
        <v>0</v>
      </c>
      <c r="S816" s="1850">
        <f>ROUND(S815-R816,2)</f>
        <v>0</v>
      </c>
      <c r="T816" s="1850">
        <f>ROUND(T815-(N816-Q816),2)</f>
        <v>0</v>
      </c>
      <c r="U816" s="1849"/>
      <c r="W816" s="1848"/>
      <c r="X816" s="1848"/>
      <c r="Y816" s="1848"/>
    </row>
    <row r="817" spans="2:25" hidden="1">
      <c r="B817" s="1815" t="b">
        <f>AND(I817=FALSE,N816=0,Q816=0,L816="")</f>
        <v>1</v>
      </c>
      <c r="C817" s="1844" t="str" cm="1">
        <f t="array" ref="C817">_xlfn.IFS(
    L817="", "",
    MONTH(L817) &lt;= End_of_Year_Month, YEAR(L817),
    TRUE, YEAR(L817) + 1
)</f>
        <v/>
      </c>
      <c r="F817" s="1857">
        <f>IF(L817="",0,L817)</f>
        <v>0</v>
      </c>
      <c r="G817" s="1856">
        <f>-(N817-Q817)</f>
        <v>0</v>
      </c>
      <c r="I817" s="1815" t="b">
        <f>K817&lt;=Number_Payments</f>
        <v>0</v>
      </c>
      <c r="J817" s="1855"/>
      <c r="K817" s="1351">
        <f>K816+1</f>
        <v>691</v>
      </c>
      <c r="L817" s="1854" t="str" cm="1">
        <f t="array" ref="L817">_xlfn.IFS(
    I816=FALSE, "",
    Payment_Frequency="Monthly", EDATE(L816, 1),
    Payment_Frequency="Weekly", DATE(YEAR(L816), MONTH(L816), DAY(L816) + 7),
    Payment_Frequency="Fortnightly", DATE(YEAR(L816), MONTH(L816), DAY(L816) + 14),
    Payment_Frequency="Quarterly", DATE(YEAR(L816), MONTH(L816) + 3, DAY(L816)),
    Payment_Frequency="Yearly", DATE(YEAR(L816) + 1, MONTH(L816), DAY(L816)),
    TRUE, ""
)</f>
        <v/>
      </c>
      <c r="M817" s="1853">
        <f>IF(ISERROR(L817-L816),0,L817-L816)</f>
        <v>0</v>
      </c>
      <c r="N817" s="1851" cm="1">
        <f t="array" ref="N817">_xlfn.IFS(
    AND(I817=TRUE, K817&lt;=No_Regular_Payments), Repay_Amt,
    AND(I817=TRUE, K817=No_Regular_Payments+1), Tm_Balloon_Amt,
   TRUE, 0
)</f>
        <v>0</v>
      </c>
      <c r="O817" s="1850" cm="1">
        <f t="array" ref="O817">_xlfn.IFS(
    M817=0,0,
   ABS(N817 - S816 - P817-Q817) &lt; 1, N817 - S816-Q817,
    TRUE, P817
)</f>
        <v>0</v>
      </c>
      <c r="P817" s="1852">
        <f>IF(M817=0,0,ROUND(S816*EXP(Int_Rate/365.25 * M817)-S816,2))</f>
        <v>0</v>
      </c>
      <c r="Q817" s="1851" cm="1">
        <f t="array" ref="Q817">_xlfn.IFS(
    AND(I817=TRUE, K817&lt;=No_Regular_Payments), Periodic_Admin_Charge,
   TRUE, 0
)</f>
        <v>0</v>
      </c>
      <c r="R817" s="1850">
        <f>N817-O817-Q817</f>
        <v>0</v>
      </c>
      <c r="S817" s="1850">
        <f>ROUND(S816-R817,2)</f>
        <v>0</v>
      </c>
      <c r="T817" s="1850">
        <f>ROUND(T816-(N817-Q817),2)</f>
        <v>0</v>
      </c>
      <c r="U817" s="1849"/>
      <c r="W817" s="1848"/>
      <c r="X817" s="1848"/>
      <c r="Y817" s="1848"/>
    </row>
    <row r="818" spans="2:25" hidden="1">
      <c r="B818" s="1815" t="b">
        <f>AND(I818=FALSE,N817=0,Q817=0,L817="")</f>
        <v>1</v>
      </c>
      <c r="C818" s="1844" t="str" cm="1">
        <f t="array" ref="C818">_xlfn.IFS(
    L818="", "",
    MONTH(L818) &lt;= End_of_Year_Month, YEAR(L818),
    TRUE, YEAR(L818) + 1
)</f>
        <v/>
      </c>
      <c r="F818" s="1857">
        <f>IF(L818="",0,L818)</f>
        <v>0</v>
      </c>
      <c r="G818" s="1856">
        <f>-(N818-Q818)</f>
        <v>0</v>
      </c>
      <c r="I818" s="1815" t="b">
        <f>K818&lt;=Number_Payments</f>
        <v>0</v>
      </c>
      <c r="J818" s="1855"/>
      <c r="K818" s="1351">
        <f>K817+1</f>
        <v>692</v>
      </c>
      <c r="L818" s="1854" t="str" cm="1">
        <f t="array" ref="L818">_xlfn.IFS(
    I817=FALSE, "",
    Payment_Frequency="Monthly", EDATE(L817, 1),
    Payment_Frequency="Weekly", DATE(YEAR(L817), MONTH(L817), DAY(L817) + 7),
    Payment_Frequency="Fortnightly", DATE(YEAR(L817), MONTH(L817), DAY(L817) + 14),
    Payment_Frequency="Quarterly", DATE(YEAR(L817), MONTH(L817) + 3, DAY(L817)),
    Payment_Frequency="Yearly", DATE(YEAR(L817) + 1, MONTH(L817), DAY(L817)),
    TRUE, ""
)</f>
        <v/>
      </c>
      <c r="M818" s="1853">
        <f>IF(ISERROR(L818-L817),0,L818-L817)</f>
        <v>0</v>
      </c>
      <c r="N818" s="1851" cm="1">
        <f t="array" ref="N818">_xlfn.IFS(
    AND(I818=TRUE, K818&lt;=No_Regular_Payments), Repay_Amt,
    AND(I818=TRUE, K818=No_Regular_Payments+1), Tm_Balloon_Amt,
   TRUE, 0
)</f>
        <v>0</v>
      </c>
      <c r="O818" s="1850" cm="1">
        <f t="array" ref="O818">_xlfn.IFS(
    M818=0,0,
   ABS(N818 - S817 - P818-Q818) &lt; 1, N818 - S817-Q818,
    TRUE, P818
)</f>
        <v>0</v>
      </c>
      <c r="P818" s="1852">
        <f>IF(M818=0,0,ROUND(S817*EXP(Int_Rate/365.25 * M818)-S817,2))</f>
        <v>0</v>
      </c>
      <c r="Q818" s="1851" cm="1">
        <f t="array" ref="Q818">_xlfn.IFS(
    AND(I818=TRUE, K818&lt;=No_Regular_Payments), Periodic_Admin_Charge,
   TRUE, 0
)</f>
        <v>0</v>
      </c>
      <c r="R818" s="1850">
        <f>N818-O818-Q818</f>
        <v>0</v>
      </c>
      <c r="S818" s="1850">
        <f>ROUND(S817-R818,2)</f>
        <v>0</v>
      </c>
      <c r="T818" s="1850">
        <f>ROUND(T817-(N818-Q818),2)</f>
        <v>0</v>
      </c>
      <c r="U818" s="1849"/>
      <c r="W818" s="1848"/>
      <c r="X818" s="1848"/>
      <c r="Y818" s="1848"/>
    </row>
    <row r="819" spans="2:25" hidden="1">
      <c r="B819" s="1815" t="b">
        <f>AND(I819=FALSE,N818=0,Q818=0,L818="")</f>
        <v>1</v>
      </c>
      <c r="C819" s="1844" t="str" cm="1">
        <f t="array" ref="C819">_xlfn.IFS(
    L819="", "",
    MONTH(L819) &lt;= End_of_Year_Month, YEAR(L819),
    TRUE, YEAR(L819) + 1
)</f>
        <v/>
      </c>
      <c r="F819" s="1857">
        <f>IF(L819="",0,L819)</f>
        <v>0</v>
      </c>
      <c r="G819" s="1856">
        <f>-(N819-Q819)</f>
        <v>0</v>
      </c>
      <c r="I819" s="1815" t="b">
        <f>K819&lt;=Number_Payments</f>
        <v>0</v>
      </c>
      <c r="J819" s="1855"/>
      <c r="K819" s="1351">
        <f>K818+1</f>
        <v>693</v>
      </c>
      <c r="L819" s="1854" t="str" cm="1">
        <f t="array" ref="L819">_xlfn.IFS(
    I818=FALSE, "",
    Payment_Frequency="Monthly", EDATE(L818, 1),
    Payment_Frequency="Weekly", DATE(YEAR(L818), MONTH(L818), DAY(L818) + 7),
    Payment_Frequency="Fortnightly", DATE(YEAR(L818), MONTH(L818), DAY(L818) + 14),
    Payment_Frequency="Quarterly", DATE(YEAR(L818), MONTH(L818) + 3, DAY(L818)),
    Payment_Frequency="Yearly", DATE(YEAR(L818) + 1, MONTH(L818), DAY(L818)),
    TRUE, ""
)</f>
        <v/>
      </c>
      <c r="M819" s="1853">
        <f>IF(ISERROR(L819-L818),0,L819-L818)</f>
        <v>0</v>
      </c>
      <c r="N819" s="1851" cm="1">
        <f t="array" ref="N819">_xlfn.IFS(
    AND(I819=TRUE, K819&lt;=No_Regular_Payments), Repay_Amt,
    AND(I819=TRUE, K819=No_Regular_Payments+1), Tm_Balloon_Amt,
   TRUE, 0
)</f>
        <v>0</v>
      </c>
      <c r="O819" s="1850" cm="1">
        <f t="array" ref="O819">_xlfn.IFS(
    M819=0,0,
   ABS(N819 - S818 - P819-Q819) &lt; 1, N819 - S818-Q819,
    TRUE, P819
)</f>
        <v>0</v>
      </c>
      <c r="P819" s="1852">
        <f>IF(M819=0,0,ROUND(S818*EXP(Int_Rate/365.25 * M819)-S818,2))</f>
        <v>0</v>
      </c>
      <c r="Q819" s="1851" cm="1">
        <f t="array" ref="Q819">_xlfn.IFS(
    AND(I819=TRUE, K819&lt;=No_Regular_Payments), Periodic_Admin_Charge,
   TRUE, 0
)</f>
        <v>0</v>
      </c>
      <c r="R819" s="1850">
        <f>N819-O819-Q819</f>
        <v>0</v>
      </c>
      <c r="S819" s="1850">
        <f>ROUND(S818-R819,2)</f>
        <v>0</v>
      </c>
      <c r="T819" s="1850">
        <f>ROUND(T818-(N819-Q819),2)</f>
        <v>0</v>
      </c>
      <c r="U819" s="1849"/>
      <c r="W819" s="1848"/>
      <c r="X819" s="1848"/>
      <c r="Y819" s="1848"/>
    </row>
    <row r="820" spans="2:25" hidden="1">
      <c r="B820" s="1815" t="b">
        <f>AND(I820=FALSE,N819=0,Q819=0,L819="")</f>
        <v>1</v>
      </c>
      <c r="C820" s="1844" t="str" cm="1">
        <f t="array" ref="C820">_xlfn.IFS(
    L820="", "",
    MONTH(L820) &lt;= End_of_Year_Month, YEAR(L820),
    TRUE, YEAR(L820) + 1
)</f>
        <v/>
      </c>
      <c r="F820" s="1857">
        <f>IF(L820="",0,L820)</f>
        <v>0</v>
      </c>
      <c r="G820" s="1856">
        <f>-(N820-Q820)</f>
        <v>0</v>
      </c>
      <c r="I820" s="1815" t="b">
        <f>K820&lt;=Number_Payments</f>
        <v>0</v>
      </c>
      <c r="J820" s="1855"/>
      <c r="K820" s="1351">
        <f>K819+1</f>
        <v>694</v>
      </c>
      <c r="L820" s="1854" t="str" cm="1">
        <f t="array" ref="L820">_xlfn.IFS(
    I819=FALSE, "",
    Payment_Frequency="Monthly", EDATE(L819, 1),
    Payment_Frequency="Weekly", DATE(YEAR(L819), MONTH(L819), DAY(L819) + 7),
    Payment_Frequency="Fortnightly", DATE(YEAR(L819), MONTH(L819), DAY(L819) + 14),
    Payment_Frequency="Quarterly", DATE(YEAR(L819), MONTH(L819) + 3, DAY(L819)),
    Payment_Frequency="Yearly", DATE(YEAR(L819) + 1, MONTH(L819), DAY(L819)),
    TRUE, ""
)</f>
        <v/>
      </c>
      <c r="M820" s="1853">
        <f>IF(ISERROR(L820-L819),0,L820-L819)</f>
        <v>0</v>
      </c>
      <c r="N820" s="1851" cm="1">
        <f t="array" ref="N820">_xlfn.IFS(
    AND(I820=TRUE, K820&lt;=No_Regular_Payments), Repay_Amt,
    AND(I820=TRUE, K820=No_Regular_Payments+1), Tm_Balloon_Amt,
   TRUE, 0
)</f>
        <v>0</v>
      </c>
      <c r="O820" s="1850" cm="1">
        <f t="array" ref="O820">_xlfn.IFS(
    M820=0,0,
   ABS(N820 - S819 - P820-Q820) &lt; 1, N820 - S819-Q820,
    TRUE, P820
)</f>
        <v>0</v>
      </c>
      <c r="P820" s="1852">
        <f>IF(M820=0,0,ROUND(S819*EXP(Int_Rate/365.25 * M820)-S819,2))</f>
        <v>0</v>
      </c>
      <c r="Q820" s="1851" cm="1">
        <f t="array" ref="Q820">_xlfn.IFS(
    AND(I820=TRUE, K820&lt;=No_Regular_Payments), Periodic_Admin_Charge,
   TRUE, 0
)</f>
        <v>0</v>
      </c>
      <c r="R820" s="1850">
        <f>N820-O820-Q820</f>
        <v>0</v>
      </c>
      <c r="S820" s="1850">
        <f>ROUND(S819-R820,2)</f>
        <v>0</v>
      </c>
      <c r="T820" s="1850">
        <f>ROUND(T819-(N820-Q820),2)</f>
        <v>0</v>
      </c>
      <c r="U820" s="1849"/>
      <c r="W820" s="1848"/>
      <c r="X820" s="1848"/>
      <c r="Y820" s="1848"/>
    </row>
    <row r="821" spans="2:25" hidden="1">
      <c r="B821" s="1815" t="b">
        <f>AND(I821=FALSE,N820=0,Q820=0,L820="")</f>
        <v>1</v>
      </c>
      <c r="C821" s="1844" t="str" cm="1">
        <f t="array" ref="C821">_xlfn.IFS(
    L821="", "",
    MONTH(L821) &lt;= End_of_Year_Month, YEAR(L821),
    TRUE, YEAR(L821) + 1
)</f>
        <v/>
      </c>
      <c r="F821" s="1857">
        <f>IF(L821="",0,L821)</f>
        <v>0</v>
      </c>
      <c r="G821" s="1856">
        <f>-(N821-Q821)</f>
        <v>0</v>
      </c>
      <c r="I821" s="1815" t="b">
        <f>K821&lt;=Number_Payments</f>
        <v>0</v>
      </c>
      <c r="J821" s="1855"/>
      <c r="K821" s="1351">
        <f>K820+1</f>
        <v>695</v>
      </c>
      <c r="L821" s="1854" t="str" cm="1">
        <f t="array" ref="L821">_xlfn.IFS(
    I820=FALSE, "",
    Payment_Frequency="Monthly", EDATE(L820, 1),
    Payment_Frequency="Weekly", DATE(YEAR(L820), MONTH(L820), DAY(L820) + 7),
    Payment_Frequency="Fortnightly", DATE(YEAR(L820), MONTH(L820), DAY(L820) + 14),
    Payment_Frequency="Quarterly", DATE(YEAR(L820), MONTH(L820) + 3, DAY(L820)),
    Payment_Frequency="Yearly", DATE(YEAR(L820) + 1, MONTH(L820), DAY(L820)),
    TRUE, ""
)</f>
        <v/>
      </c>
      <c r="M821" s="1853">
        <f>IF(ISERROR(L821-L820),0,L821-L820)</f>
        <v>0</v>
      </c>
      <c r="N821" s="1851" cm="1">
        <f t="array" ref="N821">_xlfn.IFS(
    AND(I821=TRUE, K821&lt;=No_Regular_Payments), Repay_Amt,
    AND(I821=TRUE, K821=No_Regular_Payments+1), Tm_Balloon_Amt,
   TRUE, 0
)</f>
        <v>0</v>
      </c>
      <c r="O821" s="1850" cm="1">
        <f t="array" ref="O821">_xlfn.IFS(
    M821=0,0,
   ABS(N821 - S820 - P821-Q821) &lt; 1, N821 - S820-Q821,
    TRUE, P821
)</f>
        <v>0</v>
      </c>
      <c r="P821" s="1852">
        <f>IF(M821=0,0,ROUND(S820*EXP(Int_Rate/365.25 * M821)-S820,2))</f>
        <v>0</v>
      </c>
      <c r="Q821" s="1851" cm="1">
        <f t="array" ref="Q821">_xlfn.IFS(
    AND(I821=TRUE, K821&lt;=No_Regular_Payments), Periodic_Admin_Charge,
   TRUE, 0
)</f>
        <v>0</v>
      </c>
      <c r="R821" s="1850">
        <f>N821-O821-Q821</f>
        <v>0</v>
      </c>
      <c r="S821" s="1850">
        <f>ROUND(S820-R821,2)</f>
        <v>0</v>
      </c>
      <c r="T821" s="1850">
        <f>ROUND(T820-(N821-Q821),2)</f>
        <v>0</v>
      </c>
      <c r="U821" s="1849"/>
      <c r="W821" s="1848"/>
      <c r="X821" s="1848"/>
      <c r="Y821" s="1848"/>
    </row>
    <row r="822" spans="2:25" hidden="1">
      <c r="B822" s="1815" t="b">
        <f>AND(I822=FALSE,N821=0,Q821=0,L821="")</f>
        <v>1</v>
      </c>
      <c r="C822" s="1844" t="str" cm="1">
        <f t="array" ref="C822">_xlfn.IFS(
    L822="", "",
    MONTH(L822) &lt;= End_of_Year_Month, YEAR(L822),
    TRUE, YEAR(L822) + 1
)</f>
        <v/>
      </c>
      <c r="F822" s="1857">
        <f>IF(L822="",0,L822)</f>
        <v>0</v>
      </c>
      <c r="G822" s="1856">
        <f>-(N822-Q822)</f>
        <v>0</v>
      </c>
      <c r="I822" s="1815" t="b">
        <f>K822&lt;=Number_Payments</f>
        <v>0</v>
      </c>
      <c r="J822" s="1855"/>
      <c r="K822" s="1351">
        <f>K821+1</f>
        <v>696</v>
      </c>
      <c r="L822" s="1854" t="str" cm="1">
        <f t="array" ref="L822">_xlfn.IFS(
    I821=FALSE, "",
    Payment_Frequency="Monthly", EDATE(L821, 1),
    Payment_Frequency="Weekly", DATE(YEAR(L821), MONTH(L821), DAY(L821) + 7),
    Payment_Frequency="Fortnightly", DATE(YEAR(L821), MONTH(L821), DAY(L821) + 14),
    Payment_Frequency="Quarterly", DATE(YEAR(L821), MONTH(L821) + 3, DAY(L821)),
    Payment_Frequency="Yearly", DATE(YEAR(L821) + 1, MONTH(L821), DAY(L821)),
    TRUE, ""
)</f>
        <v/>
      </c>
      <c r="M822" s="1853">
        <f>IF(ISERROR(L822-L821),0,L822-L821)</f>
        <v>0</v>
      </c>
      <c r="N822" s="1851" cm="1">
        <f t="array" ref="N822">_xlfn.IFS(
    AND(I822=TRUE, K822&lt;=No_Regular_Payments), Repay_Amt,
    AND(I822=TRUE, K822=No_Regular_Payments+1), Tm_Balloon_Amt,
   TRUE, 0
)</f>
        <v>0</v>
      </c>
      <c r="O822" s="1850" cm="1">
        <f t="array" ref="O822">_xlfn.IFS(
    M822=0,0,
   ABS(N822 - S821 - P822-Q822) &lt; 1, N822 - S821-Q822,
    TRUE, P822
)</f>
        <v>0</v>
      </c>
      <c r="P822" s="1852">
        <f>IF(M822=0,0,ROUND(S821*EXP(Int_Rate/365.25 * M822)-S821,2))</f>
        <v>0</v>
      </c>
      <c r="Q822" s="1851" cm="1">
        <f t="array" ref="Q822">_xlfn.IFS(
    AND(I822=TRUE, K822&lt;=No_Regular_Payments), Periodic_Admin_Charge,
   TRUE, 0
)</f>
        <v>0</v>
      </c>
      <c r="R822" s="1850">
        <f>N822-O822-Q822</f>
        <v>0</v>
      </c>
      <c r="S822" s="1850">
        <f>ROUND(S821-R822,2)</f>
        <v>0</v>
      </c>
      <c r="T822" s="1850">
        <f>ROUND(T821-(N822-Q822),2)</f>
        <v>0</v>
      </c>
      <c r="U822" s="1849"/>
      <c r="W822" s="1848"/>
      <c r="X822" s="1848"/>
      <c r="Y822" s="1848"/>
    </row>
    <row r="823" spans="2:25" hidden="1">
      <c r="B823" s="1815" t="b">
        <f>AND(I823=FALSE,N822=0,Q822=0,L822="")</f>
        <v>1</v>
      </c>
      <c r="C823" s="1844" t="str" cm="1">
        <f t="array" ref="C823">_xlfn.IFS(
    L823="", "",
    MONTH(L823) &lt;= End_of_Year_Month, YEAR(L823),
    TRUE, YEAR(L823) + 1
)</f>
        <v/>
      </c>
      <c r="F823" s="1857">
        <f>IF(L823="",0,L823)</f>
        <v>0</v>
      </c>
      <c r="G823" s="1856">
        <f>-(N823-Q823)</f>
        <v>0</v>
      </c>
      <c r="I823" s="1815" t="b">
        <f>K823&lt;=Number_Payments</f>
        <v>0</v>
      </c>
      <c r="J823" s="1855"/>
      <c r="K823" s="1351">
        <f>K822+1</f>
        <v>697</v>
      </c>
      <c r="L823" s="1854" t="str" cm="1">
        <f t="array" ref="L823">_xlfn.IFS(
    I822=FALSE, "",
    Payment_Frequency="Monthly", EDATE(L822, 1),
    Payment_Frequency="Weekly", DATE(YEAR(L822), MONTH(L822), DAY(L822) + 7),
    Payment_Frequency="Fortnightly", DATE(YEAR(L822), MONTH(L822), DAY(L822) + 14),
    Payment_Frequency="Quarterly", DATE(YEAR(L822), MONTH(L822) + 3, DAY(L822)),
    Payment_Frequency="Yearly", DATE(YEAR(L822) + 1, MONTH(L822), DAY(L822)),
    TRUE, ""
)</f>
        <v/>
      </c>
      <c r="M823" s="1853">
        <f>IF(ISERROR(L823-L822),0,L823-L822)</f>
        <v>0</v>
      </c>
      <c r="N823" s="1851" cm="1">
        <f t="array" ref="N823">_xlfn.IFS(
    AND(I823=TRUE, K823&lt;=No_Regular_Payments), Repay_Amt,
    AND(I823=TRUE, K823=No_Regular_Payments+1), Tm_Balloon_Amt,
   TRUE, 0
)</f>
        <v>0</v>
      </c>
      <c r="O823" s="1850" cm="1">
        <f t="array" ref="O823">_xlfn.IFS(
    M823=0,0,
   ABS(N823 - S822 - P823-Q823) &lt; 1, N823 - S822-Q823,
    TRUE, P823
)</f>
        <v>0</v>
      </c>
      <c r="P823" s="1852">
        <f>IF(M823=0,0,ROUND(S822*EXP(Int_Rate/365.25 * M823)-S822,2))</f>
        <v>0</v>
      </c>
      <c r="Q823" s="1851" cm="1">
        <f t="array" ref="Q823">_xlfn.IFS(
    AND(I823=TRUE, K823&lt;=No_Regular_Payments), Periodic_Admin_Charge,
   TRUE, 0
)</f>
        <v>0</v>
      </c>
      <c r="R823" s="1850">
        <f>N823-O823-Q823</f>
        <v>0</v>
      </c>
      <c r="S823" s="1850">
        <f>ROUND(S822-R823,2)</f>
        <v>0</v>
      </c>
      <c r="T823" s="1850">
        <f>ROUND(T822-(N823-Q823),2)</f>
        <v>0</v>
      </c>
      <c r="U823" s="1849"/>
      <c r="W823" s="1848"/>
      <c r="X823" s="1848"/>
      <c r="Y823" s="1848"/>
    </row>
    <row r="824" spans="2:25" hidden="1">
      <c r="B824" s="1815" t="b">
        <f>AND(I824=FALSE,N823=0,Q823=0,L823="")</f>
        <v>1</v>
      </c>
      <c r="C824" s="1844" t="str" cm="1">
        <f t="array" ref="C824">_xlfn.IFS(
    L824="", "",
    MONTH(L824) &lt;= End_of_Year_Month, YEAR(L824),
    TRUE, YEAR(L824) + 1
)</f>
        <v/>
      </c>
      <c r="F824" s="1857">
        <f>IF(L824="",0,L824)</f>
        <v>0</v>
      </c>
      <c r="G824" s="1856">
        <f>-(N824-Q824)</f>
        <v>0</v>
      </c>
      <c r="I824" s="1815" t="b">
        <f>K824&lt;=Number_Payments</f>
        <v>0</v>
      </c>
      <c r="J824" s="1855"/>
      <c r="K824" s="1351">
        <f>K823+1</f>
        <v>698</v>
      </c>
      <c r="L824" s="1854" t="str" cm="1">
        <f t="array" ref="L824">_xlfn.IFS(
    I823=FALSE, "",
    Payment_Frequency="Monthly", EDATE(L823, 1),
    Payment_Frequency="Weekly", DATE(YEAR(L823), MONTH(L823), DAY(L823) + 7),
    Payment_Frequency="Fortnightly", DATE(YEAR(L823), MONTH(L823), DAY(L823) + 14),
    Payment_Frequency="Quarterly", DATE(YEAR(L823), MONTH(L823) + 3, DAY(L823)),
    Payment_Frequency="Yearly", DATE(YEAR(L823) + 1, MONTH(L823), DAY(L823)),
    TRUE, ""
)</f>
        <v/>
      </c>
      <c r="M824" s="1853">
        <f>IF(ISERROR(L824-L823),0,L824-L823)</f>
        <v>0</v>
      </c>
      <c r="N824" s="1851" cm="1">
        <f t="array" ref="N824">_xlfn.IFS(
    AND(I824=TRUE, K824&lt;=No_Regular_Payments), Repay_Amt,
    AND(I824=TRUE, K824=No_Regular_Payments+1), Tm_Balloon_Amt,
   TRUE, 0
)</f>
        <v>0</v>
      </c>
      <c r="O824" s="1850" cm="1">
        <f t="array" ref="O824">_xlfn.IFS(
    M824=0,0,
   ABS(N824 - S823 - P824-Q824) &lt; 1, N824 - S823-Q824,
    TRUE, P824
)</f>
        <v>0</v>
      </c>
      <c r="P824" s="1852">
        <f>IF(M824=0,0,ROUND(S823*EXP(Int_Rate/365.25 * M824)-S823,2))</f>
        <v>0</v>
      </c>
      <c r="Q824" s="1851" cm="1">
        <f t="array" ref="Q824">_xlfn.IFS(
    AND(I824=TRUE, K824&lt;=No_Regular_Payments), Periodic_Admin_Charge,
   TRUE, 0
)</f>
        <v>0</v>
      </c>
      <c r="R824" s="1850">
        <f>N824-O824-Q824</f>
        <v>0</v>
      </c>
      <c r="S824" s="1850">
        <f>ROUND(S823-R824,2)</f>
        <v>0</v>
      </c>
      <c r="T824" s="1850">
        <f>ROUND(T823-(N824-Q824),2)</f>
        <v>0</v>
      </c>
      <c r="U824" s="1849"/>
      <c r="W824" s="1848"/>
      <c r="X824" s="1848"/>
      <c r="Y824" s="1848"/>
    </row>
    <row r="825" spans="2:25" hidden="1">
      <c r="B825" s="1815" t="b">
        <f>AND(I825=FALSE,N824=0,Q824=0,L824="")</f>
        <v>1</v>
      </c>
      <c r="C825" s="1844" t="str" cm="1">
        <f t="array" ref="C825">_xlfn.IFS(
    L825="", "",
    MONTH(L825) &lt;= End_of_Year_Month, YEAR(L825),
    TRUE, YEAR(L825) + 1
)</f>
        <v/>
      </c>
      <c r="F825" s="1857">
        <f>IF(L825="",0,L825)</f>
        <v>0</v>
      </c>
      <c r="G825" s="1856">
        <f>-(N825-Q825)</f>
        <v>0</v>
      </c>
      <c r="I825" s="1815" t="b">
        <f>K825&lt;=Number_Payments</f>
        <v>0</v>
      </c>
      <c r="J825" s="1855"/>
      <c r="K825" s="1351">
        <f>K824+1</f>
        <v>699</v>
      </c>
      <c r="L825" s="1854" t="str" cm="1">
        <f t="array" ref="L825">_xlfn.IFS(
    I824=FALSE, "",
    Payment_Frequency="Monthly", EDATE(L824, 1),
    Payment_Frequency="Weekly", DATE(YEAR(L824), MONTH(L824), DAY(L824) + 7),
    Payment_Frequency="Fortnightly", DATE(YEAR(L824), MONTH(L824), DAY(L824) + 14),
    Payment_Frequency="Quarterly", DATE(YEAR(L824), MONTH(L824) + 3, DAY(L824)),
    Payment_Frequency="Yearly", DATE(YEAR(L824) + 1, MONTH(L824), DAY(L824)),
    TRUE, ""
)</f>
        <v/>
      </c>
      <c r="M825" s="1853">
        <f>IF(ISERROR(L825-L824),0,L825-L824)</f>
        <v>0</v>
      </c>
      <c r="N825" s="1851" cm="1">
        <f t="array" ref="N825">_xlfn.IFS(
    AND(I825=TRUE, K825&lt;=No_Regular_Payments), Repay_Amt,
    AND(I825=TRUE, K825=No_Regular_Payments+1), Tm_Balloon_Amt,
   TRUE, 0
)</f>
        <v>0</v>
      </c>
      <c r="O825" s="1850" cm="1">
        <f t="array" ref="O825">_xlfn.IFS(
    M825=0,0,
   ABS(N825 - S824 - P825-Q825) &lt; 1, N825 - S824-Q825,
    TRUE, P825
)</f>
        <v>0</v>
      </c>
      <c r="P825" s="1852">
        <f>IF(M825=0,0,ROUND(S824*EXP(Int_Rate/365.25 * M825)-S824,2))</f>
        <v>0</v>
      </c>
      <c r="Q825" s="1851" cm="1">
        <f t="array" ref="Q825">_xlfn.IFS(
    AND(I825=TRUE, K825&lt;=No_Regular_Payments), Periodic_Admin_Charge,
   TRUE, 0
)</f>
        <v>0</v>
      </c>
      <c r="R825" s="1850">
        <f>N825-O825-Q825</f>
        <v>0</v>
      </c>
      <c r="S825" s="1850">
        <f>ROUND(S824-R825,2)</f>
        <v>0</v>
      </c>
      <c r="T825" s="1850">
        <f>ROUND(T824-(N825-Q825),2)</f>
        <v>0</v>
      </c>
      <c r="U825" s="1849"/>
      <c r="W825" s="1848"/>
      <c r="X825" s="1848"/>
      <c r="Y825" s="1848"/>
    </row>
    <row r="826" spans="2:25" hidden="1">
      <c r="B826" s="1815" t="b">
        <f>AND(I826=FALSE,N825=0,Q825=0,L825="")</f>
        <v>1</v>
      </c>
      <c r="C826" s="1844" t="str" cm="1">
        <f t="array" ref="C826">_xlfn.IFS(
    L826="", "",
    MONTH(L826) &lt;= End_of_Year_Month, YEAR(L826),
    TRUE, YEAR(L826) + 1
)</f>
        <v/>
      </c>
      <c r="F826" s="1857">
        <f>IF(L826="",0,L826)</f>
        <v>0</v>
      </c>
      <c r="G826" s="1856">
        <f>-(N826-Q826)</f>
        <v>0</v>
      </c>
      <c r="I826" s="1815" t="b">
        <f>K826&lt;=Number_Payments</f>
        <v>0</v>
      </c>
      <c r="J826" s="1855"/>
      <c r="K826" s="1351">
        <f>K825+1</f>
        <v>700</v>
      </c>
      <c r="L826" s="1854" t="str" cm="1">
        <f t="array" ref="L826">_xlfn.IFS(
    I825=FALSE, "",
    Payment_Frequency="Monthly", EDATE(L825, 1),
    Payment_Frequency="Weekly", DATE(YEAR(L825), MONTH(L825), DAY(L825) + 7),
    Payment_Frequency="Fortnightly", DATE(YEAR(L825), MONTH(L825), DAY(L825) + 14),
    Payment_Frequency="Quarterly", DATE(YEAR(L825), MONTH(L825) + 3, DAY(L825)),
    Payment_Frequency="Yearly", DATE(YEAR(L825) + 1, MONTH(L825), DAY(L825)),
    TRUE, ""
)</f>
        <v/>
      </c>
      <c r="M826" s="1853">
        <f>IF(ISERROR(L826-L825),0,L826-L825)</f>
        <v>0</v>
      </c>
      <c r="N826" s="1851" cm="1">
        <f t="array" ref="N826">_xlfn.IFS(
    AND(I826=TRUE, K826&lt;=No_Regular_Payments), Repay_Amt,
    AND(I826=TRUE, K826=No_Regular_Payments+1), Tm_Balloon_Amt,
   TRUE, 0
)</f>
        <v>0</v>
      </c>
      <c r="O826" s="1850" cm="1">
        <f t="array" ref="O826">_xlfn.IFS(
    M826=0,0,
   ABS(N826 - S825 - P826-Q826) &lt; 1, N826 - S825-Q826,
    TRUE, P826
)</f>
        <v>0</v>
      </c>
      <c r="P826" s="1852">
        <f>IF(M826=0,0,ROUND(S825*EXP(Int_Rate/365.25 * M826)-S825,2))</f>
        <v>0</v>
      </c>
      <c r="Q826" s="1851" cm="1">
        <f t="array" ref="Q826">_xlfn.IFS(
    AND(I826=TRUE, K826&lt;=No_Regular_Payments), Periodic_Admin_Charge,
   TRUE, 0
)</f>
        <v>0</v>
      </c>
      <c r="R826" s="1850">
        <f>N826-O826-Q826</f>
        <v>0</v>
      </c>
      <c r="S826" s="1850">
        <f>ROUND(S825-R826,2)</f>
        <v>0</v>
      </c>
      <c r="T826" s="1850">
        <f>ROUND(T825-(N826-Q826),2)</f>
        <v>0</v>
      </c>
      <c r="U826" s="1849"/>
      <c r="W826" s="1848"/>
      <c r="X826" s="1848"/>
      <c r="Y826" s="1848"/>
    </row>
    <row r="827" spans="2:25" hidden="1">
      <c r="B827" s="1815" t="b">
        <f>AND(I827=FALSE,N826=0,Q826=0,L826="")</f>
        <v>1</v>
      </c>
      <c r="C827" s="1844" t="str" cm="1">
        <f t="array" ref="C827">_xlfn.IFS(
    L827="", "",
    MONTH(L827) &lt;= End_of_Year_Month, YEAR(L827),
    TRUE, YEAR(L827) + 1
)</f>
        <v/>
      </c>
      <c r="F827" s="1857">
        <f>IF(L827="",0,L827)</f>
        <v>0</v>
      </c>
      <c r="G827" s="1856">
        <f>-(N827-Q827)</f>
        <v>0</v>
      </c>
      <c r="I827" s="1815" t="b">
        <f>K827&lt;=Number_Payments</f>
        <v>0</v>
      </c>
      <c r="J827" s="1855"/>
      <c r="K827" s="1351">
        <f>K826+1</f>
        <v>701</v>
      </c>
      <c r="L827" s="1854" t="str" cm="1">
        <f t="array" ref="L827">_xlfn.IFS(
    I826=FALSE, "",
    Payment_Frequency="Monthly", EDATE(L826, 1),
    Payment_Frequency="Weekly", DATE(YEAR(L826), MONTH(L826), DAY(L826) + 7),
    Payment_Frequency="Fortnightly", DATE(YEAR(L826), MONTH(L826), DAY(L826) + 14),
    Payment_Frequency="Quarterly", DATE(YEAR(L826), MONTH(L826) + 3, DAY(L826)),
    Payment_Frequency="Yearly", DATE(YEAR(L826) + 1, MONTH(L826), DAY(L826)),
    TRUE, ""
)</f>
        <v/>
      </c>
      <c r="M827" s="1853">
        <f>IF(ISERROR(L827-L826),0,L827-L826)</f>
        <v>0</v>
      </c>
      <c r="N827" s="1851" cm="1">
        <f t="array" ref="N827">_xlfn.IFS(
    AND(I827=TRUE, K827&lt;=No_Regular_Payments), Repay_Amt,
    AND(I827=TRUE, K827=No_Regular_Payments+1), Tm_Balloon_Amt,
   TRUE, 0
)</f>
        <v>0</v>
      </c>
      <c r="O827" s="1850" cm="1">
        <f t="array" ref="O827">_xlfn.IFS(
    M827=0,0,
   ABS(N827 - S826 - P827-Q827) &lt; 1, N827 - S826-Q827,
    TRUE, P827
)</f>
        <v>0</v>
      </c>
      <c r="P827" s="1852">
        <f>IF(M827=0,0,ROUND(S826*EXP(Int_Rate/365.25 * M827)-S826,2))</f>
        <v>0</v>
      </c>
      <c r="Q827" s="1851" cm="1">
        <f t="array" ref="Q827">_xlfn.IFS(
    AND(I827=TRUE, K827&lt;=No_Regular_Payments), Periodic_Admin_Charge,
   TRUE, 0
)</f>
        <v>0</v>
      </c>
      <c r="R827" s="1850">
        <f>N827-O827-Q827</f>
        <v>0</v>
      </c>
      <c r="S827" s="1850">
        <f>ROUND(S826-R827,2)</f>
        <v>0</v>
      </c>
      <c r="T827" s="1850">
        <f>ROUND(T826-(N827-Q827),2)</f>
        <v>0</v>
      </c>
      <c r="U827" s="1849"/>
      <c r="W827" s="1848"/>
      <c r="X827" s="1848"/>
      <c r="Y827" s="1848"/>
    </row>
    <row r="828" spans="2:25" hidden="1">
      <c r="B828" s="1815" t="b">
        <f>AND(I828=FALSE,N827=0,Q827=0,L827="")</f>
        <v>1</v>
      </c>
      <c r="C828" s="1844" t="str" cm="1">
        <f t="array" ref="C828">_xlfn.IFS(
    L828="", "",
    MONTH(L828) &lt;= End_of_Year_Month, YEAR(L828),
    TRUE, YEAR(L828) + 1
)</f>
        <v/>
      </c>
      <c r="F828" s="1857">
        <f>IF(L828="",0,L828)</f>
        <v>0</v>
      </c>
      <c r="G828" s="1856">
        <f>-(N828-Q828)</f>
        <v>0</v>
      </c>
      <c r="I828" s="1815" t="b">
        <f>K828&lt;=Number_Payments</f>
        <v>0</v>
      </c>
      <c r="J828" s="1855"/>
      <c r="K828" s="1351">
        <f>K827+1</f>
        <v>702</v>
      </c>
      <c r="L828" s="1854" t="str" cm="1">
        <f t="array" ref="L828">_xlfn.IFS(
    I827=FALSE, "",
    Payment_Frequency="Monthly", EDATE(L827, 1),
    Payment_Frequency="Weekly", DATE(YEAR(L827), MONTH(L827), DAY(L827) + 7),
    Payment_Frequency="Fortnightly", DATE(YEAR(L827), MONTH(L827), DAY(L827) + 14),
    Payment_Frequency="Quarterly", DATE(YEAR(L827), MONTH(L827) + 3, DAY(L827)),
    Payment_Frequency="Yearly", DATE(YEAR(L827) + 1, MONTH(L827), DAY(L827)),
    TRUE, ""
)</f>
        <v/>
      </c>
      <c r="M828" s="1853">
        <f>IF(ISERROR(L828-L827),0,L828-L827)</f>
        <v>0</v>
      </c>
      <c r="N828" s="1851" cm="1">
        <f t="array" ref="N828">_xlfn.IFS(
    AND(I828=TRUE, K828&lt;=No_Regular_Payments), Repay_Amt,
    AND(I828=TRUE, K828=No_Regular_Payments+1), Tm_Balloon_Amt,
   TRUE, 0
)</f>
        <v>0</v>
      </c>
      <c r="O828" s="1850" cm="1">
        <f t="array" ref="O828">_xlfn.IFS(
    M828=0,0,
   ABS(N828 - S827 - P828-Q828) &lt; 1, N828 - S827-Q828,
    TRUE, P828
)</f>
        <v>0</v>
      </c>
      <c r="P828" s="1852">
        <f>IF(M828=0,0,ROUND(S827*EXP(Int_Rate/365.25 * M828)-S827,2))</f>
        <v>0</v>
      </c>
      <c r="Q828" s="1851" cm="1">
        <f t="array" ref="Q828">_xlfn.IFS(
    AND(I828=TRUE, K828&lt;=No_Regular_Payments), Periodic_Admin_Charge,
   TRUE, 0
)</f>
        <v>0</v>
      </c>
      <c r="R828" s="1850">
        <f>N828-O828-Q828</f>
        <v>0</v>
      </c>
      <c r="S828" s="1850">
        <f>ROUND(S827-R828,2)</f>
        <v>0</v>
      </c>
      <c r="T828" s="1850">
        <f>ROUND(T827-(N828-Q828),2)</f>
        <v>0</v>
      </c>
      <c r="U828" s="1849"/>
      <c r="W828" s="1848"/>
      <c r="X828" s="1848"/>
      <c r="Y828" s="1848"/>
    </row>
    <row r="829" spans="2:25" hidden="1">
      <c r="B829" s="1815" t="b">
        <f>AND(I829=FALSE,N828=0,Q828=0,L828="")</f>
        <v>1</v>
      </c>
      <c r="C829" s="1844" t="str" cm="1">
        <f t="array" ref="C829">_xlfn.IFS(
    L829="", "",
    MONTH(L829) &lt;= End_of_Year_Month, YEAR(L829),
    TRUE, YEAR(L829) + 1
)</f>
        <v/>
      </c>
      <c r="F829" s="1857">
        <f>IF(L829="",0,L829)</f>
        <v>0</v>
      </c>
      <c r="G829" s="1856">
        <f>-(N829-Q829)</f>
        <v>0</v>
      </c>
      <c r="I829" s="1815" t="b">
        <f>K829&lt;=Number_Payments</f>
        <v>0</v>
      </c>
      <c r="J829" s="1855"/>
      <c r="K829" s="1351">
        <f>K828+1</f>
        <v>703</v>
      </c>
      <c r="L829" s="1854" t="str" cm="1">
        <f t="array" ref="L829">_xlfn.IFS(
    I828=FALSE, "",
    Payment_Frequency="Monthly", EDATE(L828, 1),
    Payment_Frequency="Weekly", DATE(YEAR(L828), MONTH(L828), DAY(L828) + 7),
    Payment_Frequency="Fortnightly", DATE(YEAR(L828), MONTH(L828), DAY(L828) + 14),
    Payment_Frequency="Quarterly", DATE(YEAR(L828), MONTH(L828) + 3, DAY(L828)),
    Payment_Frequency="Yearly", DATE(YEAR(L828) + 1, MONTH(L828), DAY(L828)),
    TRUE, ""
)</f>
        <v/>
      </c>
      <c r="M829" s="1853">
        <f>IF(ISERROR(L829-L828),0,L829-L828)</f>
        <v>0</v>
      </c>
      <c r="N829" s="1851" cm="1">
        <f t="array" ref="N829">_xlfn.IFS(
    AND(I829=TRUE, K829&lt;=No_Regular_Payments), Repay_Amt,
    AND(I829=TRUE, K829=No_Regular_Payments+1), Tm_Balloon_Amt,
   TRUE, 0
)</f>
        <v>0</v>
      </c>
      <c r="O829" s="1850" cm="1">
        <f t="array" ref="O829">_xlfn.IFS(
    M829=0,0,
   ABS(N829 - S828 - P829-Q829) &lt; 1, N829 - S828-Q829,
    TRUE, P829
)</f>
        <v>0</v>
      </c>
      <c r="P829" s="1852">
        <f>IF(M829=0,0,ROUND(S828*EXP(Int_Rate/365.25 * M829)-S828,2))</f>
        <v>0</v>
      </c>
      <c r="Q829" s="1851" cm="1">
        <f t="array" ref="Q829">_xlfn.IFS(
    AND(I829=TRUE, K829&lt;=No_Regular_Payments), Periodic_Admin_Charge,
   TRUE, 0
)</f>
        <v>0</v>
      </c>
      <c r="R829" s="1850">
        <f>N829-O829-Q829</f>
        <v>0</v>
      </c>
      <c r="S829" s="1850">
        <f>ROUND(S828-R829,2)</f>
        <v>0</v>
      </c>
      <c r="T829" s="1850">
        <f>ROUND(T828-(N829-Q829),2)</f>
        <v>0</v>
      </c>
      <c r="U829" s="1849"/>
      <c r="W829" s="1848"/>
      <c r="X829" s="1848"/>
      <c r="Y829" s="1848"/>
    </row>
    <row r="830" spans="2:25" hidden="1">
      <c r="B830" s="1815" t="b">
        <f>AND(I830=FALSE,N829=0,Q829=0,L829="")</f>
        <v>1</v>
      </c>
      <c r="C830" s="1844" t="str" cm="1">
        <f t="array" ref="C830">_xlfn.IFS(
    L830="", "",
    MONTH(L830) &lt;= End_of_Year_Month, YEAR(L830),
    TRUE, YEAR(L830) + 1
)</f>
        <v/>
      </c>
      <c r="F830" s="1857">
        <f>IF(L830="",0,L830)</f>
        <v>0</v>
      </c>
      <c r="G830" s="1856">
        <f>-(N830-Q830)</f>
        <v>0</v>
      </c>
      <c r="I830" s="1815" t="b">
        <f>K830&lt;=Number_Payments</f>
        <v>0</v>
      </c>
      <c r="J830" s="1855"/>
      <c r="K830" s="1351">
        <f>K829+1</f>
        <v>704</v>
      </c>
      <c r="L830" s="1854" t="str" cm="1">
        <f t="array" ref="L830">_xlfn.IFS(
    I829=FALSE, "",
    Payment_Frequency="Monthly", EDATE(L829, 1),
    Payment_Frequency="Weekly", DATE(YEAR(L829), MONTH(L829), DAY(L829) + 7),
    Payment_Frequency="Fortnightly", DATE(YEAR(L829), MONTH(L829), DAY(L829) + 14),
    Payment_Frequency="Quarterly", DATE(YEAR(L829), MONTH(L829) + 3, DAY(L829)),
    Payment_Frequency="Yearly", DATE(YEAR(L829) + 1, MONTH(L829), DAY(L829)),
    TRUE, ""
)</f>
        <v/>
      </c>
      <c r="M830" s="1853">
        <f>IF(ISERROR(L830-L829),0,L830-L829)</f>
        <v>0</v>
      </c>
      <c r="N830" s="1851" cm="1">
        <f t="array" ref="N830">_xlfn.IFS(
    AND(I830=TRUE, K830&lt;=No_Regular_Payments), Repay_Amt,
    AND(I830=TRUE, K830=No_Regular_Payments+1), Tm_Balloon_Amt,
   TRUE, 0
)</f>
        <v>0</v>
      </c>
      <c r="O830" s="1850" cm="1">
        <f t="array" ref="O830">_xlfn.IFS(
    M830=0,0,
   ABS(N830 - S829 - P830-Q830) &lt; 1, N830 - S829-Q830,
    TRUE, P830
)</f>
        <v>0</v>
      </c>
      <c r="P830" s="1852">
        <f>IF(M830=0,0,ROUND(S829*EXP(Int_Rate/365.25 * M830)-S829,2))</f>
        <v>0</v>
      </c>
      <c r="Q830" s="1851" cm="1">
        <f t="array" ref="Q830">_xlfn.IFS(
    AND(I830=TRUE, K830&lt;=No_Regular_Payments), Periodic_Admin_Charge,
   TRUE, 0
)</f>
        <v>0</v>
      </c>
      <c r="R830" s="1850">
        <f>N830-O830-Q830</f>
        <v>0</v>
      </c>
      <c r="S830" s="1850">
        <f>ROUND(S829-R830,2)</f>
        <v>0</v>
      </c>
      <c r="T830" s="1850">
        <f>ROUND(T829-(N830-Q830),2)</f>
        <v>0</v>
      </c>
      <c r="U830" s="1849"/>
      <c r="W830" s="1848"/>
      <c r="X830" s="1848"/>
      <c r="Y830" s="1848"/>
    </row>
    <row r="831" spans="2:25" hidden="1">
      <c r="B831" s="1815" t="b">
        <f>AND(I831=FALSE,N830=0,Q830=0,L830="")</f>
        <v>1</v>
      </c>
      <c r="C831" s="1844" t="str" cm="1">
        <f t="array" ref="C831">_xlfn.IFS(
    L831="", "",
    MONTH(L831) &lt;= End_of_Year_Month, YEAR(L831),
    TRUE, YEAR(L831) + 1
)</f>
        <v/>
      </c>
      <c r="F831" s="1857">
        <f>IF(L831="",0,L831)</f>
        <v>0</v>
      </c>
      <c r="G831" s="1856">
        <f>-(N831-Q831)</f>
        <v>0</v>
      </c>
      <c r="I831" s="1815" t="b">
        <f>K831&lt;=Number_Payments</f>
        <v>0</v>
      </c>
      <c r="J831" s="1855"/>
      <c r="K831" s="1351">
        <f>K830+1</f>
        <v>705</v>
      </c>
      <c r="L831" s="1854" t="str" cm="1">
        <f t="array" ref="L831">_xlfn.IFS(
    I830=FALSE, "",
    Payment_Frequency="Monthly", EDATE(L830, 1),
    Payment_Frequency="Weekly", DATE(YEAR(L830), MONTH(L830), DAY(L830) + 7),
    Payment_Frequency="Fortnightly", DATE(YEAR(L830), MONTH(L830), DAY(L830) + 14),
    Payment_Frequency="Quarterly", DATE(YEAR(L830), MONTH(L830) + 3, DAY(L830)),
    Payment_Frequency="Yearly", DATE(YEAR(L830) + 1, MONTH(L830), DAY(L830)),
    TRUE, ""
)</f>
        <v/>
      </c>
      <c r="M831" s="1853">
        <f>IF(ISERROR(L831-L830),0,L831-L830)</f>
        <v>0</v>
      </c>
      <c r="N831" s="1851" cm="1">
        <f t="array" ref="N831">_xlfn.IFS(
    AND(I831=TRUE, K831&lt;=No_Regular_Payments), Repay_Amt,
    AND(I831=TRUE, K831=No_Regular_Payments+1), Tm_Balloon_Amt,
   TRUE, 0
)</f>
        <v>0</v>
      </c>
      <c r="O831" s="1850" cm="1">
        <f t="array" ref="O831">_xlfn.IFS(
    M831=0,0,
   ABS(N831 - S830 - P831-Q831) &lt; 1, N831 - S830-Q831,
    TRUE, P831
)</f>
        <v>0</v>
      </c>
      <c r="P831" s="1852">
        <f>IF(M831=0,0,ROUND(S830*EXP(Int_Rate/365.25 * M831)-S830,2))</f>
        <v>0</v>
      </c>
      <c r="Q831" s="1851" cm="1">
        <f t="array" ref="Q831">_xlfn.IFS(
    AND(I831=TRUE, K831&lt;=No_Regular_Payments), Periodic_Admin_Charge,
   TRUE, 0
)</f>
        <v>0</v>
      </c>
      <c r="R831" s="1850">
        <f>N831-O831-Q831</f>
        <v>0</v>
      </c>
      <c r="S831" s="1850">
        <f>ROUND(S830-R831,2)</f>
        <v>0</v>
      </c>
      <c r="T831" s="1850">
        <f>ROUND(T830-(N831-Q831),2)</f>
        <v>0</v>
      </c>
      <c r="U831" s="1849"/>
      <c r="W831" s="1848"/>
      <c r="X831" s="1848"/>
      <c r="Y831" s="1848"/>
    </row>
    <row r="832" spans="2:25" hidden="1">
      <c r="B832" s="1815" t="b">
        <f>AND(I832=FALSE,N831=0,Q831=0,L831="")</f>
        <v>1</v>
      </c>
      <c r="C832" s="1844" t="str" cm="1">
        <f t="array" ref="C832">_xlfn.IFS(
    L832="", "",
    MONTH(L832) &lt;= End_of_Year_Month, YEAR(L832),
    TRUE, YEAR(L832) + 1
)</f>
        <v/>
      </c>
      <c r="F832" s="1857">
        <f>IF(L832="",0,L832)</f>
        <v>0</v>
      </c>
      <c r="G832" s="1856">
        <f>-(N832-Q832)</f>
        <v>0</v>
      </c>
      <c r="I832" s="1815" t="b">
        <f>K832&lt;=Number_Payments</f>
        <v>0</v>
      </c>
      <c r="J832" s="1855"/>
      <c r="K832" s="1351">
        <f>K831+1</f>
        <v>706</v>
      </c>
      <c r="L832" s="1854" t="str" cm="1">
        <f t="array" ref="L832">_xlfn.IFS(
    I831=FALSE, "",
    Payment_Frequency="Monthly", EDATE(L831, 1),
    Payment_Frequency="Weekly", DATE(YEAR(L831), MONTH(L831), DAY(L831) + 7),
    Payment_Frequency="Fortnightly", DATE(YEAR(L831), MONTH(L831), DAY(L831) + 14),
    Payment_Frequency="Quarterly", DATE(YEAR(L831), MONTH(L831) + 3, DAY(L831)),
    Payment_Frequency="Yearly", DATE(YEAR(L831) + 1, MONTH(L831), DAY(L831)),
    TRUE, ""
)</f>
        <v/>
      </c>
      <c r="M832" s="1853">
        <f>IF(ISERROR(L832-L831),0,L832-L831)</f>
        <v>0</v>
      </c>
      <c r="N832" s="1851" cm="1">
        <f t="array" ref="N832">_xlfn.IFS(
    AND(I832=TRUE, K832&lt;=No_Regular_Payments), Repay_Amt,
    AND(I832=TRUE, K832=No_Regular_Payments+1), Tm_Balloon_Amt,
   TRUE, 0
)</f>
        <v>0</v>
      </c>
      <c r="O832" s="1850" cm="1">
        <f t="array" ref="O832">_xlfn.IFS(
    M832=0,0,
   ABS(N832 - S831 - P832-Q832) &lt; 1, N832 - S831-Q832,
    TRUE, P832
)</f>
        <v>0</v>
      </c>
      <c r="P832" s="1852">
        <f>IF(M832=0,0,ROUND(S831*EXP(Int_Rate/365.25 * M832)-S831,2))</f>
        <v>0</v>
      </c>
      <c r="Q832" s="1851" cm="1">
        <f t="array" ref="Q832">_xlfn.IFS(
    AND(I832=TRUE, K832&lt;=No_Regular_Payments), Periodic_Admin_Charge,
   TRUE, 0
)</f>
        <v>0</v>
      </c>
      <c r="R832" s="1850">
        <f>N832-O832-Q832</f>
        <v>0</v>
      </c>
      <c r="S832" s="1850">
        <f>ROUND(S831-R832,2)</f>
        <v>0</v>
      </c>
      <c r="T832" s="1850">
        <f>ROUND(T831-(N832-Q832),2)</f>
        <v>0</v>
      </c>
      <c r="U832" s="1849"/>
      <c r="W832" s="1848"/>
      <c r="X832" s="1848"/>
      <c r="Y832" s="1848"/>
    </row>
    <row r="833" spans="2:25" hidden="1">
      <c r="B833" s="1815" t="b">
        <f>AND(I833=FALSE,N832=0,Q832=0,L832="")</f>
        <v>1</v>
      </c>
      <c r="C833" s="1844" t="str" cm="1">
        <f t="array" ref="C833">_xlfn.IFS(
    L833="", "",
    MONTH(L833) &lt;= End_of_Year_Month, YEAR(L833),
    TRUE, YEAR(L833) + 1
)</f>
        <v/>
      </c>
      <c r="F833" s="1857">
        <f>IF(L833="",0,L833)</f>
        <v>0</v>
      </c>
      <c r="G833" s="1856">
        <f>-(N833-Q833)</f>
        <v>0</v>
      </c>
      <c r="I833" s="1815" t="b">
        <f>K833&lt;=Number_Payments</f>
        <v>0</v>
      </c>
      <c r="J833" s="1855"/>
      <c r="K833" s="1351">
        <f>K832+1</f>
        <v>707</v>
      </c>
      <c r="L833" s="1854" t="str" cm="1">
        <f t="array" ref="L833">_xlfn.IFS(
    I832=FALSE, "",
    Payment_Frequency="Monthly", EDATE(L832, 1),
    Payment_Frequency="Weekly", DATE(YEAR(L832), MONTH(L832), DAY(L832) + 7),
    Payment_Frequency="Fortnightly", DATE(YEAR(L832), MONTH(L832), DAY(L832) + 14),
    Payment_Frequency="Quarterly", DATE(YEAR(L832), MONTH(L832) + 3, DAY(L832)),
    Payment_Frequency="Yearly", DATE(YEAR(L832) + 1, MONTH(L832), DAY(L832)),
    TRUE, ""
)</f>
        <v/>
      </c>
      <c r="M833" s="1853">
        <f>IF(ISERROR(L833-L832),0,L833-L832)</f>
        <v>0</v>
      </c>
      <c r="N833" s="1851" cm="1">
        <f t="array" ref="N833">_xlfn.IFS(
    AND(I833=TRUE, K833&lt;=No_Regular_Payments), Repay_Amt,
    AND(I833=TRUE, K833=No_Regular_Payments+1), Tm_Balloon_Amt,
   TRUE, 0
)</f>
        <v>0</v>
      </c>
      <c r="O833" s="1850" cm="1">
        <f t="array" ref="O833">_xlfn.IFS(
    M833=0,0,
   ABS(N833 - S832 - P833-Q833) &lt; 1, N833 - S832-Q833,
    TRUE, P833
)</f>
        <v>0</v>
      </c>
      <c r="P833" s="1852">
        <f>IF(M833=0,0,ROUND(S832*EXP(Int_Rate/365.25 * M833)-S832,2))</f>
        <v>0</v>
      </c>
      <c r="Q833" s="1851" cm="1">
        <f t="array" ref="Q833">_xlfn.IFS(
    AND(I833=TRUE, K833&lt;=No_Regular_Payments), Periodic_Admin_Charge,
   TRUE, 0
)</f>
        <v>0</v>
      </c>
      <c r="R833" s="1850">
        <f>N833-O833-Q833</f>
        <v>0</v>
      </c>
      <c r="S833" s="1850">
        <f>ROUND(S832-R833,2)</f>
        <v>0</v>
      </c>
      <c r="T833" s="1850">
        <f>ROUND(T832-(N833-Q833),2)</f>
        <v>0</v>
      </c>
      <c r="U833" s="1849"/>
      <c r="W833" s="1848"/>
      <c r="X833" s="1848"/>
      <c r="Y833" s="1848"/>
    </row>
    <row r="834" spans="2:25" hidden="1">
      <c r="B834" s="1815" t="b">
        <f>AND(I834=FALSE,N833=0,Q833=0,L833="")</f>
        <v>1</v>
      </c>
      <c r="C834" s="1844" t="str" cm="1">
        <f t="array" ref="C834">_xlfn.IFS(
    L834="", "",
    MONTH(L834) &lt;= End_of_Year_Month, YEAR(L834),
    TRUE, YEAR(L834) + 1
)</f>
        <v/>
      </c>
      <c r="F834" s="1857">
        <f>IF(L834="",0,L834)</f>
        <v>0</v>
      </c>
      <c r="G834" s="1856">
        <f>-(N834-Q834)</f>
        <v>0</v>
      </c>
      <c r="I834" s="1815" t="b">
        <f>K834&lt;=Number_Payments</f>
        <v>0</v>
      </c>
      <c r="J834" s="1855"/>
      <c r="K834" s="1351">
        <f>K833+1</f>
        <v>708</v>
      </c>
      <c r="L834" s="1854" t="str" cm="1">
        <f t="array" ref="L834">_xlfn.IFS(
    I833=FALSE, "",
    Payment_Frequency="Monthly", EDATE(L833, 1),
    Payment_Frequency="Weekly", DATE(YEAR(L833), MONTH(L833), DAY(L833) + 7),
    Payment_Frequency="Fortnightly", DATE(YEAR(L833), MONTH(L833), DAY(L833) + 14),
    Payment_Frequency="Quarterly", DATE(YEAR(L833), MONTH(L833) + 3, DAY(L833)),
    Payment_Frequency="Yearly", DATE(YEAR(L833) + 1, MONTH(L833), DAY(L833)),
    TRUE, ""
)</f>
        <v/>
      </c>
      <c r="M834" s="1853">
        <f>IF(ISERROR(L834-L833),0,L834-L833)</f>
        <v>0</v>
      </c>
      <c r="N834" s="1851" cm="1">
        <f t="array" ref="N834">_xlfn.IFS(
    AND(I834=TRUE, K834&lt;=No_Regular_Payments), Repay_Amt,
    AND(I834=TRUE, K834=No_Regular_Payments+1), Tm_Balloon_Amt,
   TRUE, 0
)</f>
        <v>0</v>
      </c>
      <c r="O834" s="1850" cm="1">
        <f t="array" ref="O834">_xlfn.IFS(
    M834=0,0,
   ABS(N834 - S833 - P834-Q834) &lt; 1, N834 - S833-Q834,
    TRUE, P834
)</f>
        <v>0</v>
      </c>
      <c r="P834" s="1852">
        <f>IF(M834=0,0,ROUND(S833*EXP(Int_Rate/365.25 * M834)-S833,2))</f>
        <v>0</v>
      </c>
      <c r="Q834" s="1851" cm="1">
        <f t="array" ref="Q834">_xlfn.IFS(
    AND(I834=TRUE, K834&lt;=No_Regular_Payments), Periodic_Admin_Charge,
   TRUE, 0
)</f>
        <v>0</v>
      </c>
      <c r="R834" s="1850">
        <f>N834-O834-Q834</f>
        <v>0</v>
      </c>
      <c r="S834" s="1850">
        <f>ROUND(S833-R834,2)</f>
        <v>0</v>
      </c>
      <c r="T834" s="1850">
        <f>ROUND(T833-(N834-Q834),2)</f>
        <v>0</v>
      </c>
      <c r="U834" s="1849"/>
      <c r="W834" s="1848"/>
      <c r="X834" s="1848"/>
      <c r="Y834" s="1848"/>
    </row>
    <row r="835" spans="2:25" hidden="1">
      <c r="B835" s="1815" t="b">
        <f>AND(I835=FALSE,N834=0,Q834=0,L834="")</f>
        <v>1</v>
      </c>
      <c r="C835" s="1844" t="str" cm="1">
        <f t="array" ref="C835">_xlfn.IFS(
    L835="", "",
    MONTH(L835) &lt;= End_of_Year_Month, YEAR(L835),
    TRUE, YEAR(L835) + 1
)</f>
        <v/>
      </c>
      <c r="F835" s="1857">
        <f>IF(L835="",0,L835)</f>
        <v>0</v>
      </c>
      <c r="G835" s="1856">
        <f>-(N835-Q835)</f>
        <v>0</v>
      </c>
      <c r="I835" s="1815" t="b">
        <f>K835&lt;=Number_Payments</f>
        <v>0</v>
      </c>
      <c r="J835" s="1855"/>
      <c r="K835" s="1351">
        <f>K834+1</f>
        <v>709</v>
      </c>
      <c r="L835" s="1854" t="str" cm="1">
        <f t="array" ref="L835">_xlfn.IFS(
    I834=FALSE, "",
    Payment_Frequency="Monthly", EDATE(L834, 1),
    Payment_Frequency="Weekly", DATE(YEAR(L834), MONTH(L834), DAY(L834) + 7),
    Payment_Frequency="Fortnightly", DATE(YEAR(L834), MONTH(L834), DAY(L834) + 14),
    Payment_Frequency="Quarterly", DATE(YEAR(L834), MONTH(L834) + 3, DAY(L834)),
    Payment_Frequency="Yearly", DATE(YEAR(L834) + 1, MONTH(L834), DAY(L834)),
    TRUE, ""
)</f>
        <v/>
      </c>
      <c r="M835" s="1853">
        <f>IF(ISERROR(L835-L834),0,L835-L834)</f>
        <v>0</v>
      </c>
      <c r="N835" s="1851" cm="1">
        <f t="array" ref="N835">_xlfn.IFS(
    AND(I835=TRUE, K835&lt;=No_Regular_Payments), Repay_Amt,
    AND(I835=TRUE, K835=No_Regular_Payments+1), Tm_Balloon_Amt,
   TRUE, 0
)</f>
        <v>0</v>
      </c>
      <c r="O835" s="1850" cm="1">
        <f t="array" ref="O835">_xlfn.IFS(
    M835=0,0,
   ABS(N835 - S834 - P835-Q835) &lt; 1, N835 - S834-Q835,
    TRUE, P835
)</f>
        <v>0</v>
      </c>
      <c r="P835" s="1852">
        <f>IF(M835=0,0,ROUND(S834*EXP(Int_Rate/365.25 * M835)-S834,2))</f>
        <v>0</v>
      </c>
      <c r="Q835" s="1851" cm="1">
        <f t="array" ref="Q835">_xlfn.IFS(
    AND(I835=TRUE, K835&lt;=No_Regular_Payments), Periodic_Admin_Charge,
   TRUE, 0
)</f>
        <v>0</v>
      </c>
      <c r="R835" s="1850">
        <f>N835-O835-Q835</f>
        <v>0</v>
      </c>
      <c r="S835" s="1850">
        <f>ROUND(S834-R835,2)</f>
        <v>0</v>
      </c>
      <c r="T835" s="1850">
        <f>ROUND(T834-(N835-Q835),2)</f>
        <v>0</v>
      </c>
      <c r="U835" s="1849"/>
      <c r="W835" s="1848"/>
      <c r="X835" s="1848"/>
      <c r="Y835" s="1848"/>
    </row>
    <row r="836" spans="2:25" hidden="1">
      <c r="B836" s="1815" t="b">
        <f>AND(I836=FALSE,N835=0,Q835=0,L835="")</f>
        <v>1</v>
      </c>
      <c r="C836" s="1844" t="str" cm="1">
        <f t="array" ref="C836">_xlfn.IFS(
    L836="", "",
    MONTH(L836) &lt;= End_of_Year_Month, YEAR(L836),
    TRUE, YEAR(L836) + 1
)</f>
        <v/>
      </c>
      <c r="F836" s="1857">
        <f>IF(L836="",0,L836)</f>
        <v>0</v>
      </c>
      <c r="G836" s="1856">
        <f>-(N836-Q836)</f>
        <v>0</v>
      </c>
      <c r="I836" s="1815" t="b">
        <f>K836&lt;=Number_Payments</f>
        <v>0</v>
      </c>
      <c r="J836" s="1855"/>
      <c r="K836" s="1351">
        <f>K835+1</f>
        <v>710</v>
      </c>
      <c r="L836" s="1854" t="str" cm="1">
        <f t="array" ref="L836">_xlfn.IFS(
    I835=FALSE, "",
    Payment_Frequency="Monthly", EDATE(L835, 1),
    Payment_Frequency="Weekly", DATE(YEAR(L835), MONTH(L835), DAY(L835) + 7),
    Payment_Frequency="Fortnightly", DATE(YEAR(L835), MONTH(L835), DAY(L835) + 14),
    Payment_Frequency="Quarterly", DATE(YEAR(L835), MONTH(L835) + 3, DAY(L835)),
    Payment_Frequency="Yearly", DATE(YEAR(L835) + 1, MONTH(L835), DAY(L835)),
    TRUE, ""
)</f>
        <v/>
      </c>
      <c r="M836" s="1853">
        <f>IF(ISERROR(L836-L835),0,L836-L835)</f>
        <v>0</v>
      </c>
      <c r="N836" s="1851" cm="1">
        <f t="array" ref="N836">_xlfn.IFS(
    AND(I836=TRUE, K836&lt;=No_Regular_Payments), Repay_Amt,
    AND(I836=TRUE, K836=No_Regular_Payments+1), Tm_Balloon_Amt,
   TRUE, 0
)</f>
        <v>0</v>
      </c>
      <c r="O836" s="1850" cm="1">
        <f t="array" ref="O836">_xlfn.IFS(
    M836=0,0,
   ABS(N836 - S835 - P836-Q836) &lt; 1, N836 - S835-Q836,
    TRUE, P836
)</f>
        <v>0</v>
      </c>
      <c r="P836" s="1852">
        <f>IF(M836=0,0,ROUND(S835*EXP(Int_Rate/365.25 * M836)-S835,2))</f>
        <v>0</v>
      </c>
      <c r="Q836" s="1851" cm="1">
        <f t="array" ref="Q836">_xlfn.IFS(
    AND(I836=TRUE, K836&lt;=No_Regular_Payments), Periodic_Admin_Charge,
   TRUE, 0
)</f>
        <v>0</v>
      </c>
      <c r="R836" s="1850">
        <f>N836-O836-Q836</f>
        <v>0</v>
      </c>
      <c r="S836" s="1850">
        <f>ROUND(S835-R836,2)</f>
        <v>0</v>
      </c>
      <c r="T836" s="1850">
        <f>ROUND(T835-(N836-Q836),2)</f>
        <v>0</v>
      </c>
      <c r="U836" s="1849"/>
      <c r="W836" s="1848"/>
      <c r="X836" s="1848"/>
      <c r="Y836" s="1848"/>
    </row>
    <row r="837" spans="2:25" hidden="1">
      <c r="B837" s="1815" t="b">
        <f>AND(I837=FALSE,N836=0,Q836=0,L836="")</f>
        <v>1</v>
      </c>
      <c r="C837" s="1844" t="str" cm="1">
        <f t="array" ref="C837">_xlfn.IFS(
    L837="", "",
    MONTH(L837) &lt;= End_of_Year_Month, YEAR(L837),
    TRUE, YEAR(L837) + 1
)</f>
        <v/>
      </c>
      <c r="F837" s="1857">
        <f>IF(L837="",0,L837)</f>
        <v>0</v>
      </c>
      <c r="G837" s="1856">
        <f>-(N837-Q837)</f>
        <v>0</v>
      </c>
      <c r="I837" s="1815" t="b">
        <f>K837&lt;=Number_Payments</f>
        <v>0</v>
      </c>
      <c r="J837" s="1855"/>
      <c r="K837" s="1351">
        <f>K836+1</f>
        <v>711</v>
      </c>
      <c r="L837" s="1854" t="str" cm="1">
        <f t="array" ref="L837">_xlfn.IFS(
    I836=FALSE, "",
    Payment_Frequency="Monthly", EDATE(L836, 1),
    Payment_Frequency="Weekly", DATE(YEAR(L836), MONTH(L836), DAY(L836) + 7),
    Payment_Frequency="Fortnightly", DATE(YEAR(L836), MONTH(L836), DAY(L836) + 14),
    Payment_Frequency="Quarterly", DATE(YEAR(L836), MONTH(L836) + 3, DAY(L836)),
    Payment_Frequency="Yearly", DATE(YEAR(L836) + 1, MONTH(L836), DAY(L836)),
    TRUE, ""
)</f>
        <v/>
      </c>
      <c r="M837" s="1853">
        <f>IF(ISERROR(L837-L836),0,L837-L836)</f>
        <v>0</v>
      </c>
      <c r="N837" s="1851" cm="1">
        <f t="array" ref="N837">_xlfn.IFS(
    AND(I837=TRUE, K837&lt;=No_Regular_Payments), Repay_Amt,
    AND(I837=TRUE, K837=No_Regular_Payments+1), Tm_Balloon_Amt,
   TRUE, 0
)</f>
        <v>0</v>
      </c>
      <c r="O837" s="1850" cm="1">
        <f t="array" ref="O837">_xlfn.IFS(
    M837=0,0,
   ABS(N837 - S836 - P837-Q837) &lt; 1, N837 - S836-Q837,
    TRUE, P837
)</f>
        <v>0</v>
      </c>
      <c r="P837" s="1852">
        <f>IF(M837=0,0,ROUND(S836*EXP(Int_Rate/365.25 * M837)-S836,2))</f>
        <v>0</v>
      </c>
      <c r="Q837" s="1851" cm="1">
        <f t="array" ref="Q837">_xlfn.IFS(
    AND(I837=TRUE, K837&lt;=No_Regular_Payments), Periodic_Admin_Charge,
   TRUE, 0
)</f>
        <v>0</v>
      </c>
      <c r="R837" s="1850">
        <f>N837-O837-Q837</f>
        <v>0</v>
      </c>
      <c r="S837" s="1850">
        <f>ROUND(S836-R837,2)</f>
        <v>0</v>
      </c>
      <c r="T837" s="1850">
        <f>ROUND(T836-(N837-Q837),2)</f>
        <v>0</v>
      </c>
      <c r="U837" s="1849"/>
      <c r="W837" s="1848"/>
      <c r="X837" s="1848"/>
      <c r="Y837" s="1848"/>
    </row>
    <row r="838" spans="2:25" hidden="1">
      <c r="B838" s="1815" t="b">
        <f>AND(I838=FALSE,N837=0,Q837=0,L837="")</f>
        <v>1</v>
      </c>
      <c r="C838" s="1844" t="str" cm="1">
        <f t="array" ref="C838">_xlfn.IFS(
    L838="", "",
    MONTH(L838) &lt;= End_of_Year_Month, YEAR(L838),
    TRUE, YEAR(L838) + 1
)</f>
        <v/>
      </c>
      <c r="F838" s="1857">
        <f>IF(L838="",0,L838)</f>
        <v>0</v>
      </c>
      <c r="G838" s="1856">
        <f>-(N838-Q838)</f>
        <v>0</v>
      </c>
      <c r="I838" s="1815" t="b">
        <f>K838&lt;=Number_Payments</f>
        <v>0</v>
      </c>
      <c r="J838" s="1855"/>
      <c r="K838" s="1351">
        <f>K837+1</f>
        <v>712</v>
      </c>
      <c r="L838" s="1854" t="str" cm="1">
        <f t="array" ref="L838">_xlfn.IFS(
    I837=FALSE, "",
    Payment_Frequency="Monthly", EDATE(L837, 1),
    Payment_Frequency="Weekly", DATE(YEAR(L837), MONTH(L837), DAY(L837) + 7),
    Payment_Frequency="Fortnightly", DATE(YEAR(L837), MONTH(L837), DAY(L837) + 14),
    Payment_Frequency="Quarterly", DATE(YEAR(L837), MONTH(L837) + 3, DAY(L837)),
    Payment_Frequency="Yearly", DATE(YEAR(L837) + 1, MONTH(L837), DAY(L837)),
    TRUE, ""
)</f>
        <v/>
      </c>
      <c r="M838" s="1853">
        <f>IF(ISERROR(L838-L837),0,L838-L837)</f>
        <v>0</v>
      </c>
      <c r="N838" s="1851" cm="1">
        <f t="array" ref="N838">_xlfn.IFS(
    AND(I838=TRUE, K838&lt;=No_Regular_Payments), Repay_Amt,
    AND(I838=TRUE, K838=No_Regular_Payments+1), Tm_Balloon_Amt,
   TRUE, 0
)</f>
        <v>0</v>
      </c>
      <c r="O838" s="1850" cm="1">
        <f t="array" ref="O838">_xlfn.IFS(
    M838=0,0,
   ABS(N838 - S837 - P838-Q838) &lt; 1, N838 - S837-Q838,
    TRUE, P838
)</f>
        <v>0</v>
      </c>
      <c r="P838" s="1852">
        <f>IF(M838=0,0,ROUND(S837*EXP(Int_Rate/365.25 * M838)-S837,2))</f>
        <v>0</v>
      </c>
      <c r="Q838" s="1851" cm="1">
        <f t="array" ref="Q838">_xlfn.IFS(
    AND(I838=TRUE, K838&lt;=No_Regular_Payments), Periodic_Admin_Charge,
   TRUE, 0
)</f>
        <v>0</v>
      </c>
      <c r="R838" s="1850">
        <f>N838-O838-Q838</f>
        <v>0</v>
      </c>
      <c r="S838" s="1850">
        <f>ROUND(S837-R838,2)</f>
        <v>0</v>
      </c>
      <c r="T838" s="1850">
        <f>ROUND(T837-(N838-Q838),2)</f>
        <v>0</v>
      </c>
      <c r="U838" s="1849"/>
      <c r="W838" s="1848"/>
      <c r="X838" s="1848"/>
      <c r="Y838" s="1848"/>
    </row>
    <row r="839" spans="2:25" hidden="1">
      <c r="B839" s="1815" t="b">
        <f>AND(I839=FALSE,N838=0,Q838=0,L838="")</f>
        <v>1</v>
      </c>
      <c r="C839" s="1844" t="str" cm="1">
        <f t="array" ref="C839">_xlfn.IFS(
    L839="", "",
    MONTH(L839) &lt;= End_of_Year_Month, YEAR(L839),
    TRUE, YEAR(L839) + 1
)</f>
        <v/>
      </c>
      <c r="F839" s="1857">
        <f>IF(L839="",0,L839)</f>
        <v>0</v>
      </c>
      <c r="G839" s="1856">
        <f>-(N839-Q839)</f>
        <v>0</v>
      </c>
      <c r="I839" s="1815" t="b">
        <f>K839&lt;=Number_Payments</f>
        <v>0</v>
      </c>
      <c r="J839" s="1855"/>
      <c r="K839" s="1351">
        <f>K838+1</f>
        <v>713</v>
      </c>
      <c r="L839" s="1854" t="str" cm="1">
        <f t="array" ref="L839">_xlfn.IFS(
    I838=FALSE, "",
    Payment_Frequency="Monthly", EDATE(L838, 1),
    Payment_Frequency="Weekly", DATE(YEAR(L838), MONTH(L838), DAY(L838) + 7),
    Payment_Frequency="Fortnightly", DATE(YEAR(L838), MONTH(L838), DAY(L838) + 14),
    Payment_Frequency="Quarterly", DATE(YEAR(L838), MONTH(L838) + 3, DAY(L838)),
    Payment_Frequency="Yearly", DATE(YEAR(L838) + 1, MONTH(L838), DAY(L838)),
    TRUE, ""
)</f>
        <v/>
      </c>
      <c r="M839" s="1853">
        <f>IF(ISERROR(L839-L838),0,L839-L838)</f>
        <v>0</v>
      </c>
      <c r="N839" s="1851" cm="1">
        <f t="array" ref="N839">_xlfn.IFS(
    AND(I839=TRUE, K839&lt;=No_Regular_Payments), Repay_Amt,
    AND(I839=TRUE, K839=No_Regular_Payments+1), Tm_Balloon_Amt,
   TRUE, 0
)</f>
        <v>0</v>
      </c>
      <c r="O839" s="1850" cm="1">
        <f t="array" ref="O839">_xlfn.IFS(
    M839=0,0,
   ABS(N839 - S838 - P839-Q839) &lt; 1, N839 - S838-Q839,
    TRUE, P839
)</f>
        <v>0</v>
      </c>
      <c r="P839" s="1852">
        <f>IF(M839=0,0,ROUND(S838*EXP(Int_Rate/365.25 * M839)-S838,2))</f>
        <v>0</v>
      </c>
      <c r="Q839" s="1851" cm="1">
        <f t="array" ref="Q839">_xlfn.IFS(
    AND(I839=TRUE, K839&lt;=No_Regular_Payments), Periodic_Admin_Charge,
   TRUE, 0
)</f>
        <v>0</v>
      </c>
      <c r="R839" s="1850">
        <f>N839-O839-Q839</f>
        <v>0</v>
      </c>
      <c r="S839" s="1850">
        <f>ROUND(S838-R839,2)</f>
        <v>0</v>
      </c>
      <c r="T839" s="1850">
        <f>ROUND(T838-(N839-Q839),2)</f>
        <v>0</v>
      </c>
      <c r="U839" s="1849"/>
      <c r="W839" s="1848"/>
      <c r="X839" s="1848"/>
      <c r="Y839" s="1848"/>
    </row>
    <row r="840" spans="2:25" hidden="1">
      <c r="B840" s="1815" t="b">
        <f>AND(I840=FALSE,N839=0,Q839=0,L839="")</f>
        <v>1</v>
      </c>
      <c r="C840" s="1844" t="str" cm="1">
        <f t="array" ref="C840">_xlfn.IFS(
    L840="", "",
    MONTH(L840) &lt;= End_of_Year_Month, YEAR(L840),
    TRUE, YEAR(L840) + 1
)</f>
        <v/>
      </c>
      <c r="F840" s="1857">
        <f>IF(L840="",0,L840)</f>
        <v>0</v>
      </c>
      <c r="G840" s="1856">
        <f>-(N840-Q840)</f>
        <v>0</v>
      </c>
      <c r="I840" s="1815" t="b">
        <f>K840&lt;=Number_Payments</f>
        <v>0</v>
      </c>
      <c r="J840" s="1855"/>
      <c r="K840" s="1351">
        <f>K839+1</f>
        <v>714</v>
      </c>
      <c r="L840" s="1854" t="str" cm="1">
        <f t="array" ref="L840">_xlfn.IFS(
    I839=FALSE, "",
    Payment_Frequency="Monthly", EDATE(L839, 1),
    Payment_Frequency="Weekly", DATE(YEAR(L839), MONTH(L839), DAY(L839) + 7),
    Payment_Frequency="Fortnightly", DATE(YEAR(L839), MONTH(L839), DAY(L839) + 14),
    Payment_Frequency="Quarterly", DATE(YEAR(L839), MONTH(L839) + 3, DAY(L839)),
    Payment_Frequency="Yearly", DATE(YEAR(L839) + 1, MONTH(L839), DAY(L839)),
    TRUE, ""
)</f>
        <v/>
      </c>
      <c r="M840" s="1853">
        <f>IF(ISERROR(L840-L839),0,L840-L839)</f>
        <v>0</v>
      </c>
      <c r="N840" s="1851" cm="1">
        <f t="array" ref="N840">_xlfn.IFS(
    AND(I840=TRUE, K840&lt;=No_Regular_Payments), Repay_Amt,
    AND(I840=TRUE, K840=No_Regular_Payments+1), Tm_Balloon_Amt,
   TRUE, 0
)</f>
        <v>0</v>
      </c>
      <c r="O840" s="1850" cm="1">
        <f t="array" ref="O840">_xlfn.IFS(
    M840=0,0,
   ABS(N840 - S839 - P840-Q840) &lt; 1, N840 - S839-Q840,
    TRUE, P840
)</f>
        <v>0</v>
      </c>
      <c r="P840" s="1852">
        <f>IF(M840=0,0,ROUND(S839*EXP(Int_Rate/365.25 * M840)-S839,2))</f>
        <v>0</v>
      </c>
      <c r="Q840" s="1851" cm="1">
        <f t="array" ref="Q840">_xlfn.IFS(
    AND(I840=TRUE, K840&lt;=No_Regular_Payments), Periodic_Admin_Charge,
   TRUE, 0
)</f>
        <v>0</v>
      </c>
      <c r="R840" s="1850">
        <f>N840-O840-Q840</f>
        <v>0</v>
      </c>
      <c r="S840" s="1850">
        <f>ROUND(S839-R840,2)</f>
        <v>0</v>
      </c>
      <c r="T840" s="1850">
        <f>ROUND(T839-(N840-Q840),2)</f>
        <v>0</v>
      </c>
      <c r="U840" s="1849"/>
      <c r="W840" s="1848"/>
      <c r="X840" s="1848"/>
      <c r="Y840" s="1848"/>
    </row>
    <row r="841" spans="2:25" hidden="1">
      <c r="B841" s="1815" t="b">
        <f>AND(I841=FALSE,N840=0,Q840=0,L840="")</f>
        <v>1</v>
      </c>
      <c r="C841" s="1844" t="str" cm="1">
        <f t="array" ref="C841">_xlfn.IFS(
    L841="", "",
    MONTH(L841) &lt;= End_of_Year_Month, YEAR(L841),
    TRUE, YEAR(L841) + 1
)</f>
        <v/>
      </c>
      <c r="F841" s="1857">
        <f>IF(L841="",0,L841)</f>
        <v>0</v>
      </c>
      <c r="G841" s="1856">
        <f>-(N841-Q841)</f>
        <v>0</v>
      </c>
      <c r="I841" s="1815" t="b">
        <f>K841&lt;=Number_Payments</f>
        <v>0</v>
      </c>
      <c r="J841" s="1855"/>
      <c r="K841" s="1351">
        <f>K840+1</f>
        <v>715</v>
      </c>
      <c r="L841" s="1854" t="str" cm="1">
        <f t="array" ref="L841">_xlfn.IFS(
    I840=FALSE, "",
    Payment_Frequency="Monthly", EDATE(L840, 1),
    Payment_Frequency="Weekly", DATE(YEAR(L840), MONTH(L840), DAY(L840) + 7),
    Payment_Frequency="Fortnightly", DATE(YEAR(L840), MONTH(L840), DAY(L840) + 14),
    Payment_Frequency="Quarterly", DATE(YEAR(L840), MONTH(L840) + 3, DAY(L840)),
    Payment_Frequency="Yearly", DATE(YEAR(L840) + 1, MONTH(L840), DAY(L840)),
    TRUE, ""
)</f>
        <v/>
      </c>
      <c r="M841" s="1853">
        <f>IF(ISERROR(L841-L840),0,L841-L840)</f>
        <v>0</v>
      </c>
      <c r="N841" s="1851" cm="1">
        <f t="array" ref="N841">_xlfn.IFS(
    AND(I841=TRUE, K841&lt;=No_Regular_Payments), Repay_Amt,
    AND(I841=TRUE, K841=No_Regular_Payments+1), Tm_Balloon_Amt,
   TRUE, 0
)</f>
        <v>0</v>
      </c>
      <c r="O841" s="1850" cm="1">
        <f t="array" ref="O841">_xlfn.IFS(
    M841=0,0,
   ABS(N841 - S840 - P841-Q841) &lt; 1, N841 - S840-Q841,
    TRUE, P841
)</f>
        <v>0</v>
      </c>
      <c r="P841" s="1852">
        <f>IF(M841=0,0,ROUND(S840*EXP(Int_Rate/365.25 * M841)-S840,2))</f>
        <v>0</v>
      </c>
      <c r="Q841" s="1851" cm="1">
        <f t="array" ref="Q841">_xlfn.IFS(
    AND(I841=TRUE, K841&lt;=No_Regular_Payments), Periodic_Admin_Charge,
   TRUE, 0
)</f>
        <v>0</v>
      </c>
      <c r="R841" s="1850">
        <f>N841-O841-Q841</f>
        <v>0</v>
      </c>
      <c r="S841" s="1850">
        <f>ROUND(S840-R841,2)</f>
        <v>0</v>
      </c>
      <c r="T841" s="1850">
        <f>ROUND(T840-(N841-Q841),2)</f>
        <v>0</v>
      </c>
      <c r="U841" s="1849"/>
      <c r="W841" s="1848"/>
      <c r="X841" s="1848"/>
      <c r="Y841" s="1848"/>
    </row>
    <row r="842" spans="2:25" hidden="1">
      <c r="B842" s="1815" t="b">
        <f>AND(I842=FALSE,N841=0,Q841=0,L841="")</f>
        <v>1</v>
      </c>
      <c r="C842" s="1844" t="str" cm="1">
        <f t="array" ref="C842">_xlfn.IFS(
    L842="", "",
    MONTH(L842) &lt;= End_of_Year_Month, YEAR(L842),
    TRUE, YEAR(L842) + 1
)</f>
        <v/>
      </c>
      <c r="F842" s="1857">
        <f>IF(L842="",0,L842)</f>
        <v>0</v>
      </c>
      <c r="G842" s="1856">
        <f>-(N842-Q842)</f>
        <v>0</v>
      </c>
      <c r="I842" s="1815" t="b">
        <f>K842&lt;=Number_Payments</f>
        <v>0</v>
      </c>
      <c r="J842" s="1855"/>
      <c r="K842" s="1351">
        <f>K841+1</f>
        <v>716</v>
      </c>
      <c r="L842" s="1854" t="str" cm="1">
        <f t="array" ref="L842">_xlfn.IFS(
    I841=FALSE, "",
    Payment_Frequency="Monthly", EDATE(L841, 1),
    Payment_Frequency="Weekly", DATE(YEAR(L841), MONTH(L841), DAY(L841) + 7),
    Payment_Frequency="Fortnightly", DATE(YEAR(L841), MONTH(L841), DAY(L841) + 14),
    Payment_Frequency="Quarterly", DATE(YEAR(L841), MONTH(L841) + 3, DAY(L841)),
    Payment_Frequency="Yearly", DATE(YEAR(L841) + 1, MONTH(L841), DAY(L841)),
    TRUE, ""
)</f>
        <v/>
      </c>
      <c r="M842" s="1853">
        <f>IF(ISERROR(L842-L841),0,L842-L841)</f>
        <v>0</v>
      </c>
      <c r="N842" s="1851" cm="1">
        <f t="array" ref="N842">_xlfn.IFS(
    AND(I842=TRUE, K842&lt;=No_Regular_Payments), Repay_Amt,
    AND(I842=TRUE, K842=No_Regular_Payments+1), Tm_Balloon_Amt,
   TRUE, 0
)</f>
        <v>0</v>
      </c>
      <c r="O842" s="1850" cm="1">
        <f t="array" ref="O842">_xlfn.IFS(
    M842=0,0,
   ABS(N842 - S841 - P842-Q842) &lt; 1, N842 - S841-Q842,
    TRUE, P842
)</f>
        <v>0</v>
      </c>
      <c r="P842" s="1852">
        <f>IF(M842=0,0,ROUND(S841*EXP(Int_Rate/365.25 * M842)-S841,2))</f>
        <v>0</v>
      </c>
      <c r="Q842" s="1851" cm="1">
        <f t="array" ref="Q842">_xlfn.IFS(
    AND(I842=TRUE, K842&lt;=No_Regular_Payments), Periodic_Admin_Charge,
   TRUE, 0
)</f>
        <v>0</v>
      </c>
      <c r="R842" s="1850">
        <f>N842-O842-Q842</f>
        <v>0</v>
      </c>
      <c r="S842" s="1850">
        <f>ROUND(S841-R842,2)</f>
        <v>0</v>
      </c>
      <c r="T842" s="1850">
        <f>ROUND(T841-(N842-Q842),2)</f>
        <v>0</v>
      </c>
      <c r="U842" s="1849"/>
      <c r="W842" s="1848"/>
      <c r="X842" s="1848"/>
      <c r="Y842" s="1848"/>
    </row>
    <row r="843" spans="2:25" hidden="1">
      <c r="B843" s="1815" t="b">
        <f>AND(I843=FALSE,N842=0,Q842=0,L842="")</f>
        <v>1</v>
      </c>
      <c r="C843" s="1844" t="str" cm="1">
        <f t="array" ref="C843">_xlfn.IFS(
    L843="", "",
    MONTH(L843) &lt;= End_of_Year_Month, YEAR(L843),
    TRUE, YEAR(L843) + 1
)</f>
        <v/>
      </c>
      <c r="F843" s="1857">
        <f>IF(L843="",0,L843)</f>
        <v>0</v>
      </c>
      <c r="G843" s="1856">
        <f>-(N843-Q843)</f>
        <v>0</v>
      </c>
      <c r="I843" s="1815" t="b">
        <f>K843&lt;=Number_Payments</f>
        <v>0</v>
      </c>
      <c r="J843" s="1855"/>
      <c r="K843" s="1351">
        <f>K842+1</f>
        <v>717</v>
      </c>
      <c r="L843" s="1854" t="str" cm="1">
        <f t="array" ref="L843">_xlfn.IFS(
    I842=FALSE, "",
    Payment_Frequency="Monthly", EDATE(L842, 1),
    Payment_Frequency="Weekly", DATE(YEAR(L842), MONTH(L842), DAY(L842) + 7),
    Payment_Frequency="Fortnightly", DATE(YEAR(L842), MONTH(L842), DAY(L842) + 14),
    Payment_Frequency="Quarterly", DATE(YEAR(L842), MONTH(L842) + 3, DAY(L842)),
    Payment_Frequency="Yearly", DATE(YEAR(L842) + 1, MONTH(L842), DAY(L842)),
    TRUE, ""
)</f>
        <v/>
      </c>
      <c r="M843" s="1853">
        <f>IF(ISERROR(L843-L842),0,L843-L842)</f>
        <v>0</v>
      </c>
      <c r="N843" s="1851" cm="1">
        <f t="array" ref="N843">_xlfn.IFS(
    AND(I843=TRUE, K843&lt;=No_Regular_Payments), Repay_Amt,
    AND(I843=TRUE, K843=No_Regular_Payments+1), Tm_Balloon_Amt,
   TRUE, 0
)</f>
        <v>0</v>
      </c>
      <c r="O843" s="1850" cm="1">
        <f t="array" ref="O843">_xlfn.IFS(
    M843=0,0,
   ABS(N843 - S842 - P843-Q843) &lt; 1, N843 - S842-Q843,
    TRUE, P843
)</f>
        <v>0</v>
      </c>
      <c r="P843" s="1852">
        <f>IF(M843=0,0,ROUND(S842*EXP(Int_Rate/365.25 * M843)-S842,2))</f>
        <v>0</v>
      </c>
      <c r="Q843" s="1851" cm="1">
        <f t="array" ref="Q843">_xlfn.IFS(
    AND(I843=TRUE, K843&lt;=No_Regular_Payments), Periodic_Admin_Charge,
   TRUE, 0
)</f>
        <v>0</v>
      </c>
      <c r="R843" s="1850">
        <f>N843-O843-Q843</f>
        <v>0</v>
      </c>
      <c r="S843" s="1850">
        <f>ROUND(S842-R843,2)</f>
        <v>0</v>
      </c>
      <c r="T843" s="1850">
        <f>ROUND(T842-(N843-Q843),2)</f>
        <v>0</v>
      </c>
      <c r="U843" s="1849"/>
      <c r="W843" s="1848"/>
      <c r="X843" s="1848"/>
      <c r="Y843" s="1848"/>
    </row>
    <row r="844" spans="2:25" hidden="1">
      <c r="B844" s="1815" t="b">
        <f>AND(I844=FALSE,N843=0,Q843=0,L843="")</f>
        <v>1</v>
      </c>
      <c r="C844" s="1844" t="str" cm="1">
        <f t="array" ref="C844">_xlfn.IFS(
    L844="", "",
    MONTH(L844) &lt;= End_of_Year_Month, YEAR(L844),
    TRUE, YEAR(L844) + 1
)</f>
        <v/>
      </c>
      <c r="F844" s="1857">
        <f>IF(L844="",0,L844)</f>
        <v>0</v>
      </c>
      <c r="G844" s="1856">
        <f>-(N844-Q844)</f>
        <v>0</v>
      </c>
      <c r="I844" s="1815" t="b">
        <f>K844&lt;=Number_Payments</f>
        <v>0</v>
      </c>
      <c r="J844" s="1855"/>
      <c r="K844" s="1351">
        <f>K843+1</f>
        <v>718</v>
      </c>
      <c r="L844" s="1854" t="str" cm="1">
        <f t="array" ref="L844">_xlfn.IFS(
    I843=FALSE, "",
    Payment_Frequency="Monthly", EDATE(L843, 1),
    Payment_Frequency="Weekly", DATE(YEAR(L843), MONTH(L843), DAY(L843) + 7),
    Payment_Frequency="Fortnightly", DATE(YEAR(L843), MONTH(L843), DAY(L843) + 14),
    Payment_Frequency="Quarterly", DATE(YEAR(L843), MONTH(L843) + 3, DAY(L843)),
    Payment_Frequency="Yearly", DATE(YEAR(L843) + 1, MONTH(L843), DAY(L843)),
    TRUE, ""
)</f>
        <v/>
      </c>
      <c r="M844" s="1853">
        <f>IF(ISERROR(L844-L843),0,L844-L843)</f>
        <v>0</v>
      </c>
      <c r="N844" s="1851" cm="1">
        <f t="array" ref="N844">_xlfn.IFS(
    AND(I844=TRUE, K844&lt;=No_Regular_Payments), Repay_Amt,
    AND(I844=TRUE, K844=No_Regular_Payments+1), Tm_Balloon_Amt,
   TRUE, 0
)</f>
        <v>0</v>
      </c>
      <c r="O844" s="1850" cm="1">
        <f t="array" ref="O844">_xlfn.IFS(
    M844=0,0,
   ABS(N844 - S843 - P844-Q844) &lt; 1, N844 - S843-Q844,
    TRUE, P844
)</f>
        <v>0</v>
      </c>
      <c r="P844" s="1852">
        <f>IF(M844=0,0,ROUND(S843*EXP(Int_Rate/365.25 * M844)-S843,2))</f>
        <v>0</v>
      </c>
      <c r="Q844" s="1851" cm="1">
        <f t="array" ref="Q844">_xlfn.IFS(
    AND(I844=TRUE, K844&lt;=No_Regular_Payments), Periodic_Admin_Charge,
   TRUE, 0
)</f>
        <v>0</v>
      </c>
      <c r="R844" s="1850">
        <f>N844-O844-Q844</f>
        <v>0</v>
      </c>
      <c r="S844" s="1850">
        <f>ROUND(S843-R844,2)</f>
        <v>0</v>
      </c>
      <c r="T844" s="1850">
        <f>ROUND(T843-(N844-Q844),2)</f>
        <v>0</v>
      </c>
      <c r="U844" s="1849"/>
      <c r="W844" s="1848"/>
      <c r="X844" s="1848"/>
      <c r="Y844" s="1848"/>
    </row>
    <row r="845" spans="2:25" hidden="1">
      <c r="B845" s="1815" t="b">
        <f>AND(I845=FALSE,N844=0,Q844=0,L844="")</f>
        <v>1</v>
      </c>
      <c r="C845" s="1844" t="str" cm="1">
        <f t="array" ref="C845">_xlfn.IFS(
    L845="", "",
    MONTH(L845) &lt;= End_of_Year_Month, YEAR(L845),
    TRUE, YEAR(L845) + 1
)</f>
        <v/>
      </c>
      <c r="F845" s="1857">
        <f>IF(L845="",0,L845)</f>
        <v>0</v>
      </c>
      <c r="G845" s="1856">
        <f>-(N845-Q845)</f>
        <v>0</v>
      </c>
      <c r="I845" s="1815" t="b">
        <f>K845&lt;=Number_Payments</f>
        <v>0</v>
      </c>
      <c r="J845" s="1855"/>
      <c r="K845" s="1351">
        <f>K844+1</f>
        <v>719</v>
      </c>
      <c r="L845" s="1854" t="str" cm="1">
        <f t="array" ref="L845">_xlfn.IFS(
    I844=FALSE, "",
    Payment_Frequency="Monthly", EDATE(L844, 1),
    Payment_Frequency="Weekly", DATE(YEAR(L844), MONTH(L844), DAY(L844) + 7),
    Payment_Frequency="Fortnightly", DATE(YEAR(L844), MONTH(L844), DAY(L844) + 14),
    Payment_Frequency="Quarterly", DATE(YEAR(L844), MONTH(L844) + 3, DAY(L844)),
    Payment_Frequency="Yearly", DATE(YEAR(L844) + 1, MONTH(L844), DAY(L844)),
    TRUE, ""
)</f>
        <v/>
      </c>
      <c r="M845" s="1853">
        <f>IF(ISERROR(L845-L844),0,L845-L844)</f>
        <v>0</v>
      </c>
      <c r="N845" s="1851" cm="1">
        <f t="array" ref="N845">_xlfn.IFS(
    AND(I845=TRUE, K845&lt;=No_Regular_Payments), Repay_Amt,
    AND(I845=TRUE, K845=No_Regular_Payments+1), Tm_Balloon_Amt,
   TRUE, 0
)</f>
        <v>0</v>
      </c>
      <c r="O845" s="1850" cm="1">
        <f t="array" ref="O845">_xlfn.IFS(
    M845=0,0,
   ABS(N845 - S844 - P845-Q845) &lt; 1, N845 - S844-Q845,
    TRUE, P845
)</f>
        <v>0</v>
      </c>
      <c r="P845" s="1852">
        <f>IF(M845=0,0,ROUND(S844*EXP(Int_Rate/365.25 * M845)-S844,2))</f>
        <v>0</v>
      </c>
      <c r="Q845" s="1851" cm="1">
        <f t="array" ref="Q845">_xlfn.IFS(
    AND(I845=TRUE, K845&lt;=No_Regular_Payments), Periodic_Admin_Charge,
   TRUE, 0
)</f>
        <v>0</v>
      </c>
      <c r="R845" s="1850">
        <f>N845-O845-Q845</f>
        <v>0</v>
      </c>
      <c r="S845" s="1850">
        <f>ROUND(S844-R845,2)</f>
        <v>0</v>
      </c>
      <c r="T845" s="1850">
        <f>ROUND(T844-(N845-Q845),2)</f>
        <v>0</v>
      </c>
      <c r="U845" s="1849"/>
      <c r="W845" s="1848"/>
      <c r="X845" s="1848"/>
      <c r="Y845" s="1848"/>
    </row>
    <row r="846" spans="2:25" hidden="1">
      <c r="B846" s="1815" t="b">
        <f>AND(I846=FALSE,N845=0,Q845=0,L845="")</f>
        <v>1</v>
      </c>
      <c r="C846" s="1844" t="str" cm="1">
        <f t="array" ref="C846">_xlfn.IFS(
    L846="", "",
    MONTH(L846) &lt;= End_of_Year_Month, YEAR(L846),
    TRUE, YEAR(L846) + 1
)</f>
        <v/>
      </c>
      <c r="F846" s="1857">
        <f>IF(L846="",0,L846)</f>
        <v>0</v>
      </c>
      <c r="G846" s="1856">
        <f>-(N846-Q846)</f>
        <v>0</v>
      </c>
      <c r="I846" s="1815" t="b">
        <f>K846&lt;=Number_Payments</f>
        <v>0</v>
      </c>
      <c r="J846" s="1855"/>
      <c r="K846" s="1351">
        <f>K845+1</f>
        <v>720</v>
      </c>
      <c r="L846" s="1854" t="str" cm="1">
        <f t="array" ref="L846">_xlfn.IFS(
    I845=FALSE, "",
    Payment_Frequency="Monthly", EDATE(L845, 1),
    Payment_Frequency="Weekly", DATE(YEAR(L845), MONTH(L845), DAY(L845) + 7),
    Payment_Frequency="Fortnightly", DATE(YEAR(L845), MONTH(L845), DAY(L845) + 14),
    Payment_Frequency="Quarterly", DATE(YEAR(L845), MONTH(L845) + 3, DAY(L845)),
    Payment_Frequency="Yearly", DATE(YEAR(L845) + 1, MONTH(L845), DAY(L845)),
    TRUE, ""
)</f>
        <v/>
      </c>
      <c r="M846" s="1853">
        <f>IF(ISERROR(L846-L845),0,L846-L845)</f>
        <v>0</v>
      </c>
      <c r="N846" s="1851" cm="1">
        <f t="array" ref="N846">_xlfn.IFS(
    AND(I846=TRUE, K846&lt;=No_Regular_Payments), Repay_Amt,
    AND(I846=TRUE, K846=No_Regular_Payments+1), Tm_Balloon_Amt,
   TRUE, 0
)</f>
        <v>0</v>
      </c>
      <c r="O846" s="1850" cm="1">
        <f t="array" ref="O846">_xlfn.IFS(
    M846=0,0,
   ABS(N846 - S845 - P846-Q846) &lt; 1, N846 - S845-Q846,
    TRUE, P846
)</f>
        <v>0</v>
      </c>
      <c r="P846" s="1852">
        <f>IF(M846=0,0,ROUND(S845*EXP(Int_Rate/365.25 * M846)-S845,2))</f>
        <v>0</v>
      </c>
      <c r="Q846" s="1851" cm="1">
        <f t="array" ref="Q846">_xlfn.IFS(
    AND(I846=TRUE, K846&lt;=No_Regular_Payments), Periodic_Admin_Charge,
   TRUE, 0
)</f>
        <v>0</v>
      </c>
      <c r="R846" s="1850">
        <f>N846-O846-Q846</f>
        <v>0</v>
      </c>
      <c r="S846" s="1850">
        <f>ROUND(S845-R846,2)</f>
        <v>0</v>
      </c>
      <c r="T846" s="1850">
        <f>ROUND(T845-(N846-Q846),2)</f>
        <v>0</v>
      </c>
      <c r="U846" s="1849"/>
      <c r="W846" s="1848"/>
      <c r="X846" s="1848"/>
      <c r="Y846" s="1848"/>
    </row>
    <row r="847" spans="2:25" hidden="1">
      <c r="B847" s="1815" t="b">
        <f>AND(I847=FALSE,N846=0,Q846=0,L846="")</f>
        <v>1</v>
      </c>
      <c r="C847" s="1844" t="str" cm="1">
        <f t="array" ref="C847">_xlfn.IFS(
    L847="", "",
    MONTH(L847) &lt;= End_of_Year_Month, YEAR(L847),
    TRUE, YEAR(L847) + 1
)</f>
        <v/>
      </c>
      <c r="F847" s="1857">
        <f>IF(L847="",0,L847)</f>
        <v>0</v>
      </c>
      <c r="G847" s="1856">
        <f>-(N847-Q847)</f>
        <v>0</v>
      </c>
      <c r="I847" s="1815" t="b">
        <f>K847&lt;=Number_Payments</f>
        <v>0</v>
      </c>
      <c r="J847" s="1855"/>
      <c r="K847" s="1351">
        <f>K846+1</f>
        <v>721</v>
      </c>
      <c r="L847" s="1854" t="str" cm="1">
        <f t="array" ref="L847">_xlfn.IFS(
    I846=FALSE, "",
    Payment_Frequency="Monthly", EDATE(L846, 1),
    Payment_Frequency="Weekly", DATE(YEAR(L846), MONTH(L846), DAY(L846) + 7),
    Payment_Frequency="Fortnightly", DATE(YEAR(L846), MONTH(L846), DAY(L846) + 14),
    Payment_Frequency="Quarterly", DATE(YEAR(L846), MONTH(L846) + 3, DAY(L846)),
    Payment_Frequency="Yearly", DATE(YEAR(L846) + 1, MONTH(L846), DAY(L846)),
    TRUE, ""
)</f>
        <v/>
      </c>
      <c r="M847" s="1853">
        <f>IF(ISERROR(L847-L846),0,L847-L846)</f>
        <v>0</v>
      </c>
      <c r="N847" s="1851" cm="1">
        <f t="array" ref="N847">_xlfn.IFS(
    AND(I847=TRUE, K847&lt;=No_Regular_Payments), Repay_Amt,
    AND(I847=TRUE, K847=No_Regular_Payments+1), Tm_Balloon_Amt,
   TRUE, 0
)</f>
        <v>0</v>
      </c>
      <c r="O847" s="1850" cm="1">
        <f t="array" ref="O847">_xlfn.IFS(
    M847=0,0,
   ABS(N847 - S846 - P847-Q847) &lt; 1, N847 - S846-Q847,
    TRUE, P847
)</f>
        <v>0</v>
      </c>
      <c r="P847" s="1852">
        <f>IF(M847=0,0,ROUND(S846*EXP(Int_Rate/365.25 * M847)-S846,2))</f>
        <v>0</v>
      </c>
      <c r="Q847" s="1851" cm="1">
        <f t="array" ref="Q847">_xlfn.IFS(
    AND(I847=TRUE, K847&lt;=No_Regular_Payments), Periodic_Admin_Charge,
   TRUE, 0
)</f>
        <v>0</v>
      </c>
      <c r="R847" s="1850">
        <f>N847-O847-Q847</f>
        <v>0</v>
      </c>
      <c r="S847" s="1850">
        <f>ROUND(S846-R847,2)</f>
        <v>0</v>
      </c>
      <c r="T847" s="1850">
        <f>ROUND(T846-(N847-Q847),2)</f>
        <v>0</v>
      </c>
      <c r="U847" s="1849"/>
      <c r="W847" s="1848"/>
      <c r="X847" s="1848"/>
      <c r="Y847" s="1848"/>
    </row>
    <row r="848" spans="2:25" hidden="1">
      <c r="B848" s="1815" t="b">
        <f>AND(I848=FALSE,N847=0,Q847=0,L847="")</f>
        <v>1</v>
      </c>
      <c r="C848" s="1844" t="str" cm="1">
        <f t="array" ref="C848">_xlfn.IFS(
    L848="", "",
    MONTH(L848) &lt;= End_of_Year_Month, YEAR(L848),
    TRUE, YEAR(L848) + 1
)</f>
        <v/>
      </c>
      <c r="F848" s="1857">
        <f>IF(L848="",0,L848)</f>
        <v>0</v>
      </c>
      <c r="G848" s="1856">
        <f>-(N848-Q848)</f>
        <v>0</v>
      </c>
      <c r="I848" s="1815" t="b">
        <f>K848&lt;=Number_Payments</f>
        <v>0</v>
      </c>
      <c r="J848" s="1855"/>
      <c r="K848" s="1351">
        <f>K847+1</f>
        <v>722</v>
      </c>
      <c r="L848" s="1854" t="str" cm="1">
        <f t="array" ref="L848">_xlfn.IFS(
    I847=FALSE, "",
    Payment_Frequency="Monthly", EDATE(L847, 1),
    Payment_Frequency="Weekly", DATE(YEAR(L847), MONTH(L847), DAY(L847) + 7),
    Payment_Frequency="Fortnightly", DATE(YEAR(L847), MONTH(L847), DAY(L847) + 14),
    Payment_Frequency="Quarterly", DATE(YEAR(L847), MONTH(L847) + 3, DAY(L847)),
    Payment_Frequency="Yearly", DATE(YEAR(L847) + 1, MONTH(L847), DAY(L847)),
    TRUE, ""
)</f>
        <v/>
      </c>
      <c r="M848" s="1853">
        <f>IF(ISERROR(L848-L847),0,L848-L847)</f>
        <v>0</v>
      </c>
      <c r="N848" s="1851" cm="1">
        <f t="array" ref="N848">_xlfn.IFS(
    AND(I848=TRUE, K848&lt;=No_Regular_Payments), Repay_Amt,
    AND(I848=TRUE, K848=No_Regular_Payments+1), Tm_Balloon_Amt,
   TRUE, 0
)</f>
        <v>0</v>
      </c>
      <c r="O848" s="1850" cm="1">
        <f t="array" ref="O848">_xlfn.IFS(
    M848=0,0,
   ABS(N848 - S847 - P848-Q848) &lt; 1, N848 - S847-Q848,
    TRUE, P848
)</f>
        <v>0</v>
      </c>
      <c r="P848" s="1852">
        <f>IF(M848=0,0,ROUND(S847*EXP(Int_Rate/365.25 * M848)-S847,2))</f>
        <v>0</v>
      </c>
      <c r="Q848" s="1851" cm="1">
        <f t="array" ref="Q848">_xlfn.IFS(
    AND(I848=TRUE, K848&lt;=No_Regular_Payments), Periodic_Admin_Charge,
   TRUE, 0
)</f>
        <v>0</v>
      </c>
      <c r="R848" s="1850">
        <f>N848-O848-Q848</f>
        <v>0</v>
      </c>
      <c r="S848" s="1850">
        <f>ROUND(S847-R848,2)</f>
        <v>0</v>
      </c>
      <c r="T848" s="1850">
        <f>ROUND(T847-(N848-Q848),2)</f>
        <v>0</v>
      </c>
      <c r="U848" s="1849"/>
      <c r="W848" s="1848"/>
      <c r="X848" s="1848"/>
      <c r="Y848" s="1848"/>
    </row>
    <row r="849" spans="2:25" hidden="1">
      <c r="B849" s="1815" t="b">
        <f>AND(I849=FALSE,N848=0,Q848=0,L848="")</f>
        <v>1</v>
      </c>
      <c r="C849" s="1844" t="str" cm="1">
        <f t="array" ref="C849">_xlfn.IFS(
    L849="", "",
    MONTH(L849) &lt;= End_of_Year_Month, YEAR(L849),
    TRUE, YEAR(L849) + 1
)</f>
        <v/>
      </c>
      <c r="F849" s="1857">
        <f>IF(L849="",0,L849)</f>
        <v>0</v>
      </c>
      <c r="G849" s="1856">
        <f>-(N849-Q849)</f>
        <v>0</v>
      </c>
      <c r="I849" s="1815" t="b">
        <f>K849&lt;=Number_Payments</f>
        <v>0</v>
      </c>
      <c r="J849" s="1855"/>
      <c r="K849" s="1351">
        <f>K848+1</f>
        <v>723</v>
      </c>
      <c r="L849" s="1854" t="str" cm="1">
        <f t="array" ref="L849">_xlfn.IFS(
    I848=FALSE, "",
    Payment_Frequency="Monthly", EDATE(L848, 1),
    Payment_Frequency="Weekly", DATE(YEAR(L848), MONTH(L848), DAY(L848) + 7),
    Payment_Frequency="Fortnightly", DATE(YEAR(L848), MONTH(L848), DAY(L848) + 14),
    Payment_Frequency="Quarterly", DATE(YEAR(L848), MONTH(L848) + 3, DAY(L848)),
    Payment_Frequency="Yearly", DATE(YEAR(L848) + 1, MONTH(L848), DAY(L848)),
    TRUE, ""
)</f>
        <v/>
      </c>
      <c r="M849" s="1853">
        <f>IF(ISERROR(L849-L848),0,L849-L848)</f>
        <v>0</v>
      </c>
      <c r="N849" s="1851" cm="1">
        <f t="array" ref="N849">_xlfn.IFS(
    AND(I849=TRUE, K849&lt;=No_Regular_Payments), Repay_Amt,
    AND(I849=TRUE, K849=No_Regular_Payments+1), Tm_Balloon_Amt,
   TRUE, 0
)</f>
        <v>0</v>
      </c>
      <c r="O849" s="1850" cm="1">
        <f t="array" ref="O849">_xlfn.IFS(
    M849=0,0,
   ABS(N849 - S848 - P849-Q849) &lt; 1, N849 - S848-Q849,
    TRUE, P849
)</f>
        <v>0</v>
      </c>
      <c r="P849" s="1852">
        <f>IF(M849=0,0,ROUND(S848*EXP(Int_Rate/365.25 * M849)-S848,2))</f>
        <v>0</v>
      </c>
      <c r="Q849" s="1851" cm="1">
        <f t="array" ref="Q849">_xlfn.IFS(
    AND(I849=TRUE, K849&lt;=No_Regular_Payments), Periodic_Admin_Charge,
   TRUE, 0
)</f>
        <v>0</v>
      </c>
      <c r="R849" s="1850">
        <f>N849-O849-Q849</f>
        <v>0</v>
      </c>
      <c r="S849" s="1850">
        <f>ROUND(S848-R849,2)</f>
        <v>0</v>
      </c>
      <c r="T849" s="1850">
        <f>ROUND(T848-(N849-Q849),2)</f>
        <v>0</v>
      </c>
      <c r="U849" s="1849"/>
      <c r="W849" s="1848"/>
      <c r="X849" s="1848"/>
      <c r="Y849" s="1848"/>
    </row>
    <row r="850" spans="2:25" hidden="1">
      <c r="B850" s="1815" t="b">
        <f>AND(I850=FALSE,N849=0,Q849=0,L849="")</f>
        <v>1</v>
      </c>
      <c r="C850" s="1844" t="str" cm="1">
        <f t="array" ref="C850">_xlfn.IFS(
    L850="", "",
    MONTH(L850) &lt;= End_of_Year_Month, YEAR(L850),
    TRUE, YEAR(L850) + 1
)</f>
        <v/>
      </c>
      <c r="F850" s="1857">
        <f>IF(L850="",0,L850)</f>
        <v>0</v>
      </c>
      <c r="G850" s="1856">
        <f>-(N850-Q850)</f>
        <v>0</v>
      </c>
      <c r="I850" s="1815" t="b">
        <f>K850&lt;=Number_Payments</f>
        <v>0</v>
      </c>
      <c r="J850" s="1855"/>
      <c r="K850" s="1351">
        <f>K849+1</f>
        <v>724</v>
      </c>
      <c r="L850" s="1854" t="str" cm="1">
        <f t="array" ref="L850">_xlfn.IFS(
    I849=FALSE, "",
    Payment_Frequency="Monthly", EDATE(L849, 1),
    Payment_Frequency="Weekly", DATE(YEAR(L849), MONTH(L849), DAY(L849) + 7),
    Payment_Frequency="Fortnightly", DATE(YEAR(L849), MONTH(L849), DAY(L849) + 14),
    Payment_Frequency="Quarterly", DATE(YEAR(L849), MONTH(L849) + 3, DAY(L849)),
    Payment_Frequency="Yearly", DATE(YEAR(L849) + 1, MONTH(L849), DAY(L849)),
    TRUE, ""
)</f>
        <v/>
      </c>
      <c r="M850" s="1853">
        <f>IF(ISERROR(L850-L849),0,L850-L849)</f>
        <v>0</v>
      </c>
      <c r="N850" s="1851" cm="1">
        <f t="array" ref="N850">_xlfn.IFS(
    AND(I850=TRUE, K850&lt;=No_Regular_Payments), Repay_Amt,
    AND(I850=TRUE, K850=No_Regular_Payments+1), Tm_Balloon_Amt,
   TRUE, 0
)</f>
        <v>0</v>
      </c>
      <c r="O850" s="1850" cm="1">
        <f t="array" ref="O850">_xlfn.IFS(
    M850=0,0,
   ABS(N850 - S849 - P850-Q850) &lt; 1, N850 - S849-Q850,
    TRUE, P850
)</f>
        <v>0</v>
      </c>
      <c r="P850" s="1852">
        <f>IF(M850=0,0,ROUND(S849*EXP(Int_Rate/365.25 * M850)-S849,2))</f>
        <v>0</v>
      </c>
      <c r="Q850" s="1851" cm="1">
        <f t="array" ref="Q850">_xlfn.IFS(
    AND(I850=TRUE, K850&lt;=No_Regular_Payments), Periodic_Admin_Charge,
   TRUE, 0
)</f>
        <v>0</v>
      </c>
      <c r="R850" s="1850">
        <f>N850-O850-Q850</f>
        <v>0</v>
      </c>
      <c r="S850" s="1850">
        <f>ROUND(S849-R850,2)</f>
        <v>0</v>
      </c>
      <c r="T850" s="1850">
        <f>ROUND(T849-(N850-Q850),2)</f>
        <v>0</v>
      </c>
      <c r="U850" s="1849"/>
      <c r="W850" s="1848"/>
      <c r="X850" s="1848"/>
      <c r="Y850" s="1848"/>
    </row>
    <row r="851" spans="2:25" hidden="1">
      <c r="B851" s="1815" t="b">
        <f>AND(I851=FALSE,N850=0,Q850=0,L850="")</f>
        <v>1</v>
      </c>
      <c r="C851" s="1844" t="str" cm="1">
        <f t="array" ref="C851">_xlfn.IFS(
    L851="", "",
    MONTH(L851) &lt;= End_of_Year_Month, YEAR(L851),
    TRUE, YEAR(L851) + 1
)</f>
        <v/>
      </c>
      <c r="F851" s="1857">
        <f>IF(L851="",0,L851)</f>
        <v>0</v>
      </c>
      <c r="G851" s="1856">
        <f>-(N851-Q851)</f>
        <v>0</v>
      </c>
      <c r="I851" s="1815" t="b">
        <f>K851&lt;=Number_Payments</f>
        <v>0</v>
      </c>
      <c r="J851" s="1855"/>
      <c r="K851" s="1351">
        <f>K850+1</f>
        <v>725</v>
      </c>
      <c r="L851" s="1854" t="str" cm="1">
        <f t="array" ref="L851">_xlfn.IFS(
    I850=FALSE, "",
    Payment_Frequency="Monthly", EDATE(L850, 1),
    Payment_Frequency="Weekly", DATE(YEAR(L850), MONTH(L850), DAY(L850) + 7),
    Payment_Frequency="Fortnightly", DATE(YEAR(L850), MONTH(L850), DAY(L850) + 14),
    Payment_Frequency="Quarterly", DATE(YEAR(L850), MONTH(L850) + 3, DAY(L850)),
    Payment_Frequency="Yearly", DATE(YEAR(L850) + 1, MONTH(L850), DAY(L850)),
    TRUE, ""
)</f>
        <v/>
      </c>
      <c r="M851" s="1853">
        <f>IF(ISERROR(L851-L850),0,L851-L850)</f>
        <v>0</v>
      </c>
      <c r="N851" s="1851" cm="1">
        <f t="array" ref="N851">_xlfn.IFS(
    AND(I851=TRUE, K851&lt;=No_Regular_Payments), Repay_Amt,
    AND(I851=TRUE, K851=No_Regular_Payments+1), Tm_Balloon_Amt,
   TRUE, 0
)</f>
        <v>0</v>
      </c>
      <c r="O851" s="1850" cm="1">
        <f t="array" ref="O851">_xlfn.IFS(
    M851=0,0,
   ABS(N851 - S850 - P851-Q851) &lt; 1, N851 - S850-Q851,
    TRUE, P851
)</f>
        <v>0</v>
      </c>
      <c r="P851" s="1852">
        <f>IF(M851=0,0,ROUND(S850*EXP(Int_Rate/365.25 * M851)-S850,2))</f>
        <v>0</v>
      </c>
      <c r="Q851" s="1851" cm="1">
        <f t="array" ref="Q851">_xlfn.IFS(
    AND(I851=TRUE, K851&lt;=No_Regular_Payments), Periodic_Admin_Charge,
   TRUE, 0
)</f>
        <v>0</v>
      </c>
      <c r="R851" s="1850">
        <f>N851-O851-Q851</f>
        <v>0</v>
      </c>
      <c r="S851" s="1850">
        <f>ROUND(S850-R851,2)</f>
        <v>0</v>
      </c>
      <c r="T851" s="1850">
        <f>ROUND(T850-(N851-Q851),2)</f>
        <v>0</v>
      </c>
      <c r="U851" s="1849"/>
      <c r="W851" s="1848"/>
      <c r="X851" s="1848"/>
      <c r="Y851" s="1848"/>
    </row>
    <row r="852" spans="2:25" hidden="1">
      <c r="B852" s="1815" t="b">
        <f>AND(I852=FALSE,N851=0,Q851=0,L851="")</f>
        <v>1</v>
      </c>
      <c r="C852" s="1844" t="str" cm="1">
        <f t="array" ref="C852">_xlfn.IFS(
    L852="", "",
    MONTH(L852) &lt;= End_of_Year_Month, YEAR(L852),
    TRUE, YEAR(L852) + 1
)</f>
        <v/>
      </c>
      <c r="F852" s="1857">
        <f>IF(L852="",0,L852)</f>
        <v>0</v>
      </c>
      <c r="G852" s="1856">
        <f>-(N852-Q852)</f>
        <v>0</v>
      </c>
      <c r="I852" s="1815" t="b">
        <f>K852&lt;=Number_Payments</f>
        <v>0</v>
      </c>
      <c r="J852" s="1855"/>
      <c r="K852" s="1351">
        <f>K851+1</f>
        <v>726</v>
      </c>
      <c r="L852" s="1854" t="str" cm="1">
        <f t="array" ref="L852">_xlfn.IFS(
    I851=FALSE, "",
    Payment_Frequency="Monthly", EDATE(L851, 1),
    Payment_Frequency="Weekly", DATE(YEAR(L851), MONTH(L851), DAY(L851) + 7),
    Payment_Frequency="Fortnightly", DATE(YEAR(L851), MONTH(L851), DAY(L851) + 14),
    Payment_Frequency="Quarterly", DATE(YEAR(L851), MONTH(L851) + 3, DAY(L851)),
    Payment_Frequency="Yearly", DATE(YEAR(L851) + 1, MONTH(L851), DAY(L851)),
    TRUE, ""
)</f>
        <v/>
      </c>
      <c r="M852" s="1853">
        <f>IF(ISERROR(L852-L851),0,L852-L851)</f>
        <v>0</v>
      </c>
      <c r="N852" s="1851" cm="1">
        <f t="array" ref="N852">_xlfn.IFS(
    AND(I852=TRUE, K852&lt;=No_Regular_Payments), Repay_Amt,
    AND(I852=TRUE, K852=No_Regular_Payments+1), Tm_Balloon_Amt,
   TRUE, 0
)</f>
        <v>0</v>
      </c>
      <c r="O852" s="1850" cm="1">
        <f t="array" ref="O852">_xlfn.IFS(
    M852=0,0,
   ABS(N852 - S851 - P852-Q852) &lt; 1, N852 - S851-Q852,
    TRUE, P852
)</f>
        <v>0</v>
      </c>
      <c r="P852" s="1852">
        <f>IF(M852=0,0,ROUND(S851*EXP(Int_Rate/365.25 * M852)-S851,2))</f>
        <v>0</v>
      </c>
      <c r="Q852" s="1851" cm="1">
        <f t="array" ref="Q852">_xlfn.IFS(
    AND(I852=TRUE, K852&lt;=No_Regular_Payments), Periodic_Admin_Charge,
   TRUE, 0
)</f>
        <v>0</v>
      </c>
      <c r="R852" s="1850">
        <f>N852-O852-Q852</f>
        <v>0</v>
      </c>
      <c r="S852" s="1850">
        <f>ROUND(S851-R852,2)</f>
        <v>0</v>
      </c>
      <c r="T852" s="1850">
        <f>ROUND(T851-(N852-Q852),2)</f>
        <v>0</v>
      </c>
      <c r="U852" s="1849"/>
      <c r="W852" s="1848"/>
      <c r="X852" s="1848"/>
      <c r="Y852" s="1848"/>
    </row>
    <row r="853" spans="2:25" hidden="1">
      <c r="B853" s="1815" t="b">
        <f>AND(I853=FALSE,N852=0,Q852=0,L852="")</f>
        <v>1</v>
      </c>
      <c r="C853" s="1844" t="str" cm="1">
        <f t="array" ref="C853">_xlfn.IFS(
    L853="", "",
    MONTH(L853) &lt;= End_of_Year_Month, YEAR(L853),
    TRUE, YEAR(L853) + 1
)</f>
        <v/>
      </c>
      <c r="F853" s="1857">
        <f>IF(L853="",0,L853)</f>
        <v>0</v>
      </c>
      <c r="G853" s="1856">
        <f>-(N853-Q853)</f>
        <v>0</v>
      </c>
      <c r="I853" s="1815" t="b">
        <f>K853&lt;=Number_Payments</f>
        <v>0</v>
      </c>
      <c r="J853" s="1855"/>
      <c r="K853" s="1351">
        <f>K852+1</f>
        <v>727</v>
      </c>
      <c r="L853" s="1854" t="str" cm="1">
        <f t="array" ref="L853">_xlfn.IFS(
    I852=FALSE, "",
    Payment_Frequency="Monthly", EDATE(L852, 1),
    Payment_Frequency="Weekly", DATE(YEAR(L852), MONTH(L852), DAY(L852) + 7),
    Payment_Frequency="Fortnightly", DATE(YEAR(L852), MONTH(L852), DAY(L852) + 14),
    Payment_Frequency="Quarterly", DATE(YEAR(L852), MONTH(L852) + 3, DAY(L852)),
    Payment_Frequency="Yearly", DATE(YEAR(L852) + 1, MONTH(L852), DAY(L852)),
    TRUE, ""
)</f>
        <v/>
      </c>
      <c r="M853" s="1853">
        <f>IF(ISERROR(L853-L852),0,L853-L852)</f>
        <v>0</v>
      </c>
      <c r="N853" s="1851" cm="1">
        <f t="array" ref="N853">_xlfn.IFS(
    AND(I853=TRUE, K853&lt;=No_Regular_Payments), Repay_Amt,
    AND(I853=TRUE, K853=No_Regular_Payments+1), Tm_Balloon_Amt,
   TRUE, 0
)</f>
        <v>0</v>
      </c>
      <c r="O853" s="1850" cm="1">
        <f t="array" ref="O853">_xlfn.IFS(
    M853=0,0,
   ABS(N853 - S852 - P853-Q853) &lt; 1, N853 - S852-Q853,
    TRUE, P853
)</f>
        <v>0</v>
      </c>
      <c r="P853" s="1852">
        <f>IF(M853=0,0,ROUND(S852*EXP(Int_Rate/365.25 * M853)-S852,2))</f>
        <v>0</v>
      </c>
      <c r="Q853" s="1851" cm="1">
        <f t="array" ref="Q853">_xlfn.IFS(
    AND(I853=TRUE, K853&lt;=No_Regular_Payments), Periodic_Admin_Charge,
   TRUE, 0
)</f>
        <v>0</v>
      </c>
      <c r="R853" s="1850">
        <f>N853-O853-Q853</f>
        <v>0</v>
      </c>
      <c r="S853" s="1850">
        <f>ROUND(S852-R853,2)</f>
        <v>0</v>
      </c>
      <c r="T853" s="1850">
        <f>ROUND(T852-(N853-Q853),2)</f>
        <v>0</v>
      </c>
      <c r="U853" s="1849"/>
      <c r="W853" s="1848"/>
      <c r="X853" s="1848"/>
      <c r="Y853" s="1848"/>
    </row>
    <row r="854" spans="2:25" hidden="1">
      <c r="B854" s="1815" t="b">
        <f>AND(I854=FALSE,N853=0,Q853=0,L853="")</f>
        <v>1</v>
      </c>
      <c r="C854" s="1844" t="str" cm="1">
        <f t="array" ref="C854">_xlfn.IFS(
    L854="", "",
    MONTH(L854) &lt;= End_of_Year_Month, YEAR(L854),
    TRUE, YEAR(L854) + 1
)</f>
        <v/>
      </c>
      <c r="F854" s="1857">
        <f>IF(L854="",0,L854)</f>
        <v>0</v>
      </c>
      <c r="G854" s="1856">
        <f>-(N854-Q854)</f>
        <v>0</v>
      </c>
      <c r="I854" s="1815" t="b">
        <f>K854&lt;=Number_Payments</f>
        <v>0</v>
      </c>
      <c r="J854" s="1855"/>
      <c r="K854" s="1351">
        <f>K853+1</f>
        <v>728</v>
      </c>
      <c r="L854" s="1854" t="str" cm="1">
        <f t="array" ref="L854">_xlfn.IFS(
    I853=FALSE, "",
    Payment_Frequency="Monthly", EDATE(L853, 1),
    Payment_Frequency="Weekly", DATE(YEAR(L853), MONTH(L853), DAY(L853) + 7),
    Payment_Frequency="Fortnightly", DATE(YEAR(L853), MONTH(L853), DAY(L853) + 14),
    Payment_Frequency="Quarterly", DATE(YEAR(L853), MONTH(L853) + 3, DAY(L853)),
    Payment_Frequency="Yearly", DATE(YEAR(L853) + 1, MONTH(L853), DAY(L853)),
    TRUE, ""
)</f>
        <v/>
      </c>
      <c r="M854" s="1853">
        <f>IF(ISERROR(L854-L853),0,L854-L853)</f>
        <v>0</v>
      </c>
      <c r="N854" s="1851" cm="1">
        <f t="array" ref="N854">_xlfn.IFS(
    AND(I854=TRUE, K854&lt;=No_Regular_Payments), Repay_Amt,
    AND(I854=TRUE, K854=No_Regular_Payments+1), Tm_Balloon_Amt,
   TRUE, 0
)</f>
        <v>0</v>
      </c>
      <c r="O854" s="1850" cm="1">
        <f t="array" ref="O854">_xlfn.IFS(
    M854=0,0,
   ABS(N854 - S853 - P854-Q854) &lt; 1, N854 - S853-Q854,
    TRUE, P854
)</f>
        <v>0</v>
      </c>
      <c r="P854" s="1852">
        <f>IF(M854=0,0,ROUND(S853*EXP(Int_Rate/365.25 * M854)-S853,2))</f>
        <v>0</v>
      </c>
      <c r="Q854" s="1851" cm="1">
        <f t="array" ref="Q854">_xlfn.IFS(
    AND(I854=TRUE, K854&lt;=No_Regular_Payments), Periodic_Admin_Charge,
   TRUE, 0
)</f>
        <v>0</v>
      </c>
      <c r="R854" s="1850">
        <f>N854-O854-Q854</f>
        <v>0</v>
      </c>
      <c r="S854" s="1850">
        <f>ROUND(S853-R854,2)</f>
        <v>0</v>
      </c>
      <c r="T854" s="1850">
        <f>ROUND(T853-(N854-Q854),2)</f>
        <v>0</v>
      </c>
      <c r="U854" s="1849"/>
      <c r="W854" s="1848"/>
      <c r="X854" s="1848"/>
      <c r="Y854" s="1848"/>
    </row>
    <row r="855" spans="2:25" hidden="1">
      <c r="B855" s="1815" t="b">
        <f>AND(I855=FALSE,N854=0,Q854=0,L854="")</f>
        <v>1</v>
      </c>
      <c r="C855" s="1844" t="str" cm="1">
        <f t="array" ref="C855">_xlfn.IFS(
    L855="", "",
    MONTH(L855) &lt;= End_of_Year_Month, YEAR(L855),
    TRUE, YEAR(L855) + 1
)</f>
        <v/>
      </c>
      <c r="F855" s="1857">
        <f>IF(L855="",0,L855)</f>
        <v>0</v>
      </c>
      <c r="G855" s="1856">
        <f>-(N855-Q855)</f>
        <v>0</v>
      </c>
      <c r="I855" s="1815" t="b">
        <f>K855&lt;=Number_Payments</f>
        <v>0</v>
      </c>
      <c r="J855" s="1855"/>
      <c r="K855" s="1351">
        <f>K854+1</f>
        <v>729</v>
      </c>
      <c r="L855" s="1854" t="str" cm="1">
        <f t="array" ref="L855">_xlfn.IFS(
    I854=FALSE, "",
    Payment_Frequency="Monthly", EDATE(L854, 1),
    Payment_Frequency="Weekly", DATE(YEAR(L854), MONTH(L854), DAY(L854) + 7),
    Payment_Frequency="Fortnightly", DATE(YEAR(L854), MONTH(L854), DAY(L854) + 14),
    Payment_Frequency="Quarterly", DATE(YEAR(L854), MONTH(L854) + 3, DAY(L854)),
    Payment_Frequency="Yearly", DATE(YEAR(L854) + 1, MONTH(L854), DAY(L854)),
    TRUE, ""
)</f>
        <v/>
      </c>
      <c r="M855" s="1853">
        <f>IF(ISERROR(L855-L854),0,L855-L854)</f>
        <v>0</v>
      </c>
      <c r="N855" s="1851" cm="1">
        <f t="array" ref="N855">_xlfn.IFS(
    AND(I855=TRUE, K855&lt;=No_Regular_Payments), Repay_Amt,
    AND(I855=TRUE, K855=No_Regular_Payments+1), Tm_Balloon_Amt,
   TRUE, 0
)</f>
        <v>0</v>
      </c>
      <c r="O855" s="1850" cm="1">
        <f t="array" ref="O855">_xlfn.IFS(
    M855=0,0,
   ABS(N855 - S854 - P855-Q855) &lt; 1, N855 - S854-Q855,
    TRUE, P855
)</f>
        <v>0</v>
      </c>
      <c r="P855" s="1852">
        <f>IF(M855=0,0,ROUND(S854*EXP(Int_Rate/365.25 * M855)-S854,2))</f>
        <v>0</v>
      </c>
      <c r="Q855" s="1851" cm="1">
        <f t="array" ref="Q855">_xlfn.IFS(
    AND(I855=TRUE, K855&lt;=No_Regular_Payments), Periodic_Admin_Charge,
   TRUE, 0
)</f>
        <v>0</v>
      </c>
      <c r="R855" s="1850">
        <f>N855-O855-Q855</f>
        <v>0</v>
      </c>
      <c r="S855" s="1850">
        <f>ROUND(S854-R855,2)</f>
        <v>0</v>
      </c>
      <c r="T855" s="1850">
        <f>ROUND(T854-(N855-Q855),2)</f>
        <v>0</v>
      </c>
      <c r="U855" s="1849"/>
      <c r="W855" s="1848"/>
      <c r="X855" s="1848"/>
      <c r="Y855" s="1848"/>
    </row>
    <row r="856" spans="2:25" hidden="1">
      <c r="B856" s="1815" t="b">
        <f>AND(I856=FALSE,N855=0,Q855=0,L855="")</f>
        <v>1</v>
      </c>
      <c r="C856" s="1844" t="str" cm="1">
        <f t="array" ref="C856">_xlfn.IFS(
    L856="", "",
    MONTH(L856) &lt;= End_of_Year_Month, YEAR(L856),
    TRUE, YEAR(L856) + 1
)</f>
        <v/>
      </c>
      <c r="F856" s="1857">
        <f>IF(L856="",0,L856)</f>
        <v>0</v>
      </c>
      <c r="G856" s="1856">
        <f>-(N856-Q856)</f>
        <v>0</v>
      </c>
      <c r="I856" s="1815" t="b">
        <f>K856&lt;=Number_Payments</f>
        <v>0</v>
      </c>
      <c r="J856" s="1855"/>
      <c r="K856" s="1351">
        <f>K855+1</f>
        <v>730</v>
      </c>
      <c r="L856" s="1854" t="str" cm="1">
        <f t="array" ref="L856">_xlfn.IFS(
    I855=FALSE, "",
    Payment_Frequency="Monthly", EDATE(L855, 1),
    Payment_Frequency="Weekly", DATE(YEAR(L855), MONTH(L855), DAY(L855) + 7),
    Payment_Frequency="Fortnightly", DATE(YEAR(L855), MONTH(L855), DAY(L855) + 14),
    Payment_Frequency="Quarterly", DATE(YEAR(L855), MONTH(L855) + 3, DAY(L855)),
    Payment_Frequency="Yearly", DATE(YEAR(L855) + 1, MONTH(L855), DAY(L855)),
    TRUE, ""
)</f>
        <v/>
      </c>
      <c r="M856" s="1853">
        <f>IF(ISERROR(L856-L855),0,L856-L855)</f>
        <v>0</v>
      </c>
      <c r="N856" s="1851" cm="1">
        <f t="array" ref="N856">_xlfn.IFS(
    AND(I856=TRUE, K856&lt;=No_Regular_Payments), Repay_Amt,
    AND(I856=TRUE, K856=No_Regular_Payments+1), Tm_Balloon_Amt,
   TRUE, 0
)</f>
        <v>0</v>
      </c>
      <c r="O856" s="1850" cm="1">
        <f t="array" ref="O856">_xlfn.IFS(
    M856=0,0,
   ABS(N856 - S855 - P856-Q856) &lt; 1, N856 - S855-Q856,
    TRUE, P856
)</f>
        <v>0</v>
      </c>
      <c r="P856" s="1852">
        <f>IF(M856=0,0,ROUND(S855*EXP(Int_Rate/365.25 * M856)-S855,2))</f>
        <v>0</v>
      </c>
      <c r="Q856" s="1851" cm="1">
        <f t="array" ref="Q856">_xlfn.IFS(
    AND(I856=TRUE, K856&lt;=No_Regular_Payments), Periodic_Admin_Charge,
   TRUE, 0
)</f>
        <v>0</v>
      </c>
      <c r="R856" s="1850">
        <f>N856-O856-Q856</f>
        <v>0</v>
      </c>
      <c r="S856" s="1850">
        <f>ROUND(S855-R856,2)</f>
        <v>0</v>
      </c>
      <c r="T856" s="1850">
        <f>ROUND(T855-(N856-Q856),2)</f>
        <v>0</v>
      </c>
      <c r="U856" s="1849"/>
      <c r="W856" s="1848"/>
      <c r="X856" s="1848"/>
      <c r="Y856" s="1848"/>
    </row>
    <row r="857" spans="2:25" hidden="1">
      <c r="B857" s="1815" t="b">
        <f>AND(I857=FALSE,N856=0,Q856=0,L856="")</f>
        <v>1</v>
      </c>
      <c r="C857" s="1844" t="str" cm="1">
        <f t="array" ref="C857">_xlfn.IFS(
    L857="", "",
    MONTH(L857) &lt;= End_of_Year_Month, YEAR(L857),
    TRUE, YEAR(L857) + 1
)</f>
        <v/>
      </c>
      <c r="F857" s="1857">
        <f>IF(L857="",0,L857)</f>
        <v>0</v>
      </c>
      <c r="G857" s="1856">
        <f>-(N857-Q857)</f>
        <v>0</v>
      </c>
      <c r="I857" s="1815" t="b">
        <f>K857&lt;=Number_Payments</f>
        <v>0</v>
      </c>
      <c r="J857" s="1855"/>
      <c r="K857" s="1351">
        <f>K856+1</f>
        <v>731</v>
      </c>
      <c r="L857" s="1854" t="str" cm="1">
        <f t="array" ref="L857">_xlfn.IFS(
    I856=FALSE, "",
    Payment_Frequency="Monthly", EDATE(L856, 1),
    Payment_Frequency="Weekly", DATE(YEAR(L856), MONTH(L856), DAY(L856) + 7),
    Payment_Frequency="Fortnightly", DATE(YEAR(L856), MONTH(L856), DAY(L856) + 14),
    Payment_Frequency="Quarterly", DATE(YEAR(L856), MONTH(L856) + 3, DAY(L856)),
    Payment_Frequency="Yearly", DATE(YEAR(L856) + 1, MONTH(L856), DAY(L856)),
    TRUE, ""
)</f>
        <v/>
      </c>
      <c r="M857" s="1853">
        <f>IF(ISERROR(L857-L856),0,L857-L856)</f>
        <v>0</v>
      </c>
      <c r="N857" s="1851" cm="1">
        <f t="array" ref="N857">_xlfn.IFS(
    AND(I857=TRUE, K857&lt;=No_Regular_Payments), Repay_Amt,
    AND(I857=TRUE, K857=No_Regular_Payments+1), Tm_Balloon_Amt,
   TRUE, 0
)</f>
        <v>0</v>
      </c>
      <c r="O857" s="1850" cm="1">
        <f t="array" ref="O857">_xlfn.IFS(
    M857=0,0,
   ABS(N857 - S856 - P857-Q857) &lt; 1, N857 - S856-Q857,
    TRUE, P857
)</f>
        <v>0</v>
      </c>
      <c r="P857" s="1852">
        <f>IF(M857=0,0,ROUND(S856*EXP(Int_Rate/365.25 * M857)-S856,2))</f>
        <v>0</v>
      </c>
      <c r="Q857" s="1851" cm="1">
        <f t="array" ref="Q857">_xlfn.IFS(
    AND(I857=TRUE, K857&lt;=No_Regular_Payments), Periodic_Admin_Charge,
   TRUE, 0
)</f>
        <v>0</v>
      </c>
      <c r="R857" s="1850">
        <f>N857-O857-Q857</f>
        <v>0</v>
      </c>
      <c r="S857" s="1850">
        <f>ROUND(S856-R857,2)</f>
        <v>0</v>
      </c>
      <c r="T857" s="1850">
        <f>ROUND(T856-(N857-Q857),2)</f>
        <v>0</v>
      </c>
      <c r="U857" s="1849"/>
      <c r="W857" s="1848"/>
      <c r="X857" s="1848"/>
      <c r="Y857" s="1848"/>
    </row>
    <row r="858" spans="2:25" hidden="1">
      <c r="B858" s="1815" t="b">
        <f>AND(I858=FALSE,N857=0,Q857=0,L857="")</f>
        <v>1</v>
      </c>
      <c r="C858" s="1844" t="str" cm="1">
        <f t="array" ref="C858">_xlfn.IFS(
    L858="", "",
    MONTH(L858) &lt;= End_of_Year_Month, YEAR(L858),
    TRUE, YEAR(L858) + 1
)</f>
        <v/>
      </c>
      <c r="F858" s="1857">
        <f>IF(L858="",0,L858)</f>
        <v>0</v>
      </c>
      <c r="G858" s="1856">
        <f>-(N858-Q858)</f>
        <v>0</v>
      </c>
      <c r="I858" s="1815" t="b">
        <f>K858&lt;=Number_Payments</f>
        <v>0</v>
      </c>
      <c r="J858" s="1855"/>
      <c r="K858" s="1351">
        <f>K857+1</f>
        <v>732</v>
      </c>
      <c r="L858" s="1854" t="str" cm="1">
        <f t="array" ref="L858">_xlfn.IFS(
    I857=FALSE, "",
    Payment_Frequency="Monthly", EDATE(L857, 1),
    Payment_Frequency="Weekly", DATE(YEAR(L857), MONTH(L857), DAY(L857) + 7),
    Payment_Frequency="Fortnightly", DATE(YEAR(L857), MONTH(L857), DAY(L857) + 14),
    Payment_Frequency="Quarterly", DATE(YEAR(L857), MONTH(L857) + 3, DAY(L857)),
    Payment_Frequency="Yearly", DATE(YEAR(L857) + 1, MONTH(L857), DAY(L857)),
    TRUE, ""
)</f>
        <v/>
      </c>
      <c r="M858" s="1853">
        <f>IF(ISERROR(L858-L857),0,L858-L857)</f>
        <v>0</v>
      </c>
      <c r="N858" s="1851" cm="1">
        <f t="array" ref="N858">_xlfn.IFS(
    AND(I858=TRUE, K858&lt;=No_Regular_Payments), Repay_Amt,
    AND(I858=TRUE, K858=No_Regular_Payments+1), Tm_Balloon_Amt,
   TRUE, 0
)</f>
        <v>0</v>
      </c>
      <c r="O858" s="1850" cm="1">
        <f t="array" ref="O858">_xlfn.IFS(
    M858=0,0,
   ABS(N858 - S857 - P858-Q858) &lt; 1, N858 - S857-Q858,
    TRUE, P858
)</f>
        <v>0</v>
      </c>
      <c r="P858" s="1852">
        <f>IF(M858=0,0,ROUND(S857*EXP(Int_Rate/365.25 * M858)-S857,2))</f>
        <v>0</v>
      </c>
      <c r="Q858" s="1851" cm="1">
        <f t="array" ref="Q858">_xlfn.IFS(
    AND(I858=TRUE, K858&lt;=No_Regular_Payments), Periodic_Admin_Charge,
   TRUE, 0
)</f>
        <v>0</v>
      </c>
      <c r="R858" s="1850">
        <f>N858-O858-Q858</f>
        <v>0</v>
      </c>
      <c r="S858" s="1850">
        <f>ROUND(S857-R858,2)</f>
        <v>0</v>
      </c>
      <c r="T858" s="1850">
        <f>ROUND(T857-(N858-Q858),2)</f>
        <v>0</v>
      </c>
      <c r="U858" s="1849"/>
      <c r="W858" s="1848"/>
      <c r="X858" s="1848"/>
      <c r="Y858" s="1848"/>
    </row>
    <row r="859" spans="2:25" hidden="1">
      <c r="B859" s="1815" t="b">
        <f>AND(I859=FALSE,N858=0,Q858=0,L858="")</f>
        <v>1</v>
      </c>
      <c r="C859" s="1844" t="str" cm="1">
        <f t="array" ref="C859">_xlfn.IFS(
    L859="", "",
    MONTH(L859) &lt;= End_of_Year_Month, YEAR(L859),
    TRUE, YEAR(L859) + 1
)</f>
        <v/>
      </c>
      <c r="F859" s="1857">
        <f>IF(L859="",0,L859)</f>
        <v>0</v>
      </c>
      <c r="G859" s="1856">
        <f>-(N859-Q859)</f>
        <v>0</v>
      </c>
      <c r="I859" s="1815" t="b">
        <f>K859&lt;=Number_Payments</f>
        <v>0</v>
      </c>
      <c r="J859" s="1855"/>
      <c r="K859" s="1351">
        <f>K858+1</f>
        <v>733</v>
      </c>
      <c r="L859" s="1854" t="str" cm="1">
        <f t="array" ref="L859">_xlfn.IFS(
    I858=FALSE, "",
    Payment_Frequency="Monthly", EDATE(L858, 1),
    Payment_Frequency="Weekly", DATE(YEAR(L858), MONTH(L858), DAY(L858) + 7),
    Payment_Frequency="Fortnightly", DATE(YEAR(L858), MONTH(L858), DAY(L858) + 14),
    Payment_Frequency="Quarterly", DATE(YEAR(L858), MONTH(L858) + 3, DAY(L858)),
    Payment_Frequency="Yearly", DATE(YEAR(L858) + 1, MONTH(L858), DAY(L858)),
    TRUE, ""
)</f>
        <v/>
      </c>
      <c r="M859" s="1853">
        <f>IF(ISERROR(L859-L858),0,L859-L858)</f>
        <v>0</v>
      </c>
      <c r="N859" s="1851" cm="1">
        <f t="array" ref="N859">_xlfn.IFS(
    AND(I859=TRUE, K859&lt;=No_Regular_Payments), Repay_Amt,
    AND(I859=TRUE, K859=No_Regular_Payments+1), Tm_Balloon_Amt,
   TRUE, 0
)</f>
        <v>0</v>
      </c>
      <c r="O859" s="1850" cm="1">
        <f t="array" ref="O859">_xlfn.IFS(
    M859=0,0,
   ABS(N859 - S858 - P859-Q859) &lt; 1, N859 - S858-Q859,
    TRUE, P859
)</f>
        <v>0</v>
      </c>
      <c r="P859" s="1852">
        <f>IF(M859=0,0,ROUND(S858*EXP(Int_Rate/365.25 * M859)-S858,2))</f>
        <v>0</v>
      </c>
      <c r="Q859" s="1851" cm="1">
        <f t="array" ref="Q859">_xlfn.IFS(
    AND(I859=TRUE, K859&lt;=No_Regular_Payments), Periodic_Admin_Charge,
   TRUE, 0
)</f>
        <v>0</v>
      </c>
      <c r="R859" s="1850">
        <f>N859-O859-Q859</f>
        <v>0</v>
      </c>
      <c r="S859" s="1850">
        <f>ROUND(S858-R859,2)</f>
        <v>0</v>
      </c>
      <c r="T859" s="1850">
        <f>ROUND(T858-(N859-Q859),2)</f>
        <v>0</v>
      </c>
      <c r="U859" s="1849"/>
      <c r="W859" s="1848"/>
      <c r="X859" s="1848"/>
      <c r="Y859" s="1848"/>
    </row>
    <row r="860" spans="2:25" hidden="1">
      <c r="B860" s="1815" t="b">
        <f>AND(I860=FALSE,N859=0,Q859=0,L859="")</f>
        <v>1</v>
      </c>
      <c r="C860" s="1844" t="str" cm="1">
        <f t="array" ref="C860">_xlfn.IFS(
    L860="", "",
    MONTH(L860) &lt;= End_of_Year_Month, YEAR(L860),
    TRUE, YEAR(L860) + 1
)</f>
        <v/>
      </c>
      <c r="F860" s="1857">
        <f>IF(L860="",0,L860)</f>
        <v>0</v>
      </c>
      <c r="G860" s="1856">
        <f>-(N860-Q860)</f>
        <v>0</v>
      </c>
      <c r="I860" s="1815" t="b">
        <f>K860&lt;=Number_Payments</f>
        <v>0</v>
      </c>
      <c r="J860" s="1855"/>
      <c r="K860" s="1351">
        <f>K859+1</f>
        <v>734</v>
      </c>
      <c r="L860" s="1854" t="str" cm="1">
        <f t="array" ref="L860">_xlfn.IFS(
    I859=FALSE, "",
    Payment_Frequency="Monthly", EDATE(L859, 1),
    Payment_Frequency="Weekly", DATE(YEAR(L859), MONTH(L859), DAY(L859) + 7),
    Payment_Frequency="Fortnightly", DATE(YEAR(L859), MONTH(L859), DAY(L859) + 14),
    Payment_Frequency="Quarterly", DATE(YEAR(L859), MONTH(L859) + 3, DAY(L859)),
    Payment_Frequency="Yearly", DATE(YEAR(L859) + 1, MONTH(L859), DAY(L859)),
    TRUE, ""
)</f>
        <v/>
      </c>
      <c r="M860" s="1853">
        <f>IF(ISERROR(L860-L859),0,L860-L859)</f>
        <v>0</v>
      </c>
      <c r="N860" s="1851" cm="1">
        <f t="array" ref="N860">_xlfn.IFS(
    AND(I860=TRUE, K860&lt;=No_Regular_Payments), Repay_Amt,
    AND(I860=TRUE, K860=No_Regular_Payments+1), Tm_Balloon_Amt,
   TRUE, 0
)</f>
        <v>0</v>
      </c>
      <c r="O860" s="1850" cm="1">
        <f t="array" ref="O860">_xlfn.IFS(
    M860=0,0,
   ABS(N860 - S859 - P860-Q860) &lt; 1, N860 - S859-Q860,
    TRUE, P860
)</f>
        <v>0</v>
      </c>
      <c r="P860" s="1852">
        <f>IF(M860=0,0,ROUND(S859*EXP(Int_Rate/365.25 * M860)-S859,2))</f>
        <v>0</v>
      </c>
      <c r="Q860" s="1851" cm="1">
        <f t="array" ref="Q860">_xlfn.IFS(
    AND(I860=TRUE, K860&lt;=No_Regular_Payments), Periodic_Admin_Charge,
   TRUE, 0
)</f>
        <v>0</v>
      </c>
      <c r="R860" s="1850">
        <f>N860-O860-Q860</f>
        <v>0</v>
      </c>
      <c r="S860" s="1850">
        <f>ROUND(S859-R860,2)</f>
        <v>0</v>
      </c>
      <c r="T860" s="1850">
        <f>ROUND(T859-(N860-Q860),2)</f>
        <v>0</v>
      </c>
      <c r="U860" s="1849"/>
      <c r="W860" s="1848"/>
      <c r="X860" s="1848"/>
      <c r="Y860" s="1848"/>
    </row>
    <row r="861" spans="2:25" hidden="1">
      <c r="B861" s="1815" t="b">
        <f>AND(I861=FALSE,N860=0,Q860=0,L860="")</f>
        <v>1</v>
      </c>
      <c r="C861" s="1844" t="str" cm="1">
        <f t="array" ref="C861">_xlfn.IFS(
    L861="", "",
    MONTH(L861) &lt;= End_of_Year_Month, YEAR(L861),
    TRUE, YEAR(L861) + 1
)</f>
        <v/>
      </c>
      <c r="F861" s="1857">
        <f>IF(L861="",0,L861)</f>
        <v>0</v>
      </c>
      <c r="G861" s="1856">
        <f>-(N861-Q861)</f>
        <v>0</v>
      </c>
      <c r="I861" s="1815" t="b">
        <f>K861&lt;=Number_Payments</f>
        <v>0</v>
      </c>
      <c r="J861" s="1855"/>
      <c r="K861" s="1351">
        <f>K860+1</f>
        <v>735</v>
      </c>
      <c r="L861" s="1854" t="str" cm="1">
        <f t="array" ref="L861">_xlfn.IFS(
    I860=FALSE, "",
    Payment_Frequency="Monthly", EDATE(L860, 1),
    Payment_Frequency="Weekly", DATE(YEAR(L860), MONTH(L860), DAY(L860) + 7),
    Payment_Frequency="Fortnightly", DATE(YEAR(L860), MONTH(L860), DAY(L860) + 14),
    Payment_Frequency="Quarterly", DATE(YEAR(L860), MONTH(L860) + 3, DAY(L860)),
    Payment_Frequency="Yearly", DATE(YEAR(L860) + 1, MONTH(L860), DAY(L860)),
    TRUE, ""
)</f>
        <v/>
      </c>
      <c r="M861" s="1853">
        <f>IF(ISERROR(L861-L860),0,L861-L860)</f>
        <v>0</v>
      </c>
      <c r="N861" s="1851" cm="1">
        <f t="array" ref="N861">_xlfn.IFS(
    AND(I861=TRUE, K861&lt;=No_Regular_Payments), Repay_Amt,
    AND(I861=TRUE, K861=No_Regular_Payments+1), Tm_Balloon_Amt,
   TRUE, 0
)</f>
        <v>0</v>
      </c>
      <c r="O861" s="1850" cm="1">
        <f t="array" ref="O861">_xlfn.IFS(
    M861=0,0,
   ABS(N861 - S860 - P861-Q861) &lt; 1, N861 - S860-Q861,
    TRUE, P861
)</f>
        <v>0</v>
      </c>
      <c r="P861" s="1852">
        <f>IF(M861=0,0,ROUND(S860*EXP(Int_Rate/365.25 * M861)-S860,2))</f>
        <v>0</v>
      </c>
      <c r="Q861" s="1851" cm="1">
        <f t="array" ref="Q861">_xlfn.IFS(
    AND(I861=TRUE, K861&lt;=No_Regular_Payments), Periodic_Admin_Charge,
   TRUE, 0
)</f>
        <v>0</v>
      </c>
      <c r="R861" s="1850">
        <f>N861-O861-Q861</f>
        <v>0</v>
      </c>
      <c r="S861" s="1850">
        <f>ROUND(S860-R861,2)</f>
        <v>0</v>
      </c>
      <c r="T861" s="1850">
        <f>ROUND(T860-(N861-Q861),2)</f>
        <v>0</v>
      </c>
      <c r="U861" s="1849"/>
      <c r="W861" s="1848"/>
      <c r="X861" s="1848"/>
      <c r="Y861" s="1848"/>
    </row>
    <row r="862" spans="2:25" hidden="1">
      <c r="B862" s="1815" t="b">
        <f>AND(I862=FALSE,N861=0,Q861=0,L861="")</f>
        <v>1</v>
      </c>
      <c r="C862" s="1844" t="str" cm="1">
        <f t="array" ref="C862">_xlfn.IFS(
    L862="", "",
    MONTH(L862) &lt;= End_of_Year_Month, YEAR(L862),
    TRUE, YEAR(L862) + 1
)</f>
        <v/>
      </c>
      <c r="F862" s="1857">
        <f>IF(L862="",0,L862)</f>
        <v>0</v>
      </c>
      <c r="G862" s="1856">
        <f>-(N862-Q862)</f>
        <v>0</v>
      </c>
      <c r="I862" s="1815" t="b">
        <f>K862&lt;=Number_Payments</f>
        <v>0</v>
      </c>
      <c r="J862" s="1855"/>
      <c r="K862" s="1351">
        <f>K861+1</f>
        <v>736</v>
      </c>
      <c r="L862" s="1854" t="str" cm="1">
        <f t="array" ref="L862">_xlfn.IFS(
    I861=FALSE, "",
    Payment_Frequency="Monthly", EDATE(L861, 1),
    Payment_Frequency="Weekly", DATE(YEAR(L861), MONTH(L861), DAY(L861) + 7),
    Payment_Frequency="Fortnightly", DATE(YEAR(L861), MONTH(L861), DAY(L861) + 14),
    Payment_Frequency="Quarterly", DATE(YEAR(L861), MONTH(L861) + 3, DAY(L861)),
    Payment_Frequency="Yearly", DATE(YEAR(L861) + 1, MONTH(L861), DAY(L861)),
    TRUE, ""
)</f>
        <v/>
      </c>
      <c r="M862" s="1853">
        <f>IF(ISERROR(L862-L861),0,L862-L861)</f>
        <v>0</v>
      </c>
      <c r="N862" s="1851" cm="1">
        <f t="array" ref="N862">_xlfn.IFS(
    AND(I862=TRUE, K862&lt;=No_Regular_Payments), Repay_Amt,
    AND(I862=TRUE, K862=No_Regular_Payments+1), Tm_Balloon_Amt,
   TRUE, 0
)</f>
        <v>0</v>
      </c>
      <c r="O862" s="1850" cm="1">
        <f t="array" ref="O862">_xlfn.IFS(
    M862=0,0,
   ABS(N862 - S861 - P862-Q862) &lt; 1, N862 - S861-Q862,
    TRUE, P862
)</f>
        <v>0</v>
      </c>
      <c r="P862" s="1852">
        <f>IF(M862=0,0,ROUND(S861*EXP(Int_Rate/365.25 * M862)-S861,2))</f>
        <v>0</v>
      </c>
      <c r="Q862" s="1851" cm="1">
        <f t="array" ref="Q862">_xlfn.IFS(
    AND(I862=TRUE, K862&lt;=No_Regular_Payments), Periodic_Admin_Charge,
   TRUE, 0
)</f>
        <v>0</v>
      </c>
      <c r="R862" s="1850">
        <f>N862-O862-Q862</f>
        <v>0</v>
      </c>
      <c r="S862" s="1850">
        <f>ROUND(S861-R862,2)</f>
        <v>0</v>
      </c>
      <c r="T862" s="1850">
        <f>ROUND(T861-(N862-Q862),2)</f>
        <v>0</v>
      </c>
      <c r="U862" s="1849"/>
      <c r="W862" s="1848"/>
      <c r="X862" s="1848"/>
      <c r="Y862" s="1848"/>
    </row>
    <row r="863" spans="2:25" hidden="1">
      <c r="B863" s="1815" t="b">
        <f>AND(I863=FALSE,N862=0,Q862=0,L862="")</f>
        <v>1</v>
      </c>
      <c r="C863" s="1844" t="str" cm="1">
        <f t="array" ref="C863">_xlfn.IFS(
    L863="", "",
    MONTH(L863) &lt;= End_of_Year_Month, YEAR(L863),
    TRUE, YEAR(L863) + 1
)</f>
        <v/>
      </c>
      <c r="F863" s="1857">
        <f>IF(L863="",0,L863)</f>
        <v>0</v>
      </c>
      <c r="G863" s="1856">
        <f>-(N863-Q863)</f>
        <v>0</v>
      </c>
      <c r="I863" s="1815" t="b">
        <f>K863&lt;=Number_Payments</f>
        <v>0</v>
      </c>
      <c r="J863" s="1855"/>
      <c r="K863" s="1351">
        <f>K862+1</f>
        <v>737</v>
      </c>
      <c r="L863" s="1854" t="str" cm="1">
        <f t="array" ref="L863">_xlfn.IFS(
    I862=FALSE, "",
    Payment_Frequency="Monthly", EDATE(L862, 1),
    Payment_Frequency="Weekly", DATE(YEAR(L862), MONTH(L862), DAY(L862) + 7),
    Payment_Frequency="Fortnightly", DATE(YEAR(L862), MONTH(L862), DAY(L862) + 14),
    Payment_Frequency="Quarterly", DATE(YEAR(L862), MONTH(L862) + 3, DAY(L862)),
    Payment_Frequency="Yearly", DATE(YEAR(L862) + 1, MONTH(L862), DAY(L862)),
    TRUE, ""
)</f>
        <v/>
      </c>
      <c r="M863" s="1853">
        <f>IF(ISERROR(L863-L862),0,L863-L862)</f>
        <v>0</v>
      </c>
      <c r="N863" s="1851" cm="1">
        <f t="array" ref="N863">_xlfn.IFS(
    AND(I863=TRUE, K863&lt;=No_Regular_Payments), Repay_Amt,
    AND(I863=TRUE, K863=No_Regular_Payments+1), Tm_Balloon_Amt,
   TRUE, 0
)</f>
        <v>0</v>
      </c>
      <c r="O863" s="1850" cm="1">
        <f t="array" ref="O863">_xlfn.IFS(
    M863=0,0,
   ABS(N863 - S862 - P863-Q863) &lt; 1, N863 - S862-Q863,
    TRUE, P863
)</f>
        <v>0</v>
      </c>
      <c r="P863" s="1852">
        <f>IF(M863=0,0,ROUND(S862*EXP(Int_Rate/365.25 * M863)-S862,2))</f>
        <v>0</v>
      </c>
      <c r="Q863" s="1851" cm="1">
        <f t="array" ref="Q863">_xlfn.IFS(
    AND(I863=TRUE, K863&lt;=No_Regular_Payments), Periodic_Admin_Charge,
   TRUE, 0
)</f>
        <v>0</v>
      </c>
      <c r="R863" s="1850">
        <f>N863-O863-Q863</f>
        <v>0</v>
      </c>
      <c r="S863" s="1850">
        <f>ROUND(S862-R863,2)</f>
        <v>0</v>
      </c>
      <c r="T863" s="1850">
        <f>ROUND(T862-(N863-Q863),2)</f>
        <v>0</v>
      </c>
      <c r="U863" s="1849"/>
      <c r="W863" s="1848"/>
      <c r="X863" s="1848"/>
      <c r="Y863" s="1848"/>
    </row>
    <row r="864" spans="2:25" hidden="1">
      <c r="B864" s="1815" t="b">
        <f>AND(I864=FALSE,N863=0,Q863=0,L863="")</f>
        <v>1</v>
      </c>
      <c r="C864" s="1844" t="str" cm="1">
        <f t="array" ref="C864">_xlfn.IFS(
    L864="", "",
    MONTH(L864) &lt;= End_of_Year_Month, YEAR(L864),
    TRUE, YEAR(L864) + 1
)</f>
        <v/>
      </c>
      <c r="F864" s="1857">
        <f>IF(L864="",0,L864)</f>
        <v>0</v>
      </c>
      <c r="G864" s="1856">
        <f>-(N864-Q864)</f>
        <v>0</v>
      </c>
      <c r="I864" s="1815" t="b">
        <f>K864&lt;=Number_Payments</f>
        <v>0</v>
      </c>
      <c r="J864" s="1855"/>
      <c r="K864" s="1351">
        <f>K863+1</f>
        <v>738</v>
      </c>
      <c r="L864" s="1854" t="str" cm="1">
        <f t="array" ref="L864">_xlfn.IFS(
    I863=FALSE, "",
    Payment_Frequency="Monthly", EDATE(L863, 1),
    Payment_Frequency="Weekly", DATE(YEAR(L863), MONTH(L863), DAY(L863) + 7),
    Payment_Frequency="Fortnightly", DATE(YEAR(L863), MONTH(L863), DAY(L863) + 14),
    Payment_Frequency="Quarterly", DATE(YEAR(L863), MONTH(L863) + 3, DAY(L863)),
    Payment_Frequency="Yearly", DATE(YEAR(L863) + 1, MONTH(L863), DAY(L863)),
    TRUE, ""
)</f>
        <v/>
      </c>
      <c r="M864" s="1853">
        <f>IF(ISERROR(L864-L863),0,L864-L863)</f>
        <v>0</v>
      </c>
      <c r="N864" s="1851" cm="1">
        <f t="array" ref="N864">_xlfn.IFS(
    AND(I864=TRUE, K864&lt;=No_Regular_Payments), Repay_Amt,
    AND(I864=TRUE, K864=No_Regular_Payments+1), Tm_Balloon_Amt,
   TRUE, 0
)</f>
        <v>0</v>
      </c>
      <c r="O864" s="1850" cm="1">
        <f t="array" ref="O864">_xlfn.IFS(
    M864=0,0,
   ABS(N864 - S863 - P864-Q864) &lt; 1, N864 - S863-Q864,
    TRUE, P864
)</f>
        <v>0</v>
      </c>
      <c r="P864" s="1852">
        <f>IF(M864=0,0,ROUND(S863*EXP(Int_Rate/365.25 * M864)-S863,2))</f>
        <v>0</v>
      </c>
      <c r="Q864" s="1851" cm="1">
        <f t="array" ref="Q864">_xlfn.IFS(
    AND(I864=TRUE, K864&lt;=No_Regular_Payments), Periodic_Admin_Charge,
   TRUE, 0
)</f>
        <v>0</v>
      </c>
      <c r="R864" s="1850">
        <f>N864-O864-Q864</f>
        <v>0</v>
      </c>
      <c r="S864" s="1850">
        <f>ROUND(S863-R864,2)</f>
        <v>0</v>
      </c>
      <c r="T864" s="1850">
        <f>ROUND(T863-(N864-Q864),2)</f>
        <v>0</v>
      </c>
      <c r="U864" s="1849"/>
      <c r="W864" s="1848"/>
      <c r="X864" s="1848"/>
      <c r="Y864" s="1848"/>
    </row>
    <row r="865" spans="2:25" hidden="1">
      <c r="B865" s="1815" t="b">
        <f>AND(I865=FALSE,N864=0,Q864=0,L864="")</f>
        <v>1</v>
      </c>
      <c r="C865" s="1844" t="str" cm="1">
        <f t="array" ref="C865">_xlfn.IFS(
    L865="", "",
    MONTH(L865) &lt;= End_of_Year_Month, YEAR(L865),
    TRUE, YEAR(L865) + 1
)</f>
        <v/>
      </c>
      <c r="F865" s="1857">
        <f>IF(L865="",0,L865)</f>
        <v>0</v>
      </c>
      <c r="G865" s="1856">
        <f>-(N865-Q865)</f>
        <v>0</v>
      </c>
      <c r="I865" s="1815" t="b">
        <f>K865&lt;=Number_Payments</f>
        <v>0</v>
      </c>
      <c r="J865" s="1855"/>
      <c r="K865" s="1351">
        <f>K864+1</f>
        <v>739</v>
      </c>
      <c r="L865" s="1854" t="str" cm="1">
        <f t="array" ref="L865">_xlfn.IFS(
    I864=FALSE, "",
    Payment_Frequency="Monthly", EDATE(L864, 1),
    Payment_Frequency="Weekly", DATE(YEAR(L864), MONTH(L864), DAY(L864) + 7),
    Payment_Frequency="Fortnightly", DATE(YEAR(L864), MONTH(L864), DAY(L864) + 14),
    Payment_Frequency="Quarterly", DATE(YEAR(L864), MONTH(L864) + 3, DAY(L864)),
    Payment_Frequency="Yearly", DATE(YEAR(L864) + 1, MONTH(L864), DAY(L864)),
    TRUE, ""
)</f>
        <v/>
      </c>
      <c r="M865" s="1853">
        <f>IF(ISERROR(L865-L864),0,L865-L864)</f>
        <v>0</v>
      </c>
      <c r="N865" s="1851" cm="1">
        <f t="array" ref="N865">_xlfn.IFS(
    AND(I865=TRUE, K865&lt;=No_Regular_Payments), Repay_Amt,
    AND(I865=TRUE, K865=No_Regular_Payments+1), Tm_Balloon_Amt,
   TRUE, 0
)</f>
        <v>0</v>
      </c>
      <c r="O865" s="1850" cm="1">
        <f t="array" ref="O865">_xlfn.IFS(
    M865=0,0,
   ABS(N865 - S864 - P865-Q865) &lt; 1, N865 - S864-Q865,
    TRUE, P865
)</f>
        <v>0</v>
      </c>
      <c r="P865" s="1852">
        <f>IF(M865=0,0,ROUND(S864*EXP(Int_Rate/365.25 * M865)-S864,2))</f>
        <v>0</v>
      </c>
      <c r="Q865" s="1851" cm="1">
        <f t="array" ref="Q865">_xlfn.IFS(
    AND(I865=TRUE, K865&lt;=No_Regular_Payments), Periodic_Admin_Charge,
   TRUE, 0
)</f>
        <v>0</v>
      </c>
      <c r="R865" s="1850">
        <f>N865-O865-Q865</f>
        <v>0</v>
      </c>
      <c r="S865" s="1850">
        <f>ROUND(S864-R865,2)</f>
        <v>0</v>
      </c>
      <c r="T865" s="1850">
        <f>ROUND(T864-(N865-Q865),2)</f>
        <v>0</v>
      </c>
      <c r="U865" s="1849"/>
      <c r="W865" s="1848"/>
      <c r="X865" s="1848"/>
      <c r="Y865" s="1848"/>
    </row>
    <row r="866" spans="2:25" hidden="1">
      <c r="B866" s="1815" t="b">
        <f>AND(I866=FALSE,N865=0,Q865=0,L865="")</f>
        <v>1</v>
      </c>
      <c r="C866" s="1844" t="str" cm="1">
        <f t="array" ref="C866">_xlfn.IFS(
    L866="", "",
    MONTH(L866) &lt;= End_of_Year_Month, YEAR(L866),
    TRUE, YEAR(L866) + 1
)</f>
        <v/>
      </c>
      <c r="F866" s="1857">
        <f>IF(L866="",0,L866)</f>
        <v>0</v>
      </c>
      <c r="G866" s="1856">
        <f>-(N866-Q866)</f>
        <v>0</v>
      </c>
      <c r="I866" s="1815" t="b">
        <f>K866&lt;=Number_Payments</f>
        <v>0</v>
      </c>
      <c r="J866" s="1855"/>
      <c r="K866" s="1351">
        <f>K865+1</f>
        <v>740</v>
      </c>
      <c r="L866" s="1854" t="str" cm="1">
        <f t="array" ref="L866">_xlfn.IFS(
    I865=FALSE, "",
    Payment_Frequency="Monthly", EDATE(L865, 1),
    Payment_Frequency="Weekly", DATE(YEAR(L865), MONTH(L865), DAY(L865) + 7),
    Payment_Frequency="Fortnightly", DATE(YEAR(L865), MONTH(L865), DAY(L865) + 14),
    Payment_Frequency="Quarterly", DATE(YEAR(L865), MONTH(L865) + 3, DAY(L865)),
    Payment_Frequency="Yearly", DATE(YEAR(L865) + 1, MONTH(L865), DAY(L865)),
    TRUE, ""
)</f>
        <v/>
      </c>
      <c r="M866" s="1853">
        <f>IF(ISERROR(L866-L865),0,L866-L865)</f>
        <v>0</v>
      </c>
      <c r="N866" s="1851" cm="1">
        <f t="array" ref="N866">_xlfn.IFS(
    AND(I866=TRUE, K866&lt;=No_Regular_Payments), Repay_Amt,
    AND(I866=TRUE, K866=No_Regular_Payments+1), Tm_Balloon_Amt,
   TRUE, 0
)</f>
        <v>0</v>
      </c>
      <c r="O866" s="1850" cm="1">
        <f t="array" ref="O866">_xlfn.IFS(
    M866=0,0,
   ABS(N866 - S865 - P866-Q866) &lt; 1, N866 - S865-Q866,
    TRUE, P866
)</f>
        <v>0</v>
      </c>
      <c r="P866" s="1852">
        <f>IF(M866=0,0,ROUND(S865*EXP(Int_Rate/365.25 * M866)-S865,2))</f>
        <v>0</v>
      </c>
      <c r="Q866" s="1851" cm="1">
        <f t="array" ref="Q866">_xlfn.IFS(
    AND(I866=TRUE, K866&lt;=No_Regular_Payments), Periodic_Admin_Charge,
   TRUE, 0
)</f>
        <v>0</v>
      </c>
      <c r="R866" s="1850">
        <f>N866-O866-Q866</f>
        <v>0</v>
      </c>
      <c r="S866" s="1850">
        <f>ROUND(S865-R866,2)</f>
        <v>0</v>
      </c>
      <c r="T866" s="1850">
        <f>ROUND(T865-(N866-Q866),2)</f>
        <v>0</v>
      </c>
      <c r="U866" s="1849"/>
      <c r="W866" s="1848"/>
      <c r="X866" s="1848"/>
      <c r="Y866" s="1848"/>
    </row>
    <row r="867" spans="2:25" hidden="1">
      <c r="B867" s="1815" t="b">
        <f>AND(I867=FALSE,N866=0,Q866=0,L866="")</f>
        <v>1</v>
      </c>
      <c r="C867" s="1844" t="str" cm="1">
        <f t="array" ref="C867">_xlfn.IFS(
    L867="", "",
    MONTH(L867) &lt;= End_of_Year_Month, YEAR(L867),
    TRUE, YEAR(L867) + 1
)</f>
        <v/>
      </c>
      <c r="F867" s="1857">
        <f>IF(L867="",0,L867)</f>
        <v>0</v>
      </c>
      <c r="G867" s="1856">
        <f>-(N867-Q867)</f>
        <v>0</v>
      </c>
      <c r="I867" s="1815" t="b">
        <f>K867&lt;=Number_Payments</f>
        <v>0</v>
      </c>
      <c r="J867" s="1855"/>
      <c r="K867" s="1351">
        <f>K866+1</f>
        <v>741</v>
      </c>
      <c r="L867" s="1854" t="str" cm="1">
        <f t="array" ref="L867">_xlfn.IFS(
    I866=FALSE, "",
    Payment_Frequency="Monthly", EDATE(L866, 1),
    Payment_Frequency="Weekly", DATE(YEAR(L866), MONTH(L866), DAY(L866) + 7),
    Payment_Frequency="Fortnightly", DATE(YEAR(L866), MONTH(L866), DAY(L866) + 14),
    Payment_Frequency="Quarterly", DATE(YEAR(L866), MONTH(L866) + 3, DAY(L866)),
    Payment_Frequency="Yearly", DATE(YEAR(L866) + 1, MONTH(L866), DAY(L866)),
    TRUE, ""
)</f>
        <v/>
      </c>
      <c r="M867" s="1853">
        <f>IF(ISERROR(L867-L866),0,L867-L866)</f>
        <v>0</v>
      </c>
      <c r="N867" s="1851" cm="1">
        <f t="array" ref="N867">_xlfn.IFS(
    AND(I867=TRUE, K867&lt;=No_Regular_Payments), Repay_Amt,
    AND(I867=TRUE, K867=No_Regular_Payments+1), Tm_Balloon_Amt,
   TRUE, 0
)</f>
        <v>0</v>
      </c>
      <c r="O867" s="1850" cm="1">
        <f t="array" ref="O867">_xlfn.IFS(
    M867=0,0,
   ABS(N867 - S866 - P867-Q867) &lt; 1, N867 - S866-Q867,
    TRUE, P867
)</f>
        <v>0</v>
      </c>
      <c r="P867" s="1852">
        <f>IF(M867=0,0,ROUND(S866*EXP(Int_Rate/365.25 * M867)-S866,2))</f>
        <v>0</v>
      </c>
      <c r="Q867" s="1851" cm="1">
        <f t="array" ref="Q867">_xlfn.IFS(
    AND(I867=TRUE, K867&lt;=No_Regular_Payments), Periodic_Admin_Charge,
   TRUE, 0
)</f>
        <v>0</v>
      </c>
      <c r="R867" s="1850">
        <f>N867-O867-Q867</f>
        <v>0</v>
      </c>
      <c r="S867" s="1850">
        <f>ROUND(S866-R867,2)</f>
        <v>0</v>
      </c>
      <c r="T867" s="1850">
        <f>ROUND(T866-(N867-Q867),2)</f>
        <v>0</v>
      </c>
      <c r="U867" s="1849"/>
      <c r="W867" s="1848"/>
      <c r="X867" s="1848"/>
      <c r="Y867" s="1848"/>
    </row>
    <row r="868" spans="2:25" hidden="1">
      <c r="B868" s="1815" t="b">
        <f>AND(I868=FALSE,N867=0,Q867=0,L867="")</f>
        <v>1</v>
      </c>
      <c r="C868" s="1844" t="str" cm="1">
        <f t="array" ref="C868">_xlfn.IFS(
    L868="", "",
    MONTH(L868) &lt;= End_of_Year_Month, YEAR(L868),
    TRUE, YEAR(L868) + 1
)</f>
        <v/>
      </c>
      <c r="F868" s="1857">
        <f>IF(L868="",0,L868)</f>
        <v>0</v>
      </c>
      <c r="G868" s="1856">
        <f>-(N868-Q868)</f>
        <v>0</v>
      </c>
      <c r="I868" s="1815" t="b">
        <f>K868&lt;=Number_Payments</f>
        <v>0</v>
      </c>
      <c r="J868" s="1855"/>
      <c r="K868" s="1351">
        <f>K867+1</f>
        <v>742</v>
      </c>
      <c r="L868" s="1854" t="str" cm="1">
        <f t="array" ref="L868">_xlfn.IFS(
    I867=FALSE, "",
    Payment_Frequency="Monthly", EDATE(L867, 1),
    Payment_Frequency="Weekly", DATE(YEAR(L867), MONTH(L867), DAY(L867) + 7),
    Payment_Frequency="Fortnightly", DATE(YEAR(L867), MONTH(L867), DAY(L867) + 14),
    Payment_Frequency="Quarterly", DATE(YEAR(L867), MONTH(L867) + 3, DAY(L867)),
    Payment_Frequency="Yearly", DATE(YEAR(L867) + 1, MONTH(L867), DAY(L867)),
    TRUE, ""
)</f>
        <v/>
      </c>
      <c r="M868" s="1853">
        <f>IF(ISERROR(L868-L867),0,L868-L867)</f>
        <v>0</v>
      </c>
      <c r="N868" s="1851" cm="1">
        <f t="array" ref="N868">_xlfn.IFS(
    AND(I868=TRUE, K868&lt;=No_Regular_Payments), Repay_Amt,
    AND(I868=TRUE, K868=No_Regular_Payments+1), Tm_Balloon_Amt,
   TRUE, 0
)</f>
        <v>0</v>
      </c>
      <c r="O868" s="1850" cm="1">
        <f t="array" ref="O868">_xlfn.IFS(
    M868=0,0,
   ABS(N868 - S867 - P868-Q868) &lt; 1, N868 - S867-Q868,
    TRUE, P868
)</f>
        <v>0</v>
      </c>
      <c r="P868" s="1852">
        <f>IF(M868=0,0,ROUND(S867*EXP(Int_Rate/365.25 * M868)-S867,2))</f>
        <v>0</v>
      </c>
      <c r="Q868" s="1851" cm="1">
        <f t="array" ref="Q868">_xlfn.IFS(
    AND(I868=TRUE, K868&lt;=No_Regular_Payments), Periodic_Admin_Charge,
   TRUE, 0
)</f>
        <v>0</v>
      </c>
      <c r="R868" s="1850">
        <f>N868-O868-Q868</f>
        <v>0</v>
      </c>
      <c r="S868" s="1850">
        <f>ROUND(S867-R868,2)</f>
        <v>0</v>
      </c>
      <c r="T868" s="1850">
        <f>ROUND(T867-(N868-Q868),2)</f>
        <v>0</v>
      </c>
      <c r="U868" s="1849"/>
      <c r="W868" s="1848"/>
      <c r="X868" s="1848"/>
      <c r="Y868" s="1848"/>
    </row>
    <row r="869" spans="2:25" hidden="1">
      <c r="B869" s="1815" t="b">
        <f>AND(I869=FALSE,N868=0,Q868=0,L868="")</f>
        <v>1</v>
      </c>
      <c r="C869" s="1844" t="str" cm="1">
        <f t="array" ref="C869">_xlfn.IFS(
    L869="", "",
    MONTH(L869) &lt;= End_of_Year_Month, YEAR(L869),
    TRUE, YEAR(L869) + 1
)</f>
        <v/>
      </c>
      <c r="F869" s="1857">
        <f>IF(L869="",0,L869)</f>
        <v>0</v>
      </c>
      <c r="G869" s="1856">
        <f>-(N869-Q869)</f>
        <v>0</v>
      </c>
      <c r="I869" s="1815" t="b">
        <f>K869&lt;=Number_Payments</f>
        <v>0</v>
      </c>
      <c r="J869" s="1855"/>
      <c r="K869" s="1351">
        <f>K868+1</f>
        <v>743</v>
      </c>
      <c r="L869" s="1854" t="str" cm="1">
        <f t="array" ref="L869">_xlfn.IFS(
    I868=FALSE, "",
    Payment_Frequency="Monthly", EDATE(L868, 1),
    Payment_Frequency="Weekly", DATE(YEAR(L868), MONTH(L868), DAY(L868) + 7),
    Payment_Frequency="Fortnightly", DATE(YEAR(L868), MONTH(L868), DAY(L868) + 14),
    Payment_Frequency="Quarterly", DATE(YEAR(L868), MONTH(L868) + 3, DAY(L868)),
    Payment_Frequency="Yearly", DATE(YEAR(L868) + 1, MONTH(L868), DAY(L868)),
    TRUE, ""
)</f>
        <v/>
      </c>
      <c r="M869" s="1853">
        <f>IF(ISERROR(L869-L868),0,L869-L868)</f>
        <v>0</v>
      </c>
      <c r="N869" s="1851" cm="1">
        <f t="array" ref="N869">_xlfn.IFS(
    AND(I869=TRUE, K869&lt;=No_Regular_Payments), Repay_Amt,
    AND(I869=TRUE, K869=No_Regular_Payments+1), Tm_Balloon_Amt,
   TRUE, 0
)</f>
        <v>0</v>
      </c>
      <c r="O869" s="1850" cm="1">
        <f t="array" ref="O869">_xlfn.IFS(
    M869=0,0,
   ABS(N869 - S868 - P869-Q869) &lt; 1, N869 - S868-Q869,
    TRUE, P869
)</f>
        <v>0</v>
      </c>
      <c r="P869" s="1852">
        <f>IF(M869=0,0,ROUND(S868*EXP(Int_Rate/365.25 * M869)-S868,2))</f>
        <v>0</v>
      </c>
      <c r="Q869" s="1851" cm="1">
        <f t="array" ref="Q869">_xlfn.IFS(
    AND(I869=TRUE, K869&lt;=No_Regular_Payments), Periodic_Admin_Charge,
   TRUE, 0
)</f>
        <v>0</v>
      </c>
      <c r="R869" s="1850">
        <f>N869-O869-Q869</f>
        <v>0</v>
      </c>
      <c r="S869" s="1850">
        <f>ROUND(S868-R869,2)</f>
        <v>0</v>
      </c>
      <c r="T869" s="1850">
        <f>ROUND(T868-(N869-Q869),2)</f>
        <v>0</v>
      </c>
      <c r="U869" s="1849"/>
      <c r="W869" s="1848"/>
      <c r="X869" s="1848"/>
      <c r="Y869" s="1848"/>
    </row>
    <row r="870" spans="2:25" hidden="1">
      <c r="B870" s="1815" t="b">
        <f>AND(I870=FALSE,N869=0,Q869=0,L869="")</f>
        <v>1</v>
      </c>
      <c r="C870" s="1844" t="str" cm="1">
        <f t="array" ref="C870">_xlfn.IFS(
    L870="", "",
    MONTH(L870) &lt;= End_of_Year_Month, YEAR(L870),
    TRUE, YEAR(L870) + 1
)</f>
        <v/>
      </c>
      <c r="F870" s="1857">
        <f>IF(L870="",0,L870)</f>
        <v>0</v>
      </c>
      <c r="G870" s="1856">
        <f>-(N870-Q870)</f>
        <v>0</v>
      </c>
      <c r="I870" s="1815" t="b">
        <f>K870&lt;=Number_Payments</f>
        <v>0</v>
      </c>
      <c r="J870" s="1855"/>
      <c r="K870" s="1351">
        <f>K869+1</f>
        <v>744</v>
      </c>
      <c r="L870" s="1854" t="str" cm="1">
        <f t="array" ref="L870">_xlfn.IFS(
    I869=FALSE, "",
    Payment_Frequency="Monthly", EDATE(L869, 1),
    Payment_Frequency="Weekly", DATE(YEAR(L869), MONTH(L869), DAY(L869) + 7),
    Payment_Frequency="Fortnightly", DATE(YEAR(L869), MONTH(L869), DAY(L869) + 14),
    Payment_Frequency="Quarterly", DATE(YEAR(L869), MONTH(L869) + 3, DAY(L869)),
    Payment_Frequency="Yearly", DATE(YEAR(L869) + 1, MONTH(L869), DAY(L869)),
    TRUE, ""
)</f>
        <v/>
      </c>
      <c r="M870" s="1853">
        <f>IF(ISERROR(L870-L869),0,L870-L869)</f>
        <v>0</v>
      </c>
      <c r="N870" s="1851" cm="1">
        <f t="array" ref="N870">_xlfn.IFS(
    AND(I870=TRUE, K870&lt;=No_Regular_Payments), Repay_Amt,
    AND(I870=TRUE, K870=No_Regular_Payments+1), Tm_Balloon_Amt,
   TRUE, 0
)</f>
        <v>0</v>
      </c>
      <c r="O870" s="1850" cm="1">
        <f t="array" ref="O870">_xlfn.IFS(
    M870=0,0,
   ABS(N870 - S869 - P870-Q870) &lt; 1, N870 - S869-Q870,
    TRUE, P870
)</f>
        <v>0</v>
      </c>
      <c r="P870" s="1852">
        <f>IF(M870=0,0,ROUND(S869*EXP(Int_Rate/365.25 * M870)-S869,2))</f>
        <v>0</v>
      </c>
      <c r="Q870" s="1851" cm="1">
        <f t="array" ref="Q870">_xlfn.IFS(
    AND(I870=TRUE, K870&lt;=No_Regular_Payments), Periodic_Admin_Charge,
   TRUE, 0
)</f>
        <v>0</v>
      </c>
      <c r="R870" s="1850">
        <f>N870-O870-Q870</f>
        <v>0</v>
      </c>
      <c r="S870" s="1850">
        <f>ROUND(S869-R870,2)</f>
        <v>0</v>
      </c>
      <c r="T870" s="1850">
        <f>ROUND(T869-(N870-Q870),2)</f>
        <v>0</v>
      </c>
      <c r="U870" s="1849"/>
      <c r="W870" s="1848"/>
      <c r="X870" s="1848"/>
      <c r="Y870" s="1848"/>
    </row>
    <row r="871" spans="2:25" hidden="1">
      <c r="B871" s="1815" t="b">
        <f>AND(I871=FALSE,N870=0,Q870=0,L870="")</f>
        <v>1</v>
      </c>
      <c r="C871" s="1844" t="str" cm="1">
        <f t="array" ref="C871">_xlfn.IFS(
    L871="", "",
    MONTH(L871) &lt;= End_of_Year_Month, YEAR(L871),
    TRUE, YEAR(L871) + 1
)</f>
        <v/>
      </c>
      <c r="F871" s="1857">
        <f>IF(L871="",0,L871)</f>
        <v>0</v>
      </c>
      <c r="G871" s="1856">
        <f>-(N871-Q871)</f>
        <v>0</v>
      </c>
      <c r="I871" s="1815" t="b">
        <f>K871&lt;=Number_Payments</f>
        <v>0</v>
      </c>
      <c r="J871" s="1855"/>
      <c r="K871" s="1351">
        <f>K870+1</f>
        <v>745</v>
      </c>
      <c r="L871" s="1854" t="str" cm="1">
        <f t="array" ref="L871">_xlfn.IFS(
    I870=FALSE, "",
    Payment_Frequency="Monthly", EDATE(L870, 1),
    Payment_Frequency="Weekly", DATE(YEAR(L870), MONTH(L870), DAY(L870) + 7),
    Payment_Frequency="Fortnightly", DATE(YEAR(L870), MONTH(L870), DAY(L870) + 14),
    Payment_Frequency="Quarterly", DATE(YEAR(L870), MONTH(L870) + 3, DAY(L870)),
    Payment_Frequency="Yearly", DATE(YEAR(L870) + 1, MONTH(L870), DAY(L870)),
    TRUE, ""
)</f>
        <v/>
      </c>
      <c r="M871" s="1853">
        <f>IF(ISERROR(L871-L870),0,L871-L870)</f>
        <v>0</v>
      </c>
      <c r="N871" s="1851" cm="1">
        <f t="array" ref="N871">_xlfn.IFS(
    AND(I871=TRUE, K871&lt;=No_Regular_Payments), Repay_Amt,
    AND(I871=TRUE, K871=No_Regular_Payments+1), Tm_Balloon_Amt,
   TRUE, 0
)</f>
        <v>0</v>
      </c>
      <c r="O871" s="1850" cm="1">
        <f t="array" ref="O871">_xlfn.IFS(
    M871=0,0,
   ABS(N871 - S870 - P871-Q871) &lt; 1, N871 - S870-Q871,
    TRUE, P871
)</f>
        <v>0</v>
      </c>
      <c r="P871" s="1852">
        <f>IF(M871=0,0,ROUND(S870*EXP(Int_Rate/365.25 * M871)-S870,2))</f>
        <v>0</v>
      </c>
      <c r="Q871" s="1851" cm="1">
        <f t="array" ref="Q871">_xlfn.IFS(
    AND(I871=TRUE, K871&lt;=No_Regular_Payments), Periodic_Admin_Charge,
   TRUE, 0
)</f>
        <v>0</v>
      </c>
      <c r="R871" s="1850">
        <f>N871-O871-Q871</f>
        <v>0</v>
      </c>
      <c r="S871" s="1850">
        <f>ROUND(S870-R871,2)</f>
        <v>0</v>
      </c>
      <c r="T871" s="1850">
        <f>ROUND(T870-(N871-Q871),2)</f>
        <v>0</v>
      </c>
      <c r="U871" s="1849"/>
      <c r="W871" s="1848"/>
      <c r="X871" s="1848"/>
      <c r="Y871" s="1848"/>
    </row>
    <row r="872" spans="2:25" hidden="1">
      <c r="B872" s="1815" t="b">
        <f>AND(I872=FALSE,N871=0,Q871=0,L871="")</f>
        <v>1</v>
      </c>
      <c r="C872" s="1844" t="str" cm="1">
        <f t="array" ref="C872">_xlfn.IFS(
    L872="", "",
    MONTH(L872) &lt;= End_of_Year_Month, YEAR(L872),
    TRUE, YEAR(L872) + 1
)</f>
        <v/>
      </c>
      <c r="F872" s="1857">
        <f>IF(L872="",0,L872)</f>
        <v>0</v>
      </c>
      <c r="G872" s="1856">
        <f>-(N872-Q872)</f>
        <v>0</v>
      </c>
      <c r="I872" s="1815" t="b">
        <f>K872&lt;=Number_Payments</f>
        <v>0</v>
      </c>
      <c r="J872" s="1855"/>
      <c r="K872" s="1351">
        <f>K871+1</f>
        <v>746</v>
      </c>
      <c r="L872" s="1854" t="str" cm="1">
        <f t="array" ref="L872">_xlfn.IFS(
    I871=FALSE, "",
    Payment_Frequency="Monthly", EDATE(L871, 1),
    Payment_Frequency="Weekly", DATE(YEAR(L871), MONTH(L871), DAY(L871) + 7),
    Payment_Frequency="Fortnightly", DATE(YEAR(L871), MONTH(L871), DAY(L871) + 14),
    Payment_Frequency="Quarterly", DATE(YEAR(L871), MONTH(L871) + 3, DAY(L871)),
    Payment_Frequency="Yearly", DATE(YEAR(L871) + 1, MONTH(L871), DAY(L871)),
    TRUE, ""
)</f>
        <v/>
      </c>
      <c r="M872" s="1853">
        <f>IF(ISERROR(L872-L871),0,L872-L871)</f>
        <v>0</v>
      </c>
      <c r="N872" s="1851" cm="1">
        <f t="array" ref="N872">_xlfn.IFS(
    AND(I872=TRUE, K872&lt;=No_Regular_Payments), Repay_Amt,
    AND(I872=TRUE, K872=No_Regular_Payments+1), Tm_Balloon_Amt,
   TRUE, 0
)</f>
        <v>0</v>
      </c>
      <c r="O872" s="1850" cm="1">
        <f t="array" ref="O872">_xlfn.IFS(
    M872=0,0,
   ABS(N872 - S871 - P872-Q872) &lt; 1, N872 - S871-Q872,
    TRUE, P872
)</f>
        <v>0</v>
      </c>
      <c r="P872" s="1852">
        <f>IF(M872=0,0,ROUND(S871*EXP(Int_Rate/365.25 * M872)-S871,2))</f>
        <v>0</v>
      </c>
      <c r="Q872" s="1851" cm="1">
        <f t="array" ref="Q872">_xlfn.IFS(
    AND(I872=TRUE, K872&lt;=No_Regular_Payments), Periodic_Admin_Charge,
   TRUE, 0
)</f>
        <v>0</v>
      </c>
      <c r="R872" s="1850">
        <f>N872-O872-Q872</f>
        <v>0</v>
      </c>
      <c r="S872" s="1850">
        <f>ROUND(S871-R872,2)</f>
        <v>0</v>
      </c>
      <c r="T872" s="1850">
        <f>ROUND(T871-(N872-Q872),2)</f>
        <v>0</v>
      </c>
      <c r="U872" s="1849"/>
      <c r="W872" s="1848"/>
      <c r="X872" s="1848"/>
      <c r="Y872" s="1848"/>
    </row>
    <row r="873" spans="2:25" hidden="1">
      <c r="B873" s="1815" t="b">
        <f>AND(I873=FALSE,N872=0,Q872=0,L872="")</f>
        <v>1</v>
      </c>
      <c r="C873" s="1844" t="str" cm="1">
        <f t="array" ref="C873">_xlfn.IFS(
    L873="", "",
    MONTH(L873) &lt;= End_of_Year_Month, YEAR(L873),
    TRUE, YEAR(L873) + 1
)</f>
        <v/>
      </c>
      <c r="F873" s="1857">
        <f>IF(L873="",0,L873)</f>
        <v>0</v>
      </c>
      <c r="G873" s="1856">
        <f>-(N873-Q873)</f>
        <v>0</v>
      </c>
      <c r="I873" s="1815" t="b">
        <f>K873&lt;=Number_Payments</f>
        <v>0</v>
      </c>
      <c r="J873" s="1855"/>
      <c r="K873" s="1351">
        <f>K872+1</f>
        <v>747</v>
      </c>
      <c r="L873" s="1854" t="str" cm="1">
        <f t="array" ref="L873">_xlfn.IFS(
    I872=FALSE, "",
    Payment_Frequency="Monthly", EDATE(L872, 1),
    Payment_Frequency="Weekly", DATE(YEAR(L872), MONTH(L872), DAY(L872) + 7),
    Payment_Frequency="Fortnightly", DATE(YEAR(L872), MONTH(L872), DAY(L872) + 14),
    Payment_Frequency="Quarterly", DATE(YEAR(L872), MONTH(L872) + 3, DAY(L872)),
    Payment_Frequency="Yearly", DATE(YEAR(L872) + 1, MONTH(L872), DAY(L872)),
    TRUE, ""
)</f>
        <v/>
      </c>
      <c r="M873" s="1853">
        <f>IF(ISERROR(L873-L872),0,L873-L872)</f>
        <v>0</v>
      </c>
      <c r="N873" s="1851" cm="1">
        <f t="array" ref="N873">_xlfn.IFS(
    AND(I873=TRUE, K873&lt;=No_Regular_Payments), Repay_Amt,
    AND(I873=TRUE, K873=No_Regular_Payments+1), Tm_Balloon_Amt,
   TRUE, 0
)</f>
        <v>0</v>
      </c>
      <c r="O873" s="1850" cm="1">
        <f t="array" ref="O873">_xlfn.IFS(
    M873=0,0,
   ABS(N873 - S872 - P873-Q873) &lt; 1, N873 - S872-Q873,
    TRUE, P873
)</f>
        <v>0</v>
      </c>
      <c r="P873" s="1852">
        <f>IF(M873=0,0,ROUND(S872*EXP(Int_Rate/365.25 * M873)-S872,2))</f>
        <v>0</v>
      </c>
      <c r="Q873" s="1851" cm="1">
        <f t="array" ref="Q873">_xlfn.IFS(
    AND(I873=TRUE, K873&lt;=No_Regular_Payments), Periodic_Admin_Charge,
   TRUE, 0
)</f>
        <v>0</v>
      </c>
      <c r="R873" s="1850">
        <f>N873-O873-Q873</f>
        <v>0</v>
      </c>
      <c r="S873" s="1850">
        <f>ROUND(S872-R873,2)</f>
        <v>0</v>
      </c>
      <c r="T873" s="1850">
        <f>ROUND(T872-(N873-Q873),2)</f>
        <v>0</v>
      </c>
      <c r="U873" s="1849"/>
      <c r="W873" s="1848"/>
      <c r="X873" s="1848"/>
      <c r="Y873" s="1848"/>
    </row>
    <row r="874" spans="2:25" hidden="1">
      <c r="B874" s="1815" t="b">
        <f>AND(I874=FALSE,N873=0,Q873=0,L873="")</f>
        <v>1</v>
      </c>
      <c r="C874" s="1844" t="str" cm="1">
        <f t="array" ref="C874">_xlfn.IFS(
    L874="", "",
    MONTH(L874) &lt;= End_of_Year_Month, YEAR(L874),
    TRUE, YEAR(L874) + 1
)</f>
        <v/>
      </c>
      <c r="F874" s="1857">
        <f>IF(L874="",0,L874)</f>
        <v>0</v>
      </c>
      <c r="G874" s="1856">
        <f>-(N874-Q874)</f>
        <v>0</v>
      </c>
      <c r="I874" s="1815" t="b">
        <f>K874&lt;=Number_Payments</f>
        <v>0</v>
      </c>
      <c r="J874" s="1855"/>
      <c r="K874" s="1351">
        <f>K873+1</f>
        <v>748</v>
      </c>
      <c r="L874" s="1854" t="str" cm="1">
        <f t="array" ref="L874">_xlfn.IFS(
    I873=FALSE, "",
    Payment_Frequency="Monthly", EDATE(L873, 1),
    Payment_Frequency="Weekly", DATE(YEAR(L873), MONTH(L873), DAY(L873) + 7),
    Payment_Frequency="Fortnightly", DATE(YEAR(L873), MONTH(L873), DAY(L873) + 14),
    Payment_Frequency="Quarterly", DATE(YEAR(L873), MONTH(L873) + 3, DAY(L873)),
    Payment_Frequency="Yearly", DATE(YEAR(L873) + 1, MONTH(L873), DAY(L873)),
    TRUE, ""
)</f>
        <v/>
      </c>
      <c r="M874" s="1853">
        <f>IF(ISERROR(L874-L873),0,L874-L873)</f>
        <v>0</v>
      </c>
      <c r="N874" s="1851" cm="1">
        <f t="array" ref="N874">_xlfn.IFS(
    AND(I874=TRUE, K874&lt;=No_Regular_Payments), Repay_Amt,
    AND(I874=TRUE, K874=No_Regular_Payments+1), Tm_Balloon_Amt,
   TRUE, 0
)</f>
        <v>0</v>
      </c>
      <c r="O874" s="1850" cm="1">
        <f t="array" ref="O874">_xlfn.IFS(
    M874=0,0,
   ABS(N874 - S873 - P874-Q874) &lt; 1, N874 - S873-Q874,
    TRUE, P874
)</f>
        <v>0</v>
      </c>
      <c r="P874" s="1852">
        <f>IF(M874=0,0,ROUND(S873*EXP(Int_Rate/365.25 * M874)-S873,2))</f>
        <v>0</v>
      </c>
      <c r="Q874" s="1851" cm="1">
        <f t="array" ref="Q874">_xlfn.IFS(
    AND(I874=TRUE, K874&lt;=No_Regular_Payments), Periodic_Admin_Charge,
   TRUE, 0
)</f>
        <v>0</v>
      </c>
      <c r="R874" s="1850">
        <f>N874-O874-Q874</f>
        <v>0</v>
      </c>
      <c r="S874" s="1850">
        <f>ROUND(S873-R874,2)</f>
        <v>0</v>
      </c>
      <c r="T874" s="1850">
        <f>ROUND(T873-(N874-Q874),2)</f>
        <v>0</v>
      </c>
      <c r="U874" s="1849"/>
      <c r="W874" s="1848"/>
      <c r="X874" s="1848"/>
      <c r="Y874" s="1848"/>
    </row>
    <row r="875" spans="2:25" hidden="1">
      <c r="B875" s="1815" t="b">
        <f>AND(I875=FALSE,N874=0,Q874=0,L874="")</f>
        <v>1</v>
      </c>
      <c r="C875" s="1844" t="str" cm="1">
        <f t="array" ref="C875">_xlfn.IFS(
    L875="", "",
    MONTH(L875) &lt;= End_of_Year_Month, YEAR(L875),
    TRUE, YEAR(L875) + 1
)</f>
        <v/>
      </c>
      <c r="F875" s="1857">
        <f>IF(L875="",0,L875)</f>
        <v>0</v>
      </c>
      <c r="G875" s="1856">
        <f>-(N875-Q875)</f>
        <v>0</v>
      </c>
      <c r="I875" s="1815" t="b">
        <f>K875&lt;=Number_Payments</f>
        <v>0</v>
      </c>
      <c r="J875" s="1855"/>
      <c r="K875" s="1351">
        <f>K874+1</f>
        <v>749</v>
      </c>
      <c r="L875" s="1854" t="str" cm="1">
        <f t="array" ref="L875">_xlfn.IFS(
    I874=FALSE, "",
    Payment_Frequency="Monthly", EDATE(L874, 1),
    Payment_Frequency="Weekly", DATE(YEAR(L874), MONTH(L874), DAY(L874) + 7),
    Payment_Frequency="Fortnightly", DATE(YEAR(L874), MONTH(L874), DAY(L874) + 14),
    Payment_Frequency="Quarterly", DATE(YEAR(L874), MONTH(L874) + 3, DAY(L874)),
    Payment_Frequency="Yearly", DATE(YEAR(L874) + 1, MONTH(L874), DAY(L874)),
    TRUE, ""
)</f>
        <v/>
      </c>
      <c r="M875" s="1853">
        <f>IF(ISERROR(L875-L874),0,L875-L874)</f>
        <v>0</v>
      </c>
      <c r="N875" s="1851" cm="1">
        <f t="array" ref="N875">_xlfn.IFS(
    AND(I875=TRUE, K875&lt;=No_Regular_Payments), Repay_Amt,
    AND(I875=TRUE, K875=No_Regular_Payments+1), Tm_Balloon_Amt,
   TRUE, 0
)</f>
        <v>0</v>
      </c>
      <c r="O875" s="1850" cm="1">
        <f t="array" ref="O875">_xlfn.IFS(
    M875=0,0,
   ABS(N875 - S874 - P875-Q875) &lt; 1, N875 - S874-Q875,
    TRUE, P875
)</f>
        <v>0</v>
      </c>
      <c r="P875" s="1852">
        <f>IF(M875=0,0,ROUND(S874*EXP(Int_Rate/365.25 * M875)-S874,2))</f>
        <v>0</v>
      </c>
      <c r="Q875" s="1851" cm="1">
        <f t="array" ref="Q875">_xlfn.IFS(
    AND(I875=TRUE, K875&lt;=No_Regular_Payments), Periodic_Admin_Charge,
   TRUE, 0
)</f>
        <v>0</v>
      </c>
      <c r="R875" s="1850">
        <f>N875-O875-Q875</f>
        <v>0</v>
      </c>
      <c r="S875" s="1850">
        <f>ROUND(S874-R875,2)</f>
        <v>0</v>
      </c>
      <c r="T875" s="1850">
        <f>ROUND(T874-(N875-Q875),2)</f>
        <v>0</v>
      </c>
      <c r="U875" s="1849"/>
      <c r="W875" s="1848"/>
      <c r="X875" s="1848"/>
      <c r="Y875" s="1848"/>
    </row>
    <row r="876" spans="2:25" hidden="1">
      <c r="B876" s="1815" t="b">
        <f>AND(I876=FALSE,N875=0,Q875=0,L875="")</f>
        <v>1</v>
      </c>
      <c r="C876" s="1844" t="str" cm="1">
        <f t="array" ref="C876">_xlfn.IFS(
    L876="", "",
    MONTH(L876) &lt;= End_of_Year_Month, YEAR(L876),
    TRUE, YEAR(L876) + 1
)</f>
        <v/>
      </c>
      <c r="F876" s="1857">
        <f>IF(L876="",0,L876)</f>
        <v>0</v>
      </c>
      <c r="G876" s="1856">
        <f>-(N876-Q876)</f>
        <v>0</v>
      </c>
      <c r="I876" s="1815" t="b">
        <f>K876&lt;=Number_Payments</f>
        <v>0</v>
      </c>
      <c r="J876" s="1855"/>
      <c r="K876" s="1351">
        <f>K875+1</f>
        <v>750</v>
      </c>
      <c r="L876" s="1854" t="str" cm="1">
        <f t="array" ref="L876">_xlfn.IFS(
    I875=FALSE, "",
    Payment_Frequency="Monthly", EDATE(L875, 1),
    Payment_Frequency="Weekly", DATE(YEAR(L875), MONTH(L875), DAY(L875) + 7),
    Payment_Frequency="Fortnightly", DATE(YEAR(L875), MONTH(L875), DAY(L875) + 14),
    Payment_Frequency="Quarterly", DATE(YEAR(L875), MONTH(L875) + 3, DAY(L875)),
    Payment_Frequency="Yearly", DATE(YEAR(L875) + 1, MONTH(L875), DAY(L875)),
    TRUE, ""
)</f>
        <v/>
      </c>
      <c r="M876" s="1853">
        <f>IF(ISERROR(L876-L875),0,L876-L875)</f>
        <v>0</v>
      </c>
      <c r="N876" s="1851" cm="1">
        <f t="array" ref="N876">_xlfn.IFS(
    AND(I876=TRUE, K876&lt;=No_Regular_Payments), Repay_Amt,
    AND(I876=TRUE, K876=No_Regular_Payments+1), Tm_Balloon_Amt,
   TRUE, 0
)</f>
        <v>0</v>
      </c>
      <c r="O876" s="1850" cm="1">
        <f t="array" ref="O876">_xlfn.IFS(
    M876=0,0,
   ABS(N876 - S875 - P876-Q876) &lt; 1, N876 - S875-Q876,
    TRUE, P876
)</f>
        <v>0</v>
      </c>
      <c r="P876" s="1852">
        <f>IF(M876=0,0,ROUND(S875*EXP(Int_Rate/365.25 * M876)-S875,2))</f>
        <v>0</v>
      </c>
      <c r="Q876" s="1851" cm="1">
        <f t="array" ref="Q876">_xlfn.IFS(
    AND(I876=TRUE, K876&lt;=No_Regular_Payments), Periodic_Admin_Charge,
   TRUE, 0
)</f>
        <v>0</v>
      </c>
      <c r="R876" s="1850">
        <f>N876-O876-Q876</f>
        <v>0</v>
      </c>
      <c r="S876" s="1850">
        <f>ROUND(S875-R876,2)</f>
        <v>0</v>
      </c>
      <c r="T876" s="1850">
        <f>ROUND(T875-(N876-Q876),2)</f>
        <v>0</v>
      </c>
      <c r="U876" s="1849"/>
      <c r="W876" s="1848"/>
      <c r="X876" s="1848"/>
      <c r="Y876" s="1848"/>
    </row>
    <row r="877" spans="2:25" hidden="1">
      <c r="B877" s="1815" t="b">
        <f>AND(I877=FALSE,N876=0,Q876=0,L876="")</f>
        <v>1</v>
      </c>
      <c r="C877" s="1844" t="str" cm="1">
        <f t="array" ref="C877">_xlfn.IFS(
    L877="", "",
    MONTH(L877) &lt;= End_of_Year_Month, YEAR(L877),
    TRUE, YEAR(L877) + 1
)</f>
        <v/>
      </c>
      <c r="F877" s="1857">
        <f>IF(L877="",0,L877)</f>
        <v>0</v>
      </c>
      <c r="G877" s="1856">
        <f>-(N877-Q877)</f>
        <v>0</v>
      </c>
      <c r="I877" s="1815" t="b">
        <f>K877&lt;=Number_Payments</f>
        <v>0</v>
      </c>
      <c r="J877" s="1855"/>
      <c r="K877" s="1351">
        <f>K876+1</f>
        <v>751</v>
      </c>
      <c r="L877" s="1854" t="str" cm="1">
        <f t="array" ref="L877">_xlfn.IFS(
    I876=FALSE, "",
    Payment_Frequency="Monthly", EDATE(L876, 1),
    Payment_Frequency="Weekly", DATE(YEAR(L876), MONTH(L876), DAY(L876) + 7),
    Payment_Frequency="Fortnightly", DATE(YEAR(L876), MONTH(L876), DAY(L876) + 14),
    Payment_Frequency="Quarterly", DATE(YEAR(L876), MONTH(L876) + 3, DAY(L876)),
    Payment_Frequency="Yearly", DATE(YEAR(L876) + 1, MONTH(L876), DAY(L876)),
    TRUE, ""
)</f>
        <v/>
      </c>
      <c r="M877" s="1853">
        <f>IF(ISERROR(L877-L876),0,L877-L876)</f>
        <v>0</v>
      </c>
      <c r="N877" s="1851" cm="1">
        <f t="array" ref="N877">_xlfn.IFS(
    AND(I877=TRUE, K877&lt;=No_Regular_Payments), Repay_Amt,
    AND(I877=TRUE, K877=No_Regular_Payments+1), Tm_Balloon_Amt,
   TRUE, 0
)</f>
        <v>0</v>
      </c>
      <c r="O877" s="1850" cm="1">
        <f t="array" ref="O877">_xlfn.IFS(
    M877=0,0,
   ABS(N877 - S876 - P877-Q877) &lt; 1, N877 - S876-Q877,
    TRUE, P877
)</f>
        <v>0</v>
      </c>
      <c r="P877" s="1852">
        <f>IF(M877=0,0,ROUND(S876*EXP(Int_Rate/365.25 * M877)-S876,2))</f>
        <v>0</v>
      </c>
      <c r="Q877" s="1851" cm="1">
        <f t="array" ref="Q877">_xlfn.IFS(
    AND(I877=TRUE, K877&lt;=No_Regular_Payments), Periodic_Admin_Charge,
   TRUE, 0
)</f>
        <v>0</v>
      </c>
      <c r="R877" s="1850">
        <f>N877-O877-Q877</f>
        <v>0</v>
      </c>
      <c r="S877" s="1850">
        <f>ROUND(S876-R877,2)</f>
        <v>0</v>
      </c>
      <c r="T877" s="1850">
        <f>ROUND(T876-(N877-Q877),2)</f>
        <v>0</v>
      </c>
      <c r="U877" s="1849"/>
      <c r="W877" s="1848"/>
      <c r="X877" s="1848"/>
      <c r="Y877" s="1848"/>
    </row>
    <row r="878" spans="2:25" hidden="1">
      <c r="B878" s="1815" t="b">
        <f>AND(I878=FALSE,N877=0,Q877=0,L877="")</f>
        <v>1</v>
      </c>
      <c r="C878" s="1844" t="str" cm="1">
        <f t="array" ref="C878">_xlfn.IFS(
    L878="", "",
    MONTH(L878) &lt;= End_of_Year_Month, YEAR(L878),
    TRUE, YEAR(L878) + 1
)</f>
        <v/>
      </c>
      <c r="F878" s="1857">
        <f>IF(L878="",0,L878)</f>
        <v>0</v>
      </c>
      <c r="G878" s="1856">
        <f>-(N878-Q878)</f>
        <v>0</v>
      </c>
      <c r="I878" s="1815" t="b">
        <f>K878&lt;=Number_Payments</f>
        <v>0</v>
      </c>
      <c r="J878" s="1855"/>
      <c r="K878" s="1351">
        <f>K877+1</f>
        <v>752</v>
      </c>
      <c r="L878" s="1854" t="str" cm="1">
        <f t="array" ref="L878">_xlfn.IFS(
    I877=FALSE, "",
    Payment_Frequency="Monthly", EDATE(L877, 1),
    Payment_Frequency="Weekly", DATE(YEAR(L877), MONTH(L877), DAY(L877) + 7),
    Payment_Frequency="Fortnightly", DATE(YEAR(L877), MONTH(L877), DAY(L877) + 14),
    Payment_Frequency="Quarterly", DATE(YEAR(L877), MONTH(L877) + 3, DAY(L877)),
    Payment_Frequency="Yearly", DATE(YEAR(L877) + 1, MONTH(L877), DAY(L877)),
    TRUE, ""
)</f>
        <v/>
      </c>
      <c r="M878" s="1853">
        <f>IF(ISERROR(L878-L877),0,L878-L877)</f>
        <v>0</v>
      </c>
      <c r="N878" s="1851" cm="1">
        <f t="array" ref="N878">_xlfn.IFS(
    AND(I878=TRUE, K878&lt;=No_Regular_Payments), Repay_Amt,
    AND(I878=TRUE, K878=No_Regular_Payments+1), Tm_Balloon_Amt,
   TRUE, 0
)</f>
        <v>0</v>
      </c>
      <c r="O878" s="1850" cm="1">
        <f t="array" ref="O878">_xlfn.IFS(
    M878=0,0,
   ABS(N878 - S877 - P878-Q878) &lt; 1, N878 - S877-Q878,
    TRUE, P878
)</f>
        <v>0</v>
      </c>
      <c r="P878" s="1852">
        <f>IF(M878=0,0,ROUND(S877*EXP(Int_Rate/365.25 * M878)-S877,2))</f>
        <v>0</v>
      </c>
      <c r="Q878" s="1851" cm="1">
        <f t="array" ref="Q878">_xlfn.IFS(
    AND(I878=TRUE, K878&lt;=No_Regular_Payments), Periodic_Admin_Charge,
   TRUE, 0
)</f>
        <v>0</v>
      </c>
      <c r="R878" s="1850">
        <f>N878-O878-Q878</f>
        <v>0</v>
      </c>
      <c r="S878" s="1850">
        <f>ROUND(S877-R878,2)</f>
        <v>0</v>
      </c>
      <c r="T878" s="1850">
        <f>ROUND(T877-(N878-Q878),2)</f>
        <v>0</v>
      </c>
      <c r="U878" s="1849"/>
      <c r="W878" s="1848"/>
      <c r="X878" s="1848"/>
      <c r="Y878" s="1848"/>
    </row>
    <row r="879" spans="2:25" hidden="1">
      <c r="B879" s="1815" t="b">
        <f>AND(I879=FALSE,N878=0,Q878=0,L878="")</f>
        <v>1</v>
      </c>
      <c r="C879" s="1844" t="str" cm="1">
        <f t="array" ref="C879">_xlfn.IFS(
    L879="", "",
    MONTH(L879) &lt;= End_of_Year_Month, YEAR(L879),
    TRUE, YEAR(L879) + 1
)</f>
        <v/>
      </c>
      <c r="F879" s="1857">
        <f>IF(L879="",0,L879)</f>
        <v>0</v>
      </c>
      <c r="G879" s="1856">
        <f>-(N879-Q879)</f>
        <v>0</v>
      </c>
      <c r="I879" s="1815" t="b">
        <f>K879&lt;=Number_Payments</f>
        <v>0</v>
      </c>
      <c r="J879" s="1855"/>
      <c r="K879" s="1351">
        <f>K878+1</f>
        <v>753</v>
      </c>
      <c r="L879" s="1854" t="str" cm="1">
        <f t="array" ref="L879">_xlfn.IFS(
    I878=FALSE, "",
    Payment_Frequency="Monthly", EDATE(L878, 1),
    Payment_Frequency="Weekly", DATE(YEAR(L878), MONTH(L878), DAY(L878) + 7),
    Payment_Frequency="Fortnightly", DATE(YEAR(L878), MONTH(L878), DAY(L878) + 14),
    Payment_Frequency="Quarterly", DATE(YEAR(L878), MONTH(L878) + 3, DAY(L878)),
    Payment_Frequency="Yearly", DATE(YEAR(L878) + 1, MONTH(L878), DAY(L878)),
    TRUE, ""
)</f>
        <v/>
      </c>
      <c r="M879" s="1853">
        <f>IF(ISERROR(L879-L878),0,L879-L878)</f>
        <v>0</v>
      </c>
      <c r="N879" s="1851" cm="1">
        <f t="array" ref="N879">_xlfn.IFS(
    AND(I879=TRUE, K879&lt;=No_Regular_Payments), Repay_Amt,
    AND(I879=TRUE, K879=No_Regular_Payments+1), Tm_Balloon_Amt,
   TRUE, 0
)</f>
        <v>0</v>
      </c>
      <c r="O879" s="1850" cm="1">
        <f t="array" ref="O879">_xlfn.IFS(
    M879=0,0,
   ABS(N879 - S878 - P879-Q879) &lt; 1, N879 - S878-Q879,
    TRUE, P879
)</f>
        <v>0</v>
      </c>
      <c r="P879" s="1852">
        <f>IF(M879=0,0,ROUND(S878*EXP(Int_Rate/365.25 * M879)-S878,2))</f>
        <v>0</v>
      </c>
      <c r="Q879" s="1851" cm="1">
        <f t="array" ref="Q879">_xlfn.IFS(
    AND(I879=TRUE, K879&lt;=No_Regular_Payments), Periodic_Admin_Charge,
   TRUE, 0
)</f>
        <v>0</v>
      </c>
      <c r="R879" s="1850">
        <f>N879-O879-Q879</f>
        <v>0</v>
      </c>
      <c r="S879" s="1850">
        <f>ROUND(S878-R879,2)</f>
        <v>0</v>
      </c>
      <c r="T879" s="1850">
        <f>ROUND(T878-(N879-Q879),2)</f>
        <v>0</v>
      </c>
      <c r="U879" s="1849"/>
      <c r="W879" s="1848"/>
      <c r="X879" s="1848"/>
      <c r="Y879" s="1848"/>
    </row>
    <row r="880" spans="2:25" hidden="1">
      <c r="B880" s="1815" t="b">
        <f>AND(I880=FALSE,N879=0,Q879=0,L879="")</f>
        <v>1</v>
      </c>
      <c r="C880" s="1844" t="str" cm="1">
        <f t="array" ref="C880">_xlfn.IFS(
    L880="", "",
    MONTH(L880) &lt;= End_of_Year_Month, YEAR(L880),
    TRUE, YEAR(L880) + 1
)</f>
        <v/>
      </c>
      <c r="F880" s="1857">
        <f>IF(L880="",0,L880)</f>
        <v>0</v>
      </c>
      <c r="G880" s="1856">
        <f>-(N880-Q880)</f>
        <v>0</v>
      </c>
      <c r="I880" s="1815" t="b">
        <f>K880&lt;=Number_Payments</f>
        <v>0</v>
      </c>
      <c r="J880" s="1855"/>
      <c r="K880" s="1351">
        <f>K879+1</f>
        <v>754</v>
      </c>
      <c r="L880" s="1854" t="str" cm="1">
        <f t="array" ref="L880">_xlfn.IFS(
    I879=FALSE, "",
    Payment_Frequency="Monthly", EDATE(L879, 1),
    Payment_Frequency="Weekly", DATE(YEAR(L879), MONTH(L879), DAY(L879) + 7),
    Payment_Frequency="Fortnightly", DATE(YEAR(L879), MONTH(L879), DAY(L879) + 14),
    Payment_Frequency="Quarterly", DATE(YEAR(L879), MONTH(L879) + 3, DAY(L879)),
    Payment_Frequency="Yearly", DATE(YEAR(L879) + 1, MONTH(L879), DAY(L879)),
    TRUE, ""
)</f>
        <v/>
      </c>
      <c r="M880" s="1853">
        <f>IF(ISERROR(L880-L879),0,L880-L879)</f>
        <v>0</v>
      </c>
      <c r="N880" s="1851" cm="1">
        <f t="array" ref="N880">_xlfn.IFS(
    AND(I880=TRUE, K880&lt;=No_Regular_Payments), Repay_Amt,
    AND(I880=TRUE, K880=No_Regular_Payments+1), Tm_Balloon_Amt,
   TRUE, 0
)</f>
        <v>0</v>
      </c>
      <c r="O880" s="1850" cm="1">
        <f t="array" ref="O880">_xlfn.IFS(
    M880=0,0,
   ABS(N880 - S879 - P880-Q880) &lt; 1, N880 - S879-Q880,
    TRUE, P880
)</f>
        <v>0</v>
      </c>
      <c r="P880" s="1852">
        <f>IF(M880=0,0,ROUND(S879*EXP(Int_Rate/365.25 * M880)-S879,2))</f>
        <v>0</v>
      </c>
      <c r="Q880" s="1851" cm="1">
        <f t="array" ref="Q880">_xlfn.IFS(
    AND(I880=TRUE, K880&lt;=No_Regular_Payments), Periodic_Admin_Charge,
   TRUE, 0
)</f>
        <v>0</v>
      </c>
      <c r="R880" s="1850">
        <f>N880-O880-Q880</f>
        <v>0</v>
      </c>
      <c r="S880" s="1850">
        <f>ROUND(S879-R880,2)</f>
        <v>0</v>
      </c>
      <c r="T880" s="1850">
        <f>ROUND(T879-(N880-Q880),2)</f>
        <v>0</v>
      </c>
      <c r="U880" s="1849"/>
      <c r="W880" s="1848"/>
      <c r="X880" s="1848"/>
      <c r="Y880" s="1848"/>
    </row>
    <row r="881" spans="2:25" hidden="1">
      <c r="B881" s="1815" t="b">
        <f>AND(I881=FALSE,N880=0,Q880=0,L880="")</f>
        <v>1</v>
      </c>
      <c r="C881" s="1844" t="str" cm="1">
        <f t="array" ref="C881">_xlfn.IFS(
    L881="", "",
    MONTH(L881) &lt;= End_of_Year_Month, YEAR(L881),
    TRUE, YEAR(L881) + 1
)</f>
        <v/>
      </c>
      <c r="F881" s="1857">
        <f>IF(L881="",0,L881)</f>
        <v>0</v>
      </c>
      <c r="G881" s="1856">
        <f>-(N881-Q881)</f>
        <v>0</v>
      </c>
      <c r="I881" s="1815" t="b">
        <f>K881&lt;=Number_Payments</f>
        <v>0</v>
      </c>
      <c r="J881" s="1855"/>
      <c r="K881" s="1351">
        <f>K880+1</f>
        <v>755</v>
      </c>
      <c r="L881" s="1854" t="str" cm="1">
        <f t="array" ref="L881">_xlfn.IFS(
    I880=FALSE, "",
    Payment_Frequency="Monthly", EDATE(L880, 1),
    Payment_Frequency="Weekly", DATE(YEAR(L880), MONTH(L880), DAY(L880) + 7),
    Payment_Frequency="Fortnightly", DATE(YEAR(L880), MONTH(L880), DAY(L880) + 14),
    Payment_Frequency="Quarterly", DATE(YEAR(L880), MONTH(L880) + 3, DAY(L880)),
    Payment_Frequency="Yearly", DATE(YEAR(L880) + 1, MONTH(L880), DAY(L880)),
    TRUE, ""
)</f>
        <v/>
      </c>
      <c r="M881" s="1853">
        <f>IF(ISERROR(L881-L880),0,L881-L880)</f>
        <v>0</v>
      </c>
      <c r="N881" s="1851" cm="1">
        <f t="array" ref="N881">_xlfn.IFS(
    AND(I881=TRUE, K881&lt;=No_Regular_Payments), Repay_Amt,
    AND(I881=TRUE, K881=No_Regular_Payments+1), Tm_Balloon_Amt,
   TRUE, 0
)</f>
        <v>0</v>
      </c>
      <c r="O881" s="1850" cm="1">
        <f t="array" ref="O881">_xlfn.IFS(
    M881=0,0,
   ABS(N881 - S880 - P881-Q881) &lt; 1, N881 - S880-Q881,
    TRUE, P881
)</f>
        <v>0</v>
      </c>
      <c r="P881" s="1852">
        <f>IF(M881=0,0,ROUND(S880*EXP(Int_Rate/365.25 * M881)-S880,2))</f>
        <v>0</v>
      </c>
      <c r="Q881" s="1851" cm="1">
        <f t="array" ref="Q881">_xlfn.IFS(
    AND(I881=TRUE, K881&lt;=No_Regular_Payments), Periodic_Admin_Charge,
   TRUE, 0
)</f>
        <v>0</v>
      </c>
      <c r="R881" s="1850">
        <f>N881-O881-Q881</f>
        <v>0</v>
      </c>
      <c r="S881" s="1850">
        <f>ROUND(S880-R881,2)</f>
        <v>0</v>
      </c>
      <c r="T881" s="1850">
        <f>ROUND(T880-(N881-Q881),2)</f>
        <v>0</v>
      </c>
      <c r="U881" s="1849"/>
      <c r="W881" s="1848"/>
      <c r="X881" s="1848"/>
      <c r="Y881" s="1848"/>
    </row>
    <row r="882" spans="2:25" hidden="1">
      <c r="B882" s="1815" t="b">
        <f>AND(I882=FALSE,N881=0,Q881=0,L881="")</f>
        <v>1</v>
      </c>
      <c r="C882" s="1844" t="str" cm="1">
        <f t="array" ref="C882">_xlfn.IFS(
    L882="", "",
    MONTH(L882) &lt;= End_of_Year_Month, YEAR(L882),
    TRUE, YEAR(L882) + 1
)</f>
        <v/>
      </c>
      <c r="F882" s="1857">
        <f>IF(L882="",0,L882)</f>
        <v>0</v>
      </c>
      <c r="G882" s="1856">
        <f>-(N882-Q882)</f>
        <v>0</v>
      </c>
      <c r="I882" s="1815" t="b">
        <f>K882&lt;=Number_Payments</f>
        <v>0</v>
      </c>
      <c r="J882" s="1855"/>
      <c r="K882" s="1351">
        <f>K881+1</f>
        <v>756</v>
      </c>
      <c r="L882" s="1854" t="str" cm="1">
        <f t="array" ref="L882">_xlfn.IFS(
    I881=FALSE, "",
    Payment_Frequency="Monthly", EDATE(L881, 1),
    Payment_Frequency="Weekly", DATE(YEAR(L881), MONTH(L881), DAY(L881) + 7),
    Payment_Frequency="Fortnightly", DATE(YEAR(L881), MONTH(L881), DAY(L881) + 14),
    Payment_Frequency="Quarterly", DATE(YEAR(L881), MONTH(L881) + 3, DAY(L881)),
    Payment_Frequency="Yearly", DATE(YEAR(L881) + 1, MONTH(L881), DAY(L881)),
    TRUE, ""
)</f>
        <v/>
      </c>
      <c r="M882" s="1853">
        <f>IF(ISERROR(L882-L881),0,L882-L881)</f>
        <v>0</v>
      </c>
      <c r="N882" s="1851" cm="1">
        <f t="array" ref="N882">_xlfn.IFS(
    AND(I882=TRUE, K882&lt;=No_Regular_Payments), Repay_Amt,
    AND(I882=TRUE, K882=No_Regular_Payments+1), Tm_Balloon_Amt,
   TRUE, 0
)</f>
        <v>0</v>
      </c>
      <c r="O882" s="1850" cm="1">
        <f t="array" ref="O882">_xlfn.IFS(
    M882=0,0,
   ABS(N882 - S881 - P882-Q882) &lt; 1, N882 - S881-Q882,
    TRUE, P882
)</f>
        <v>0</v>
      </c>
      <c r="P882" s="1852">
        <f>IF(M882=0,0,ROUND(S881*EXP(Int_Rate/365.25 * M882)-S881,2))</f>
        <v>0</v>
      </c>
      <c r="Q882" s="1851" cm="1">
        <f t="array" ref="Q882">_xlfn.IFS(
    AND(I882=TRUE, K882&lt;=No_Regular_Payments), Periodic_Admin_Charge,
   TRUE, 0
)</f>
        <v>0</v>
      </c>
      <c r="R882" s="1850">
        <f>N882-O882-Q882</f>
        <v>0</v>
      </c>
      <c r="S882" s="1850">
        <f>ROUND(S881-R882,2)</f>
        <v>0</v>
      </c>
      <c r="T882" s="1850">
        <f>ROUND(T881-(N882-Q882),2)</f>
        <v>0</v>
      </c>
      <c r="U882" s="1849"/>
      <c r="W882" s="1848"/>
      <c r="X882" s="1848"/>
      <c r="Y882" s="1848"/>
    </row>
    <row r="883" spans="2:25" hidden="1">
      <c r="B883" s="1815" t="b">
        <f>AND(I883=FALSE,N882=0,Q882=0,L882="")</f>
        <v>1</v>
      </c>
      <c r="C883" s="1844" t="str" cm="1">
        <f t="array" ref="C883">_xlfn.IFS(
    L883="", "",
    MONTH(L883) &lt;= End_of_Year_Month, YEAR(L883),
    TRUE, YEAR(L883) + 1
)</f>
        <v/>
      </c>
      <c r="F883" s="1857">
        <f>IF(L883="",0,L883)</f>
        <v>0</v>
      </c>
      <c r="G883" s="1856">
        <f>-(N883-Q883)</f>
        <v>0</v>
      </c>
      <c r="I883" s="1815" t="b">
        <f>K883&lt;=Number_Payments</f>
        <v>0</v>
      </c>
      <c r="J883" s="1855"/>
      <c r="K883" s="1351">
        <f>K882+1</f>
        <v>757</v>
      </c>
      <c r="L883" s="1854" t="str" cm="1">
        <f t="array" ref="L883">_xlfn.IFS(
    I882=FALSE, "",
    Payment_Frequency="Monthly", EDATE(L882, 1),
    Payment_Frequency="Weekly", DATE(YEAR(L882), MONTH(L882), DAY(L882) + 7),
    Payment_Frequency="Fortnightly", DATE(YEAR(L882), MONTH(L882), DAY(L882) + 14),
    Payment_Frequency="Quarterly", DATE(YEAR(L882), MONTH(L882) + 3, DAY(L882)),
    Payment_Frequency="Yearly", DATE(YEAR(L882) + 1, MONTH(L882), DAY(L882)),
    TRUE, ""
)</f>
        <v/>
      </c>
      <c r="M883" s="1853">
        <f>IF(ISERROR(L883-L882),0,L883-L882)</f>
        <v>0</v>
      </c>
      <c r="N883" s="1851" cm="1">
        <f t="array" ref="N883">_xlfn.IFS(
    AND(I883=TRUE, K883&lt;=No_Regular_Payments), Repay_Amt,
    AND(I883=TRUE, K883=No_Regular_Payments+1), Tm_Balloon_Amt,
   TRUE, 0
)</f>
        <v>0</v>
      </c>
      <c r="O883" s="1850" cm="1">
        <f t="array" ref="O883">_xlfn.IFS(
    M883=0,0,
   ABS(N883 - S882 - P883-Q883) &lt; 1, N883 - S882-Q883,
    TRUE, P883
)</f>
        <v>0</v>
      </c>
      <c r="P883" s="1852">
        <f>IF(M883=0,0,ROUND(S882*EXP(Int_Rate/365.25 * M883)-S882,2))</f>
        <v>0</v>
      </c>
      <c r="Q883" s="1851" cm="1">
        <f t="array" ref="Q883">_xlfn.IFS(
    AND(I883=TRUE, K883&lt;=No_Regular_Payments), Periodic_Admin_Charge,
   TRUE, 0
)</f>
        <v>0</v>
      </c>
      <c r="R883" s="1850">
        <f>N883-O883-Q883</f>
        <v>0</v>
      </c>
      <c r="S883" s="1850">
        <f>ROUND(S882-R883,2)</f>
        <v>0</v>
      </c>
      <c r="T883" s="1850">
        <f>ROUND(T882-(N883-Q883),2)</f>
        <v>0</v>
      </c>
      <c r="U883" s="1849"/>
      <c r="W883" s="1848"/>
      <c r="X883" s="1848"/>
      <c r="Y883" s="1848"/>
    </row>
    <row r="884" spans="2:25" hidden="1">
      <c r="B884" s="1815" t="b">
        <f>AND(I884=FALSE,N883=0,Q883=0,L883="")</f>
        <v>1</v>
      </c>
      <c r="C884" s="1844" t="str" cm="1">
        <f t="array" ref="C884">_xlfn.IFS(
    L884="", "",
    MONTH(L884) &lt;= End_of_Year_Month, YEAR(L884),
    TRUE, YEAR(L884) + 1
)</f>
        <v/>
      </c>
      <c r="F884" s="1857">
        <f>IF(L884="",0,L884)</f>
        <v>0</v>
      </c>
      <c r="G884" s="1856">
        <f>-(N884-Q884)</f>
        <v>0</v>
      </c>
      <c r="I884" s="1815" t="b">
        <f>K884&lt;=Number_Payments</f>
        <v>0</v>
      </c>
      <c r="J884" s="1855"/>
      <c r="K884" s="1351">
        <f>K883+1</f>
        <v>758</v>
      </c>
      <c r="L884" s="1854" t="str" cm="1">
        <f t="array" ref="L884">_xlfn.IFS(
    I883=FALSE, "",
    Payment_Frequency="Monthly", EDATE(L883, 1),
    Payment_Frequency="Weekly", DATE(YEAR(L883), MONTH(L883), DAY(L883) + 7),
    Payment_Frequency="Fortnightly", DATE(YEAR(L883), MONTH(L883), DAY(L883) + 14),
    Payment_Frequency="Quarterly", DATE(YEAR(L883), MONTH(L883) + 3, DAY(L883)),
    Payment_Frequency="Yearly", DATE(YEAR(L883) + 1, MONTH(L883), DAY(L883)),
    TRUE, ""
)</f>
        <v/>
      </c>
      <c r="M884" s="1853">
        <f>IF(ISERROR(L884-L883),0,L884-L883)</f>
        <v>0</v>
      </c>
      <c r="N884" s="1851" cm="1">
        <f t="array" ref="N884">_xlfn.IFS(
    AND(I884=TRUE, K884&lt;=No_Regular_Payments), Repay_Amt,
    AND(I884=TRUE, K884=No_Regular_Payments+1), Tm_Balloon_Amt,
   TRUE, 0
)</f>
        <v>0</v>
      </c>
      <c r="O884" s="1850" cm="1">
        <f t="array" ref="O884">_xlfn.IFS(
    M884=0,0,
   ABS(N884 - S883 - P884-Q884) &lt; 1, N884 - S883-Q884,
    TRUE, P884
)</f>
        <v>0</v>
      </c>
      <c r="P884" s="1852">
        <f>IF(M884=0,0,ROUND(S883*EXP(Int_Rate/365.25 * M884)-S883,2))</f>
        <v>0</v>
      </c>
      <c r="Q884" s="1851" cm="1">
        <f t="array" ref="Q884">_xlfn.IFS(
    AND(I884=TRUE, K884&lt;=No_Regular_Payments), Periodic_Admin_Charge,
   TRUE, 0
)</f>
        <v>0</v>
      </c>
      <c r="R884" s="1850">
        <f>N884-O884-Q884</f>
        <v>0</v>
      </c>
      <c r="S884" s="1850">
        <f>ROUND(S883-R884,2)</f>
        <v>0</v>
      </c>
      <c r="T884" s="1850">
        <f>ROUND(T883-(N884-Q884),2)</f>
        <v>0</v>
      </c>
      <c r="U884" s="1849"/>
      <c r="W884" s="1848"/>
      <c r="X884" s="1848"/>
      <c r="Y884" s="1848"/>
    </row>
    <row r="885" spans="2:25" hidden="1">
      <c r="B885" s="1815" t="b">
        <f>AND(I885=FALSE,N884=0,Q884=0,L884="")</f>
        <v>1</v>
      </c>
      <c r="C885" s="1844" t="str" cm="1">
        <f t="array" ref="C885">_xlfn.IFS(
    L885="", "",
    MONTH(L885) &lt;= End_of_Year_Month, YEAR(L885),
    TRUE, YEAR(L885) + 1
)</f>
        <v/>
      </c>
      <c r="F885" s="1857">
        <f>IF(L885="",0,L885)</f>
        <v>0</v>
      </c>
      <c r="G885" s="1856">
        <f>-(N885-Q885)</f>
        <v>0</v>
      </c>
      <c r="I885" s="1815" t="b">
        <f>K885&lt;=Number_Payments</f>
        <v>0</v>
      </c>
      <c r="J885" s="1855"/>
      <c r="K885" s="1351">
        <f>K884+1</f>
        <v>759</v>
      </c>
      <c r="L885" s="1854" t="str" cm="1">
        <f t="array" ref="L885">_xlfn.IFS(
    I884=FALSE, "",
    Payment_Frequency="Monthly", EDATE(L884, 1),
    Payment_Frequency="Weekly", DATE(YEAR(L884), MONTH(L884), DAY(L884) + 7),
    Payment_Frequency="Fortnightly", DATE(YEAR(L884), MONTH(L884), DAY(L884) + 14),
    Payment_Frequency="Quarterly", DATE(YEAR(L884), MONTH(L884) + 3, DAY(L884)),
    Payment_Frequency="Yearly", DATE(YEAR(L884) + 1, MONTH(L884), DAY(L884)),
    TRUE, ""
)</f>
        <v/>
      </c>
      <c r="M885" s="1853">
        <f>IF(ISERROR(L885-L884),0,L885-L884)</f>
        <v>0</v>
      </c>
      <c r="N885" s="1851" cm="1">
        <f t="array" ref="N885">_xlfn.IFS(
    AND(I885=TRUE, K885&lt;=No_Regular_Payments), Repay_Amt,
    AND(I885=TRUE, K885=No_Regular_Payments+1), Tm_Balloon_Amt,
   TRUE, 0
)</f>
        <v>0</v>
      </c>
      <c r="O885" s="1850" cm="1">
        <f t="array" ref="O885">_xlfn.IFS(
    M885=0,0,
   ABS(N885 - S884 - P885-Q885) &lt; 1, N885 - S884-Q885,
    TRUE, P885
)</f>
        <v>0</v>
      </c>
      <c r="P885" s="1852">
        <f>IF(M885=0,0,ROUND(S884*EXP(Int_Rate/365.25 * M885)-S884,2))</f>
        <v>0</v>
      </c>
      <c r="Q885" s="1851" cm="1">
        <f t="array" ref="Q885">_xlfn.IFS(
    AND(I885=TRUE, K885&lt;=No_Regular_Payments), Periodic_Admin_Charge,
   TRUE, 0
)</f>
        <v>0</v>
      </c>
      <c r="R885" s="1850">
        <f>N885-O885-Q885</f>
        <v>0</v>
      </c>
      <c r="S885" s="1850">
        <f>ROUND(S884-R885,2)</f>
        <v>0</v>
      </c>
      <c r="T885" s="1850">
        <f>ROUND(T884-(N885-Q885),2)</f>
        <v>0</v>
      </c>
      <c r="U885" s="1849"/>
      <c r="W885" s="1848"/>
      <c r="X885" s="1848"/>
      <c r="Y885" s="1848"/>
    </row>
    <row r="886" spans="2:25" hidden="1">
      <c r="B886" s="1815" t="b">
        <f>AND(I886=FALSE,N885=0,Q885=0,L885="")</f>
        <v>1</v>
      </c>
      <c r="C886" s="1844" t="str" cm="1">
        <f t="array" ref="C886">_xlfn.IFS(
    L886="", "",
    MONTH(L886) &lt;= End_of_Year_Month, YEAR(L886),
    TRUE, YEAR(L886) + 1
)</f>
        <v/>
      </c>
      <c r="F886" s="1857">
        <f>IF(L886="",0,L886)</f>
        <v>0</v>
      </c>
      <c r="G886" s="1856">
        <f>-(N886-Q886)</f>
        <v>0</v>
      </c>
      <c r="I886" s="1815" t="b">
        <f>K886&lt;=Number_Payments</f>
        <v>0</v>
      </c>
      <c r="J886" s="1855"/>
      <c r="K886" s="1351">
        <f>K885+1</f>
        <v>760</v>
      </c>
      <c r="L886" s="1854" t="str" cm="1">
        <f t="array" ref="L886">_xlfn.IFS(
    I885=FALSE, "",
    Payment_Frequency="Monthly", EDATE(L885, 1),
    Payment_Frequency="Weekly", DATE(YEAR(L885), MONTH(L885), DAY(L885) + 7),
    Payment_Frequency="Fortnightly", DATE(YEAR(L885), MONTH(L885), DAY(L885) + 14),
    Payment_Frequency="Quarterly", DATE(YEAR(L885), MONTH(L885) + 3, DAY(L885)),
    Payment_Frequency="Yearly", DATE(YEAR(L885) + 1, MONTH(L885), DAY(L885)),
    TRUE, ""
)</f>
        <v/>
      </c>
      <c r="M886" s="1853">
        <f>IF(ISERROR(L886-L885),0,L886-L885)</f>
        <v>0</v>
      </c>
      <c r="N886" s="1851" cm="1">
        <f t="array" ref="N886">_xlfn.IFS(
    AND(I886=TRUE, K886&lt;=No_Regular_Payments), Repay_Amt,
    AND(I886=TRUE, K886=No_Regular_Payments+1), Tm_Balloon_Amt,
   TRUE, 0
)</f>
        <v>0</v>
      </c>
      <c r="O886" s="1850" cm="1">
        <f t="array" ref="O886">_xlfn.IFS(
    M886=0,0,
   ABS(N886 - S885 - P886-Q886) &lt; 1, N886 - S885-Q886,
    TRUE, P886
)</f>
        <v>0</v>
      </c>
      <c r="P886" s="1852">
        <f>IF(M886=0,0,ROUND(S885*EXP(Int_Rate/365.25 * M886)-S885,2))</f>
        <v>0</v>
      </c>
      <c r="Q886" s="1851" cm="1">
        <f t="array" ref="Q886">_xlfn.IFS(
    AND(I886=TRUE, K886&lt;=No_Regular_Payments), Periodic_Admin_Charge,
   TRUE, 0
)</f>
        <v>0</v>
      </c>
      <c r="R886" s="1850">
        <f>N886-O886-Q886</f>
        <v>0</v>
      </c>
      <c r="S886" s="1850">
        <f>ROUND(S885-R886,2)</f>
        <v>0</v>
      </c>
      <c r="T886" s="1850">
        <f>ROUND(T885-(N886-Q886),2)</f>
        <v>0</v>
      </c>
      <c r="U886" s="1849"/>
      <c r="W886" s="1848"/>
      <c r="X886" s="1848"/>
      <c r="Y886" s="1848"/>
    </row>
    <row r="887" spans="2:25" hidden="1">
      <c r="B887" s="1815" t="b">
        <f>AND(I887=FALSE,N886=0,Q886=0,L886="")</f>
        <v>1</v>
      </c>
      <c r="C887" s="1844" t="str" cm="1">
        <f t="array" ref="C887">_xlfn.IFS(
    L887="", "",
    MONTH(L887) &lt;= End_of_Year_Month, YEAR(L887),
    TRUE, YEAR(L887) + 1
)</f>
        <v/>
      </c>
      <c r="F887" s="1857">
        <f>IF(L887="",0,L887)</f>
        <v>0</v>
      </c>
      <c r="G887" s="1856">
        <f>-(N887-Q887)</f>
        <v>0</v>
      </c>
      <c r="I887" s="1815" t="b">
        <f>K887&lt;=Number_Payments</f>
        <v>0</v>
      </c>
      <c r="J887" s="1855"/>
      <c r="K887" s="1351">
        <f>K886+1</f>
        <v>761</v>
      </c>
      <c r="L887" s="1854" t="str" cm="1">
        <f t="array" ref="L887">_xlfn.IFS(
    I886=FALSE, "",
    Payment_Frequency="Monthly", EDATE(L886, 1),
    Payment_Frequency="Weekly", DATE(YEAR(L886), MONTH(L886), DAY(L886) + 7),
    Payment_Frequency="Fortnightly", DATE(YEAR(L886), MONTH(L886), DAY(L886) + 14),
    Payment_Frequency="Quarterly", DATE(YEAR(L886), MONTH(L886) + 3, DAY(L886)),
    Payment_Frequency="Yearly", DATE(YEAR(L886) + 1, MONTH(L886), DAY(L886)),
    TRUE, ""
)</f>
        <v/>
      </c>
      <c r="M887" s="1853">
        <f>IF(ISERROR(L887-L886),0,L887-L886)</f>
        <v>0</v>
      </c>
      <c r="N887" s="1851" cm="1">
        <f t="array" ref="N887">_xlfn.IFS(
    AND(I887=TRUE, K887&lt;=No_Regular_Payments), Repay_Amt,
    AND(I887=TRUE, K887=No_Regular_Payments+1), Tm_Balloon_Amt,
   TRUE, 0
)</f>
        <v>0</v>
      </c>
      <c r="O887" s="1850" cm="1">
        <f t="array" ref="O887">_xlfn.IFS(
    M887=0,0,
   ABS(N887 - S886 - P887-Q887) &lt; 1, N887 - S886-Q887,
    TRUE, P887
)</f>
        <v>0</v>
      </c>
      <c r="P887" s="1852">
        <f>IF(M887=0,0,ROUND(S886*EXP(Int_Rate/365.25 * M887)-S886,2))</f>
        <v>0</v>
      </c>
      <c r="Q887" s="1851" cm="1">
        <f t="array" ref="Q887">_xlfn.IFS(
    AND(I887=TRUE, K887&lt;=No_Regular_Payments), Periodic_Admin_Charge,
   TRUE, 0
)</f>
        <v>0</v>
      </c>
      <c r="R887" s="1850">
        <f>N887-O887-Q887</f>
        <v>0</v>
      </c>
      <c r="S887" s="1850">
        <f>ROUND(S886-R887,2)</f>
        <v>0</v>
      </c>
      <c r="T887" s="1850">
        <f>ROUND(T886-(N887-Q887),2)</f>
        <v>0</v>
      </c>
      <c r="U887" s="1849"/>
      <c r="W887" s="1848"/>
      <c r="X887" s="1848"/>
      <c r="Y887" s="1848"/>
    </row>
    <row r="888" spans="2:25" hidden="1">
      <c r="B888" s="1815" t="b">
        <f>AND(I888=FALSE,N887=0,Q887=0,L887="")</f>
        <v>1</v>
      </c>
      <c r="C888" s="1844" t="str" cm="1">
        <f t="array" ref="C888">_xlfn.IFS(
    L888="", "",
    MONTH(L888) &lt;= End_of_Year_Month, YEAR(L888),
    TRUE, YEAR(L888) + 1
)</f>
        <v/>
      </c>
      <c r="F888" s="1857">
        <f>IF(L888="",0,L888)</f>
        <v>0</v>
      </c>
      <c r="G888" s="1856">
        <f>-(N888-Q888)</f>
        <v>0</v>
      </c>
      <c r="I888" s="1815" t="b">
        <f>K888&lt;=Number_Payments</f>
        <v>0</v>
      </c>
      <c r="J888" s="1855"/>
      <c r="K888" s="1351">
        <f>K887+1</f>
        <v>762</v>
      </c>
      <c r="L888" s="1854" t="str" cm="1">
        <f t="array" ref="L888">_xlfn.IFS(
    I887=FALSE, "",
    Payment_Frequency="Monthly", EDATE(L887, 1),
    Payment_Frequency="Weekly", DATE(YEAR(L887), MONTH(L887), DAY(L887) + 7),
    Payment_Frequency="Fortnightly", DATE(YEAR(L887), MONTH(L887), DAY(L887) + 14),
    Payment_Frequency="Quarterly", DATE(YEAR(L887), MONTH(L887) + 3, DAY(L887)),
    Payment_Frequency="Yearly", DATE(YEAR(L887) + 1, MONTH(L887), DAY(L887)),
    TRUE, ""
)</f>
        <v/>
      </c>
      <c r="M888" s="1853">
        <f>IF(ISERROR(L888-L887),0,L888-L887)</f>
        <v>0</v>
      </c>
      <c r="N888" s="1851" cm="1">
        <f t="array" ref="N888">_xlfn.IFS(
    AND(I888=TRUE, K888&lt;=No_Regular_Payments), Repay_Amt,
    AND(I888=TRUE, K888=No_Regular_Payments+1), Tm_Balloon_Amt,
   TRUE, 0
)</f>
        <v>0</v>
      </c>
      <c r="O888" s="1850" cm="1">
        <f t="array" ref="O888">_xlfn.IFS(
    M888=0,0,
   ABS(N888 - S887 - P888-Q888) &lt; 1, N888 - S887-Q888,
    TRUE, P888
)</f>
        <v>0</v>
      </c>
      <c r="P888" s="1852">
        <f>IF(M888=0,0,ROUND(S887*EXP(Int_Rate/365.25 * M888)-S887,2))</f>
        <v>0</v>
      </c>
      <c r="Q888" s="1851" cm="1">
        <f t="array" ref="Q888">_xlfn.IFS(
    AND(I888=TRUE, K888&lt;=No_Regular_Payments), Periodic_Admin_Charge,
   TRUE, 0
)</f>
        <v>0</v>
      </c>
      <c r="R888" s="1850">
        <f>N888-O888-Q888</f>
        <v>0</v>
      </c>
      <c r="S888" s="1850">
        <f>ROUND(S887-R888,2)</f>
        <v>0</v>
      </c>
      <c r="T888" s="1850">
        <f>ROUND(T887-(N888-Q888),2)</f>
        <v>0</v>
      </c>
      <c r="U888" s="1849"/>
      <c r="W888" s="1848"/>
      <c r="X888" s="1848"/>
      <c r="Y888" s="1848"/>
    </row>
    <row r="889" spans="2:25" hidden="1">
      <c r="B889" s="1815" t="b">
        <f>AND(I889=FALSE,N888=0,Q888=0,L888="")</f>
        <v>1</v>
      </c>
      <c r="C889" s="1844" t="str" cm="1">
        <f t="array" ref="C889">_xlfn.IFS(
    L889="", "",
    MONTH(L889) &lt;= End_of_Year_Month, YEAR(L889),
    TRUE, YEAR(L889) + 1
)</f>
        <v/>
      </c>
      <c r="F889" s="1857">
        <f>IF(L889="",0,L889)</f>
        <v>0</v>
      </c>
      <c r="G889" s="1856">
        <f>-(N889-Q889)</f>
        <v>0</v>
      </c>
      <c r="I889" s="1815" t="b">
        <f>K889&lt;=Number_Payments</f>
        <v>0</v>
      </c>
      <c r="J889" s="1855"/>
      <c r="K889" s="1351">
        <f>K888+1</f>
        <v>763</v>
      </c>
      <c r="L889" s="1854" t="str" cm="1">
        <f t="array" ref="L889">_xlfn.IFS(
    I888=FALSE, "",
    Payment_Frequency="Monthly", EDATE(L888, 1),
    Payment_Frequency="Weekly", DATE(YEAR(L888), MONTH(L888), DAY(L888) + 7),
    Payment_Frequency="Fortnightly", DATE(YEAR(L888), MONTH(L888), DAY(L888) + 14),
    Payment_Frequency="Quarterly", DATE(YEAR(L888), MONTH(L888) + 3, DAY(L888)),
    Payment_Frequency="Yearly", DATE(YEAR(L888) + 1, MONTH(L888), DAY(L888)),
    TRUE, ""
)</f>
        <v/>
      </c>
      <c r="M889" s="1853">
        <f>IF(ISERROR(L889-L888),0,L889-L888)</f>
        <v>0</v>
      </c>
      <c r="N889" s="1851" cm="1">
        <f t="array" ref="N889">_xlfn.IFS(
    AND(I889=TRUE, K889&lt;=No_Regular_Payments), Repay_Amt,
    AND(I889=TRUE, K889=No_Regular_Payments+1), Tm_Balloon_Amt,
   TRUE, 0
)</f>
        <v>0</v>
      </c>
      <c r="O889" s="1850" cm="1">
        <f t="array" ref="O889">_xlfn.IFS(
    M889=0,0,
   ABS(N889 - S888 - P889-Q889) &lt; 1, N889 - S888-Q889,
    TRUE, P889
)</f>
        <v>0</v>
      </c>
      <c r="P889" s="1852">
        <f>IF(M889=0,0,ROUND(S888*EXP(Int_Rate/365.25 * M889)-S888,2))</f>
        <v>0</v>
      </c>
      <c r="Q889" s="1851" cm="1">
        <f t="array" ref="Q889">_xlfn.IFS(
    AND(I889=TRUE, K889&lt;=No_Regular_Payments), Periodic_Admin_Charge,
   TRUE, 0
)</f>
        <v>0</v>
      </c>
      <c r="R889" s="1850">
        <f>N889-O889-Q889</f>
        <v>0</v>
      </c>
      <c r="S889" s="1850">
        <f>ROUND(S888-R889,2)</f>
        <v>0</v>
      </c>
      <c r="T889" s="1850">
        <f>ROUND(T888-(N889-Q889),2)</f>
        <v>0</v>
      </c>
      <c r="U889" s="1849"/>
      <c r="W889" s="1848"/>
      <c r="X889" s="1848"/>
      <c r="Y889" s="1848"/>
    </row>
    <row r="890" spans="2:25" hidden="1">
      <c r="B890" s="1815" t="b">
        <f>AND(I890=FALSE,N889=0,Q889=0,L889="")</f>
        <v>1</v>
      </c>
      <c r="C890" s="1844" t="str" cm="1">
        <f t="array" ref="C890">_xlfn.IFS(
    L890="", "",
    MONTH(L890) &lt;= End_of_Year_Month, YEAR(L890),
    TRUE, YEAR(L890) + 1
)</f>
        <v/>
      </c>
      <c r="F890" s="1857">
        <f>IF(L890="",0,L890)</f>
        <v>0</v>
      </c>
      <c r="G890" s="1856">
        <f>-(N890-Q890)</f>
        <v>0</v>
      </c>
      <c r="I890" s="1815" t="b">
        <f>K890&lt;=Number_Payments</f>
        <v>0</v>
      </c>
      <c r="J890" s="1855"/>
      <c r="K890" s="1351">
        <f>K889+1</f>
        <v>764</v>
      </c>
      <c r="L890" s="1854" t="str" cm="1">
        <f t="array" ref="L890">_xlfn.IFS(
    I889=FALSE, "",
    Payment_Frequency="Monthly", EDATE(L889, 1),
    Payment_Frequency="Weekly", DATE(YEAR(L889), MONTH(L889), DAY(L889) + 7),
    Payment_Frequency="Fortnightly", DATE(YEAR(L889), MONTH(L889), DAY(L889) + 14),
    Payment_Frequency="Quarterly", DATE(YEAR(L889), MONTH(L889) + 3, DAY(L889)),
    Payment_Frequency="Yearly", DATE(YEAR(L889) + 1, MONTH(L889), DAY(L889)),
    TRUE, ""
)</f>
        <v/>
      </c>
      <c r="M890" s="1853">
        <f>IF(ISERROR(L890-L889),0,L890-L889)</f>
        <v>0</v>
      </c>
      <c r="N890" s="1851" cm="1">
        <f t="array" ref="N890">_xlfn.IFS(
    AND(I890=TRUE, K890&lt;=No_Regular_Payments), Repay_Amt,
    AND(I890=TRUE, K890=No_Regular_Payments+1), Tm_Balloon_Amt,
   TRUE, 0
)</f>
        <v>0</v>
      </c>
      <c r="O890" s="1850" cm="1">
        <f t="array" ref="O890">_xlfn.IFS(
    M890=0,0,
   ABS(N890 - S889 - P890-Q890) &lt; 1, N890 - S889-Q890,
    TRUE, P890
)</f>
        <v>0</v>
      </c>
      <c r="P890" s="1852">
        <f>IF(M890=0,0,ROUND(S889*EXP(Int_Rate/365.25 * M890)-S889,2))</f>
        <v>0</v>
      </c>
      <c r="Q890" s="1851" cm="1">
        <f t="array" ref="Q890">_xlfn.IFS(
    AND(I890=TRUE, K890&lt;=No_Regular_Payments), Periodic_Admin_Charge,
   TRUE, 0
)</f>
        <v>0</v>
      </c>
      <c r="R890" s="1850">
        <f>N890-O890-Q890</f>
        <v>0</v>
      </c>
      <c r="S890" s="1850">
        <f>ROUND(S889-R890,2)</f>
        <v>0</v>
      </c>
      <c r="T890" s="1850">
        <f>ROUND(T889-(N890-Q890),2)</f>
        <v>0</v>
      </c>
      <c r="U890" s="1849"/>
      <c r="W890" s="1848"/>
      <c r="X890" s="1848"/>
      <c r="Y890" s="1848"/>
    </row>
    <row r="891" spans="2:25" hidden="1">
      <c r="B891" s="1815" t="b">
        <f>AND(I891=FALSE,N890=0,Q890=0,L890="")</f>
        <v>1</v>
      </c>
      <c r="C891" s="1844" t="str" cm="1">
        <f t="array" ref="C891">_xlfn.IFS(
    L891="", "",
    MONTH(L891) &lt;= End_of_Year_Month, YEAR(L891),
    TRUE, YEAR(L891) + 1
)</f>
        <v/>
      </c>
      <c r="F891" s="1857">
        <f>IF(L891="",0,L891)</f>
        <v>0</v>
      </c>
      <c r="G891" s="1856">
        <f>-(N891-Q891)</f>
        <v>0</v>
      </c>
      <c r="I891" s="1815" t="b">
        <f>K891&lt;=Number_Payments</f>
        <v>0</v>
      </c>
      <c r="J891" s="1855"/>
      <c r="K891" s="1351">
        <f>K890+1</f>
        <v>765</v>
      </c>
      <c r="L891" s="1854" t="str" cm="1">
        <f t="array" ref="L891">_xlfn.IFS(
    I890=FALSE, "",
    Payment_Frequency="Monthly", EDATE(L890, 1),
    Payment_Frequency="Weekly", DATE(YEAR(L890), MONTH(L890), DAY(L890) + 7),
    Payment_Frequency="Fortnightly", DATE(YEAR(L890), MONTH(L890), DAY(L890) + 14),
    Payment_Frequency="Quarterly", DATE(YEAR(L890), MONTH(L890) + 3, DAY(L890)),
    Payment_Frequency="Yearly", DATE(YEAR(L890) + 1, MONTH(L890), DAY(L890)),
    TRUE, ""
)</f>
        <v/>
      </c>
      <c r="M891" s="1853">
        <f>IF(ISERROR(L891-L890),0,L891-L890)</f>
        <v>0</v>
      </c>
      <c r="N891" s="1851" cm="1">
        <f t="array" ref="N891">_xlfn.IFS(
    AND(I891=TRUE, K891&lt;=No_Regular_Payments), Repay_Amt,
    AND(I891=TRUE, K891=No_Regular_Payments+1), Tm_Balloon_Amt,
   TRUE, 0
)</f>
        <v>0</v>
      </c>
      <c r="O891" s="1850" cm="1">
        <f t="array" ref="O891">_xlfn.IFS(
    M891=0,0,
   ABS(N891 - S890 - P891-Q891) &lt; 1, N891 - S890-Q891,
    TRUE, P891
)</f>
        <v>0</v>
      </c>
      <c r="P891" s="1852">
        <f>IF(M891=0,0,ROUND(S890*EXP(Int_Rate/365.25 * M891)-S890,2))</f>
        <v>0</v>
      </c>
      <c r="Q891" s="1851" cm="1">
        <f t="array" ref="Q891">_xlfn.IFS(
    AND(I891=TRUE, K891&lt;=No_Regular_Payments), Periodic_Admin_Charge,
   TRUE, 0
)</f>
        <v>0</v>
      </c>
      <c r="R891" s="1850">
        <f>N891-O891-Q891</f>
        <v>0</v>
      </c>
      <c r="S891" s="1850">
        <f>ROUND(S890-R891,2)</f>
        <v>0</v>
      </c>
      <c r="T891" s="1850">
        <f>ROUND(T890-(N891-Q891),2)</f>
        <v>0</v>
      </c>
      <c r="U891" s="1849"/>
      <c r="W891" s="1848"/>
      <c r="X891" s="1848"/>
      <c r="Y891" s="1848"/>
    </row>
    <row r="892" spans="2:25" hidden="1">
      <c r="B892" s="1815" t="b">
        <f>AND(I892=FALSE,N891=0,Q891=0,L891="")</f>
        <v>1</v>
      </c>
      <c r="C892" s="1844" t="str" cm="1">
        <f t="array" ref="C892">_xlfn.IFS(
    L892="", "",
    MONTH(L892) &lt;= End_of_Year_Month, YEAR(L892),
    TRUE, YEAR(L892) + 1
)</f>
        <v/>
      </c>
      <c r="F892" s="1857">
        <f>IF(L892="",0,L892)</f>
        <v>0</v>
      </c>
      <c r="G892" s="1856">
        <f>-(N892-Q892)</f>
        <v>0</v>
      </c>
      <c r="I892" s="1815" t="b">
        <f>K892&lt;=Number_Payments</f>
        <v>0</v>
      </c>
      <c r="J892" s="1855"/>
      <c r="K892" s="1351">
        <f>K891+1</f>
        <v>766</v>
      </c>
      <c r="L892" s="1854" t="str" cm="1">
        <f t="array" ref="L892">_xlfn.IFS(
    I891=FALSE, "",
    Payment_Frequency="Monthly", EDATE(L891, 1),
    Payment_Frequency="Weekly", DATE(YEAR(L891), MONTH(L891), DAY(L891) + 7),
    Payment_Frequency="Fortnightly", DATE(YEAR(L891), MONTH(L891), DAY(L891) + 14),
    Payment_Frequency="Quarterly", DATE(YEAR(L891), MONTH(L891) + 3, DAY(L891)),
    Payment_Frequency="Yearly", DATE(YEAR(L891) + 1, MONTH(L891), DAY(L891)),
    TRUE, ""
)</f>
        <v/>
      </c>
      <c r="M892" s="1853">
        <f>IF(ISERROR(L892-L891),0,L892-L891)</f>
        <v>0</v>
      </c>
      <c r="N892" s="1851" cm="1">
        <f t="array" ref="N892">_xlfn.IFS(
    AND(I892=TRUE, K892&lt;=No_Regular_Payments), Repay_Amt,
    AND(I892=TRUE, K892=No_Regular_Payments+1), Tm_Balloon_Amt,
   TRUE, 0
)</f>
        <v>0</v>
      </c>
      <c r="O892" s="1850" cm="1">
        <f t="array" ref="O892">_xlfn.IFS(
    M892=0,0,
   ABS(N892 - S891 - P892-Q892) &lt; 1, N892 - S891-Q892,
    TRUE, P892
)</f>
        <v>0</v>
      </c>
      <c r="P892" s="1852">
        <f>IF(M892=0,0,ROUND(S891*EXP(Int_Rate/365.25 * M892)-S891,2))</f>
        <v>0</v>
      </c>
      <c r="Q892" s="1851" cm="1">
        <f t="array" ref="Q892">_xlfn.IFS(
    AND(I892=TRUE, K892&lt;=No_Regular_Payments), Periodic_Admin_Charge,
   TRUE, 0
)</f>
        <v>0</v>
      </c>
      <c r="R892" s="1850">
        <f>N892-O892-Q892</f>
        <v>0</v>
      </c>
      <c r="S892" s="1850">
        <f>ROUND(S891-R892,2)</f>
        <v>0</v>
      </c>
      <c r="T892" s="1850">
        <f>ROUND(T891-(N892-Q892),2)</f>
        <v>0</v>
      </c>
      <c r="U892" s="1849"/>
      <c r="W892" s="1848"/>
      <c r="X892" s="1848"/>
      <c r="Y892" s="1848"/>
    </row>
    <row r="893" spans="2:25" hidden="1">
      <c r="B893" s="1815" t="b">
        <f>AND(I893=FALSE,N892=0,Q892=0,L892="")</f>
        <v>1</v>
      </c>
      <c r="C893" s="1844" t="str" cm="1">
        <f t="array" ref="C893">_xlfn.IFS(
    L893="", "",
    MONTH(L893) &lt;= End_of_Year_Month, YEAR(L893),
    TRUE, YEAR(L893) + 1
)</f>
        <v/>
      </c>
      <c r="F893" s="1857">
        <f>IF(L893="",0,L893)</f>
        <v>0</v>
      </c>
      <c r="G893" s="1856">
        <f>-(N893-Q893)</f>
        <v>0</v>
      </c>
      <c r="I893" s="1815" t="b">
        <f>K893&lt;=Number_Payments</f>
        <v>0</v>
      </c>
      <c r="J893" s="1855"/>
      <c r="K893" s="1351">
        <f>K892+1</f>
        <v>767</v>
      </c>
      <c r="L893" s="1854" t="str" cm="1">
        <f t="array" ref="L893">_xlfn.IFS(
    I892=FALSE, "",
    Payment_Frequency="Monthly", EDATE(L892, 1),
    Payment_Frequency="Weekly", DATE(YEAR(L892), MONTH(L892), DAY(L892) + 7),
    Payment_Frequency="Fortnightly", DATE(YEAR(L892), MONTH(L892), DAY(L892) + 14),
    Payment_Frequency="Quarterly", DATE(YEAR(L892), MONTH(L892) + 3, DAY(L892)),
    Payment_Frequency="Yearly", DATE(YEAR(L892) + 1, MONTH(L892), DAY(L892)),
    TRUE, ""
)</f>
        <v/>
      </c>
      <c r="M893" s="1853">
        <f>IF(ISERROR(L893-L892),0,L893-L892)</f>
        <v>0</v>
      </c>
      <c r="N893" s="1851" cm="1">
        <f t="array" ref="N893">_xlfn.IFS(
    AND(I893=TRUE, K893&lt;=No_Regular_Payments), Repay_Amt,
    AND(I893=TRUE, K893=No_Regular_Payments+1), Tm_Balloon_Amt,
   TRUE, 0
)</f>
        <v>0</v>
      </c>
      <c r="O893" s="1850" cm="1">
        <f t="array" ref="O893">_xlfn.IFS(
    M893=0,0,
   ABS(N893 - S892 - P893-Q893) &lt; 1, N893 - S892-Q893,
    TRUE, P893
)</f>
        <v>0</v>
      </c>
      <c r="P893" s="1852">
        <f>IF(M893=0,0,ROUND(S892*EXP(Int_Rate/365.25 * M893)-S892,2))</f>
        <v>0</v>
      </c>
      <c r="Q893" s="1851" cm="1">
        <f t="array" ref="Q893">_xlfn.IFS(
    AND(I893=TRUE, K893&lt;=No_Regular_Payments), Periodic_Admin_Charge,
   TRUE, 0
)</f>
        <v>0</v>
      </c>
      <c r="R893" s="1850">
        <f>N893-O893-Q893</f>
        <v>0</v>
      </c>
      <c r="S893" s="1850">
        <f>ROUND(S892-R893,2)</f>
        <v>0</v>
      </c>
      <c r="T893" s="1850">
        <f>ROUND(T892-(N893-Q893),2)</f>
        <v>0</v>
      </c>
      <c r="U893" s="1849"/>
      <c r="W893" s="1848"/>
      <c r="X893" s="1848"/>
      <c r="Y893" s="1848"/>
    </row>
    <row r="894" spans="2:25" hidden="1">
      <c r="B894" s="1815" t="b">
        <f>AND(I894=FALSE,N893=0,Q893=0,L893="")</f>
        <v>1</v>
      </c>
      <c r="C894" s="1844" t="str" cm="1">
        <f t="array" ref="C894">_xlfn.IFS(
    L894="", "",
    MONTH(L894) &lt;= End_of_Year_Month, YEAR(L894),
    TRUE, YEAR(L894) + 1
)</f>
        <v/>
      </c>
      <c r="F894" s="1857">
        <f>IF(L894="",0,L894)</f>
        <v>0</v>
      </c>
      <c r="G894" s="1856">
        <f>-(N894-Q894)</f>
        <v>0</v>
      </c>
      <c r="I894" s="1815" t="b">
        <f>K894&lt;=Number_Payments</f>
        <v>0</v>
      </c>
      <c r="J894" s="1855"/>
      <c r="K894" s="1351">
        <f>K893+1</f>
        <v>768</v>
      </c>
      <c r="L894" s="1854" t="str" cm="1">
        <f t="array" ref="L894">_xlfn.IFS(
    I893=FALSE, "",
    Payment_Frequency="Monthly", EDATE(L893, 1),
    Payment_Frequency="Weekly", DATE(YEAR(L893), MONTH(L893), DAY(L893) + 7),
    Payment_Frequency="Fortnightly", DATE(YEAR(L893), MONTH(L893), DAY(L893) + 14),
    Payment_Frequency="Quarterly", DATE(YEAR(L893), MONTH(L893) + 3, DAY(L893)),
    Payment_Frequency="Yearly", DATE(YEAR(L893) + 1, MONTH(L893), DAY(L893)),
    TRUE, ""
)</f>
        <v/>
      </c>
      <c r="M894" s="1853">
        <f>IF(ISERROR(L894-L893),0,L894-L893)</f>
        <v>0</v>
      </c>
      <c r="N894" s="1851" cm="1">
        <f t="array" ref="N894">_xlfn.IFS(
    AND(I894=TRUE, K894&lt;=No_Regular_Payments), Repay_Amt,
    AND(I894=TRUE, K894=No_Regular_Payments+1), Tm_Balloon_Amt,
   TRUE, 0
)</f>
        <v>0</v>
      </c>
      <c r="O894" s="1850" cm="1">
        <f t="array" ref="O894">_xlfn.IFS(
    M894=0,0,
   ABS(N894 - S893 - P894-Q894) &lt; 1, N894 - S893-Q894,
    TRUE, P894
)</f>
        <v>0</v>
      </c>
      <c r="P894" s="1852">
        <f>IF(M894=0,0,ROUND(S893*EXP(Int_Rate/365.25 * M894)-S893,2))</f>
        <v>0</v>
      </c>
      <c r="Q894" s="1851" cm="1">
        <f t="array" ref="Q894">_xlfn.IFS(
    AND(I894=TRUE, K894&lt;=No_Regular_Payments), Periodic_Admin_Charge,
   TRUE, 0
)</f>
        <v>0</v>
      </c>
      <c r="R894" s="1850">
        <f>N894-O894-Q894</f>
        <v>0</v>
      </c>
      <c r="S894" s="1850">
        <f>ROUND(S893-R894,2)</f>
        <v>0</v>
      </c>
      <c r="T894" s="1850">
        <f>ROUND(T893-(N894-Q894),2)</f>
        <v>0</v>
      </c>
      <c r="U894" s="1849"/>
      <c r="W894" s="1848"/>
      <c r="X894" s="1848"/>
      <c r="Y894" s="1848"/>
    </row>
    <row r="895" spans="2:25" hidden="1">
      <c r="B895" s="1815" t="b">
        <f>AND(I895=FALSE,N894=0,Q894=0,L894="")</f>
        <v>1</v>
      </c>
      <c r="C895" s="1844" t="str" cm="1">
        <f t="array" ref="C895">_xlfn.IFS(
    L895="", "",
    MONTH(L895) &lt;= End_of_Year_Month, YEAR(L895),
    TRUE, YEAR(L895) + 1
)</f>
        <v/>
      </c>
      <c r="F895" s="1857">
        <f>IF(L895="",0,L895)</f>
        <v>0</v>
      </c>
      <c r="G895" s="1856">
        <f>-(N895-Q895)</f>
        <v>0</v>
      </c>
      <c r="I895" s="1815" t="b">
        <f>K895&lt;=Number_Payments</f>
        <v>0</v>
      </c>
      <c r="J895" s="1855"/>
      <c r="K895" s="1351">
        <f>K894+1</f>
        <v>769</v>
      </c>
      <c r="L895" s="1854" t="str" cm="1">
        <f t="array" ref="L895">_xlfn.IFS(
    I894=FALSE, "",
    Payment_Frequency="Monthly", EDATE(L894, 1),
    Payment_Frequency="Weekly", DATE(YEAR(L894), MONTH(L894), DAY(L894) + 7),
    Payment_Frequency="Fortnightly", DATE(YEAR(L894), MONTH(L894), DAY(L894) + 14),
    Payment_Frequency="Quarterly", DATE(YEAR(L894), MONTH(L894) + 3, DAY(L894)),
    Payment_Frequency="Yearly", DATE(YEAR(L894) + 1, MONTH(L894), DAY(L894)),
    TRUE, ""
)</f>
        <v/>
      </c>
      <c r="M895" s="1853">
        <f>IF(ISERROR(L895-L894),0,L895-L894)</f>
        <v>0</v>
      </c>
      <c r="N895" s="1851" cm="1">
        <f t="array" ref="N895">_xlfn.IFS(
    AND(I895=TRUE, K895&lt;=No_Regular_Payments), Repay_Amt,
    AND(I895=TRUE, K895=No_Regular_Payments+1), Tm_Balloon_Amt,
   TRUE, 0
)</f>
        <v>0</v>
      </c>
      <c r="O895" s="1850" cm="1">
        <f t="array" ref="O895">_xlfn.IFS(
    M895=0,0,
   ABS(N895 - S894 - P895-Q895) &lt; 1, N895 - S894-Q895,
    TRUE, P895
)</f>
        <v>0</v>
      </c>
      <c r="P895" s="1852">
        <f>IF(M895=0,0,ROUND(S894*EXP(Int_Rate/365.25 * M895)-S894,2))</f>
        <v>0</v>
      </c>
      <c r="Q895" s="1851" cm="1">
        <f t="array" ref="Q895">_xlfn.IFS(
    AND(I895=TRUE, K895&lt;=No_Regular_Payments), Periodic_Admin_Charge,
   TRUE, 0
)</f>
        <v>0</v>
      </c>
      <c r="R895" s="1850">
        <f>N895-O895-Q895</f>
        <v>0</v>
      </c>
      <c r="S895" s="1850">
        <f>ROUND(S894-R895,2)</f>
        <v>0</v>
      </c>
      <c r="T895" s="1850">
        <f>ROUND(T894-(N895-Q895),2)</f>
        <v>0</v>
      </c>
      <c r="U895" s="1849"/>
      <c r="W895" s="1848"/>
      <c r="X895" s="1848"/>
      <c r="Y895" s="1848"/>
    </row>
    <row r="896" spans="2:25" hidden="1">
      <c r="B896" s="1815" t="b">
        <f>AND(I896=FALSE,N895=0,Q895=0,L895="")</f>
        <v>1</v>
      </c>
      <c r="C896" s="1844" t="str" cm="1">
        <f t="array" ref="C896">_xlfn.IFS(
    L896="", "",
    MONTH(L896) &lt;= End_of_Year_Month, YEAR(L896),
    TRUE, YEAR(L896) + 1
)</f>
        <v/>
      </c>
      <c r="F896" s="1857">
        <f>IF(L896="",0,L896)</f>
        <v>0</v>
      </c>
      <c r="G896" s="1856">
        <f>-(N896-Q896)</f>
        <v>0</v>
      </c>
      <c r="I896" s="1815" t="b">
        <f>K896&lt;=Number_Payments</f>
        <v>0</v>
      </c>
      <c r="J896" s="1855"/>
      <c r="K896" s="1351">
        <f>K895+1</f>
        <v>770</v>
      </c>
      <c r="L896" s="1854" t="str" cm="1">
        <f t="array" ref="L896">_xlfn.IFS(
    I895=FALSE, "",
    Payment_Frequency="Monthly", EDATE(L895, 1),
    Payment_Frequency="Weekly", DATE(YEAR(L895), MONTH(L895), DAY(L895) + 7),
    Payment_Frequency="Fortnightly", DATE(YEAR(L895), MONTH(L895), DAY(L895) + 14),
    Payment_Frequency="Quarterly", DATE(YEAR(L895), MONTH(L895) + 3, DAY(L895)),
    Payment_Frequency="Yearly", DATE(YEAR(L895) + 1, MONTH(L895), DAY(L895)),
    TRUE, ""
)</f>
        <v/>
      </c>
      <c r="M896" s="1853">
        <f>IF(ISERROR(L896-L895),0,L896-L895)</f>
        <v>0</v>
      </c>
      <c r="N896" s="1851" cm="1">
        <f t="array" ref="N896">_xlfn.IFS(
    AND(I896=TRUE, K896&lt;=No_Regular_Payments), Repay_Amt,
    AND(I896=TRUE, K896=No_Regular_Payments+1), Tm_Balloon_Amt,
   TRUE, 0
)</f>
        <v>0</v>
      </c>
      <c r="O896" s="1850" cm="1">
        <f t="array" ref="O896">_xlfn.IFS(
    M896=0,0,
   ABS(N896 - S895 - P896-Q896) &lt; 1, N896 - S895-Q896,
    TRUE, P896
)</f>
        <v>0</v>
      </c>
      <c r="P896" s="1852">
        <f>IF(M896=0,0,ROUND(S895*EXP(Int_Rate/365.25 * M896)-S895,2))</f>
        <v>0</v>
      </c>
      <c r="Q896" s="1851" cm="1">
        <f t="array" ref="Q896">_xlfn.IFS(
    AND(I896=TRUE, K896&lt;=No_Regular_Payments), Periodic_Admin_Charge,
   TRUE, 0
)</f>
        <v>0</v>
      </c>
      <c r="R896" s="1850">
        <f>N896-O896-Q896</f>
        <v>0</v>
      </c>
      <c r="S896" s="1850">
        <f>ROUND(S895-R896,2)</f>
        <v>0</v>
      </c>
      <c r="T896" s="1850">
        <f>ROUND(T895-(N896-Q896),2)</f>
        <v>0</v>
      </c>
      <c r="U896" s="1849"/>
      <c r="W896" s="1848"/>
      <c r="X896" s="1848"/>
      <c r="Y896" s="1848"/>
    </row>
    <row r="897" spans="2:25" hidden="1">
      <c r="B897" s="1815" t="b">
        <f>AND(I897=FALSE,N896=0,Q896=0,L896="")</f>
        <v>1</v>
      </c>
      <c r="C897" s="1844" t="str" cm="1">
        <f t="array" ref="C897">_xlfn.IFS(
    L897="", "",
    MONTH(L897) &lt;= End_of_Year_Month, YEAR(L897),
    TRUE, YEAR(L897) + 1
)</f>
        <v/>
      </c>
      <c r="F897" s="1857">
        <f>IF(L897="",0,L897)</f>
        <v>0</v>
      </c>
      <c r="G897" s="1856">
        <f>-(N897-Q897)</f>
        <v>0</v>
      </c>
      <c r="I897" s="1815" t="b">
        <f>K897&lt;=Number_Payments</f>
        <v>0</v>
      </c>
      <c r="J897" s="1855"/>
      <c r="K897" s="1351">
        <f>K896+1</f>
        <v>771</v>
      </c>
      <c r="L897" s="1854" t="str" cm="1">
        <f t="array" ref="L897">_xlfn.IFS(
    I896=FALSE, "",
    Payment_Frequency="Monthly", EDATE(L896, 1),
    Payment_Frequency="Weekly", DATE(YEAR(L896), MONTH(L896), DAY(L896) + 7),
    Payment_Frequency="Fortnightly", DATE(YEAR(L896), MONTH(L896), DAY(L896) + 14),
    Payment_Frequency="Quarterly", DATE(YEAR(L896), MONTH(L896) + 3, DAY(L896)),
    Payment_Frequency="Yearly", DATE(YEAR(L896) + 1, MONTH(L896), DAY(L896)),
    TRUE, ""
)</f>
        <v/>
      </c>
      <c r="M897" s="1853">
        <f>IF(ISERROR(L897-L896),0,L897-L896)</f>
        <v>0</v>
      </c>
      <c r="N897" s="1851" cm="1">
        <f t="array" ref="N897">_xlfn.IFS(
    AND(I897=TRUE, K897&lt;=No_Regular_Payments), Repay_Amt,
    AND(I897=TRUE, K897=No_Regular_Payments+1), Tm_Balloon_Amt,
   TRUE, 0
)</f>
        <v>0</v>
      </c>
      <c r="O897" s="1850" cm="1">
        <f t="array" ref="O897">_xlfn.IFS(
    M897=0,0,
   ABS(N897 - S896 - P897-Q897) &lt; 1, N897 - S896-Q897,
    TRUE, P897
)</f>
        <v>0</v>
      </c>
      <c r="P897" s="1852">
        <f>IF(M897=0,0,ROUND(S896*EXP(Int_Rate/365.25 * M897)-S896,2))</f>
        <v>0</v>
      </c>
      <c r="Q897" s="1851" cm="1">
        <f t="array" ref="Q897">_xlfn.IFS(
    AND(I897=TRUE, K897&lt;=No_Regular_Payments), Periodic_Admin_Charge,
   TRUE, 0
)</f>
        <v>0</v>
      </c>
      <c r="R897" s="1850">
        <f>N897-O897-Q897</f>
        <v>0</v>
      </c>
      <c r="S897" s="1850">
        <f>ROUND(S896-R897,2)</f>
        <v>0</v>
      </c>
      <c r="T897" s="1850">
        <f>ROUND(T896-(N897-Q897),2)</f>
        <v>0</v>
      </c>
      <c r="U897" s="1849"/>
      <c r="W897" s="1848"/>
      <c r="X897" s="1848"/>
      <c r="Y897" s="1848"/>
    </row>
    <row r="898" spans="2:25" hidden="1">
      <c r="B898" s="1815" t="b">
        <f>AND(I898=FALSE,N897=0,Q897=0,L897="")</f>
        <v>1</v>
      </c>
      <c r="C898" s="1844" t="str" cm="1">
        <f t="array" ref="C898">_xlfn.IFS(
    L898="", "",
    MONTH(L898) &lt;= End_of_Year_Month, YEAR(L898),
    TRUE, YEAR(L898) + 1
)</f>
        <v/>
      </c>
      <c r="F898" s="1857">
        <f>IF(L898="",0,L898)</f>
        <v>0</v>
      </c>
      <c r="G898" s="1856">
        <f>-(N898-Q898)</f>
        <v>0</v>
      </c>
      <c r="I898" s="1815" t="b">
        <f>K898&lt;=Number_Payments</f>
        <v>0</v>
      </c>
      <c r="J898" s="1855"/>
      <c r="K898" s="1351">
        <f>K897+1</f>
        <v>772</v>
      </c>
      <c r="L898" s="1854" t="str" cm="1">
        <f t="array" ref="L898">_xlfn.IFS(
    I897=FALSE, "",
    Payment_Frequency="Monthly", EDATE(L897, 1),
    Payment_Frequency="Weekly", DATE(YEAR(L897), MONTH(L897), DAY(L897) + 7),
    Payment_Frequency="Fortnightly", DATE(YEAR(L897), MONTH(L897), DAY(L897) + 14),
    Payment_Frequency="Quarterly", DATE(YEAR(L897), MONTH(L897) + 3, DAY(L897)),
    Payment_Frequency="Yearly", DATE(YEAR(L897) + 1, MONTH(L897), DAY(L897)),
    TRUE, ""
)</f>
        <v/>
      </c>
      <c r="M898" s="1853">
        <f>IF(ISERROR(L898-L897),0,L898-L897)</f>
        <v>0</v>
      </c>
      <c r="N898" s="1851" cm="1">
        <f t="array" ref="N898">_xlfn.IFS(
    AND(I898=TRUE, K898&lt;=No_Regular_Payments), Repay_Amt,
    AND(I898=TRUE, K898=No_Regular_Payments+1), Tm_Balloon_Amt,
   TRUE, 0
)</f>
        <v>0</v>
      </c>
      <c r="O898" s="1850" cm="1">
        <f t="array" ref="O898">_xlfn.IFS(
    M898=0,0,
   ABS(N898 - S897 - P898-Q898) &lt; 1, N898 - S897-Q898,
    TRUE, P898
)</f>
        <v>0</v>
      </c>
      <c r="P898" s="1852">
        <f>IF(M898=0,0,ROUND(S897*EXP(Int_Rate/365.25 * M898)-S897,2))</f>
        <v>0</v>
      </c>
      <c r="Q898" s="1851" cm="1">
        <f t="array" ref="Q898">_xlfn.IFS(
    AND(I898=TRUE, K898&lt;=No_Regular_Payments), Periodic_Admin_Charge,
   TRUE, 0
)</f>
        <v>0</v>
      </c>
      <c r="R898" s="1850">
        <f>N898-O898-Q898</f>
        <v>0</v>
      </c>
      <c r="S898" s="1850">
        <f>ROUND(S897-R898,2)</f>
        <v>0</v>
      </c>
      <c r="T898" s="1850">
        <f>ROUND(T897-(N898-Q898),2)</f>
        <v>0</v>
      </c>
      <c r="U898" s="1849"/>
      <c r="W898" s="1848"/>
      <c r="X898" s="1848"/>
      <c r="Y898" s="1848"/>
    </row>
    <row r="899" spans="2:25" hidden="1">
      <c r="B899" s="1815" t="b">
        <f>AND(I899=FALSE,N898=0,Q898=0,L898="")</f>
        <v>1</v>
      </c>
      <c r="C899" s="1844" t="str" cm="1">
        <f t="array" ref="C899">_xlfn.IFS(
    L899="", "",
    MONTH(L899) &lt;= End_of_Year_Month, YEAR(L899),
    TRUE, YEAR(L899) + 1
)</f>
        <v/>
      </c>
      <c r="F899" s="1857">
        <f>IF(L899="",0,L899)</f>
        <v>0</v>
      </c>
      <c r="G899" s="1856">
        <f>-(N899-Q899)</f>
        <v>0</v>
      </c>
      <c r="I899" s="1815" t="b">
        <f>K899&lt;=Number_Payments</f>
        <v>0</v>
      </c>
      <c r="J899" s="1855"/>
      <c r="K899" s="1351">
        <f>K898+1</f>
        <v>773</v>
      </c>
      <c r="L899" s="1854" t="str" cm="1">
        <f t="array" ref="L899">_xlfn.IFS(
    I898=FALSE, "",
    Payment_Frequency="Monthly", EDATE(L898, 1),
    Payment_Frequency="Weekly", DATE(YEAR(L898), MONTH(L898), DAY(L898) + 7),
    Payment_Frequency="Fortnightly", DATE(YEAR(L898), MONTH(L898), DAY(L898) + 14),
    Payment_Frequency="Quarterly", DATE(YEAR(L898), MONTH(L898) + 3, DAY(L898)),
    Payment_Frequency="Yearly", DATE(YEAR(L898) + 1, MONTH(L898), DAY(L898)),
    TRUE, ""
)</f>
        <v/>
      </c>
      <c r="M899" s="1853">
        <f>IF(ISERROR(L899-L898),0,L899-L898)</f>
        <v>0</v>
      </c>
      <c r="N899" s="1851" cm="1">
        <f t="array" ref="N899">_xlfn.IFS(
    AND(I899=TRUE, K899&lt;=No_Regular_Payments), Repay_Amt,
    AND(I899=TRUE, K899=No_Regular_Payments+1), Tm_Balloon_Amt,
   TRUE, 0
)</f>
        <v>0</v>
      </c>
      <c r="O899" s="1850" cm="1">
        <f t="array" ref="O899">_xlfn.IFS(
    M899=0,0,
   ABS(N899 - S898 - P899-Q899) &lt; 1, N899 - S898-Q899,
    TRUE, P899
)</f>
        <v>0</v>
      </c>
      <c r="P899" s="1852">
        <f>IF(M899=0,0,ROUND(S898*EXP(Int_Rate/365.25 * M899)-S898,2))</f>
        <v>0</v>
      </c>
      <c r="Q899" s="1851" cm="1">
        <f t="array" ref="Q899">_xlfn.IFS(
    AND(I899=TRUE, K899&lt;=No_Regular_Payments), Periodic_Admin_Charge,
   TRUE, 0
)</f>
        <v>0</v>
      </c>
      <c r="R899" s="1850">
        <f>N899-O899-Q899</f>
        <v>0</v>
      </c>
      <c r="S899" s="1850">
        <f>ROUND(S898-R899,2)</f>
        <v>0</v>
      </c>
      <c r="T899" s="1850">
        <f>ROUND(T898-(N899-Q899),2)</f>
        <v>0</v>
      </c>
      <c r="U899" s="1849"/>
      <c r="W899" s="1848"/>
      <c r="X899" s="1848"/>
      <c r="Y899" s="1848"/>
    </row>
    <row r="900" spans="2:25" hidden="1">
      <c r="B900" s="1815" t="b">
        <f>AND(I900=FALSE,N899=0,Q899=0,L899="")</f>
        <v>1</v>
      </c>
      <c r="C900" s="1844" t="str" cm="1">
        <f t="array" ref="C900">_xlfn.IFS(
    L900="", "",
    MONTH(L900) &lt;= End_of_Year_Month, YEAR(L900),
    TRUE, YEAR(L900) + 1
)</f>
        <v/>
      </c>
      <c r="F900" s="1857">
        <f>IF(L900="",0,L900)</f>
        <v>0</v>
      </c>
      <c r="G900" s="1856">
        <f>-(N900-Q900)</f>
        <v>0</v>
      </c>
      <c r="I900" s="1815" t="b">
        <f>K900&lt;=Number_Payments</f>
        <v>0</v>
      </c>
      <c r="J900" s="1855"/>
      <c r="K900" s="1351">
        <f>K899+1</f>
        <v>774</v>
      </c>
      <c r="L900" s="1854" t="str" cm="1">
        <f t="array" ref="L900">_xlfn.IFS(
    I899=FALSE, "",
    Payment_Frequency="Monthly", EDATE(L899, 1),
    Payment_Frequency="Weekly", DATE(YEAR(L899), MONTH(L899), DAY(L899) + 7),
    Payment_Frequency="Fortnightly", DATE(YEAR(L899), MONTH(L899), DAY(L899) + 14),
    Payment_Frequency="Quarterly", DATE(YEAR(L899), MONTH(L899) + 3, DAY(L899)),
    Payment_Frequency="Yearly", DATE(YEAR(L899) + 1, MONTH(L899), DAY(L899)),
    TRUE, ""
)</f>
        <v/>
      </c>
      <c r="M900" s="1853">
        <f>IF(ISERROR(L900-L899),0,L900-L899)</f>
        <v>0</v>
      </c>
      <c r="N900" s="1851" cm="1">
        <f t="array" ref="N900">_xlfn.IFS(
    AND(I900=TRUE, K900&lt;=No_Regular_Payments), Repay_Amt,
    AND(I900=TRUE, K900=No_Regular_Payments+1), Tm_Balloon_Amt,
   TRUE, 0
)</f>
        <v>0</v>
      </c>
      <c r="O900" s="1850" cm="1">
        <f t="array" ref="O900">_xlfn.IFS(
    M900=0,0,
   ABS(N900 - S899 - P900-Q900) &lt; 1, N900 - S899-Q900,
    TRUE, P900
)</f>
        <v>0</v>
      </c>
      <c r="P900" s="1852">
        <f>IF(M900=0,0,ROUND(S899*EXP(Int_Rate/365.25 * M900)-S899,2))</f>
        <v>0</v>
      </c>
      <c r="Q900" s="1851" cm="1">
        <f t="array" ref="Q900">_xlfn.IFS(
    AND(I900=TRUE, K900&lt;=No_Regular_Payments), Periodic_Admin_Charge,
   TRUE, 0
)</f>
        <v>0</v>
      </c>
      <c r="R900" s="1850">
        <f>N900-O900-Q900</f>
        <v>0</v>
      </c>
      <c r="S900" s="1850">
        <f>ROUND(S899-R900,2)</f>
        <v>0</v>
      </c>
      <c r="T900" s="1850">
        <f>ROUND(T899-(N900-Q900),2)</f>
        <v>0</v>
      </c>
      <c r="U900" s="1849"/>
      <c r="W900" s="1848"/>
      <c r="X900" s="1848"/>
      <c r="Y900" s="1848"/>
    </row>
    <row r="901" spans="2:25" hidden="1">
      <c r="B901" s="1815" t="b">
        <f>AND(I901=FALSE,N900=0,Q900=0,L900="")</f>
        <v>1</v>
      </c>
      <c r="C901" s="1844" t="str" cm="1">
        <f t="array" ref="C901">_xlfn.IFS(
    L901="", "",
    MONTH(L901) &lt;= End_of_Year_Month, YEAR(L901),
    TRUE, YEAR(L901) + 1
)</f>
        <v/>
      </c>
      <c r="F901" s="1857">
        <f>IF(L901="",0,L901)</f>
        <v>0</v>
      </c>
      <c r="G901" s="1856">
        <f>-(N901-Q901)</f>
        <v>0</v>
      </c>
      <c r="I901" s="1815" t="b">
        <f>K901&lt;=Number_Payments</f>
        <v>0</v>
      </c>
      <c r="J901" s="1855"/>
      <c r="K901" s="1351">
        <f>K900+1</f>
        <v>775</v>
      </c>
      <c r="L901" s="1854" t="str" cm="1">
        <f t="array" ref="L901">_xlfn.IFS(
    I900=FALSE, "",
    Payment_Frequency="Monthly", EDATE(L900, 1),
    Payment_Frequency="Weekly", DATE(YEAR(L900), MONTH(L900), DAY(L900) + 7),
    Payment_Frequency="Fortnightly", DATE(YEAR(L900), MONTH(L900), DAY(L900) + 14),
    Payment_Frequency="Quarterly", DATE(YEAR(L900), MONTH(L900) + 3, DAY(L900)),
    Payment_Frequency="Yearly", DATE(YEAR(L900) + 1, MONTH(L900), DAY(L900)),
    TRUE, ""
)</f>
        <v/>
      </c>
      <c r="M901" s="1853">
        <f>IF(ISERROR(L901-L900),0,L901-L900)</f>
        <v>0</v>
      </c>
      <c r="N901" s="1851" cm="1">
        <f t="array" ref="N901">_xlfn.IFS(
    AND(I901=TRUE, K901&lt;=No_Regular_Payments), Repay_Amt,
    AND(I901=TRUE, K901=No_Regular_Payments+1), Tm_Balloon_Amt,
   TRUE, 0
)</f>
        <v>0</v>
      </c>
      <c r="O901" s="1850" cm="1">
        <f t="array" ref="O901">_xlfn.IFS(
    M901=0,0,
   ABS(N901 - S900 - P901-Q901) &lt; 1, N901 - S900-Q901,
    TRUE, P901
)</f>
        <v>0</v>
      </c>
      <c r="P901" s="1852">
        <f>IF(M901=0,0,ROUND(S900*EXP(Int_Rate/365.25 * M901)-S900,2))</f>
        <v>0</v>
      </c>
      <c r="Q901" s="1851" cm="1">
        <f t="array" ref="Q901">_xlfn.IFS(
    AND(I901=TRUE, K901&lt;=No_Regular_Payments), Periodic_Admin_Charge,
   TRUE, 0
)</f>
        <v>0</v>
      </c>
      <c r="R901" s="1850">
        <f>N901-O901-Q901</f>
        <v>0</v>
      </c>
      <c r="S901" s="1850">
        <f>ROUND(S900-R901,2)</f>
        <v>0</v>
      </c>
      <c r="T901" s="1850">
        <f>ROUND(T900-(N901-Q901),2)</f>
        <v>0</v>
      </c>
      <c r="U901" s="1849"/>
      <c r="W901" s="1848"/>
      <c r="X901" s="1848"/>
      <c r="Y901" s="1848"/>
    </row>
    <row r="902" spans="2:25" hidden="1">
      <c r="B902" s="1815" t="b">
        <f>AND(I902=FALSE,N901=0,Q901=0,L901="")</f>
        <v>1</v>
      </c>
      <c r="C902" s="1844" t="str" cm="1">
        <f t="array" ref="C902">_xlfn.IFS(
    L902="", "",
    MONTH(L902) &lt;= End_of_Year_Month, YEAR(L902),
    TRUE, YEAR(L902) + 1
)</f>
        <v/>
      </c>
      <c r="F902" s="1857">
        <f>IF(L902="",0,L902)</f>
        <v>0</v>
      </c>
      <c r="G902" s="1856">
        <f>-(N902-Q902)</f>
        <v>0</v>
      </c>
      <c r="I902" s="1815" t="b">
        <f>K902&lt;=Number_Payments</f>
        <v>0</v>
      </c>
      <c r="J902" s="1855"/>
      <c r="K902" s="1351">
        <f>K901+1</f>
        <v>776</v>
      </c>
      <c r="L902" s="1854" t="str" cm="1">
        <f t="array" ref="L902">_xlfn.IFS(
    I901=FALSE, "",
    Payment_Frequency="Monthly", EDATE(L901, 1),
    Payment_Frequency="Weekly", DATE(YEAR(L901), MONTH(L901), DAY(L901) + 7),
    Payment_Frequency="Fortnightly", DATE(YEAR(L901), MONTH(L901), DAY(L901) + 14),
    Payment_Frequency="Quarterly", DATE(YEAR(L901), MONTH(L901) + 3, DAY(L901)),
    Payment_Frequency="Yearly", DATE(YEAR(L901) + 1, MONTH(L901), DAY(L901)),
    TRUE, ""
)</f>
        <v/>
      </c>
      <c r="M902" s="1853">
        <f>IF(ISERROR(L902-L901),0,L902-L901)</f>
        <v>0</v>
      </c>
      <c r="N902" s="1851" cm="1">
        <f t="array" ref="N902">_xlfn.IFS(
    AND(I902=TRUE, K902&lt;=No_Regular_Payments), Repay_Amt,
    AND(I902=TRUE, K902=No_Regular_Payments+1), Tm_Balloon_Amt,
   TRUE, 0
)</f>
        <v>0</v>
      </c>
      <c r="O902" s="1850" cm="1">
        <f t="array" ref="O902">_xlfn.IFS(
    M902=0,0,
   ABS(N902 - S901 - P902-Q902) &lt; 1, N902 - S901-Q902,
    TRUE, P902
)</f>
        <v>0</v>
      </c>
      <c r="P902" s="1852">
        <f>IF(M902=0,0,ROUND(S901*EXP(Int_Rate/365.25 * M902)-S901,2))</f>
        <v>0</v>
      </c>
      <c r="Q902" s="1851" cm="1">
        <f t="array" ref="Q902">_xlfn.IFS(
    AND(I902=TRUE, K902&lt;=No_Regular_Payments), Periodic_Admin_Charge,
   TRUE, 0
)</f>
        <v>0</v>
      </c>
      <c r="R902" s="1850">
        <f>N902-O902-Q902</f>
        <v>0</v>
      </c>
      <c r="S902" s="1850">
        <f>ROUND(S901-R902,2)</f>
        <v>0</v>
      </c>
      <c r="T902" s="1850">
        <f>ROUND(T901-(N902-Q902),2)</f>
        <v>0</v>
      </c>
      <c r="U902" s="1849"/>
      <c r="W902" s="1848"/>
      <c r="X902" s="1848"/>
      <c r="Y902" s="1848"/>
    </row>
    <row r="903" spans="2:25" hidden="1">
      <c r="B903" s="1815" t="b">
        <f>AND(I903=FALSE,N902=0,Q902=0,L902="")</f>
        <v>1</v>
      </c>
      <c r="C903" s="1844" t="str" cm="1">
        <f t="array" ref="C903">_xlfn.IFS(
    L903="", "",
    MONTH(L903) &lt;= End_of_Year_Month, YEAR(L903),
    TRUE, YEAR(L903) + 1
)</f>
        <v/>
      </c>
      <c r="F903" s="1857">
        <f>IF(L903="",0,L903)</f>
        <v>0</v>
      </c>
      <c r="G903" s="1856">
        <f>-(N903-Q903)</f>
        <v>0</v>
      </c>
      <c r="I903" s="1815" t="b">
        <f>K903&lt;=Number_Payments</f>
        <v>0</v>
      </c>
      <c r="J903" s="1855"/>
      <c r="K903" s="1351">
        <f>K902+1</f>
        <v>777</v>
      </c>
      <c r="L903" s="1854" t="str" cm="1">
        <f t="array" ref="L903">_xlfn.IFS(
    I902=FALSE, "",
    Payment_Frequency="Monthly", EDATE(L902, 1),
    Payment_Frequency="Weekly", DATE(YEAR(L902), MONTH(L902), DAY(L902) + 7),
    Payment_Frequency="Fortnightly", DATE(YEAR(L902), MONTH(L902), DAY(L902) + 14),
    Payment_Frequency="Quarterly", DATE(YEAR(L902), MONTH(L902) + 3, DAY(L902)),
    Payment_Frequency="Yearly", DATE(YEAR(L902) + 1, MONTH(L902), DAY(L902)),
    TRUE, ""
)</f>
        <v/>
      </c>
      <c r="M903" s="1853">
        <f>IF(ISERROR(L903-L902),0,L903-L902)</f>
        <v>0</v>
      </c>
      <c r="N903" s="1851" cm="1">
        <f t="array" ref="N903">_xlfn.IFS(
    AND(I903=TRUE, K903&lt;=No_Regular_Payments), Repay_Amt,
    AND(I903=TRUE, K903=No_Regular_Payments+1), Tm_Balloon_Amt,
   TRUE, 0
)</f>
        <v>0</v>
      </c>
      <c r="O903" s="1850" cm="1">
        <f t="array" ref="O903">_xlfn.IFS(
    M903=0,0,
   ABS(N903 - S902 - P903-Q903) &lt; 1, N903 - S902-Q903,
    TRUE, P903
)</f>
        <v>0</v>
      </c>
      <c r="P903" s="1852">
        <f>IF(M903=0,0,ROUND(S902*EXP(Int_Rate/365.25 * M903)-S902,2))</f>
        <v>0</v>
      </c>
      <c r="Q903" s="1851" cm="1">
        <f t="array" ref="Q903">_xlfn.IFS(
    AND(I903=TRUE, K903&lt;=No_Regular_Payments), Periodic_Admin_Charge,
   TRUE, 0
)</f>
        <v>0</v>
      </c>
      <c r="R903" s="1850">
        <f>N903-O903-Q903</f>
        <v>0</v>
      </c>
      <c r="S903" s="1850">
        <f>ROUND(S902-R903,2)</f>
        <v>0</v>
      </c>
      <c r="T903" s="1850">
        <f>ROUND(T902-(N903-Q903),2)</f>
        <v>0</v>
      </c>
      <c r="U903" s="1849"/>
      <c r="W903" s="1848"/>
      <c r="X903" s="1848"/>
      <c r="Y903" s="1848"/>
    </row>
    <row r="904" spans="2:25" hidden="1">
      <c r="B904" s="1815" t="b">
        <f>AND(I904=FALSE,N903=0,Q903=0,L903="")</f>
        <v>1</v>
      </c>
      <c r="C904" s="1844" t="str" cm="1">
        <f t="array" ref="C904">_xlfn.IFS(
    L904="", "",
    MONTH(L904) &lt;= End_of_Year_Month, YEAR(L904),
    TRUE, YEAR(L904) + 1
)</f>
        <v/>
      </c>
      <c r="F904" s="1857">
        <f>IF(L904="",0,L904)</f>
        <v>0</v>
      </c>
      <c r="G904" s="1856">
        <f>-(N904-Q904)</f>
        <v>0</v>
      </c>
      <c r="I904" s="1815" t="b">
        <f>K904&lt;=Number_Payments</f>
        <v>0</v>
      </c>
      <c r="J904" s="1855"/>
      <c r="K904" s="1351">
        <f>K903+1</f>
        <v>778</v>
      </c>
      <c r="L904" s="1854" t="str" cm="1">
        <f t="array" ref="L904">_xlfn.IFS(
    I903=FALSE, "",
    Payment_Frequency="Monthly", EDATE(L903, 1),
    Payment_Frequency="Weekly", DATE(YEAR(L903), MONTH(L903), DAY(L903) + 7),
    Payment_Frequency="Fortnightly", DATE(YEAR(L903), MONTH(L903), DAY(L903) + 14),
    Payment_Frequency="Quarterly", DATE(YEAR(L903), MONTH(L903) + 3, DAY(L903)),
    Payment_Frequency="Yearly", DATE(YEAR(L903) + 1, MONTH(L903), DAY(L903)),
    TRUE, ""
)</f>
        <v/>
      </c>
      <c r="M904" s="1853">
        <f>IF(ISERROR(L904-L903),0,L904-L903)</f>
        <v>0</v>
      </c>
      <c r="N904" s="1851" cm="1">
        <f t="array" ref="N904">_xlfn.IFS(
    AND(I904=TRUE, K904&lt;=No_Regular_Payments), Repay_Amt,
    AND(I904=TRUE, K904=No_Regular_Payments+1), Tm_Balloon_Amt,
   TRUE, 0
)</f>
        <v>0</v>
      </c>
      <c r="O904" s="1850" cm="1">
        <f t="array" ref="O904">_xlfn.IFS(
    M904=0,0,
   ABS(N904 - S903 - P904-Q904) &lt; 1, N904 - S903-Q904,
    TRUE, P904
)</f>
        <v>0</v>
      </c>
      <c r="P904" s="1852">
        <f>IF(M904=0,0,ROUND(S903*EXP(Int_Rate/365.25 * M904)-S903,2))</f>
        <v>0</v>
      </c>
      <c r="Q904" s="1851" cm="1">
        <f t="array" ref="Q904">_xlfn.IFS(
    AND(I904=TRUE, K904&lt;=No_Regular_Payments), Periodic_Admin_Charge,
   TRUE, 0
)</f>
        <v>0</v>
      </c>
      <c r="R904" s="1850">
        <f>N904-O904-Q904</f>
        <v>0</v>
      </c>
      <c r="S904" s="1850">
        <f>ROUND(S903-R904,2)</f>
        <v>0</v>
      </c>
      <c r="T904" s="1850">
        <f>ROUND(T903-(N904-Q904),2)</f>
        <v>0</v>
      </c>
      <c r="U904" s="1849"/>
      <c r="W904" s="1848"/>
      <c r="X904" s="1848"/>
      <c r="Y904" s="1848"/>
    </row>
    <row r="905" spans="2:25" hidden="1">
      <c r="B905" s="1815" t="b">
        <f>AND(I905=FALSE,N904=0,Q904=0,L904="")</f>
        <v>1</v>
      </c>
      <c r="C905" s="1844" t="str" cm="1">
        <f t="array" ref="C905">_xlfn.IFS(
    L905="", "",
    MONTH(L905) &lt;= End_of_Year_Month, YEAR(L905),
    TRUE, YEAR(L905) + 1
)</f>
        <v/>
      </c>
      <c r="F905" s="1857">
        <f>IF(L905="",0,L905)</f>
        <v>0</v>
      </c>
      <c r="G905" s="1856">
        <f>-(N905-Q905)</f>
        <v>0</v>
      </c>
      <c r="I905" s="1815" t="b">
        <f>K905&lt;=Number_Payments</f>
        <v>0</v>
      </c>
      <c r="J905" s="1855"/>
      <c r="K905" s="1351">
        <f>K904+1</f>
        <v>779</v>
      </c>
      <c r="L905" s="1854" t="str" cm="1">
        <f t="array" ref="L905">_xlfn.IFS(
    I904=FALSE, "",
    Payment_Frequency="Monthly", EDATE(L904, 1),
    Payment_Frequency="Weekly", DATE(YEAR(L904), MONTH(L904), DAY(L904) + 7),
    Payment_Frequency="Fortnightly", DATE(YEAR(L904), MONTH(L904), DAY(L904) + 14),
    Payment_Frequency="Quarterly", DATE(YEAR(L904), MONTH(L904) + 3, DAY(L904)),
    Payment_Frequency="Yearly", DATE(YEAR(L904) + 1, MONTH(L904), DAY(L904)),
    TRUE, ""
)</f>
        <v/>
      </c>
      <c r="M905" s="1853">
        <f>IF(ISERROR(L905-L904),0,L905-L904)</f>
        <v>0</v>
      </c>
      <c r="N905" s="1851" cm="1">
        <f t="array" ref="N905">_xlfn.IFS(
    AND(I905=TRUE, K905&lt;=No_Regular_Payments), Repay_Amt,
    AND(I905=TRUE, K905=No_Regular_Payments+1), Tm_Balloon_Amt,
   TRUE, 0
)</f>
        <v>0</v>
      </c>
      <c r="O905" s="1850" cm="1">
        <f t="array" ref="O905">_xlfn.IFS(
    M905=0,0,
   ABS(N905 - S904 - P905-Q905) &lt; 1, N905 - S904-Q905,
    TRUE, P905
)</f>
        <v>0</v>
      </c>
      <c r="P905" s="1852">
        <f>IF(M905=0,0,ROUND(S904*EXP(Int_Rate/365.25 * M905)-S904,2))</f>
        <v>0</v>
      </c>
      <c r="Q905" s="1851" cm="1">
        <f t="array" ref="Q905">_xlfn.IFS(
    AND(I905=TRUE, K905&lt;=No_Regular_Payments), Periodic_Admin_Charge,
   TRUE, 0
)</f>
        <v>0</v>
      </c>
      <c r="R905" s="1850">
        <f>N905-O905-Q905</f>
        <v>0</v>
      </c>
      <c r="S905" s="1850">
        <f>ROUND(S904-R905,2)</f>
        <v>0</v>
      </c>
      <c r="T905" s="1850">
        <f>ROUND(T904-(N905-Q905),2)</f>
        <v>0</v>
      </c>
      <c r="U905" s="1849"/>
      <c r="W905" s="1848"/>
      <c r="X905" s="1848"/>
      <c r="Y905" s="1848"/>
    </row>
    <row r="906" spans="2:25" hidden="1">
      <c r="B906" s="1815" t="b">
        <f>AND(I906=FALSE,N905=0,Q905=0,L905="")</f>
        <v>1</v>
      </c>
      <c r="C906" s="1844" t="str" cm="1">
        <f t="array" ref="C906">_xlfn.IFS(
    L906="", "",
    MONTH(L906) &lt;= End_of_Year_Month, YEAR(L906),
    TRUE, YEAR(L906) + 1
)</f>
        <v/>
      </c>
      <c r="F906" s="1857">
        <f>IF(L906="",0,L906)</f>
        <v>0</v>
      </c>
      <c r="G906" s="1856">
        <f>-(N906-Q906)</f>
        <v>0</v>
      </c>
      <c r="I906" s="1815" t="b">
        <f>K906&lt;=Number_Payments</f>
        <v>0</v>
      </c>
      <c r="J906" s="1855"/>
      <c r="K906" s="1351">
        <f>K905+1</f>
        <v>780</v>
      </c>
      <c r="L906" s="1854" t="str" cm="1">
        <f t="array" ref="L906">_xlfn.IFS(
    I905=FALSE, "",
    Payment_Frequency="Monthly", EDATE(L905, 1),
    Payment_Frequency="Weekly", DATE(YEAR(L905), MONTH(L905), DAY(L905) + 7),
    Payment_Frequency="Fortnightly", DATE(YEAR(L905), MONTH(L905), DAY(L905) + 14),
    Payment_Frequency="Quarterly", DATE(YEAR(L905), MONTH(L905) + 3, DAY(L905)),
    Payment_Frequency="Yearly", DATE(YEAR(L905) + 1, MONTH(L905), DAY(L905)),
    TRUE, ""
)</f>
        <v/>
      </c>
      <c r="M906" s="1853">
        <f>IF(ISERROR(L906-L905),0,L906-L905)</f>
        <v>0</v>
      </c>
      <c r="N906" s="1851" cm="1">
        <f t="array" ref="N906">_xlfn.IFS(
    AND(I906=TRUE, K906&lt;=No_Regular_Payments), Repay_Amt,
    AND(I906=TRUE, K906=No_Regular_Payments+1), Tm_Balloon_Amt,
   TRUE, 0
)</f>
        <v>0</v>
      </c>
      <c r="O906" s="1850" cm="1">
        <f t="array" ref="O906">_xlfn.IFS(
    M906=0,0,
   ABS(N906 - S905 - P906-Q906) &lt; 1, N906 - S905-Q906,
    TRUE, P906
)</f>
        <v>0</v>
      </c>
      <c r="P906" s="1852">
        <f>IF(M906=0,0,ROUND(S905*EXP(Int_Rate/365.25 * M906)-S905,2))</f>
        <v>0</v>
      </c>
      <c r="Q906" s="1851" cm="1">
        <f t="array" ref="Q906">_xlfn.IFS(
    AND(I906=TRUE, K906&lt;=No_Regular_Payments), Periodic_Admin_Charge,
   TRUE, 0
)</f>
        <v>0</v>
      </c>
      <c r="R906" s="1850">
        <f>N906-O906-Q906</f>
        <v>0</v>
      </c>
      <c r="S906" s="1850">
        <f>ROUND(S905-R906,2)</f>
        <v>0</v>
      </c>
      <c r="T906" s="1850">
        <f>ROUND(T905-(N906-Q906),2)</f>
        <v>0</v>
      </c>
      <c r="U906" s="1849"/>
      <c r="W906" s="1848"/>
      <c r="X906" s="1848"/>
      <c r="Y906" s="1848"/>
    </row>
    <row r="907" spans="2:25" hidden="1">
      <c r="B907" s="1815" t="b">
        <f>AND(I907=FALSE,N906=0,Q906=0,L906="")</f>
        <v>1</v>
      </c>
      <c r="C907" s="1844" t="str" cm="1">
        <f t="array" ref="C907">_xlfn.IFS(
    L907="", "",
    MONTH(L907) &lt;= End_of_Year_Month, YEAR(L907),
    TRUE, YEAR(L907) + 1
)</f>
        <v/>
      </c>
      <c r="F907" s="1857">
        <f>IF(L907="",0,L907)</f>
        <v>0</v>
      </c>
      <c r="G907" s="1856">
        <f>-(N907-Q907)</f>
        <v>0</v>
      </c>
      <c r="I907" s="1815" t="b">
        <f>K907&lt;=Number_Payments</f>
        <v>0</v>
      </c>
      <c r="J907" s="1855"/>
      <c r="K907" s="1351">
        <f>K906+1</f>
        <v>781</v>
      </c>
      <c r="L907" s="1854" t="str" cm="1">
        <f t="array" ref="L907">_xlfn.IFS(
    I906=FALSE, "",
    Payment_Frequency="Monthly", EDATE(L906, 1),
    Payment_Frequency="Weekly", DATE(YEAR(L906), MONTH(L906), DAY(L906) + 7),
    Payment_Frequency="Fortnightly", DATE(YEAR(L906), MONTH(L906), DAY(L906) + 14),
    Payment_Frequency="Quarterly", DATE(YEAR(L906), MONTH(L906) + 3, DAY(L906)),
    Payment_Frequency="Yearly", DATE(YEAR(L906) + 1, MONTH(L906), DAY(L906)),
    TRUE, ""
)</f>
        <v/>
      </c>
      <c r="M907" s="1853">
        <f>IF(ISERROR(L907-L906),0,L907-L906)</f>
        <v>0</v>
      </c>
      <c r="N907" s="1851" cm="1">
        <f t="array" ref="N907">_xlfn.IFS(
    AND(I907=TRUE, K907&lt;=No_Regular_Payments), Repay_Amt,
    AND(I907=TRUE, K907=No_Regular_Payments+1), Tm_Balloon_Amt,
   TRUE, 0
)</f>
        <v>0</v>
      </c>
      <c r="O907" s="1850" cm="1">
        <f t="array" ref="O907">_xlfn.IFS(
    M907=0,0,
   ABS(N907 - S906 - P907-Q907) &lt; 1, N907 - S906-Q907,
    TRUE, P907
)</f>
        <v>0</v>
      </c>
      <c r="P907" s="1852">
        <f>IF(M907=0,0,ROUND(S906*EXP(Int_Rate/365.25 * M907)-S906,2))</f>
        <v>0</v>
      </c>
      <c r="Q907" s="1851" cm="1">
        <f t="array" ref="Q907">_xlfn.IFS(
    AND(I907=TRUE, K907&lt;=No_Regular_Payments), Periodic_Admin_Charge,
   TRUE, 0
)</f>
        <v>0</v>
      </c>
      <c r="R907" s="1850">
        <f>N907-O907-Q907</f>
        <v>0</v>
      </c>
      <c r="S907" s="1850">
        <f>ROUND(S906-R907,2)</f>
        <v>0</v>
      </c>
      <c r="T907" s="1850">
        <f>ROUND(T906-(N907-Q907),2)</f>
        <v>0</v>
      </c>
      <c r="U907" s="1849"/>
      <c r="W907" s="1848"/>
      <c r="X907" s="1848"/>
      <c r="Y907" s="1848"/>
    </row>
    <row r="908" spans="2:25" hidden="1">
      <c r="B908" s="1815" t="b">
        <f>AND(I908=FALSE,N907=0,Q907=0,L907="")</f>
        <v>1</v>
      </c>
      <c r="C908" s="1844" t="str" cm="1">
        <f t="array" ref="C908">_xlfn.IFS(
    L908="", "",
    MONTH(L908) &lt;= End_of_Year_Month, YEAR(L908),
    TRUE, YEAR(L908) + 1
)</f>
        <v/>
      </c>
      <c r="F908" s="1857">
        <f>IF(L908="",0,L908)</f>
        <v>0</v>
      </c>
      <c r="G908" s="1856">
        <f>-(N908-Q908)</f>
        <v>0</v>
      </c>
      <c r="I908" s="1815" t="b">
        <f>K908&lt;=Number_Payments</f>
        <v>0</v>
      </c>
      <c r="J908" s="1855"/>
      <c r="K908" s="1351">
        <f>K907+1</f>
        <v>782</v>
      </c>
      <c r="L908" s="1854" t="str" cm="1">
        <f t="array" ref="L908">_xlfn.IFS(
    I907=FALSE, "",
    Payment_Frequency="Monthly", EDATE(L907, 1),
    Payment_Frequency="Weekly", DATE(YEAR(L907), MONTH(L907), DAY(L907) + 7),
    Payment_Frequency="Fortnightly", DATE(YEAR(L907), MONTH(L907), DAY(L907) + 14),
    Payment_Frequency="Quarterly", DATE(YEAR(L907), MONTH(L907) + 3, DAY(L907)),
    Payment_Frequency="Yearly", DATE(YEAR(L907) + 1, MONTH(L907), DAY(L907)),
    TRUE, ""
)</f>
        <v/>
      </c>
      <c r="M908" s="1853">
        <f>IF(ISERROR(L908-L907),0,L908-L907)</f>
        <v>0</v>
      </c>
      <c r="N908" s="1851" cm="1">
        <f t="array" ref="N908">_xlfn.IFS(
    AND(I908=TRUE, K908&lt;=No_Regular_Payments), Repay_Amt,
    AND(I908=TRUE, K908=No_Regular_Payments+1), Tm_Balloon_Amt,
   TRUE, 0
)</f>
        <v>0</v>
      </c>
      <c r="O908" s="1850" cm="1">
        <f t="array" ref="O908">_xlfn.IFS(
    M908=0,0,
   ABS(N908 - S907 - P908-Q908) &lt; 1, N908 - S907-Q908,
    TRUE, P908
)</f>
        <v>0</v>
      </c>
      <c r="P908" s="1852">
        <f>IF(M908=0,0,ROUND(S907*EXP(Int_Rate/365.25 * M908)-S907,2))</f>
        <v>0</v>
      </c>
      <c r="Q908" s="1851" cm="1">
        <f t="array" ref="Q908">_xlfn.IFS(
    AND(I908=TRUE, K908&lt;=No_Regular_Payments), Periodic_Admin_Charge,
   TRUE, 0
)</f>
        <v>0</v>
      </c>
      <c r="R908" s="1850">
        <f>N908-O908-Q908</f>
        <v>0</v>
      </c>
      <c r="S908" s="1850">
        <f>ROUND(S907-R908,2)</f>
        <v>0</v>
      </c>
      <c r="T908" s="1850">
        <f>ROUND(T907-(N908-Q908),2)</f>
        <v>0</v>
      </c>
      <c r="U908" s="1849"/>
      <c r="W908" s="1848"/>
      <c r="X908" s="1848"/>
      <c r="Y908" s="1848"/>
    </row>
    <row r="909" spans="2:25" hidden="1">
      <c r="B909" s="1815" t="b">
        <f>AND(I909=FALSE,N908=0,Q908=0,L908="")</f>
        <v>1</v>
      </c>
      <c r="C909" s="1844" t="str" cm="1">
        <f t="array" ref="C909">_xlfn.IFS(
    L909="", "",
    MONTH(L909) &lt;= End_of_Year_Month, YEAR(L909),
    TRUE, YEAR(L909) + 1
)</f>
        <v/>
      </c>
      <c r="F909" s="1857">
        <f>IF(L909="",0,L909)</f>
        <v>0</v>
      </c>
      <c r="G909" s="1856">
        <f>-(N909-Q909)</f>
        <v>0</v>
      </c>
      <c r="I909" s="1815" t="b">
        <f>K909&lt;=Number_Payments</f>
        <v>0</v>
      </c>
      <c r="J909" s="1855"/>
      <c r="K909" s="1351">
        <f>K908+1</f>
        <v>783</v>
      </c>
      <c r="L909" s="1854" t="str" cm="1">
        <f t="array" ref="L909">_xlfn.IFS(
    I908=FALSE, "",
    Payment_Frequency="Monthly", EDATE(L908, 1),
    Payment_Frequency="Weekly", DATE(YEAR(L908), MONTH(L908), DAY(L908) + 7),
    Payment_Frequency="Fortnightly", DATE(YEAR(L908), MONTH(L908), DAY(L908) + 14),
    Payment_Frequency="Quarterly", DATE(YEAR(L908), MONTH(L908) + 3, DAY(L908)),
    Payment_Frequency="Yearly", DATE(YEAR(L908) + 1, MONTH(L908), DAY(L908)),
    TRUE, ""
)</f>
        <v/>
      </c>
      <c r="M909" s="1853">
        <f>IF(ISERROR(L909-L908),0,L909-L908)</f>
        <v>0</v>
      </c>
      <c r="N909" s="1851" cm="1">
        <f t="array" ref="N909">_xlfn.IFS(
    AND(I909=TRUE, K909&lt;=No_Regular_Payments), Repay_Amt,
    AND(I909=TRUE, K909=No_Regular_Payments+1), Tm_Balloon_Amt,
   TRUE, 0
)</f>
        <v>0</v>
      </c>
      <c r="O909" s="1850" cm="1">
        <f t="array" ref="O909">_xlfn.IFS(
    M909=0,0,
   ABS(N909 - S908 - P909-Q909) &lt; 1, N909 - S908-Q909,
    TRUE, P909
)</f>
        <v>0</v>
      </c>
      <c r="P909" s="1852">
        <f>IF(M909=0,0,ROUND(S908*EXP(Int_Rate/365.25 * M909)-S908,2))</f>
        <v>0</v>
      </c>
      <c r="Q909" s="1851" cm="1">
        <f t="array" ref="Q909">_xlfn.IFS(
    AND(I909=TRUE, K909&lt;=No_Regular_Payments), Periodic_Admin_Charge,
   TRUE, 0
)</f>
        <v>0</v>
      </c>
      <c r="R909" s="1850">
        <f>N909-O909-Q909</f>
        <v>0</v>
      </c>
      <c r="S909" s="1850">
        <f>ROUND(S908-R909,2)</f>
        <v>0</v>
      </c>
      <c r="T909" s="1850">
        <f>ROUND(T908-(N909-Q909),2)</f>
        <v>0</v>
      </c>
      <c r="U909" s="1849"/>
      <c r="W909" s="1848"/>
      <c r="X909" s="1848"/>
      <c r="Y909" s="1848"/>
    </row>
    <row r="910" spans="2:25" hidden="1">
      <c r="B910" s="1815" t="b">
        <f>AND(I910=FALSE,N909=0,Q909=0,L909="")</f>
        <v>1</v>
      </c>
      <c r="C910" s="1844" t="str" cm="1">
        <f t="array" ref="C910">_xlfn.IFS(
    L910="", "",
    MONTH(L910) &lt;= End_of_Year_Month, YEAR(L910),
    TRUE, YEAR(L910) + 1
)</f>
        <v/>
      </c>
      <c r="F910" s="1857">
        <f>IF(L910="",0,L910)</f>
        <v>0</v>
      </c>
      <c r="G910" s="1856">
        <f>-(N910-Q910)</f>
        <v>0</v>
      </c>
      <c r="I910" s="1815" t="b">
        <f>K910&lt;=Number_Payments</f>
        <v>0</v>
      </c>
      <c r="J910" s="1855"/>
      <c r="K910" s="1351">
        <f>K909+1</f>
        <v>784</v>
      </c>
      <c r="L910" s="1854" t="str" cm="1">
        <f t="array" ref="L910">_xlfn.IFS(
    I909=FALSE, "",
    Payment_Frequency="Monthly", EDATE(L909, 1),
    Payment_Frequency="Weekly", DATE(YEAR(L909), MONTH(L909), DAY(L909) + 7),
    Payment_Frequency="Fortnightly", DATE(YEAR(L909), MONTH(L909), DAY(L909) + 14),
    Payment_Frequency="Quarterly", DATE(YEAR(L909), MONTH(L909) + 3, DAY(L909)),
    Payment_Frequency="Yearly", DATE(YEAR(L909) + 1, MONTH(L909), DAY(L909)),
    TRUE, ""
)</f>
        <v/>
      </c>
      <c r="M910" s="1853">
        <f>IF(ISERROR(L910-L909),0,L910-L909)</f>
        <v>0</v>
      </c>
      <c r="N910" s="1851" cm="1">
        <f t="array" ref="N910">_xlfn.IFS(
    AND(I910=TRUE, K910&lt;=No_Regular_Payments), Repay_Amt,
    AND(I910=TRUE, K910=No_Regular_Payments+1), Tm_Balloon_Amt,
   TRUE, 0
)</f>
        <v>0</v>
      </c>
      <c r="O910" s="1850" cm="1">
        <f t="array" ref="O910">_xlfn.IFS(
    M910=0,0,
   ABS(N910 - S909 - P910-Q910) &lt; 1, N910 - S909-Q910,
    TRUE, P910
)</f>
        <v>0</v>
      </c>
      <c r="P910" s="1852">
        <f>IF(M910=0,0,ROUND(S909*EXP(Int_Rate/365.25 * M910)-S909,2))</f>
        <v>0</v>
      </c>
      <c r="Q910" s="1851" cm="1">
        <f t="array" ref="Q910">_xlfn.IFS(
    AND(I910=TRUE, K910&lt;=No_Regular_Payments), Periodic_Admin_Charge,
   TRUE, 0
)</f>
        <v>0</v>
      </c>
      <c r="R910" s="1850">
        <f>N910-O910-Q910</f>
        <v>0</v>
      </c>
      <c r="S910" s="1850">
        <f>ROUND(S909-R910,2)</f>
        <v>0</v>
      </c>
      <c r="T910" s="1850">
        <f>ROUND(T909-(N910-Q910),2)</f>
        <v>0</v>
      </c>
      <c r="U910" s="1849"/>
      <c r="W910" s="1848"/>
      <c r="X910" s="1848"/>
      <c r="Y910" s="1848"/>
    </row>
    <row r="911" spans="2:25" hidden="1">
      <c r="B911" s="1815" t="b">
        <f>AND(I911=FALSE,N910=0,Q910=0,L910="")</f>
        <v>1</v>
      </c>
      <c r="C911" s="1844" t="str" cm="1">
        <f t="array" ref="C911">_xlfn.IFS(
    L911="", "",
    MONTH(L911) &lt;= End_of_Year_Month, YEAR(L911),
    TRUE, YEAR(L911) + 1
)</f>
        <v/>
      </c>
      <c r="F911" s="1857">
        <f>IF(L911="",0,L911)</f>
        <v>0</v>
      </c>
      <c r="G911" s="1856">
        <f>-(N911-Q911)</f>
        <v>0</v>
      </c>
      <c r="I911" s="1815" t="b">
        <f>K911&lt;=Number_Payments</f>
        <v>0</v>
      </c>
      <c r="J911" s="1855"/>
      <c r="K911" s="1351">
        <f>K910+1</f>
        <v>785</v>
      </c>
      <c r="L911" s="1854" t="str" cm="1">
        <f t="array" ref="L911">_xlfn.IFS(
    I910=FALSE, "",
    Payment_Frequency="Monthly", EDATE(L910, 1),
    Payment_Frequency="Weekly", DATE(YEAR(L910), MONTH(L910), DAY(L910) + 7),
    Payment_Frequency="Fortnightly", DATE(YEAR(L910), MONTH(L910), DAY(L910) + 14),
    Payment_Frequency="Quarterly", DATE(YEAR(L910), MONTH(L910) + 3, DAY(L910)),
    Payment_Frequency="Yearly", DATE(YEAR(L910) + 1, MONTH(L910), DAY(L910)),
    TRUE, ""
)</f>
        <v/>
      </c>
      <c r="M911" s="1853">
        <f>IF(ISERROR(L911-L910),0,L911-L910)</f>
        <v>0</v>
      </c>
      <c r="N911" s="1851" cm="1">
        <f t="array" ref="N911">_xlfn.IFS(
    AND(I911=TRUE, K911&lt;=No_Regular_Payments), Repay_Amt,
    AND(I911=TRUE, K911=No_Regular_Payments+1), Tm_Balloon_Amt,
   TRUE, 0
)</f>
        <v>0</v>
      </c>
      <c r="O911" s="1850" cm="1">
        <f t="array" ref="O911">_xlfn.IFS(
    M911=0,0,
   ABS(N911 - S910 - P911-Q911) &lt; 1, N911 - S910-Q911,
    TRUE, P911
)</f>
        <v>0</v>
      </c>
      <c r="P911" s="1852">
        <f>IF(M911=0,0,ROUND(S910*EXP(Int_Rate/365.25 * M911)-S910,2))</f>
        <v>0</v>
      </c>
      <c r="Q911" s="1851" cm="1">
        <f t="array" ref="Q911">_xlfn.IFS(
    AND(I911=TRUE, K911&lt;=No_Regular_Payments), Periodic_Admin_Charge,
   TRUE, 0
)</f>
        <v>0</v>
      </c>
      <c r="R911" s="1850">
        <f>N911-O911-Q911</f>
        <v>0</v>
      </c>
      <c r="S911" s="1850">
        <f>ROUND(S910-R911,2)</f>
        <v>0</v>
      </c>
      <c r="T911" s="1850">
        <f>ROUND(T910-(N911-Q911),2)</f>
        <v>0</v>
      </c>
      <c r="U911" s="1849"/>
      <c r="W911" s="1848"/>
      <c r="X911" s="1848"/>
      <c r="Y911" s="1848"/>
    </row>
    <row r="912" spans="2:25" hidden="1">
      <c r="B912" s="1815" t="b">
        <f>AND(I912=FALSE,N911=0,Q911=0,L911="")</f>
        <v>1</v>
      </c>
      <c r="C912" s="1844" t="str" cm="1">
        <f t="array" ref="C912">_xlfn.IFS(
    L912="", "",
    MONTH(L912) &lt;= End_of_Year_Month, YEAR(L912),
    TRUE, YEAR(L912) + 1
)</f>
        <v/>
      </c>
      <c r="F912" s="1857">
        <f>IF(L912="",0,L912)</f>
        <v>0</v>
      </c>
      <c r="G912" s="1856">
        <f>-(N912-Q912)</f>
        <v>0</v>
      </c>
      <c r="I912" s="1815" t="b">
        <f>K912&lt;=Number_Payments</f>
        <v>0</v>
      </c>
      <c r="J912" s="1855"/>
      <c r="K912" s="1351">
        <f>K911+1</f>
        <v>786</v>
      </c>
      <c r="L912" s="1854" t="str" cm="1">
        <f t="array" ref="L912">_xlfn.IFS(
    I911=FALSE, "",
    Payment_Frequency="Monthly", EDATE(L911, 1),
    Payment_Frequency="Weekly", DATE(YEAR(L911), MONTH(L911), DAY(L911) + 7),
    Payment_Frequency="Fortnightly", DATE(YEAR(L911), MONTH(L911), DAY(L911) + 14),
    Payment_Frequency="Quarterly", DATE(YEAR(L911), MONTH(L911) + 3, DAY(L911)),
    Payment_Frequency="Yearly", DATE(YEAR(L911) + 1, MONTH(L911), DAY(L911)),
    TRUE, ""
)</f>
        <v/>
      </c>
      <c r="M912" s="1853">
        <f>IF(ISERROR(L912-L911),0,L912-L911)</f>
        <v>0</v>
      </c>
      <c r="N912" s="1851" cm="1">
        <f t="array" ref="N912">_xlfn.IFS(
    AND(I912=TRUE, K912&lt;=No_Regular_Payments), Repay_Amt,
    AND(I912=TRUE, K912=No_Regular_Payments+1), Tm_Balloon_Amt,
   TRUE, 0
)</f>
        <v>0</v>
      </c>
      <c r="O912" s="1850" cm="1">
        <f t="array" ref="O912">_xlfn.IFS(
    M912=0,0,
   ABS(N912 - S911 - P912-Q912) &lt; 1, N912 - S911-Q912,
    TRUE, P912
)</f>
        <v>0</v>
      </c>
      <c r="P912" s="1852">
        <f>IF(M912=0,0,ROUND(S911*EXP(Int_Rate/365.25 * M912)-S911,2))</f>
        <v>0</v>
      </c>
      <c r="Q912" s="1851" cm="1">
        <f t="array" ref="Q912">_xlfn.IFS(
    AND(I912=TRUE, K912&lt;=No_Regular_Payments), Periodic_Admin_Charge,
   TRUE, 0
)</f>
        <v>0</v>
      </c>
      <c r="R912" s="1850">
        <f>N912-O912-Q912</f>
        <v>0</v>
      </c>
      <c r="S912" s="1850">
        <f>ROUND(S911-R912,2)</f>
        <v>0</v>
      </c>
      <c r="T912" s="1850">
        <f>ROUND(T911-(N912-Q912),2)</f>
        <v>0</v>
      </c>
      <c r="U912" s="1849"/>
      <c r="W912" s="1848"/>
      <c r="X912" s="1848"/>
      <c r="Y912" s="1848"/>
    </row>
    <row r="913" spans="2:25" hidden="1">
      <c r="B913" s="1815" t="b">
        <f>AND(I913=FALSE,N912=0,Q912=0,L912="")</f>
        <v>1</v>
      </c>
      <c r="C913" s="1844" t="str" cm="1">
        <f t="array" ref="C913">_xlfn.IFS(
    L913="", "",
    MONTH(L913) &lt;= End_of_Year_Month, YEAR(L913),
    TRUE, YEAR(L913) + 1
)</f>
        <v/>
      </c>
      <c r="F913" s="1857">
        <f>IF(L913="",0,L913)</f>
        <v>0</v>
      </c>
      <c r="G913" s="1856">
        <f>-(N913-Q913)</f>
        <v>0</v>
      </c>
      <c r="I913" s="1815" t="b">
        <f>K913&lt;=Number_Payments</f>
        <v>0</v>
      </c>
      <c r="J913" s="1855"/>
      <c r="K913" s="1351">
        <f>K912+1</f>
        <v>787</v>
      </c>
      <c r="L913" s="1854" t="str" cm="1">
        <f t="array" ref="L913">_xlfn.IFS(
    I912=FALSE, "",
    Payment_Frequency="Monthly", EDATE(L912, 1),
    Payment_Frequency="Weekly", DATE(YEAR(L912), MONTH(L912), DAY(L912) + 7),
    Payment_Frequency="Fortnightly", DATE(YEAR(L912), MONTH(L912), DAY(L912) + 14),
    Payment_Frequency="Quarterly", DATE(YEAR(L912), MONTH(L912) + 3, DAY(L912)),
    Payment_Frequency="Yearly", DATE(YEAR(L912) + 1, MONTH(L912), DAY(L912)),
    TRUE, ""
)</f>
        <v/>
      </c>
      <c r="M913" s="1853">
        <f>IF(ISERROR(L913-L912),0,L913-L912)</f>
        <v>0</v>
      </c>
      <c r="N913" s="1851" cm="1">
        <f t="array" ref="N913">_xlfn.IFS(
    AND(I913=TRUE, K913&lt;=No_Regular_Payments), Repay_Amt,
    AND(I913=TRUE, K913=No_Regular_Payments+1), Tm_Balloon_Amt,
   TRUE, 0
)</f>
        <v>0</v>
      </c>
      <c r="O913" s="1850" cm="1">
        <f t="array" ref="O913">_xlfn.IFS(
    M913=0,0,
   ABS(N913 - S912 - P913-Q913) &lt; 1, N913 - S912-Q913,
    TRUE, P913
)</f>
        <v>0</v>
      </c>
      <c r="P913" s="1852">
        <f>IF(M913=0,0,ROUND(S912*EXP(Int_Rate/365.25 * M913)-S912,2))</f>
        <v>0</v>
      </c>
      <c r="Q913" s="1851" cm="1">
        <f t="array" ref="Q913">_xlfn.IFS(
    AND(I913=TRUE, K913&lt;=No_Regular_Payments), Periodic_Admin_Charge,
   TRUE, 0
)</f>
        <v>0</v>
      </c>
      <c r="R913" s="1850">
        <f>N913-O913-Q913</f>
        <v>0</v>
      </c>
      <c r="S913" s="1850">
        <f>ROUND(S912-R913,2)</f>
        <v>0</v>
      </c>
      <c r="T913" s="1850">
        <f>ROUND(T912-(N913-Q913),2)</f>
        <v>0</v>
      </c>
      <c r="U913" s="1849"/>
      <c r="W913" s="1848"/>
      <c r="X913" s="1848"/>
      <c r="Y913" s="1848"/>
    </row>
    <row r="914" spans="2:25" hidden="1">
      <c r="B914" s="1815" t="b">
        <f>AND(I914=FALSE,N913=0,Q913=0,L913="")</f>
        <v>1</v>
      </c>
      <c r="C914" s="1844" t="str" cm="1">
        <f t="array" ref="C914">_xlfn.IFS(
    L914="", "",
    MONTH(L914) &lt;= End_of_Year_Month, YEAR(L914),
    TRUE, YEAR(L914) + 1
)</f>
        <v/>
      </c>
      <c r="F914" s="1857">
        <f>IF(L914="",0,L914)</f>
        <v>0</v>
      </c>
      <c r="G914" s="1856">
        <f>-(N914-Q914)</f>
        <v>0</v>
      </c>
      <c r="I914" s="1815" t="b">
        <f>K914&lt;=Number_Payments</f>
        <v>0</v>
      </c>
      <c r="J914" s="1855"/>
      <c r="K914" s="1351">
        <f>K913+1</f>
        <v>788</v>
      </c>
      <c r="L914" s="1854" t="str" cm="1">
        <f t="array" ref="L914">_xlfn.IFS(
    I913=FALSE, "",
    Payment_Frequency="Monthly", EDATE(L913, 1),
    Payment_Frequency="Weekly", DATE(YEAR(L913), MONTH(L913), DAY(L913) + 7),
    Payment_Frequency="Fortnightly", DATE(YEAR(L913), MONTH(L913), DAY(L913) + 14),
    Payment_Frequency="Quarterly", DATE(YEAR(L913), MONTH(L913) + 3, DAY(L913)),
    Payment_Frequency="Yearly", DATE(YEAR(L913) + 1, MONTH(L913), DAY(L913)),
    TRUE, ""
)</f>
        <v/>
      </c>
      <c r="M914" s="1853">
        <f>IF(ISERROR(L914-L913),0,L914-L913)</f>
        <v>0</v>
      </c>
      <c r="N914" s="1851" cm="1">
        <f t="array" ref="N914">_xlfn.IFS(
    AND(I914=TRUE, K914&lt;=No_Regular_Payments), Repay_Amt,
    AND(I914=TRUE, K914=No_Regular_Payments+1), Tm_Balloon_Amt,
   TRUE, 0
)</f>
        <v>0</v>
      </c>
      <c r="O914" s="1850" cm="1">
        <f t="array" ref="O914">_xlfn.IFS(
    M914=0,0,
   ABS(N914 - S913 - P914-Q914) &lt; 1, N914 - S913-Q914,
    TRUE, P914
)</f>
        <v>0</v>
      </c>
      <c r="P914" s="1852">
        <f>IF(M914=0,0,ROUND(S913*EXP(Int_Rate/365.25 * M914)-S913,2))</f>
        <v>0</v>
      </c>
      <c r="Q914" s="1851" cm="1">
        <f t="array" ref="Q914">_xlfn.IFS(
    AND(I914=TRUE, K914&lt;=No_Regular_Payments), Periodic_Admin_Charge,
   TRUE, 0
)</f>
        <v>0</v>
      </c>
      <c r="R914" s="1850">
        <f>N914-O914-Q914</f>
        <v>0</v>
      </c>
      <c r="S914" s="1850">
        <f>ROUND(S913-R914,2)</f>
        <v>0</v>
      </c>
      <c r="T914" s="1850">
        <f>ROUND(T913-(N914-Q914),2)</f>
        <v>0</v>
      </c>
      <c r="U914" s="1849"/>
      <c r="W914" s="1848"/>
      <c r="X914" s="1848"/>
      <c r="Y914" s="1848"/>
    </row>
    <row r="915" spans="2:25" hidden="1">
      <c r="B915" s="1815" t="b">
        <f>AND(I915=FALSE,N914=0,Q914=0,L914="")</f>
        <v>1</v>
      </c>
      <c r="C915" s="1844" t="str" cm="1">
        <f t="array" ref="C915">_xlfn.IFS(
    L915="", "",
    MONTH(L915) &lt;= End_of_Year_Month, YEAR(L915),
    TRUE, YEAR(L915) + 1
)</f>
        <v/>
      </c>
      <c r="F915" s="1857">
        <f>IF(L915="",0,L915)</f>
        <v>0</v>
      </c>
      <c r="G915" s="1856">
        <f>-(N915-Q915)</f>
        <v>0</v>
      </c>
      <c r="I915" s="1815" t="b">
        <f>K915&lt;=Number_Payments</f>
        <v>0</v>
      </c>
      <c r="J915" s="1855"/>
      <c r="K915" s="1351">
        <f>K914+1</f>
        <v>789</v>
      </c>
      <c r="L915" s="1854" t="str" cm="1">
        <f t="array" ref="L915">_xlfn.IFS(
    I914=FALSE, "",
    Payment_Frequency="Monthly", EDATE(L914, 1),
    Payment_Frequency="Weekly", DATE(YEAR(L914), MONTH(L914), DAY(L914) + 7),
    Payment_Frequency="Fortnightly", DATE(YEAR(L914), MONTH(L914), DAY(L914) + 14),
    Payment_Frequency="Quarterly", DATE(YEAR(L914), MONTH(L914) + 3, DAY(L914)),
    Payment_Frequency="Yearly", DATE(YEAR(L914) + 1, MONTH(L914), DAY(L914)),
    TRUE, ""
)</f>
        <v/>
      </c>
      <c r="M915" s="1853">
        <f>IF(ISERROR(L915-L914),0,L915-L914)</f>
        <v>0</v>
      </c>
      <c r="N915" s="1851" cm="1">
        <f t="array" ref="N915">_xlfn.IFS(
    AND(I915=TRUE, K915&lt;=No_Regular_Payments), Repay_Amt,
    AND(I915=TRUE, K915=No_Regular_Payments+1), Tm_Balloon_Amt,
   TRUE, 0
)</f>
        <v>0</v>
      </c>
      <c r="O915" s="1850" cm="1">
        <f t="array" ref="O915">_xlfn.IFS(
    M915=0,0,
   ABS(N915 - S914 - P915-Q915) &lt; 1, N915 - S914-Q915,
    TRUE, P915
)</f>
        <v>0</v>
      </c>
      <c r="P915" s="1852">
        <f>IF(M915=0,0,ROUND(S914*EXP(Int_Rate/365.25 * M915)-S914,2))</f>
        <v>0</v>
      </c>
      <c r="Q915" s="1851" cm="1">
        <f t="array" ref="Q915">_xlfn.IFS(
    AND(I915=TRUE, K915&lt;=No_Regular_Payments), Periodic_Admin_Charge,
   TRUE, 0
)</f>
        <v>0</v>
      </c>
      <c r="R915" s="1850">
        <f>N915-O915-Q915</f>
        <v>0</v>
      </c>
      <c r="S915" s="1850">
        <f>ROUND(S914-R915,2)</f>
        <v>0</v>
      </c>
      <c r="T915" s="1850">
        <f>ROUND(T914-(N915-Q915),2)</f>
        <v>0</v>
      </c>
      <c r="U915" s="1849"/>
      <c r="W915" s="1848"/>
      <c r="X915" s="1848"/>
      <c r="Y915" s="1848"/>
    </row>
    <row r="916" spans="2:25" hidden="1">
      <c r="B916" s="1815" t="b">
        <f>AND(I916=FALSE,N915=0,Q915=0,L915="")</f>
        <v>1</v>
      </c>
      <c r="C916" s="1844" t="str" cm="1">
        <f t="array" ref="C916">_xlfn.IFS(
    L916="", "",
    MONTH(L916) &lt;= End_of_Year_Month, YEAR(L916),
    TRUE, YEAR(L916) + 1
)</f>
        <v/>
      </c>
      <c r="F916" s="1857">
        <f>IF(L916="",0,L916)</f>
        <v>0</v>
      </c>
      <c r="G916" s="1856">
        <f>-(N916-Q916)</f>
        <v>0</v>
      </c>
      <c r="I916" s="1815" t="b">
        <f>K916&lt;=Number_Payments</f>
        <v>0</v>
      </c>
      <c r="J916" s="1855"/>
      <c r="K916" s="1351">
        <f>K915+1</f>
        <v>790</v>
      </c>
      <c r="L916" s="1854" t="str" cm="1">
        <f t="array" ref="L916">_xlfn.IFS(
    I915=FALSE, "",
    Payment_Frequency="Monthly", EDATE(L915, 1),
    Payment_Frequency="Weekly", DATE(YEAR(L915), MONTH(L915), DAY(L915) + 7),
    Payment_Frequency="Fortnightly", DATE(YEAR(L915), MONTH(L915), DAY(L915) + 14),
    Payment_Frequency="Quarterly", DATE(YEAR(L915), MONTH(L915) + 3, DAY(L915)),
    Payment_Frequency="Yearly", DATE(YEAR(L915) + 1, MONTH(L915), DAY(L915)),
    TRUE, ""
)</f>
        <v/>
      </c>
      <c r="M916" s="1853">
        <f>IF(ISERROR(L916-L915),0,L916-L915)</f>
        <v>0</v>
      </c>
      <c r="N916" s="1851" cm="1">
        <f t="array" ref="N916">_xlfn.IFS(
    AND(I916=TRUE, K916&lt;=No_Regular_Payments), Repay_Amt,
    AND(I916=TRUE, K916=No_Regular_Payments+1), Tm_Balloon_Amt,
   TRUE, 0
)</f>
        <v>0</v>
      </c>
      <c r="O916" s="1850" cm="1">
        <f t="array" ref="O916">_xlfn.IFS(
    M916=0,0,
   ABS(N916 - S915 - P916-Q916) &lt; 1, N916 - S915-Q916,
    TRUE, P916
)</f>
        <v>0</v>
      </c>
      <c r="P916" s="1852">
        <f>IF(M916=0,0,ROUND(S915*EXP(Int_Rate/365.25 * M916)-S915,2))</f>
        <v>0</v>
      </c>
      <c r="Q916" s="1851" cm="1">
        <f t="array" ref="Q916">_xlfn.IFS(
    AND(I916=TRUE, K916&lt;=No_Regular_Payments), Periodic_Admin_Charge,
   TRUE, 0
)</f>
        <v>0</v>
      </c>
      <c r="R916" s="1850">
        <f>N916-O916-Q916</f>
        <v>0</v>
      </c>
      <c r="S916" s="1850">
        <f>ROUND(S915-R916,2)</f>
        <v>0</v>
      </c>
      <c r="T916" s="1850">
        <f>ROUND(T915-(N916-Q916),2)</f>
        <v>0</v>
      </c>
      <c r="U916" s="1849"/>
      <c r="W916" s="1848"/>
      <c r="X916" s="1848"/>
      <c r="Y916" s="1848"/>
    </row>
    <row r="917" spans="2:25" hidden="1">
      <c r="B917" s="1815" t="b">
        <f>AND(I917=FALSE,N916=0,Q916=0,L916="")</f>
        <v>1</v>
      </c>
      <c r="C917" s="1844" t="str" cm="1">
        <f t="array" ref="C917">_xlfn.IFS(
    L917="", "",
    MONTH(L917) &lt;= End_of_Year_Month, YEAR(L917),
    TRUE, YEAR(L917) + 1
)</f>
        <v/>
      </c>
      <c r="F917" s="1857">
        <f>IF(L917="",0,L917)</f>
        <v>0</v>
      </c>
      <c r="G917" s="1856">
        <f>-(N917-Q917)</f>
        <v>0</v>
      </c>
      <c r="I917" s="1815" t="b">
        <f>K917&lt;=Number_Payments</f>
        <v>0</v>
      </c>
      <c r="J917" s="1855"/>
      <c r="K917" s="1351">
        <f>K916+1</f>
        <v>791</v>
      </c>
      <c r="L917" s="1854" t="str" cm="1">
        <f t="array" ref="L917">_xlfn.IFS(
    I916=FALSE, "",
    Payment_Frequency="Monthly", EDATE(L916, 1),
    Payment_Frequency="Weekly", DATE(YEAR(L916), MONTH(L916), DAY(L916) + 7),
    Payment_Frequency="Fortnightly", DATE(YEAR(L916), MONTH(L916), DAY(L916) + 14),
    Payment_Frequency="Quarterly", DATE(YEAR(L916), MONTH(L916) + 3, DAY(L916)),
    Payment_Frequency="Yearly", DATE(YEAR(L916) + 1, MONTH(L916), DAY(L916)),
    TRUE, ""
)</f>
        <v/>
      </c>
      <c r="M917" s="1853">
        <f>IF(ISERROR(L917-L916),0,L917-L916)</f>
        <v>0</v>
      </c>
      <c r="N917" s="1851" cm="1">
        <f t="array" ref="N917">_xlfn.IFS(
    AND(I917=TRUE, K917&lt;=No_Regular_Payments), Repay_Amt,
    AND(I917=TRUE, K917=No_Regular_Payments+1), Tm_Balloon_Amt,
   TRUE, 0
)</f>
        <v>0</v>
      </c>
      <c r="O917" s="1850" cm="1">
        <f t="array" ref="O917">_xlfn.IFS(
    M917=0,0,
   ABS(N917 - S916 - P917-Q917) &lt; 1, N917 - S916-Q917,
    TRUE, P917
)</f>
        <v>0</v>
      </c>
      <c r="P917" s="1852">
        <f>IF(M917=0,0,ROUND(S916*EXP(Int_Rate/365.25 * M917)-S916,2))</f>
        <v>0</v>
      </c>
      <c r="Q917" s="1851" cm="1">
        <f t="array" ref="Q917">_xlfn.IFS(
    AND(I917=TRUE, K917&lt;=No_Regular_Payments), Periodic_Admin_Charge,
   TRUE, 0
)</f>
        <v>0</v>
      </c>
      <c r="R917" s="1850">
        <f>N917-O917-Q917</f>
        <v>0</v>
      </c>
      <c r="S917" s="1850">
        <f>ROUND(S916-R917,2)</f>
        <v>0</v>
      </c>
      <c r="T917" s="1850">
        <f>ROUND(T916-(N917-Q917),2)</f>
        <v>0</v>
      </c>
      <c r="U917" s="1849"/>
      <c r="W917" s="1848"/>
      <c r="X917" s="1848"/>
      <c r="Y917" s="1848"/>
    </row>
    <row r="918" spans="2:25" hidden="1">
      <c r="B918" s="1815" t="b">
        <f>AND(I918=FALSE,N917=0,Q917=0,L917="")</f>
        <v>1</v>
      </c>
      <c r="C918" s="1844" t="str" cm="1">
        <f t="array" ref="C918">_xlfn.IFS(
    L918="", "",
    MONTH(L918) &lt;= End_of_Year_Month, YEAR(L918),
    TRUE, YEAR(L918) + 1
)</f>
        <v/>
      </c>
      <c r="F918" s="1857">
        <f>IF(L918="",0,L918)</f>
        <v>0</v>
      </c>
      <c r="G918" s="1856">
        <f>-(N918-Q918)</f>
        <v>0</v>
      </c>
      <c r="I918" s="1815" t="b">
        <f>K918&lt;=Number_Payments</f>
        <v>0</v>
      </c>
      <c r="J918" s="1855"/>
      <c r="K918" s="1351">
        <f>K917+1</f>
        <v>792</v>
      </c>
      <c r="L918" s="1854" t="str" cm="1">
        <f t="array" ref="L918">_xlfn.IFS(
    I917=FALSE, "",
    Payment_Frequency="Monthly", EDATE(L917, 1),
    Payment_Frequency="Weekly", DATE(YEAR(L917), MONTH(L917), DAY(L917) + 7),
    Payment_Frequency="Fortnightly", DATE(YEAR(L917), MONTH(L917), DAY(L917) + 14),
    Payment_Frequency="Quarterly", DATE(YEAR(L917), MONTH(L917) + 3, DAY(L917)),
    Payment_Frequency="Yearly", DATE(YEAR(L917) + 1, MONTH(L917), DAY(L917)),
    TRUE, ""
)</f>
        <v/>
      </c>
      <c r="M918" s="1853">
        <f>IF(ISERROR(L918-L917),0,L918-L917)</f>
        <v>0</v>
      </c>
      <c r="N918" s="1851" cm="1">
        <f t="array" ref="N918">_xlfn.IFS(
    AND(I918=TRUE, K918&lt;=No_Regular_Payments), Repay_Amt,
    AND(I918=TRUE, K918=No_Regular_Payments+1), Tm_Balloon_Amt,
   TRUE, 0
)</f>
        <v>0</v>
      </c>
      <c r="O918" s="1850" cm="1">
        <f t="array" ref="O918">_xlfn.IFS(
    M918=0,0,
   ABS(N918 - S917 - P918-Q918) &lt; 1, N918 - S917-Q918,
    TRUE, P918
)</f>
        <v>0</v>
      </c>
      <c r="P918" s="1852">
        <f>IF(M918=0,0,ROUND(S917*EXP(Int_Rate/365.25 * M918)-S917,2))</f>
        <v>0</v>
      </c>
      <c r="Q918" s="1851" cm="1">
        <f t="array" ref="Q918">_xlfn.IFS(
    AND(I918=TRUE, K918&lt;=No_Regular_Payments), Periodic_Admin_Charge,
   TRUE, 0
)</f>
        <v>0</v>
      </c>
      <c r="R918" s="1850">
        <f>N918-O918-Q918</f>
        <v>0</v>
      </c>
      <c r="S918" s="1850">
        <f>ROUND(S917-R918,2)</f>
        <v>0</v>
      </c>
      <c r="T918" s="1850">
        <f>ROUND(T917-(N918-Q918),2)</f>
        <v>0</v>
      </c>
      <c r="U918" s="1849"/>
      <c r="W918" s="1848"/>
      <c r="X918" s="1848"/>
      <c r="Y918" s="1848"/>
    </row>
    <row r="919" spans="2:25" hidden="1">
      <c r="B919" s="1815" t="b">
        <f>AND(I919=FALSE,N918=0,Q918=0,L918="")</f>
        <v>1</v>
      </c>
      <c r="C919" s="1844" t="str" cm="1">
        <f t="array" ref="C919">_xlfn.IFS(
    L919="", "",
    MONTH(L919) &lt;= End_of_Year_Month, YEAR(L919),
    TRUE, YEAR(L919) + 1
)</f>
        <v/>
      </c>
      <c r="F919" s="1857">
        <f>IF(L919="",0,L919)</f>
        <v>0</v>
      </c>
      <c r="G919" s="1856">
        <f>-(N919-Q919)</f>
        <v>0</v>
      </c>
      <c r="I919" s="1815" t="b">
        <f>K919&lt;=Number_Payments</f>
        <v>0</v>
      </c>
      <c r="J919" s="1855"/>
      <c r="K919" s="1351">
        <f>K918+1</f>
        <v>793</v>
      </c>
      <c r="L919" s="1854" t="str" cm="1">
        <f t="array" ref="L919">_xlfn.IFS(
    I918=FALSE, "",
    Payment_Frequency="Monthly", EDATE(L918, 1),
    Payment_Frequency="Weekly", DATE(YEAR(L918), MONTH(L918), DAY(L918) + 7),
    Payment_Frequency="Fortnightly", DATE(YEAR(L918), MONTH(L918), DAY(L918) + 14),
    Payment_Frequency="Quarterly", DATE(YEAR(L918), MONTH(L918) + 3, DAY(L918)),
    Payment_Frequency="Yearly", DATE(YEAR(L918) + 1, MONTH(L918), DAY(L918)),
    TRUE, ""
)</f>
        <v/>
      </c>
      <c r="M919" s="1853">
        <f>IF(ISERROR(L919-L918),0,L919-L918)</f>
        <v>0</v>
      </c>
      <c r="N919" s="1851" cm="1">
        <f t="array" ref="N919">_xlfn.IFS(
    AND(I919=TRUE, K919&lt;=No_Regular_Payments), Repay_Amt,
    AND(I919=TRUE, K919=No_Regular_Payments+1), Tm_Balloon_Amt,
   TRUE, 0
)</f>
        <v>0</v>
      </c>
      <c r="O919" s="1850" cm="1">
        <f t="array" ref="O919">_xlfn.IFS(
    M919=0,0,
   ABS(N919 - S918 - P919-Q919) &lt; 1, N919 - S918-Q919,
    TRUE, P919
)</f>
        <v>0</v>
      </c>
      <c r="P919" s="1852">
        <f>IF(M919=0,0,ROUND(S918*EXP(Int_Rate/365.25 * M919)-S918,2))</f>
        <v>0</v>
      </c>
      <c r="Q919" s="1851" cm="1">
        <f t="array" ref="Q919">_xlfn.IFS(
    AND(I919=TRUE, K919&lt;=No_Regular_Payments), Periodic_Admin_Charge,
   TRUE, 0
)</f>
        <v>0</v>
      </c>
      <c r="R919" s="1850">
        <f>N919-O919-Q919</f>
        <v>0</v>
      </c>
      <c r="S919" s="1850">
        <f>ROUND(S918-R919,2)</f>
        <v>0</v>
      </c>
      <c r="T919" s="1850">
        <f>ROUND(T918-(N919-Q919),2)</f>
        <v>0</v>
      </c>
      <c r="U919" s="1849"/>
      <c r="W919" s="1848"/>
      <c r="X919" s="1848"/>
      <c r="Y919" s="1848"/>
    </row>
    <row r="920" spans="2:25" hidden="1">
      <c r="B920" s="1815" t="b">
        <f>AND(I920=FALSE,N919=0,Q919=0,L919="")</f>
        <v>1</v>
      </c>
      <c r="C920" s="1844" t="str" cm="1">
        <f t="array" ref="C920">_xlfn.IFS(
    L920="", "",
    MONTH(L920) &lt;= End_of_Year_Month, YEAR(L920),
    TRUE, YEAR(L920) + 1
)</f>
        <v/>
      </c>
      <c r="F920" s="1857">
        <f>IF(L920="",0,L920)</f>
        <v>0</v>
      </c>
      <c r="G920" s="1856">
        <f>-(N920-Q920)</f>
        <v>0</v>
      </c>
      <c r="I920" s="1815" t="b">
        <f>K920&lt;=Number_Payments</f>
        <v>0</v>
      </c>
      <c r="J920" s="1855"/>
      <c r="K920" s="1351">
        <f>K919+1</f>
        <v>794</v>
      </c>
      <c r="L920" s="1854" t="str" cm="1">
        <f t="array" ref="L920">_xlfn.IFS(
    I919=FALSE, "",
    Payment_Frequency="Monthly", EDATE(L919, 1),
    Payment_Frequency="Weekly", DATE(YEAR(L919), MONTH(L919), DAY(L919) + 7),
    Payment_Frequency="Fortnightly", DATE(YEAR(L919), MONTH(L919), DAY(L919) + 14),
    Payment_Frequency="Quarterly", DATE(YEAR(L919), MONTH(L919) + 3, DAY(L919)),
    Payment_Frequency="Yearly", DATE(YEAR(L919) + 1, MONTH(L919), DAY(L919)),
    TRUE, ""
)</f>
        <v/>
      </c>
      <c r="M920" s="1853">
        <f>IF(ISERROR(L920-L919),0,L920-L919)</f>
        <v>0</v>
      </c>
      <c r="N920" s="1851" cm="1">
        <f t="array" ref="N920">_xlfn.IFS(
    AND(I920=TRUE, K920&lt;=No_Regular_Payments), Repay_Amt,
    AND(I920=TRUE, K920=No_Regular_Payments+1), Tm_Balloon_Amt,
   TRUE, 0
)</f>
        <v>0</v>
      </c>
      <c r="O920" s="1850" cm="1">
        <f t="array" ref="O920">_xlfn.IFS(
    M920=0,0,
   ABS(N920 - S919 - P920-Q920) &lt; 1, N920 - S919-Q920,
    TRUE, P920
)</f>
        <v>0</v>
      </c>
      <c r="P920" s="1852">
        <f>IF(M920=0,0,ROUND(S919*EXP(Int_Rate/365.25 * M920)-S919,2))</f>
        <v>0</v>
      </c>
      <c r="Q920" s="1851" cm="1">
        <f t="array" ref="Q920">_xlfn.IFS(
    AND(I920=TRUE, K920&lt;=No_Regular_Payments), Periodic_Admin_Charge,
   TRUE, 0
)</f>
        <v>0</v>
      </c>
      <c r="R920" s="1850">
        <f>N920-O920-Q920</f>
        <v>0</v>
      </c>
      <c r="S920" s="1850">
        <f>ROUND(S919-R920,2)</f>
        <v>0</v>
      </c>
      <c r="T920" s="1850">
        <f>ROUND(T919-(N920-Q920),2)</f>
        <v>0</v>
      </c>
      <c r="U920" s="1849"/>
      <c r="W920" s="1848"/>
      <c r="X920" s="1848"/>
      <c r="Y920" s="1848"/>
    </row>
    <row r="921" spans="2:25" hidden="1">
      <c r="B921" s="1815" t="b">
        <f>AND(I921=FALSE,N920=0,Q920=0,L920="")</f>
        <v>1</v>
      </c>
      <c r="C921" s="1844" t="str" cm="1">
        <f t="array" ref="C921">_xlfn.IFS(
    L921="", "",
    MONTH(L921) &lt;= End_of_Year_Month, YEAR(L921),
    TRUE, YEAR(L921) + 1
)</f>
        <v/>
      </c>
      <c r="F921" s="1857">
        <f>IF(L921="",0,L921)</f>
        <v>0</v>
      </c>
      <c r="G921" s="1856">
        <f>-(N921-Q921)</f>
        <v>0</v>
      </c>
      <c r="I921" s="1815" t="b">
        <f>K921&lt;=Number_Payments</f>
        <v>0</v>
      </c>
      <c r="J921" s="1855"/>
      <c r="K921" s="1351">
        <f>K920+1</f>
        <v>795</v>
      </c>
      <c r="L921" s="1854" t="str" cm="1">
        <f t="array" ref="L921">_xlfn.IFS(
    I920=FALSE, "",
    Payment_Frequency="Monthly", EDATE(L920, 1),
    Payment_Frequency="Weekly", DATE(YEAR(L920), MONTH(L920), DAY(L920) + 7),
    Payment_Frequency="Fortnightly", DATE(YEAR(L920), MONTH(L920), DAY(L920) + 14),
    Payment_Frequency="Quarterly", DATE(YEAR(L920), MONTH(L920) + 3, DAY(L920)),
    Payment_Frequency="Yearly", DATE(YEAR(L920) + 1, MONTH(L920), DAY(L920)),
    TRUE, ""
)</f>
        <v/>
      </c>
      <c r="M921" s="1853">
        <f>IF(ISERROR(L921-L920),0,L921-L920)</f>
        <v>0</v>
      </c>
      <c r="N921" s="1851" cm="1">
        <f t="array" ref="N921">_xlfn.IFS(
    AND(I921=TRUE, K921&lt;=No_Regular_Payments), Repay_Amt,
    AND(I921=TRUE, K921=No_Regular_Payments+1), Tm_Balloon_Amt,
   TRUE, 0
)</f>
        <v>0</v>
      </c>
      <c r="O921" s="1850" cm="1">
        <f t="array" ref="O921">_xlfn.IFS(
    M921=0,0,
   ABS(N921 - S920 - P921-Q921) &lt; 1, N921 - S920-Q921,
    TRUE, P921
)</f>
        <v>0</v>
      </c>
      <c r="P921" s="1852">
        <f>IF(M921=0,0,ROUND(S920*EXP(Int_Rate/365.25 * M921)-S920,2))</f>
        <v>0</v>
      </c>
      <c r="Q921" s="1851" cm="1">
        <f t="array" ref="Q921">_xlfn.IFS(
    AND(I921=TRUE, K921&lt;=No_Regular_Payments), Periodic_Admin_Charge,
   TRUE, 0
)</f>
        <v>0</v>
      </c>
      <c r="R921" s="1850">
        <f>N921-O921-Q921</f>
        <v>0</v>
      </c>
      <c r="S921" s="1850">
        <f>ROUND(S920-R921,2)</f>
        <v>0</v>
      </c>
      <c r="T921" s="1850">
        <f>ROUND(T920-(N921-Q921),2)</f>
        <v>0</v>
      </c>
      <c r="U921" s="1849"/>
      <c r="W921" s="1848"/>
      <c r="X921" s="1848"/>
      <c r="Y921" s="1848"/>
    </row>
    <row r="922" spans="2:25" hidden="1">
      <c r="B922" s="1815" t="b">
        <f>AND(I922=FALSE,N921=0,Q921=0,L921="")</f>
        <v>1</v>
      </c>
      <c r="C922" s="1844" t="str" cm="1">
        <f t="array" ref="C922">_xlfn.IFS(
    L922="", "",
    MONTH(L922) &lt;= End_of_Year_Month, YEAR(L922),
    TRUE, YEAR(L922) + 1
)</f>
        <v/>
      </c>
      <c r="F922" s="1857">
        <f>IF(L922="",0,L922)</f>
        <v>0</v>
      </c>
      <c r="G922" s="1856">
        <f>-(N922-Q922)</f>
        <v>0</v>
      </c>
      <c r="I922" s="1815" t="b">
        <f>K922&lt;=Number_Payments</f>
        <v>0</v>
      </c>
      <c r="J922" s="1855"/>
      <c r="K922" s="1351">
        <f>K921+1</f>
        <v>796</v>
      </c>
      <c r="L922" s="1854" t="str" cm="1">
        <f t="array" ref="L922">_xlfn.IFS(
    I921=FALSE, "",
    Payment_Frequency="Monthly", EDATE(L921, 1),
    Payment_Frequency="Weekly", DATE(YEAR(L921), MONTH(L921), DAY(L921) + 7),
    Payment_Frequency="Fortnightly", DATE(YEAR(L921), MONTH(L921), DAY(L921) + 14),
    Payment_Frequency="Quarterly", DATE(YEAR(L921), MONTH(L921) + 3, DAY(L921)),
    Payment_Frequency="Yearly", DATE(YEAR(L921) + 1, MONTH(L921), DAY(L921)),
    TRUE, ""
)</f>
        <v/>
      </c>
      <c r="M922" s="1853">
        <f>IF(ISERROR(L922-L921),0,L922-L921)</f>
        <v>0</v>
      </c>
      <c r="N922" s="1851" cm="1">
        <f t="array" ref="N922">_xlfn.IFS(
    AND(I922=TRUE, K922&lt;=No_Regular_Payments), Repay_Amt,
    AND(I922=TRUE, K922=No_Regular_Payments+1), Tm_Balloon_Amt,
   TRUE, 0
)</f>
        <v>0</v>
      </c>
      <c r="O922" s="1850" cm="1">
        <f t="array" ref="O922">_xlfn.IFS(
    M922=0,0,
   ABS(N922 - S921 - P922-Q922) &lt; 1, N922 - S921-Q922,
    TRUE, P922
)</f>
        <v>0</v>
      </c>
      <c r="P922" s="1852">
        <f>IF(M922=0,0,ROUND(S921*EXP(Int_Rate/365.25 * M922)-S921,2))</f>
        <v>0</v>
      </c>
      <c r="Q922" s="1851" cm="1">
        <f t="array" ref="Q922">_xlfn.IFS(
    AND(I922=TRUE, K922&lt;=No_Regular_Payments), Periodic_Admin_Charge,
   TRUE, 0
)</f>
        <v>0</v>
      </c>
      <c r="R922" s="1850">
        <f>N922-O922-Q922</f>
        <v>0</v>
      </c>
      <c r="S922" s="1850">
        <f>ROUND(S921-R922,2)</f>
        <v>0</v>
      </c>
      <c r="T922" s="1850">
        <f>ROUND(T921-(N922-Q922),2)</f>
        <v>0</v>
      </c>
      <c r="U922" s="1849"/>
      <c r="W922" s="1848"/>
      <c r="X922" s="1848"/>
      <c r="Y922" s="1848"/>
    </row>
    <row r="923" spans="2:25" hidden="1">
      <c r="B923" s="1815" t="b">
        <f>AND(I923=FALSE,N922=0,Q922=0,L922="")</f>
        <v>1</v>
      </c>
      <c r="C923" s="1844" t="str" cm="1">
        <f t="array" ref="C923">_xlfn.IFS(
    L923="", "",
    MONTH(L923) &lt;= End_of_Year_Month, YEAR(L923),
    TRUE, YEAR(L923) + 1
)</f>
        <v/>
      </c>
      <c r="F923" s="1857">
        <f>IF(L923="",0,L923)</f>
        <v>0</v>
      </c>
      <c r="G923" s="1856">
        <f>-(N923-Q923)</f>
        <v>0</v>
      </c>
      <c r="I923" s="1815" t="b">
        <f>K923&lt;=Number_Payments</f>
        <v>0</v>
      </c>
      <c r="J923" s="1855"/>
      <c r="K923" s="1351">
        <f>K922+1</f>
        <v>797</v>
      </c>
      <c r="L923" s="1854" t="str" cm="1">
        <f t="array" ref="L923">_xlfn.IFS(
    I922=FALSE, "",
    Payment_Frequency="Monthly", EDATE(L922, 1),
    Payment_Frequency="Weekly", DATE(YEAR(L922), MONTH(L922), DAY(L922) + 7),
    Payment_Frequency="Fortnightly", DATE(YEAR(L922), MONTH(L922), DAY(L922) + 14),
    Payment_Frequency="Quarterly", DATE(YEAR(L922), MONTH(L922) + 3, DAY(L922)),
    Payment_Frequency="Yearly", DATE(YEAR(L922) + 1, MONTH(L922), DAY(L922)),
    TRUE, ""
)</f>
        <v/>
      </c>
      <c r="M923" s="1853">
        <f>IF(ISERROR(L923-L922),0,L923-L922)</f>
        <v>0</v>
      </c>
      <c r="N923" s="1851" cm="1">
        <f t="array" ref="N923">_xlfn.IFS(
    AND(I923=TRUE, K923&lt;=No_Regular_Payments), Repay_Amt,
    AND(I923=TRUE, K923=No_Regular_Payments+1), Tm_Balloon_Amt,
   TRUE, 0
)</f>
        <v>0</v>
      </c>
      <c r="O923" s="1850" cm="1">
        <f t="array" ref="O923">_xlfn.IFS(
    M923=0,0,
   ABS(N923 - S922 - P923-Q923) &lt; 1, N923 - S922-Q923,
    TRUE, P923
)</f>
        <v>0</v>
      </c>
      <c r="P923" s="1852">
        <f>IF(M923=0,0,ROUND(S922*EXP(Int_Rate/365.25 * M923)-S922,2))</f>
        <v>0</v>
      </c>
      <c r="Q923" s="1851" cm="1">
        <f t="array" ref="Q923">_xlfn.IFS(
    AND(I923=TRUE, K923&lt;=No_Regular_Payments), Periodic_Admin_Charge,
   TRUE, 0
)</f>
        <v>0</v>
      </c>
      <c r="R923" s="1850">
        <f>N923-O923-Q923</f>
        <v>0</v>
      </c>
      <c r="S923" s="1850">
        <f>ROUND(S922-R923,2)</f>
        <v>0</v>
      </c>
      <c r="T923" s="1850">
        <f>ROUND(T922-(N923-Q923),2)</f>
        <v>0</v>
      </c>
      <c r="U923" s="1849"/>
      <c r="W923" s="1848"/>
      <c r="X923" s="1848"/>
      <c r="Y923" s="1848"/>
    </row>
    <row r="924" spans="2:25" hidden="1">
      <c r="B924" s="1815" t="b">
        <f>AND(I924=FALSE,N923=0,Q923=0,L923="")</f>
        <v>1</v>
      </c>
      <c r="C924" s="1844" t="str" cm="1">
        <f t="array" ref="C924">_xlfn.IFS(
    L924="", "",
    MONTH(L924) &lt;= End_of_Year_Month, YEAR(L924),
    TRUE, YEAR(L924) + 1
)</f>
        <v/>
      </c>
      <c r="F924" s="1857">
        <f>IF(L924="",0,L924)</f>
        <v>0</v>
      </c>
      <c r="G924" s="1856">
        <f>-(N924-Q924)</f>
        <v>0</v>
      </c>
      <c r="I924" s="1815" t="b">
        <f>K924&lt;=Number_Payments</f>
        <v>0</v>
      </c>
      <c r="J924" s="1855"/>
      <c r="K924" s="1351">
        <f>K923+1</f>
        <v>798</v>
      </c>
      <c r="L924" s="1854" t="str" cm="1">
        <f t="array" ref="L924">_xlfn.IFS(
    I923=FALSE, "",
    Payment_Frequency="Monthly", EDATE(L923, 1),
    Payment_Frequency="Weekly", DATE(YEAR(L923), MONTH(L923), DAY(L923) + 7),
    Payment_Frequency="Fortnightly", DATE(YEAR(L923), MONTH(L923), DAY(L923) + 14),
    Payment_Frequency="Quarterly", DATE(YEAR(L923), MONTH(L923) + 3, DAY(L923)),
    Payment_Frequency="Yearly", DATE(YEAR(L923) + 1, MONTH(L923), DAY(L923)),
    TRUE, ""
)</f>
        <v/>
      </c>
      <c r="M924" s="1853">
        <f>IF(ISERROR(L924-L923),0,L924-L923)</f>
        <v>0</v>
      </c>
      <c r="N924" s="1851" cm="1">
        <f t="array" ref="N924">_xlfn.IFS(
    AND(I924=TRUE, K924&lt;=No_Regular_Payments), Repay_Amt,
    AND(I924=TRUE, K924=No_Regular_Payments+1), Tm_Balloon_Amt,
   TRUE, 0
)</f>
        <v>0</v>
      </c>
      <c r="O924" s="1850" cm="1">
        <f t="array" ref="O924">_xlfn.IFS(
    M924=0,0,
   ABS(N924 - S923 - P924-Q924) &lt; 1, N924 - S923-Q924,
    TRUE, P924
)</f>
        <v>0</v>
      </c>
      <c r="P924" s="1852">
        <f>IF(M924=0,0,ROUND(S923*EXP(Int_Rate/365.25 * M924)-S923,2))</f>
        <v>0</v>
      </c>
      <c r="Q924" s="1851" cm="1">
        <f t="array" ref="Q924">_xlfn.IFS(
    AND(I924=TRUE, K924&lt;=No_Regular_Payments), Periodic_Admin_Charge,
   TRUE, 0
)</f>
        <v>0</v>
      </c>
      <c r="R924" s="1850">
        <f>N924-O924-Q924</f>
        <v>0</v>
      </c>
      <c r="S924" s="1850">
        <f>ROUND(S923-R924,2)</f>
        <v>0</v>
      </c>
      <c r="T924" s="1850">
        <f>ROUND(T923-(N924-Q924),2)</f>
        <v>0</v>
      </c>
      <c r="U924" s="1849"/>
      <c r="W924" s="1848"/>
      <c r="X924" s="1848"/>
      <c r="Y924" s="1848"/>
    </row>
    <row r="925" spans="2:25" hidden="1">
      <c r="B925" s="1815" t="b">
        <f>AND(I925=FALSE,N924=0,Q924=0,L924="")</f>
        <v>1</v>
      </c>
      <c r="C925" s="1844" t="str" cm="1">
        <f t="array" ref="C925">_xlfn.IFS(
    L925="", "",
    MONTH(L925) &lt;= End_of_Year_Month, YEAR(L925),
    TRUE, YEAR(L925) + 1
)</f>
        <v/>
      </c>
      <c r="F925" s="1857">
        <f>IF(L925="",0,L925)</f>
        <v>0</v>
      </c>
      <c r="G925" s="1856">
        <f>-(N925-Q925)</f>
        <v>0</v>
      </c>
      <c r="I925" s="1815" t="b">
        <f>K925&lt;=Number_Payments</f>
        <v>0</v>
      </c>
      <c r="J925" s="1855"/>
      <c r="K925" s="1351">
        <f>K924+1</f>
        <v>799</v>
      </c>
      <c r="L925" s="1854" t="str" cm="1">
        <f t="array" ref="L925">_xlfn.IFS(
    I924=FALSE, "",
    Payment_Frequency="Monthly", EDATE(L924, 1),
    Payment_Frequency="Weekly", DATE(YEAR(L924), MONTH(L924), DAY(L924) + 7),
    Payment_Frequency="Fortnightly", DATE(YEAR(L924), MONTH(L924), DAY(L924) + 14),
    Payment_Frequency="Quarterly", DATE(YEAR(L924), MONTH(L924) + 3, DAY(L924)),
    Payment_Frequency="Yearly", DATE(YEAR(L924) + 1, MONTH(L924), DAY(L924)),
    TRUE, ""
)</f>
        <v/>
      </c>
      <c r="M925" s="1853">
        <f>IF(ISERROR(L925-L924),0,L925-L924)</f>
        <v>0</v>
      </c>
      <c r="N925" s="1851" cm="1">
        <f t="array" ref="N925">_xlfn.IFS(
    AND(I925=TRUE, K925&lt;=No_Regular_Payments), Repay_Amt,
    AND(I925=TRUE, K925=No_Regular_Payments+1), Tm_Balloon_Amt,
   TRUE, 0
)</f>
        <v>0</v>
      </c>
      <c r="O925" s="1850" cm="1">
        <f t="array" ref="O925">_xlfn.IFS(
    M925=0,0,
   ABS(N925 - S924 - P925-Q925) &lt; 1, N925 - S924-Q925,
    TRUE, P925
)</f>
        <v>0</v>
      </c>
      <c r="P925" s="1852">
        <f>IF(M925=0,0,ROUND(S924*EXP(Int_Rate/365.25 * M925)-S924,2))</f>
        <v>0</v>
      </c>
      <c r="Q925" s="1851" cm="1">
        <f t="array" ref="Q925">_xlfn.IFS(
    AND(I925=TRUE, K925&lt;=No_Regular_Payments), Periodic_Admin_Charge,
   TRUE, 0
)</f>
        <v>0</v>
      </c>
      <c r="R925" s="1850">
        <f>N925-O925-Q925</f>
        <v>0</v>
      </c>
      <c r="S925" s="1850">
        <f>ROUND(S924-R925,2)</f>
        <v>0</v>
      </c>
      <c r="T925" s="1850">
        <f>ROUND(T924-(N925-Q925),2)</f>
        <v>0</v>
      </c>
      <c r="U925" s="1849"/>
      <c r="W925" s="1848"/>
      <c r="X925" s="1848"/>
      <c r="Y925" s="1848"/>
    </row>
    <row r="926" spans="2:25" hidden="1">
      <c r="B926" s="1815" t="b">
        <f>AND(I926=FALSE,N925=0,Q925=0,L925="")</f>
        <v>1</v>
      </c>
      <c r="C926" s="1844" t="str" cm="1">
        <f t="array" ref="C926">_xlfn.IFS(
    L926="", "",
    MONTH(L926) &lt;= End_of_Year_Month, YEAR(L926),
    TRUE, YEAR(L926) + 1
)</f>
        <v/>
      </c>
      <c r="F926" s="1857">
        <f>IF(L926="",0,L926)</f>
        <v>0</v>
      </c>
      <c r="G926" s="1856">
        <f>-(N926-Q926)</f>
        <v>0</v>
      </c>
      <c r="I926" s="1815" t="b">
        <f>K926&lt;=Number_Payments</f>
        <v>0</v>
      </c>
      <c r="J926" s="1855"/>
      <c r="K926" s="1351">
        <f>K925+1</f>
        <v>800</v>
      </c>
      <c r="L926" s="1854" t="str" cm="1">
        <f t="array" ref="L926">_xlfn.IFS(
    I925=FALSE, "",
    Payment_Frequency="Monthly", EDATE(L925, 1),
    Payment_Frequency="Weekly", DATE(YEAR(L925), MONTH(L925), DAY(L925) + 7),
    Payment_Frequency="Fortnightly", DATE(YEAR(L925), MONTH(L925), DAY(L925) + 14),
    Payment_Frequency="Quarterly", DATE(YEAR(L925), MONTH(L925) + 3, DAY(L925)),
    Payment_Frequency="Yearly", DATE(YEAR(L925) + 1, MONTH(L925), DAY(L925)),
    TRUE, ""
)</f>
        <v/>
      </c>
      <c r="M926" s="1853">
        <f>IF(ISERROR(L926-L925),0,L926-L925)</f>
        <v>0</v>
      </c>
      <c r="N926" s="1851" cm="1">
        <f t="array" ref="N926">_xlfn.IFS(
    AND(I926=TRUE, K926&lt;=No_Regular_Payments), Repay_Amt,
    AND(I926=TRUE, K926=No_Regular_Payments+1), Tm_Balloon_Amt,
   TRUE, 0
)</f>
        <v>0</v>
      </c>
      <c r="O926" s="1850" cm="1">
        <f t="array" ref="O926">_xlfn.IFS(
    M926=0,0,
   ABS(N926 - S925 - P926-Q926) &lt; 1, N926 - S925-Q926,
    TRUE, P926
)</f>
        <v>0</v>
      </c>
      <c r="P926" s="1852">
        <f>IF(M926=0,0,ROUND(S925*EXP(Int_Rate/365.25 * M926)-S925,2))</f>
        <v>0</v>
      </c>
      <c r="Q926" s="1851" cm="1">
        <f t="array" ref="Q926">_xlfn.IFS(
    AND(I926=TRUE, K926&lt;=No_Regular_Payments), Periodic_Admin_Charge,
   TRUE, 0
)</f>
        <v>0</v>
      </c>
      <c r="R926" s="1850">
        <f>N926-O926-Q926</f>
        <v>0</v>
      </c>
      <c r="S926" s="1850">
        <f>ROUND(S925-R926,2)</f>
        <v>0</v>
      </c>
      <c r="T926" s="1850">
        <f>ROUND(T925-(N926-Q926),2)</f>
        <v>0</v>
      </c>
      <c r="U926" s="1849"/>
      <c r="W926" s="1848"/>
      <c r="X926" s="1848"/>
      <c r="Y926" s="1848"/>
    </row>
    <row r="927" spans="2:25" hidden="1">
      <c r="B927" s="1815" t="b">
        <f>AND(I927=FALSE,N926=0,Q926=0,L926="")</f>
        <v>1</v>
      </c>
      <c r="C927" s="1844" t="str" cm="1">
        <f t="array" ref="C927">_xlfn.IFS(
    L927="", "",
    MONTH(L927) &lt;= End_of_Year_Month, YEAR(L927),
    TRUE, YEAR(L927) + 1
)</f>
        <v/>
      </c>
      <c r="F927" s="1857">
        <f>IF(L927="",0,L927)</f>
        <v>0</v>
      </c>
      <c r="G927" s="1856">
        <f>-(N927-Q927)</f>
        <v>0</v>
      </c>
      <c r="I927" s="1815" t="b">
        <f>K927&lt;=Number_Payments</f>
        <v>0</v>
      </c>
      <c r="J927" s="1855"/>
      <c r="K927" s="1351">
        <f>K926+1</f>
        <v>801</v>
      </c>
      <c r="L927" s="1854" t="str" cm="1">
        <f t="array" ref="L927">_xlfn.IFS(
    I926=FALSE, "",
    Payment_Frequency="Monthly", EDATE(L926, 1),
    Payment_Frequency="Weekly", DATE(YEAR(L926), MONTH(L926), DAY(L926) + 7),
    Payment_Frequency="Fortnightly", DATE(YEAR(L926), MONTH(L926), DAY(L926) + 14),
    Payment_Frequency="Quarterly", DATE(YEAR(L926), MONTH(L926) + 3, DAY(L926)),
    Payment_Frequency="Yearly", DATE(YEAR(L926) + 1, MONTH(L926), DAY(L926)),
    TRUE, ""
)</f>
        <v/>
      </c>
      <c r="M927" s="1853">
        <f>IF(ISERROR(L927-L926),0,L927-L926)</f>
        <v>0</v>
      </c>
      <c r="N927" s="1851" cm="1">
        <f t="array" ref="N927">_xlfn.IFS(
    AND(I927=TRUE, K927&lt;=No_Regular_Payments), Repay_Amt,
    AND(I927=TRUE, K927=No_Regular_Payments+1), Tm_Balloon_Amt,
   TRUE, 0
)</f>
        <v>0</v>
      </c>
      <c r="O927" s="1850" cm="1">
        <f t="array" ref="O927">_xlfn.IFS(
    M927=0,0,
   ABS(N927 - S926 - P927-Q927) &lt; 1, N927 - S926-Q927,
    TRUE, P927
)</f>
        <v>0</v>
      </c>
      <c r="P927" s="1852">
        <f>IF(M927=0,0,ROUND(S926*EXP(Int_Rate/365.25 * M927)-S926,2))</f>
        <v>0</v>
      </c>
      <c r="Q927" s="1851" cm="1">
        <f t="array" ref="Q927">_xlfn.IFS(
    AND(I927=TRUE, K927&lt;=No_Regular_Payments), Periodic_Admin_Charge,
   TRUE, 0
)</f>
        <v>0</v>
      </c>
      <c r="R927" s="1850">
        <f>N927-O927-Q927</f>
        <v>0</v>
      </c>
      <c r="S927" s="1850">
        <f>ROUND(S926-R927,2)</f>
        <v>0</v>
      </c>
      <c r="T927" s="1850">
        <f>ROUND(T926-(N927-Q927),2)</f>
        <v>0</v>
      </c>
      <c r="U927" s="1849"/>
      <c r="W927" s="1848"/>
      <c r="X927" s="1848"/>
      <c r="Y927" s="1848"/>
    </row>
    <row r="928" spans="2:25" hidden="1">
      <c r="B928" s="1815" t="b">
        <f>AND(I928=FALSE,N927=0,Q927=0,L927="")</f>
        <v>1</v>
      </c>
      <c r="C928" s="1844" t="str" cm="1">
        <f t="array" ref="C928">_xlfn.IFS(
    L928="", "",
    MONTH(L928) &lt;= End_of_Year_Month, YEAR(L928),
    TRUE, YEAR(L928) + 1
)</f>
        <v/>
      </c>
      <c r="F928" s="1857">
        <f>IF(L928="",0,L928)</f>
        <v>0</v>
      </c>
      <c r="G928" s="1856">
        <f>-(N928-Q928)</f>
        <v>0</v>
      </c>
      <c r="I928" s="1815" t="b">
        <f>K928&lt;=Number_Payments</f>
        <v>0</v>
      </c>
      <c r="J928" s="1855"/>
      <c r="K928" s="1351">
        <f>K927+1</f>
        <v>802</v>
      </c>
      <c r="L928" s="1854" t="str" cm="1">
        <f t="array" ref="L928">_xlfn.IFS(
    I927=FALSE, "",
    Payment_Frequency="Monthly", EDATE(L927, 1),
    Payment_Frequency="Weekly", DATE(YEAR(L927), MONTH(L927), DAY(L927) + 7),
    Payment_Frequency="Fortnightly", DATE(YEAR(L927), MONTH(L927), DAY(L927) + 14),
    Payment_Frequency="Quarterly", DATE(YEAR(L927), MONTH(L927) + 3, DAY(L927)),
    Payment_Frequency="Yearly", DATE(YEAR(L927) + 1, MONTH(L927), DAY(L927)),
    TRUE, ""
)</f>
        <v/>
      </c>
      <c r="M928" s="1853">
        <f>IF(ISERROR(L928-L927),0,L928-L927)</f>
        <v>0</v>
      </c>
      <c r="N928" s="1851" cm="1">
        <f t="array" ref="N928">_xlfn.IFS(
    AND(I928=TRUE, K928&lt;=No_Regular_Payments), Repay_Amt,
    AND(I928=TRUE, K928=No_Regular_Payments+1), Tm_Balloon_Amt,
   TRUE, 0
)</f>
        <v>0</v>
      </c>
      <c r="O928" s="1850" cm="1">
        <f t="array" ref="O928">_xlfn.IFS(
    M928=0,0,
   ABS(N928 - S927 - P928-Q928) &lt; 1, N928 - S927-Q928,
    TRUE, P928
)</f>
        <v>0</v>
      </c>
      <c r="P928" s="1852">
        <f>IF(M928=0,0,ROUND(S927*EXP(Int_Rate/365.25 * M928)-S927,2))</f>
        <v>0</v>
      </c>
      <c r="Q928" s="1851" cm="1">
        <f t="array" ref="Q928">_xlfn.IFS(
    AND(I928=TRUE, K928&lt;=No_Regular_Payments), Periodic_Admin_Charge,
   TRUE, 0
)</f>
        <v>0</v>
      </c>
      <c r="R928" s="1850">
        <f>N928-O928-Q928</f>
        <v>0</v>
      </c>
      <c r="S928" s="1850">
        <f>ROUND(S927-R928,2)</f>
        <v>0</v>
      </c>
      <c r="T928" s="1850">
        <f>ROUND(T927-(N928-Q928),2)</f>
        <v>0</v>
      </c>
      <c r="U928" s="1849"/>
      <c r="W928" s="1848"/>
      <c r="X928" s="1848"/>
      <c r="Y928" s="1848"/>
    </row>
    <row r="929" spans="2:25" hidden="1">
      <c r="B929" s="1815" t="b">
        <f>AND(I929=FALSE,N928=0,Q928=0,L928="")</f>
        <v>1</v>
      </c>
      <c r="C929" s="1844" t="str" cm="1">
        <f t="array" ref="C929">_xlfn.IFS(
    L929="", "",
    MONTH(L929) &lt;= End_of_Year_Month, YEAR(L929),
    TRUE, YEAR(L929) + 1
)</f>
        <v/>
      </c>
      <c r="F929" s="1857">
        <f>IF(L929="",0,L929)</f>
        <v>0</v>
      </c>
      <c r="G929" s="1856">
        <f>-(N929-Q929)</f>
        <v>0</v>
      </c>
      <c r="I929" s="1815" t="b">
        <f>K929&lt;=Number_Payments</f>
        <v>0</v>
      </c>
      <c r="J929" s="1855"/>
      <c r="K929" s="1351">
        <f>K928+1</f>
        <v>803</v>
      </c>
      <c r="L929" s="1854" t="str" cm="1">
        <f t="array" ref="L929">_xlfn.IFS(
    I928=FALSE, "",
    Payment_Frequency="Monthly", EDATE(L928, 1),
    Payment_Frequency="Weekly", DATE(YEAR(L928), MONTH(L928), DAY(L928) + 7),
    Payment_Frequency="Fortnightly", DATE(YEAR(L928), MONTH(L928), DAY(L928) + 14),
    Payment_Frequency="Quarterly", DATE(YEAR(L928), MONTH(L928) + 3, DAY(L928)),
    Payment_Frequency="Yearly", DATE(YEAR(L928) + 1, MONTH(L928), DAY(L928)),
    TRUE, ""
)</f>
        <v/>
      </c>
      <c r="M929" s="1853">
        <f>IF(ISERROR(L929-L928),0,L929-L928)</f>
        <v>0</v>
      </c>
      <c r="N929" s="1851" cm="1">
        <f t="array" ref="N929">_xlfn.IFS(
    AND(I929=TRUE, K929&lt;=No_Regular_Payments), Repay_Amt,
    AND(I929=TRUE, K929=No_Regular_Payments+1), Tm_Balloon_Amt,
   TRUE, 0
)</f>
        <v>0</v>
      </c>
      <c r="O929" s="1850" cm="1">
        <f t="array" ref="O929">_xlfn.IFS(
    M929=0,0,
   ABS(N929 - S928 - P929-Q929) &lt; 1, N929 - S928-Q929,
    TRUE, P929
)</f>
        <v>0</v>
      </c>
      <c r="P929" s="1852">
        <f>IF(M929=0,0,ROUND(S928*EXP(Int_Rate/365.25 * M929)-S928,2))</f>
        <v>0</v>
      </c>
      <c r="Q929" s="1851" cm="1">
        <f t="array" ref="Q929">_xlfn.IFS(
    AND(I929=TRUE, K929&lt;=No_Regular_Payments), Periodic_Admin_Charge,
   TRUE, 0
)</f>
        <v>0</v>
      </c>
      <c r="R929" s="1850">
        <f>N929-O929-Q929</f>
        <v>0</v>
      </c>
      <c r="S929" s="1850">
        <f>ROUND(S928-R929,2)</f>
        <v>0</v>
      </c>
      <c r="T929" s="1850">
        <f>ROUND(T928-(N929-Q929),2)</f>
        <v>0</v>
      </c>
      <c r="U929" s="1849"/>
      <c r="W929" s="1848"/>
      <c r="X929" s="1848"/>
      <c r="Y929" s="1848"/>
    </row>
    <row r="930" spans="2:25" hidden="1">
      <c r="B930" s="1815" t="b">
        <f>AND(I930=FALSE,N929=0,Q929=0,L929="")</f>
        <v>1</v>
      </c>
      <c r="C930" s="1844" t="str" cm="1">
        <f t="array" ref="C930">_xlfn.IFS(
    L930="", "",
    MONTH(L930) &lt;= End_of_Year_Month, YEAR(L930),
    TRUE, YEAR(L930) + 1
)</f>
        <v/>
      </c>
      <c r="F930" s="1857">
        <f>IF(L930="",0,L930)</f>
        <v>0</v>
      </c>
      <c r="G930" s="1856">
        <f>-(N930-Q930)</f>
        <v>0</v>
      </c>
      <c r="I930" s="1815" t="b">
        <f>K930&lt;=Number_Payments</f>
        <v>0</v>
      </c>
      <c r="J930" s="1855"/>
      <c r="K930" s="1351">
        <f>K929+1</f>
        <v>804</v>
      </c>
      <c r="L930" s="1854" t="str" cm="1">
        <f t="array" ref="L930">_xlfn.IFS(
    I929=FALSE, "",
    Payment_Frequency="Monthly", EDATE(L929, 1),
    Payment_Frequency="Weekly", DATE(YEAR(L929), MONTH(L929), DAY(L929) + 7),
    Payment_Frequency="Fortnightly", DATE(YEAR(L929), MONTH(L929), DAY(L929) + 14),
    Payment_Frequency="Quarterly", DATE(YEAR(L929), MONTH(L929) + 3, DAY(L929)),
    Payment_Frequency="Yearly", DATE(YEAR(L929) + 1, MONTH(L929), DAY(L929)),
    TRUE, ""
)</f>
        <v/>
      </c>
      <c r="M930" s="1853">
        <f>IF(ISERROR(L930-L929),0,L930-L929)</f>
        <v>0</v>
      </c>
      <c r="N930" s="1851" cm="1">
        <f t="array" ref="N930">_xlfn.IFS(
    AND(I930=TRUE, K930&lt;=No_Regular_Payments), Repay_Amt,
    AND(I930=TRUE, K930=No_Regular_Payments+1), Tm_Balloon_Amt,
   TRUE, 0
)</f>
        <v>0</v>
      </c>
      <c r="O930" s="1850" cm="1">
        <f t="array" ref="O930">_xlfn.IFS(
    M930=0,0,
   ABS(N930 - S929 - P930-Q930) &lt; 1, N930 - S929-Q930,
    TRUE, P930
)</f>
        <v>0</v>
      </c>
      <c r="P930" s="1852">
        <f>IF(M930=0,0,ROUND(S929*EXP(Int_Rate/365.25 * M930)-S929,2))</f>
        <v>0</v>
      </c>
      <c r="Q930" s="1851" cm="1">
        <f t="array" ref="Q930">_xlfn.IFS(
    AND(I930=TRUE, K930&lt;=No_Regular_Payments), Periodic_Admin_Charge,
   TRUE, 0
)</f>
        <v>0</v>
      </c>
      <c r="R930" s="1850">
        <f>N930-O930-Q930</f>
        <v>0</v>
      </c>
      <c r="S930" s="1850">
        <f>ROUND(S929-R930,2)</f>
        <v>0</v>
      </c>
      <c r="T930" s="1850">
        <f>ROUND(T929-(N930-Q930),2)</f>
        <v>0</v>
      </c>
      <c r="U930" s="1849"/>
      <c r="W930" s="1848"/>
      <c r="X930" s="1848"/>
      <c r="Y930" s="1848"/>
    </row>
    <row r="931" spans="2:25" hidden="1">
      <c r="B931" s="1815" t="b">
        <f>AND(I931=FALSE,N930=0,Q930=0,L930="")</f>
        <v>1</v>
      </c>
      <c r="C931" s="1844" t="str" cm="1">
        <f t="array" ref="C931">_xlfn.IFS(
    L931="", "",
    MONTH(L931) &lt;= End_of_Year_Month, YEAR(L931),
    TRUE, YEAR(L931) + 1
)</f>
        <v/>
      </c>
      <c r="F931" s="1857">
        <f>IF(L931="",0,L931)</f>
        <v>0</v>
      </c>
      <c r="G931" s="1856">
        <f>-(N931-Q931)</f>
        <v>0</v>
      </c>
      <c r="I931" s="1815" t="b">
        <f>K931&lt;=Number_Payments</f>
        <v>0</v>
      </c>
      <c r="J931" s="1855"/>
      <c r="K931" s="1351">
        <f>K930+1</f>
        <v>805</v>
      </c>
      <c r="L931" s="1854" t="str" cm="1">
        <f t="array" ref="L931">_xlfn.IFS(
    I930=FALSE, "",
    Payment_Frequency="Monthly", EDATE(L930, 1),
    Payment_Frequency="Weekly", DATE(YEAR(L930), MONTH(L930), DAY(L930) + 7),
    Payment_Frequency="Fortnightly", DATE(YEAR(L930), MONTH(L930), DAY(L930) + 14),
    Payment_Frequency="Quarterly", DATE(YEAR(L930), MONTH(L930) + 3, DAY(L930)),
    Payment_Frequency="Yearly", DATE(YEAR(L930) + 1, MONTH(L930), DAY(L930)),
    TRUE, ""
)</f>
        <v/>
      </c>
      <c r="M931" s="1853">
        <f>IF(ISERROR(L931-L930),0,L931-L930)</f>
        <v>0</v>
      </c>
      <c r="N931" s="1851" cm="1">
        <f t="array" ref="N931">_xlfn.IFS(
    AND(I931=TRUE, K931&lt;=No_Regular_Payments), Repay_Amt,
    AND(I931=TRUE, K931=No_Regular_Payments+1), Tm_Balloon_Amt,
   TRUE, 0
)</f>
        <v>0</v>
      </c>
      <c r="O931" s="1850" cm="1">
        <f t="array" ref="O931">_xlfn.IFS(
    M931=0,0,
   ABS(N931 - S930 - P931-Q931) &lt; 1, N931 - S930-Q931,
    TRUE, P931
)</f>
        <v>0</v>
      </c>
      <c r="P931" s="1852">
        <f>IF(M931=0,0,ROUND(S930*EXP(Int_Rate/365.25 * M931)-S930,2))</f>
        <v>0</v>
      </c>
      <c r="Q931" s="1851" cm="1">
        <f t="array" ref="Q931">_xlfn.IFS(
    AND(I931=TRUE, K931&lt;=No_Regular_Payments), Periodic_Admin_Charge,
   TRUE, 0
)</f>
        <v>0</v>
      </c>
      <c r="R931" s="1850">
        <f>N931-O931-Q931</f>
        <v>0</v>
      </c>
      <c r="S931" s="1850">
        <f>ROUND(S930-R931,2)</f>
        <v>0</v>
      </c>
      <c r="T931" s="1850">
        <f>ROUND(T930-(N931-Q931),2)</f>
        <v>0</v>
      </c>
      <c r="U931" s="1849"/>
      <c r="W931" s="1848"/>
      <c r="X931" s="1848"/>
      <c r="Y931" s="1848"/>
    </row>
    <row r="932" spans="2:25" hidden="1">
      <c r="B932" s="1815" t="b">
        <f>AND(I932=FALSE,N931=0,Q931=0,L931="")</f>
        <v>1</v>
      </c>
      <c r="C932" s="1844" t="str" cm="1">
        <f t="array" ref="C932">_xlfn.IFS(
    L932="", "",
    MONTH(L932) &lt;= End_of_Year_Month, YEAR(L932),
    TRUE, YEAR(L932) + 1
)</f>
        <v/>
      </c>
      <c r="F932" s="1857">
        <f>IF(L932="",0,L932)</f>
        <v>0</v>
      </c>
      <c r="G932" s="1856">
        <f>-(N932-Q932)</f>
        <v>0</v>
      </c>
      <c r="I932" s="1815" t="b">
        <f>K932&lt;=Number_Payments</f>
        <v>0</v>
      </c>
      <c r="J932" s="1855"/>
      <c r="K932" s="1351">
        <f>K931+1</f>
        <v>806</v>
      </c>
      <c r="L932" s="1854" t="str" cm="1">
        <f t="array" ref="L932">_xlfn.IFS(
    I931=FALSE, "",
    Payment_Frequency="Monthly", EDATE(L931, 1),
    Payment_Frequency="Weekly", DATE(YEAR(L931), MONTH(L931), DAY(L931) + 7),
    Payment_Frequency="Fortnightly", DATE(YEAR(L931), MONTH(L931), DAY(L931) + 14),
    Payment_Frequency="Quarterly", DATE(YEAR(L931), MONTH(L931) + 3, DAY(L931)),
    Payment_Frequency="Yearly", DATE(YEAR(L931) + 1, MONTH(L931), DAY(L931)),
    TRUE, ""
)</f>
        <v/>
      </c>
      <c r="M932" s="1853">
        <f>IF(ISERROR(L932-L931),0,L932-L931)</f>
        <v>0</v>
      </c>
      <c r="N932" s="1851" cm="1">
        <f t="array" ref="N932">_xlfn.IFS(
    AND(I932=TRUE, K932&lt;=No_Regular_Payments), Repay_Amt,
    AND(I932=TRUE, K932=No_Regular_Payments+1), Tm_Balloon_Amt,
   TRUE, 0
)</f>
        <v>0</v>
      </c>
      <c r="O932" s="1850" cm="1">
        <f t="array" ref="O932">_xlfn.IFS(
    M932=0,0,
   ABS(N932 - S931 - P932-Q932) &lt; 1, N932 - S931-Q932,
    TRUE, P932
)</f>
        <v>0</v>
      </c>
      <c r="P932" s="1852">
        <f>IF(M932=0,0,ROUND(S931*EXP(Int_Rate/365.25 * M932)-S931,2))</f>
        <v>0</v>
      </c>
      <c r="Q932" s="1851" cm="1">
        <f t="array" ref="Q932">_xlfn.IFS(
    AND(I932=TRUE, K932&lt;=No_Regular_Payments), Periodic_Admin_Charge,
   TRUE, 0
)</f>
        <v>0</v>
      </c>
      <c r="R932" s="1850">
        <f>N932-O932-Q932</f>
        <v>0</v>
      </c>
      <c r="S932" s="1850">
        <f>ROUND(S931-R932,2)</f>
        <v>0</v>
      </c>
      <c r="T932" s="1850">
        <f>ROUND(T931-(N932-Q932),2)</f>
        <v>0</v>
      </c>
      <c r="U932" s="1849"/>
      <c r="W932" s="1848"/>
      <c r="X932" s="1848"/>
      <c r="Y932" s="1848"/>
    </row>
    <row r="933" spans="2:25" hidden="1">
      <c r="B933" s="1815" t="b">
        <f>AND(I933=FALSE,N932=0,Q932=0,L932="")</f>
        <v>1</v>
      </c>
      <c r="C933" s="1844" t="str" cm="1">
        <f t="array" ref="C933">_xlfn.IFS(
    L933="", "",
    MONTH(L933) &lt;= End_of_Year_Month, YEAR(L933),
    TRUE, YEAR(L933) + 1
)</f>
        <v/>
      </c>
      <c r="F933" s="1857">
        <f>IF(L933="",0,L933)</f>
        <v>0</v>
      </c>
      <c r="G933" s="1856">
        <f>-(N933-Q933)</f>
        <v>0</v>
      </c>
      <c r="I933" s="1815" t="b">
        <f>K933&lt;=Number_Payments</f>
        <v>0</v>
      </c>
      <c r="J933" s="1855"/>
      <c r="K933" s="1351">
        <f>K932+1</f>
        <v>807</v>
      </c>
      <c r="L933" s="1854" t="str" cm="1">
        <f t="array" ref="L933">_xlfn.IFS(
    I932=FALSE, "",
    Payment_Frequency="Monthly", EDATE(L932, 1),
    Payment_Frequency="Weekly", DATE(YEAR(L932), MONTH(L932), DAY(L932) + 7),
    Payment_Frequency="Fortnightly", DATE(YEAR(L932), MONTH(L932), DAY(L932) + 14),
    Payment_Frequency="Quarterly", DATE(YEAR(L932), MONTH(L932) + 3, DAY(L932)),
    Payment_Frequency="Yearly", DATE(YEAR(L932) + 1, MONTH(L932), DAY(L932)),
    TRUE, ""
)</f>
        <v/>
      </c>
      <c r="M933" s="1853">
        <f>IF(ISERROR(L933-L932),0,L933-L932)</f>
        <v>0</v>
      </c>
      <c r="N933" s="1851" cm="1">
        <f t="array" ref="N933">_xlfn.IFS(
    AND(I933=TRUE, K933&lt;=No_Regular_Payments), Repay_Amt,
    AND(I933=TRUE, K933=No_Regular_Payments+1), Tm_Balloon_Amt,
   TRUE, 0
)</f>
        <v>0</v>
      </c>
      <c r="O933" s="1850" cm="1">
        <f t="array" ref="O933">_xlfn.IFS(
    M933=0,0,
   ABS(N933 - S932 - P933-Q933) &lt; 1, N933 - S932-Q933,
    TRUE, P933
)</f>
        <v>0</v>
      </c>
      <c r="P933" s="1852">
        <f>IF(M933=0,0,ROUND(S932*EXP(Int_Rate/365.25 * M933)-S932,2))</f>
        <v>0</v>
      </c>
      <c r="Q933" s="1851" cm="1">
        <f t="array" ref="Q933">_xlfn.IFS(
    AND(I933=TRUE, K933&lt;=No_Regular_Payments), Periodic_Admin_Charge,
   TRUE, 0
)</f>
        <v>0</v>
      </c>
      <c r="R933" s="1850">
        <f>N933-O933-Q933</f>
        <v>0</v>
      </c>
      <c r="S933" s="1850">
        <f>ROUND(S932-R933,2)</f>
        <v>0</v>
      </c>
      <c r="T933" s="1850">
        <f>ROUND(T932-(N933-Q933),2)</f>
        <v>0</v>
      </c>
      <c r="U933" s="1849"/>
      <c r="W933" s="1848"/>
      <c r="X933" s="1848"/>
      <c r="Y933" s="1848"/>
    </row>
    <row r="934" spans="2:25" hidden="1">
      <c r="B934" s="1815" t="b">
        <f>AND(I934=FALSE,N933=0,Q933=0,L933="")</f>
        <v>1</v>
      </c>
      <c r="C934" s="1844" t="str" cm="1">
        <f t="array" ref="C934">_xlfn.IFS(
    L934="", "",
    MONTH(L934) &lt;= End_of_Year_Month, YEAR(L934),
    TRUE, YEAR(L934) + 1
)</f>
        <v/>
      </c>
      <c r="F934" s="1857">
        <f>IF(L934="",0,L934)</f>
        <v>0</v>
      </c>
      <c r="G934" s="1856">
        <f>-(N934-Q934)</f>
        <v>0</v>
      </c>
      <c r="I934" s="1815" t="b">
        <f>K934&lt;=Number_Payments</f>
        <v>0</v>
      </c>
      <c r="J934" s="1855"/>
      <c r="K934" s="1351">
        <f>K933+1</f>
        <v>808</v>
      </c>
      <c r="L934" s="1854" t="str" cm="1">
        <f t="array" ref="L934">_xlfn.IFS(
    I933=FALSE, "",
    Payment_Frequency="Monthly", EDATE(L933, 1),
    Payment_Frequency="Weekly", DATE(YEAR(L933), MONTH(L933), DAY(L933) + 7),
    Payment_Frequency="Fortnightly", DATE(YEAR(L933), MONTH(L933), DAY(L933) + 14),
    Payment_Frequency="Quarterly", DATE(YEAR(L933), MONTH(L933) + 3, DAY(L933)),
    Payment_Frequency="Yearly", DATE(YEAR(L933) + 1, MONTH(L933), DAY(L933)),
    TRUE, ""
)</f>
        <v/>
      </c>
      <c r="M934" s="1853">
        <f>IF(ISERROR(L934-L933),0,L934-L933)</f>
        <v>0</v>
      </c>
      <c r="N934" s="1851" cm="1">
        <f t="array" ref="N934">_xlfn.IFS(
    AND(I934=TRUE, K934&lt;=No_Regular_Payments), Repay_Amt,
    AND(I934=TRUE, K934=No_Regular_Payments+1), Tm_Balloon_Amt,
   TRUE, 0
)</f>
        <v>0</v>
      </c>
      <c r="O934" s="1850" cm="1">
        <f t="array" ref="O934">_xlfn.IFS(
    M934=0,0,
   ABS(N934 - S933 - P934-Q934) &lt; 1, N934 - S933-Q934,
    TRUE, P934
)</f>
        <v>0</v>
      </c>
      <c r="P934" s="1852">
        <f>IF(M934=0,0,ROUND(S933*EXP(Int_Rate/365.25 * M934)-S933,2))</f>
        <v>0</v>
      </c>
      <c r="Q934" s="1851" cm="1">
        <f t="array" ref="Q934">_xlfn.IFS(
    AND(I934=TRUE, K934&lt;=No_Regular_Payments), Periodic_Admin_Charge,
   TRUE, 0
)</f>
        <v>0</v>
      </c>
      <c r="R934" s="1850">
        <f>N934-O934-Q934</f>
        <v>0</v>
      </c>
      <c r="S934" s="1850">
        <f>ROUND(S933-R934,2)</f>
        <v>0</v>
      </c>
      <c r="T934" s="1850">
        <f>ROUND(T933-(N934-Q934),2)</f>
        <v>0</v>
      </c>
      <c r="U934" s="1849"/>
      <c r="W934" s="1848"/>
      <c r="X934" s="1848"/>
      <c r="Y934" s="1848"/>
    </row>
    <row r="935" spans="2:25" hidden="1">
      <c r="B935" s="1815" t="b">
        <f>AND(I935=FALSE,N934=0,Q934=0,L934="")</f>
        <v>1</v>
      </c>
      <c r="C935" s="1844" t="str" cm="1">
        <f t="array" ref="C935">_xlfn.IFS(
    L935="", "",
    MONTH(L935) &lt;= End_of_Year_Month, YEAR(L935),
    TRUE, YEAR(L935) + 1
)</f>
        <v/>
      </c>
      <c r="F935" s="1857">
        <f>IF(L935="",0,L935)</f>
        <v>0</v>
      </c>
      <c r="G935" s="1856">
        <f>-(N935-Q935)</f>
        <v>0</v>
      </c>
      <c r="I935" s="1815" t="b">
        <f>K935&lt;=Number_Payments</f>
        <v>0</v>
      </c>
      <c r="J935" s="1855"/>
      <c r="K935" s="1351">
        <f>K934+1</f>
        <v>809</v>
      </c>
      <c r="L935" s="1854" t="str" cm="1">
        <f t="array" ref="L935">_xlfn.IFS(
    I934=FALSE, "",
    Payment_Frequency="Monthly", EDATE(L934, 1),
    Payment_Frequency="Weekly", DATE(YEAR(L934), MONTH(L934), DAY(L934) + 7),
    Payment_Frequency="Fortnightly", DATE(YEAR(L934), MONTH(L934), DAY(L934) + 14),
    Payment_Frequency="Quarterly", DATE(YEAR(L934), MONTH(L934) + 3, DAY(L934)),
    Payment_Frequency="Yearly", DATE(YEAR(L934) + 1, MONTH(L934), DAY(L934)),
    TRUE, ""
)</f>
        <v/>
      </c>
      <c r="M935" s="1853">
        <f>IF(ISERROR(L935-L934),0,L935-L934)</f>
        <v>0</v>
      </c>
      <c r="N935" s="1851" cm="1">
        <f t="array" ref="N935">_xlfn.IFS(
    AND(I935=TRUE, K935&lt;=No_Regular_Payments), Repay_Amt,
    AND(I935=TRUE, K935=No_Regular_Payments+1), Tm_Balloon_Amt,
   TRUE, 0
)</f>
        <v>0</v>
      </c>
      <c r="O935" s="1850" cm="1">
        <f t="array" ref="O935">_xlfn.IFS(
    M935=0,0,
   ABS(N935 - S934 - P935-Q935) &lt; 1, N935 - S934-Q935,
    TRUE, P935
)</f>
        <v>0</v>
      </c>
      <c r="P935" s="1852">
        <f>IF(M935=0,0,ROUND(S934*EXP(Int_Rate/365.25 * M935)-S934,2))</f>
        <v>0</v>
      </c>
      <c r="Q935" s="1851" cm="1">
        <f t="array" ref="Q935">_xlfn.IFS(
    AND(I935=TRUE, K935&lt;=No_Regular_Payments), Periodic_Admin_Charge,
   TRUE, 0
)</f>
        <v>0</v>
      </c>
      <c r="R935" s="1850">
        <f>N935-O935-Q935</f>
        <v>0</v>
      </c>
      <c r="S935" s="1850">
        <f>ROUND(S934-R935,2)</f>
        <v>0</v>
      </c>
      <c r="T935" s="1850">
        <f>ROUND(T934-(N935-Q935),2)</f>
        <v>0</v>
      </c>
      <c r="U935" s="1849"/>
      <c r="W935" s="1848"/>
      <c r="X935" s="1848"/>
      <c r="Y935" s="1848"/>
    </row>
    <row r="936" spans="2:25" hidden="1">
      <c r="B936" s="1815" t="b">
        <f>AND(I936=FALSE,N935=0,Q935=0,L935="")</f>
        <v>1</v>
      </c>
      <c r="C936" s="1844" t="str" cm="1">
        <f t="array" ref="C936">_xlfn.IFS(
    L936="", "",
    MONTH(L936) &lt;= End_of_Year_Month, YEAR(L936),
    TRUE, YEAR(L936) + 1
)</f>
        <v/>
      </c>
      <c r="F936" s="1857">
        <f>IF(L936="",0,L936)</f>
        <v>0</v>
      </c>
      <c r="G936" s="1856">
        <f>-(N936-Q936)</f>
        <v>0</v>
      </c>
      <c r="I936" s="1815" t="b">
        <f>K936&lt;=Number_Payments</f>
        <v>0</v>
      </c>
      <c r="J936" s="1855"/>
      <c r="K936" s="1351">
        <f>K935+1</f>
        <v>810</v>
      </c>
      <c r="L936" s="1854" t="str" cm="1">
        <f t="array" ref="L936">_xlfn.IFS(
    I935=FALSE, "",
    Payment_Frequency="Monthly", EDATE(L935, 1),
    Payment_Frequency="Weekly", DATE(YEAR(L935), MONTH(L935), DAY(L935) + 7),
    Payment_Frequency="Fortnightly", DATE(YEAR(L935), MONTH(L935), DAY(L935) + 14),
    Payment_Frequency="Quarterly", DATE(YEAR(L935), MONTH(L935) + 3, DAY(L935)),
    Payment_Frequency="Yearly", DATE(YEAR(L935) + 1, MONTH(L935), DAY(L935)),
    TRUE, ""
)</f>
        <v/>
      </c>
      <c r="M936" s="1853">
        <f>IF(ISERROR(L936-L935),0,L936-L935)</f>
        <v>0</v>
      </c>
      <c r="N936" s="1851" cm="1">
        <f t="array" ref="N936">_xlfn.IFS(
    AND(I936=TRUE, K936&lt;=No_Regular_Payments), Repay_Amt,
    AND(I936=TRUE, K936=No_Regular_Payments+1), Tm_Balloon_Amt,
   TRUE, 0
)</f>
        <v>0</v>
      </c>
      <c r="O936" s="1850" cm="1">
        <f t="array" ref="O936">_xlfn.IFS(
    M936=0,0,
   ABS(N936 - S935 - P936-Q936) &lt; 1, N936 - S935-Q936,
    TRUE, P936
)</f>
        <v>0</v>
      </c>
      <c r="P936" s="1852">
        <f>IF(M936=0,0,ROUND(S935*EXP(Int_Rate/365.25 * M936)-S935,2))</f>
        <v>0</v>
      </c>
      <c r="Q936" s="1851" cm="1">
        <f t="array" ref="Q936">_xlfn.IFS(
    AND(I936=TRUE, K936&lt;=No_Regular_Payments), Periodic_Admin_Charge,
   TRUE, 0
)</f>
        <v>0</v>
      </c>
      <c r="R936" s="1850">
        <f>N936-O936-Q936</f>
        <v>0</v>
      </c>
      <c r="S936" s="1850">
        <f>ROUND(S935-R936,2)</f>
        <v>0</v>
      </c>
      <c r="T936" s="1850">
        <f>ROUND(T935-(N936-Q936),2)</f>
        <v>0</v>
      </c>
      <c r="U936" s="1849"/>
      <c r="W936" s="1848"/>
      <c r="X936" s="1848"/>
      <c r="Y936" s="1848"/>
    </row>
    <row r="937" spans="2:25" hidden="1">
      <c r="B937" s="1815" t="b">
        <f>AND(I937=FALSE,N936=0,Q936=0,L936="")</f>
        <v>1</v>
      </c>
      <c r="C937" s="1844" t="str" cm="1">
        <f t="array" ref="C937">_xlfn.IFS(
    L937="", "",
    MONTH(L937) &lt;= End_of_Year_Month, YEAR(L937),
    TRUE, YEAR(L937) + 1
)</f>
        <v/>
      </c>
      <c r="F937" s="1857">
        <f>IF(L937="",0,L937)</f>
        <v>0</v>
      </c>
      <c r="G937" s="1856">
        <f>-(N937-Q937)</f>
        <v>0</v>
      </c>
      <c r="I937" s="1815" t="b">
        <f>K937&lt;=Number_Payments</f>
        <v>0</v>
      </c>
      <c r="J937" s="1855"/>
      <c r="K937" s="1351">
        <f>K936+1</f>
        <v>811</v>
      </c>
      <c r="L937" s="1854" t="str" cm="1">
        <f t="array" ref="L937">_xlfn.IFS(
    I936=FALSE, "",
    Payment_Frequency="Monthly", EDATE(L936, 1),
    Payment_Frequency="Weekly", DATE(YEAR(L936), MONTH(L936), DAY(L936) + 7),
    Payment_Frequency="Fortnightly", DATE(YEAR(L936), MONTH(L936), DAY(L936) + 14),
    Payment_Frequency="Quarterly", DATE(YEAR(L936), MONTH(L936) + 3, DAY(L936)),
    Payment_Frequency="Yearly", DATE(YEAR(L936) + 1, MONTH(L936), DAY(L936)),
    TRUE, ""
)</f>
        <v/>
      </c>
      <c r="M937" s="1853">
        <f>IF(ISERROR(L937-L936),0,L937-L936)</f>
        <v>0</v>
      </c>
      <c r="N937" s="1851" cm="1">
        <f t="array" ref="N937">_xlfn.IFS(
    AND(I937=TRUE, K937&lt;=No_Regular_Payments), Repay_Amt,
    AND(I937=TRUE, K937=No_Regular_Payments+1), Tm_Balloon_Amt,
   TRUE, 0
)</f>
        <v>0</v>
      </c>
      <c r="O937" s="1850" cm="1">
        <f t="array" ref="O937">_xlfn.IFS(
    M937=0,0,
   ABS(N937 - S936 - P937-Q937) &lt; 1, N937 - S936-Q937,
    TRUE, P937
)</f>
        <v>0</v>
      </c>
      <c r="P937" s="1852">
        <f>IF(M937=0,0,ROUND(S936*EXP(Int_Rate/365.25 * M937)-S936,2))</f>
        <v>0</v>
      </c>
      <c r="Q937" s="1851" cm="1">
        <f t="array" ref="Q937">_xlfn.IFS(
    AND(I937=TRUE, K937&lt;=No_Regular_Payments), Periodic_Admin_Charge,
   TRUE, 0
)</f>
        <v>0</v>
      </c>
      <c r="R937" s="1850">
        <f>N937-O937-Q937</f>
        <v>0</v>
      </c>
      <c r="S937" s="1850">
        <f>ROUND(S936-R937,2)</f>
        <v>0</v>
      </c>
      <c r="T937" s="1850">
        <f>ROUND(T936-(N937-Q937),2)</f>
        <v>0</v>
      </c>
      <c r="U937" s="1849"/>
      <c r="W937" s="1848"/>
      <c r="X937" s="1848"/>
      <c r="Y937" s="1848"/>
    </row>
    <row r="938" spans="2:25" hidden="1">
      <c r="B938" s="1815" t="b">
        <f>AND(I938=FALSE,N937=0,Q937=0,L937="")</f>
        <v>1</v>
      </c>
      <c r="C938" s="1844" t="str" cm="1">
        <f t="array" ref="C938">_xlfn.IFS(
    L938="", "",
    MONTH(L938) &lt;= End_of_Year_Month, YEAR(L938),
    TRUE, YEAR(L938) + 1
)</f>
        <v/>
      </c>
      <c r="F938" s="1857">
        <f>IF(L938="",0,L938)</f>
        <v>0</v>
      </c>
      <c r="G938" s="1856">
        <f>-(N938-Q938)</f>
        <v>0</v>
      </c>
      <c r="I938" s="1815" t="b">
        <f>K938&lt;=Number_Payments</f>
        <v>0</v>
      </c>
      <c r="J938" s="1855"/>
      <c r="K938" s="1351">
        <f>K937+1</f>
        <v>812</v>
      </c>
      <c r="L938" s="1854" t="str" cm="1">
        <f t="array" ref="L938">_xlfn.IFS(
    I937=FALSE, "",
    Payment_Frequency="Monthly", EDATE(L937, 1),
    Payment_Frequency="Weekly", DATE(YEAR(L937), MONTH(L937), DAY(L937) + 7),
    Payment_Frequency="Fortnightly", DATE(YEAR(L937), MONTH(L937), DAY(L937) + 14),
    Payment_Frequency="Quarterly", DATE(YEAR(L937), MONTH(L937) + 3, DAY(L937)),
    Payment_Frequency="Yearly", DATE(YEAR(L937) + 1, MONTH(L937), DAY(L937)),
    TRUE, ""
)</f>
        <v/>
      </c>
      <c r="M938" s="1853">
        <f>IF(ISERROR(L938-L937),0,L938-L937)</f>
        <v>0</v>
      </c>
      <c r="N938" s="1851" cm="1">
        <f t="array" ref="N938">_xlfn.IFS(
    AND(I938=TRUE, K938&lt;=No_Regular_Payments), Repay_Amt,
    AND(I938=TRUE, K938=No_Regular_Payments+1), Tm_Balloon_Amt,
   TRUE, 0
)</f>
        <v>0</v>
      </c>
      <c r="O938" s="1850" cm="1">
        <f t="array" ref="O938">_xlfn.IFS(
    M938=0,0,
   ABS(N938 - S937 - P938-Q938) &lt; 1, N938 - S937-Q938,
    TRUE, P938
)</f>
        <v>0</v>
      </c>
      <c r="P938" s="1852">
        <f>IF(M938=0,0,ROUND(S937*EXP(Int_Rate/365.25 * M938)-S937,2))</f>
        <v>0</v>
      </c>
      <c r="Q938" s="1851" cm="1">
        <f t="array" ref="Q938">_xlfn.IFS(
    AND(I938=TRUE, K938&lt;=No_Regular_Payments), Periodic_Admin_Charge,
   TRUE, 0
)</f>
        <v>0</v>
      </c>
      <c r="R938" s="1850">
        <f>N938-O938-Q938</f>
        <v>0</v>
      </c>
      <c r="S938" s="1850">
        <f>ROUND(S937-R938,2)</f>
        <v>0</v>
      </c>
      <c r="T938" s="1850">
        <f>ROUND(T937-(N938-Q938),2)</f>
        <v>0</v>
      </c>
      <c r="U938" s="1849"/>
      <c r="W938" s="1848"/>
      <c r="X938" s="1848"/>
      <c r="Y938" s="1848"/>
    </row>
    <row r="939" spans="2:25" hidden="1">
      <c r="B939" s="1815" t="b">
        <f>AND(I939=FALSE,N938=0,Q938=0,L938="")</f>
        <v>1</v>
      </c>
      <c r="C939" s="1844" t="str" cm="1">
        <f t="array" ref="C939">_xlfn.IFS(
    L939="", "",
    MONTH(L939) &lt;= End_of_Year_Month, YEAR(L939),
    TRUE, YEAR(L939) + 1
)</f>
        <v/>
      </c>
      <c r="F939" s="1857">
        <f>IF(L939="",0,L939)</f>
        <v>0</v>
      </c>
      <c r="G939" s="1856">
        <f>-(N939-Q939)</f>
        <v>0</v>
      </c>
      <c r="I939" s="1815" t="b">
        <f>K939&lt;=Number_Payments</f>
        <v>0</v>
      </c>
      <c r="J939" s="1855"/>
      <c r="K939" s="1351">
        <f>K938+1</f>
        <v>813</v>
      </c>
      <c r="L939" s="1854" t="str" cm="1">
        <f t="array" ref="L939">_xlfn.IFS(
    I938=FALSE, "",
    Payment_Frequency="Monthly", EDATE(L938, 1),
    Payment_Frequency="Weekly", DATE(YEAR(L938), MONTH(L938), DAY(L938) + 7),
    Payment_Frequency="Fortnightly", DATE(YEAR(L938), MONTH(L938), DAY(L938) + 14),
    Payment_Frequency="Quarterly", DATE(YEAR(L938), MONTH(L938) + 3, DAY(L938)),
    Payment_Frequency="Yearly", DATE(YEAR(L938) + 1, MONTH(L938), DAY(L938)),
    TRUE, ""
)</f>
        <v/>
      </c>
      <c r="M939" s="1853">
        <f>IF(ISERROR(L939-L938),0,L939-L938)</f>
        <v>0</v>
      </c>
      <c r="N939" s="1851" cm="1">
        <f t="array" ref="N939">_xlfn.IFS(
    AND(I939=TRUE, K939&lt;=No_Regular_Payments), Repay_Amt,
    AND(I939=TRUE, K939=No_Regular_Payments+1), Tm_Balloon_Amt,
   TRUE, 0
)</f>
        <v>0</v>
      </c>
      <c r="O939" s="1850" cm="1">
        <f t="array" ref="O939">_xlfn.IFS(
    M939=0,0,
   ABS(N939 - S938 - P939-Q939) &lt; 1, N939 - S938-Q939,
    TRUE, P939
)</f>
        <v>0</v>
      </c>
      <c r="P939" s="1852">
        <f>IF(M939=0,0,ROUND(S938*EXP(Int_Rate/365.25 * M939)-S938,2))</f>
        <v>0</v>
      </c>
      <c r="Q939" s="1851" cm="1">
        <f t="array" ref="Q939">_xlfn.IFS(
    AND(I939=TRUE, K939&lt;=No_Regular_Payments), Periodic_Admin_Charge,
   TRUE, 0
)</f>
        <v>0</v>
      </c>
      <c r="R939" s="1850">
        <f>N939-O939-Q939</f>
        <v>0</v>
      </c>
      <c r="S939" s="1850">
        <f>ROUND(S938-R939,2)</f>
        <v>0</v>
      </c>
      <c r="T939" s="1850">
        <f>ROUND(T938-(N939-Q939),2)</f>
        <v>0</v>
      </c>
      <c r="U939" s="1849"/>
      <c r="W939" s="1848"/>
      <c r="X939" s="1848"/>
      <c r="Y939" s="1848"/>
    </row>
    <row r="940" spans="2:25" hidden="1">
      <c r="B940" s="1815" t="b">
        <f>AND(I940=FALSE,N939=0,Q939=0,L939="")</f>
        <v>1</v>
      </c>
      <c r="C940" s="1844" t="str" cm="1">
        <f t="array" ref="C940">_xlfn.IFS(
    L940="", "",
    MONTH(L940) &lt;= End_of_Year_Month, YEAR(L940),
    TRUE, YEAR(L940) + 1
)</f>
        <v/>
      </c>
      <c r="F940" s="1857">
        <f>IF(L940="",0,L940)</f>
        <v>0</v>
      </c>
      <c r="G940" s="1856">
        <f>-(N940-Q940)</f>
        <v>0</v>
      </c>
      <c r="I940" s="1815" t="b">
        <f>K940&lt;=Number_Payments</f>
        <v>0</v>
      </c>
      <c r="J940" s="1855"/>
      <c r="K940" s="1351">
        <f>K939+1</f>
        <v>814</v>
      </c>
      <c r="L940" s="1854" t="str" cm="1">
        <f t="array" ref="L940">_xlfn.IFS(
    I939=FALSE, "",
    Payment_Frequency="Monthly", EDATE(L939, 1),
    Payment_Frequency="Weekly", DATE(YEAR(L939), MONTH(L939), DAY(L939) + 7),
    Payment_Frequency="Fortnightly", DATE(YEAR(L939), MONTH(L939), DAY(L939) + 14),
    Payment_Frequency="Quarterly", DATE(YEAR(L939), MONTH(L939) + 3, DAY(L939)),
    Payment_Frequency="Yearly", DATE(YEAR(L939) + 1, MONTH(L939), DAY(L939)),
    TRUE, ""
)</f>
        <v/>
      </c>
      <c r="M940" s="1853">
        <f>IF(ISERROR(L940-L939),0,L940-L939)</f>
        <v>0</v>
      </c>
      <c r="N940" s="1851" cm="1">
        <f t="array" ref="N940">_xlfn.IFS(
    AND(I940=TRUE, K940&lt;=No_Regular_Payments), Repay_Amt,
    AND(I940=TRUE, K940=No_Regular_Payments+1), Tm_Balloon_Amt,
   TRUE, 0
)</f>
        <v>0</v>
      </c>
      <c r="O940" s="1850" cm="1">
        <f t="array" ref="O940">_xlfn.IFS(
    M940=0,0,
   ABS(N940 - S939 - P940-Q940) &lt; 1, N940 - S939-Q940,
    TRUE, P940
)</f>
        <v>0</v>
      </c>
      <c r="P940" s="1852">
        <f>IF(M940=0,0,ROUND(S939*EXP(Int_Rate/365.25 * M940)-S939,2))</f>
        <v>0</v>
      </c>
      <c r="Q940" s="1851" cm="1">
        <f t="array" ref="Q940">_xlfn.IFS(
    AND(I940=TRUE, K940&lt;=No_Regular_Payments), Periodic_Admin_Charge,
   TRUE, 0
)</f>
        <v>0</v>
      </c>
      <c r="R940" s="1850">
        <f>N940-O940-Q940</f>
        <v>0</v>
      </c>
      <c r="S940" s="1850">
        <f>ROUND(S939-R940,2)</f>
        <v>0</v>
      </c>
      <c r="T940" s="1850">
        <f>ROUND(T939-(N940-Q940),2)</f>
        <v>0</v>
      </c>
      <c r="U940" s="1849"/>
      <c r="W940" s="1848"/>
      <c r="X940" s="1848"/>
      <c r="Y940" s="1848"/>
    </row>
    <row r="941" spans="2:25" hidden="1">
      <c r="B941" s="1815" t="b">
        <f>AND(I941=FALSE,N940=0,Q940=0,L940="")</f>
        <v>1</v>
      </c>
      <c r="C941" s="1844" t="str" cm="1">
        <f t="array" ref="C941">_xlfn.IFS(
    L941="", "",
    MONTH(L941) &lt;= End_of_Year_Month, YEAR(L941),
    TRUE, YEAR(L941) + 1
)</f>
        <v/>
      </c>
      <c r="F941" s="1857">
        <f>IF(L941="",0,L941)</f>
        <v>0</v>
      </c>
      <c r="G941" s="1856">
        <f>-(N941-Q941)</f>
        <v>0</v>
      </c>
      <c r="I941" s="1815" t="b">
        <f>K941&lt;=Number_Payments</f>
        <v>0</v>
      </c>
      <c r="J941" s="1855"/>
      <c r="K941" s="1351">
        <f>K940+1</f>
        <v>815</v>
      </c>
      <c r="L941" s="1854" t="str" cm="1">
        <f t="array" ref="L941">_xlfn.IFS(
    I940=FALSE, "",
    Payment_Frequency="Monthly", EDATE(L940, 1),
    Payment_Frequency="Weekly", DATE(YEAR(L940), MONTH(L940), DAY(L940) + 7),
    Payment_Frequency="Fortnightly", DATE(YEAR(L940), MONTH(L940), DAY(L940) + 14),
    Payment_Frequency="Quarterly", DATE(YEAR(L940), MONTH(L940) + 3, DAY(L940)),
    Payment_Frequency="Yearly", DATE(YEAR(L940) + 1, MONTH(L940), DAY(L940)),
    TRUE, ""
)</f>
        <v/>
      </c>
      <c r="M941" s="1853">
        <f>IF(ISERROR(L941-L940),0,L941-L940)</f>
        <v>0</v>
      </c>
      <c r="N941" s="1851" cm="1">
        <f t="array" ref="N941">_xlfn.IFS(
    AND(I941=TRUE, K941&lt;=No_Regular_Payments), Repay_Amt,
    AND(I941=TRUE, K941=No_Regular_Payments+1), Tm_Balloon_Amt,
   TRUE, 0
)</f>
        <v>0</v>
      </c>
      <c r="O941" s="1850" cm="1">
        <f t="array" ref="O941">_xlfn.IFS(
    M941=0,0,
   ABS(N941 - S940 - P941-Q941) &lt; 1, N941 - S940-Q941,
    TRUE, P941
)</f>
        <v>0</v>
      </c>
      <c r="P941" s="1852">
        <f>IF(M941=0,0,ROUND(S940*EXP(Int_Rate/365.25 * M941)-S940,2))</f>
        <v>0</v>
      </c>
      <c r="Q941" s="1851" cm="1">
        <f t="array" ref="Q941">_xlfn.IFS(
    AND(I941=TRUE, K941&lt;=No_Regular_Payments), Periodic_Admin_Charge,
   TRUE, 0
)</f>
        <v>0</v>
      </c>
      <c r="R941" s="1850">
        <f>N941-O941-Q941</f>
        <v>0</v>
      </c>
      <c r="S941" s="1850">
        <f>ROUND(S940-R941,2)</f>
        <v>0</v>
      </c>
      <c r="T941" s="1850">
        <f>ROUND(T940-(N941-Q941),2)</f>
        <v>0</v>
      </c>
      <c r="U941" s="1849"/>
      <c r="W941" s="1848"/>
      <c r="X941" s="1848"/>
      <c r="Y941" s="1848"/>
    </row>
    <row r="942" spans="2:25" hidden="1">
      <c r="B942" s="1815" t="b">
        <f>AND(I942=FALSE,N941=0,Q941=0,L941="")</f>
        <v>1</v>
      </c>
      <c r="C942" s="1844" t="str" cm="1">
        <f t="array" ref="C942">_xlfn.IFS(
    L942="", "",
    MONTH(L942) &lt;= End_of_Year_Month, YEAR(L942),
    TRUE, YEAR(L942) + 1
)</f>
        <v/>
      </c>
      <c r="F942" s="1857">
        <f>IF(L942="",0,L942)</f>
        <v>0</v>
      </c>
      <c r="G942" s="1856">
        <f>-(N942-Q942)</f>
        <v>0</v>
      </c>
      <c r="I942" s="1815" t="b">
        <f>K942&lt;=Number_Payments</f>
        <v>0</v>
      </c>
      <c r="J942" s="1855"/>
      <c r="K942" s="1351">
        <f>K941+1</f>
        <v>816</v>
      </c>
      <c r="L942" s="1854" t="str" cm="1">
        <f t="array" ref="L942">_xlfn.IFS(
    I941=FALSE, "",
    Payment_Frequency="Monthly", EDATE(L941, 1),
    Payment_Frequency="Weekly", DATE(YEAR(L941), MONTH(L941), DAY(L941) + 7),
    Payment_Frequency="Fortnightly", DATE(YEAR(L941), MONTH(L941), DAY(L941) + 14),
    Payment_Frequency="Quarterly", DATE(YEAR(L941), MONTH(L941) + 3, DAY(L941)),
    Payment_Frequency="Yearly", DATE(YEAR(L941) + 1, MONTH(L941), DAY(L941)),
    TRUE, ""
)</f>
        <v/>
      </c>
      <c r="M942" s="1853">
        <f>IF(ISERROR(L942-L941),0,L942-L941)</f>
        <v>0</v>
      </c>
      <c r="N942" s="1851" cm="1">
        <f t="array" ref="N942">_xlfn.IFS(
    AND(I942=TRUE, K942&lt;=No_Regular_Payments), Repay_Amt,
    AND(I942=TRUE, K942=No_Regular_Payments+1), Tm_Balloon_Amt,
   TRUE, 0
)</f>
        <v>0</v>
      </c>
      <c r="O942" s="1850" cm="1">
        <f t="array" ref="O942">_xlfn.IFS(
    M942=0,0,
   ABS(N942 - S941 - P942-Q942) &lt; 1, N942 - S941-Q942,
    TRUE, P942
)</f>
        <v>0</v>
      </c>
      <c r="P942" s="1852">
        <f>IF(M942=0,0,ROUND(S941*EXP(Int_Rate/365.25 * M942)-S941,2))</f>
        <v>0</v>
      </c>
      <c r="Q942" s="1851" cm="1">
        <f t="array" ref="Q942">_xlfn.IFS(
    AND(I942=TRUE, K942&lt;=No_Regular_Payments), Periodic_Admin_Charge,
   TRUE, 0
)</f>
        <v>0</v>
      </c>
      <c r="R942" s="1850">
        <f>N942-O942-Q942</f>
        <v>0</v>
      </c>
      <c r="S942" s="1850">
        <f>ROUND(S941-R942,2)</f>
        <v>0</v>
      </c>
      <c r="T942" s="1850">
        <f>ROUND(T941-(N942-Q942),2)</f>
        <v>0</v>
      </c>
      <c r="U942" s="1849"/>
      <c r="W942" s="1848"/>
      <c r="X942" s="1848"/>
      <c r="Y942" s="1848"/>
    </row>
    <row r="943" spans="2:25" hidden="1">
      <c r="B943" s="1815" t="b">
        <f>AND(I943=FALSE,N942=0,Q942=0,L942="")</f>
        <v>1</v>
      </c>
      <c r="C943" s="1844" t="str" cm="1">
        <f t="array" ref="C943">_xlfn.IFS(
    L943="", "",
    MONTH(L943) &lt;= End_of_Year_Month, YEAR(L943),
    TRUE, YEAR(L943) + 1
)</f>
        <v/>
      </c>
      <c r="F943" s="1857">
        <f>IF(L943="",0,L943)</f>
        <v>0</v>
      </c>
      <c r="G943" s="1856">
        <f>-(N943-Q943)</f>
        <v>0</v>
      </c>
      <c r="I943" s="1815" t="b">
        <f>K943&lt;=Number_Payments</f>
        <v>0</v>
      </c>
      <c r="J943" s="1855"/>
      <c r="K943" s="1351">
        <f>K942+1</f>
        <v>817</v>
      </c>
      <c r="L943" s="1854" t="str" cm="1">
        <f t="array" ref="L943">_xlfn.IFS(
    I942=FALSE, "",
    Payment_Frequency="Monthly", EDATE(L942, 1),
    Payment_Frequency="Weekly", DATE(YEAR(L942), MONTH(L942), DAY(L942) + 7),
    Payment_Frequency="Fortnightly", DATE(YEAR(L942), MONTH(L942), DAY(L942) + 14),
    Payment_Frequency="Quarterly", DATE(YEAR(L942), MONTH(L942) + 3, DAY(L942)),
    Payment_Frequency="Yearly", DATE(YEAR(L942) + 1, MONTH(L942), DAY(L942)),
    TRUE, ""
)</f>
        <v/>
      </c>
      <c r="M943" s="1853">
        <f>IF(ISERROR(L943-L942),0,L943-L942)</f>
        <v>0</v>
      </c>
      <c r="N943" s="1851" cm="1">
        <f t="array" ref="N943">_xlfn.IFS(
    AND(I943=TRUE, K943&lt;=No_Regular_Payments), Repay_Amt,
    AND(I943=TRUE, K943=No_Regular_Payments+1), Tm_Balloon_Amt,
   TRUE, 0
)</f>
        <v>0</v>
      </c>
      <c r="O943" s="1850" cm="1">
        <f t="array" ref="O943">_xlfn.IFS(
    M943=0,0,
   ABS(N943 - S942 - P943-Q943) &lt; 1, N943 - S942-Q943,
    TRUE, P943
)</f>
        <v>0</v>
      </c>
      <c r="P943" s="1852">
        <f>IF(M943=0,0,ROUND(S942*EXP(Int_Rate/365.25 * M943)-S942,2))</f>
        <v>0</v>
      </c>
      <c r="Q943" s="1851" cm="1">
        <f t="array" ref="Q943">_xlfn.IFS(
    AND(I943=TRUE, K943&lt;=No_Regular_Payments), Periodic_Admin_Charge,
   TRUE, 0
)</f>
        <v>0</v>
      </c>
      <c r="R943" s="1850">
        <f>N943-O943-Q943</f>
        <v>0</v>
      </c>
      <c r="S943" s="1850">
        <f>ROUND(S942-R943,2)</f>
        <v>0</v>
      </c>
      <c r="T943" s="1850">
        <f>ROUND(T942-(N943-Q943),2)</f>
        <v>0</v>
      </c>
      <c r="U943" s="1849"/>
      <c r="W943" s="1848"/>
      <c r="X943" s="1848"/>
      <c r="Y943" s="1848"/>
    </row>
    <row r="944" spans="2:25" hidden="1">
      <c r="B944" s="1815" t="b">
        <f>AND(I944=FALSE,N943=0,Q943=0,L943="")</f>
        <v>1</v>
      </c>
      <c r="C944" s="1844" t="str" cm="1">
        <f t="array" ref="C944">_xlfn.IFS(
    L944="", "",
    MONTH(L944) &lt;= End_of_Year_Month, YEAR(L944),
    TRUE, YEAR(L944) + 1
)</f>
        <v/>
      </c>
      <c r="F944" s="1857">
        <f>IF(L944="",0,L944)</f>
        <v>0</v>
      </c>
      <c r="G944" s="1856">
        <f>-(N944-Q944)</f>
        <v>0</v>
      </c>
      <c r="I944" s="1815" t="b">
        <f>K944&lt;=Number_Payments</f>
        <v>0</v>
      </c>
      <c r="J944" s="1855"/>
      <c r="K944" s="1351">
        <f>K943+1</f>
        <v>818</v>
      </c>
      <c r="L944" s="1854" t="str" cm="1">
        <f t="array" ref="L944">_xlfn.IFS(
    I943=FALSE, "",
    Payment_Frequency="Monthly", EDATE(L943, 1),
    Payment_Frequency="Weekly", DATE(YEAR(L943), MONTH(L943), DAY(L943) + 7),
    Payment_Frequency="Fortnightly", DATE(YEAR(L943), MONTH(L943), DAY(L943) + 14),
    Payment_Frequency="Quarterly", DATE(YEAR(L943), MONTH(L943) + 3, DAY(L943)),
    Payment_Frequency="Yearly", DATE(YEAR(L943) + 1, MONTH(L943), DAY(L943)),
    TRUE, ""
)</f>
        <v/>
      </c>
      <c r="M944" s="1853">
        <f>IF(ISERROR(L944-L943),0,L944-L943)</f>
        <v>0</v>
      </c>
      <c r="N944" s="1851" cm="1">
        <f t="array" ref="N944">_xlfn.IFS(
    AND(I944=TRUE, K944&lt;=No_Regular_Payments), Repay_Amt,
    AND(I944=TRUE, K944=No_Regular_Payments+1), Tm_Balloon_Amt,
   TRUE, 0
)</f>
        <v>0</v>
      </c>
      <c r="O944" s="1850" cm="1">
        <f t="array" ref="O944">_xlfn.IFS(
    M944=0,0,
   ABS(N944 - S943 - P944-Q944) &lt; 1, N944 - S943-Q944,
    TRUE, P944
)</f>
        <v>0</v>
      </c>
      <c r="P944" s="1852">
        <f>IF(M944=0,0,ROUND(S943*EXP(Int_Rate/365.25 * M944)-S943,2))</f>
        <v>0</v>
      </c>
      <c r="Q944" s="1851" cm="1">
        <f t="array" ref="Q944">_xlfn.IFS(
    AND(I944=TRUE, K944&lt;=No_Regular_Payments), Periodic_Admin_Charge,
   TRUE, 0
)</f>
        <v>0</v>
      </c>
      <c r="R944" s="1850">
        <f>N944-O944-Q944</f>
        <v>0</v>
      </c>
      <c r="S944" s="1850">
        <f>ROUND(S943-R944,2)</f>
        <v>0</v>
      </c>
      <c r="T944" s="1850">
        <f>ROUND(T943-(N944-Q944),2)</f>
        <v>0</v>
      </c>
      <c r="U944" s="1849"/>
      <c r="W944" s="1848"/>
      <c r="X944" s="1848"/>
      <c r="Y944" s="1848"/>
    </row>
    <row r="945" spans="2:25" hidden="1">
      <c r="B945" s="1815" t="b">
        <f>AND(I945=FALSE,N944=0,Q944=0,L944="")</f>
        <v>1</v>
      </c>
      <c r="C945" s="1844" t="str" cm="1">
        <f t="array" ref="C945">_xlfn.IFS(
    L945="", "",
    MONTH(L945) &lt;= End_of_Year_Month, YEAR(L945),
    TRUE, YEAR(L945) + 1
)</f>
        <v/>
      </c>
      <c r="F945" s="1857">
        <f>IF(L945="",0,L945)</f>
        <v>0</v>
      </c>
      <c r="G945" s="1856">
        <f>-(N945-Q945)</f>
        <v>0</v>
      </c>
      <c r="I945" s="1815" t="b">
        <f>K945&lt;=Number_Payments</f>
        <v>0</v>
      </c>
      <c r="J945" s="1855"/>
      <c r="K945" s="1351">
        <f>K944+1</f>
        <v>819</v>
      </c>
      <c r="L945" s="1854" t="str" cm="1">
        <f t="array" ref="L945">_xlfn.IFS(
    I944=FALSE, "",
    Payment_Frequency="Monthly", EDATE(L944, 1),
    Payment_Frequency="Weekly", DATE(YEAR(L944), MONTH(L944), DAY(L944) + 7),
    Payment_Frequency="Fortnightly", DATE(YEAR(L944), MONTH(L944), DAY(L944) + 14),
    Payment_Frequency="Quarterly", DATE(YEAR(L944), MONTH(L944) + 3, DAY(L944)),
    Payment_Frequency="Yearly", DATE(YEAR(L944) + 1, MONTH(L944), DAY(L944)),
    TRUE, ""
)</f>
        <v/>
      </c>
      <c r="M945" s="1853">
        <f>IF(ISERROR(L945-L944),0,L945-L944)</f>
        <v>0</v>
      </c>
      <c r="N945" s="1851" cm="1">
        <f t="array" ref="N945">_xlfn.IFS(
    AND(I945=TRUE, K945&lt;=No_Regular_Payments), Repay_Amt,
    AND(I945=TRUE, K945=No_Regular_Payments+1), Tm_Balloon_Amt,
   TRUE, 0
)</f>
        <v>0</v>
      </c>
      <c r="O945" s="1850" cm="1">
        <f t="array" ref="O945">_xlfn.IFS(
    M945=0,0,
   ABS(N945 - S944 - P945-Q945) &lt; 1, N945 - S944-Q945,
    TRUE, P945
)</f>
        <v>0</v>
      </c>
      <c r="P945" s="1852">
        <f>IF(M945=0,0,ROUND(S944*EXP(Int_Rate/365.25 * M945)-S944,2))</f>
        <v>0</v>
      </c>
      <c r="Q945" s="1851" cm="1">
        <f t="array" ref="Q945">_xlfn.IFS(
    AND(I945=TRUE, K945&lt;=No_Regular_Payments), Periodic_Admin_Charge,
   TRUE, 0
)</f>
        <v>0</v>
      </c>
      <c r="R945" s="1850">
        <f>N945-O945-Q945</f>
        <v>0</v>
      </c>
      <c r="S945" s="1850">
        <f>ROUND(S944-R945,2)</f>
        <v>0</v>
      </c>
      <c r="T945" s="1850">
        <f>ROUND(T944-(N945-Q945),2)</f>
        <v>0</v>
      </c>
      <c r="U945" s="1849"/>
      <c r="W945" s="1848"/>
      <c r="X945" s="1848"/>
      <c r="Y945" s="1848"/>
    </row>
    <row r="946" spans="2:25" hidden="1">
      <c r="B946" s="1815" t="b">
        <f>AND(I946=FALSE,N945=0,Q945=0,L945="")</f>
        <v>1</v>
      </c>
      <c r="C946" s="1844" t="str" cm="1">
        <f t="array" ref="C946">_xlfn.IFS(
    L946="", "",
    MONTH(L946) &lt;= End_of_Year_Month, YEAR(L946),
    TRUE, YEAR(L946) + 1
)</f>
        <v/>
      </c>
      <c r="F946" s="1857">
        <f>IF(L946="",0,L946)</f>
        <v>0</v>
      </c>
      <c r="G946" s="1856">
        <f>-(N946-Q946)</f>
        <v>0</v>
      </c>
      <c r="I946" s="1815" t="b">
        <f>K946&lt;=Number_Payments</f>
        <v>0</v>
      </c>
      <c r="J946" s="1855"/>
      <c r="K946" s="1351">
        <f>K945+1</f>
        <v>820</v>
      </c>
      <c r="L946" s="1854" t="str" cm="1">
        <f t="array" ref="L946">_xlfn.IFS(
    I945=FALSE, "",
    Payment_Frequency="Monthly", EDATE(L945, 1),
    Payment_Frequency="Weekly", DATE(YEAR(L945), MONTH(L945), DAY(L945) + 7),
    Payment_Frequency="Fortnightly", DATE(YEAR(L945), MONTH(L945), DAY(L945) + 14),
    Payment_Frequency="Quarterly", DATE(YEAR(L945), MONTH(L945) + 3, DAY(L945)),
    Payment_Frequency="Yearly", DATE(YEAR(L945) + 1, MONTH(L945), DAY(L945)),
    TRUE, ""
)</f>
        <v/>
      </c>
      <c r="M946" s="1853">
        <f>IF(ISERROR(L946-L945),0,L946-L945)</f>
        <v>0</v>
      </c>
      <c r="N946" s="1851" cm="1">
        <f t="array" ref="N946">_xlfn.IFS(
    AND(I946=TRUE, K946&lt;=No_Regular_Payments), Repay_Amt,
    AND(I946=TRUE, K946=No_Regular_Payments+1), Tm_Balloon_Amt,
   TRUE, 0
)</f>
        <v>0</v>
      </c>
      <c r="O946" s="1850" cm="1">
        <f t="array" ref="O946">_xlfn.IFS(
    M946=0,0,
   ABS(N946 - S945 - P946-Q946) &lt; 1, N946 - S945-Q946,
    TRUE, P946
)</f>
        <v>0</v>
      </c>
      <c r="P946" s="1852">
        <f>IF(M946=0,0,ROUND(S945*EXP(Int_Rate/365.25 * M946)-S945,2))</f>
        <v>0</v>
      </c>
      <c r="Q946" s="1851" cm="1">
        <f t="array" ref="Q946">_xlfn.IFS(
    AND(I946=TRUE, K946&lt;=No_Regular_Payments), Periodic_Admin_Charge,
   TRUE, 0
)</f>
        <v>0</v>
      </c>
      <c r="R946" s="1850">
        <f>N946-O946-Q946</f>
        <v>0</v>
      </c>
      <c r="S946" s="1850">
        <f>ROUND(S945-R946,2)</f>
        <v>0</v>
      </c>
      <c r="T946" s="1850">
        <f>ROUND(T945-(N946-Q946),2)</f>
        <v>0</v>
      </c>
      <c r="U946" s="1849"/>
      <c r="W946" s="1848"/>
      <c r="X946" s="1848"/>
      <c r="Y946" s="1848"/>
    </row>
    <row r="947" spans="2:25" hidden="1">
      <c r="B947" s="1815" t="b">
        <f>AND(I947=FALSE,N946=0,Q946=0,L946="")</f>
        <v>1</v>
      </c>
      <c r="C947" s="1844" t="str" cm="1">
        <f t="array" ref="C947">_xlfn.IFS(
    L947="", "",
    MONTH(L947) &lt;= End_of_Year_Month, YEAR(L947),
    TRUE, YEAR(L947) + 1
)</f>
        <v/>
      </c>
      <c r="F947" s="1857">
        <f>IF(L947="",0,L947)</f>
        <v>0</v>
      </c>
      <c r="G947" s="1856">
        <f>-(N947-Q947)</f>
        <v>0</v>
      </c>
      <c r="I947" s="1815" t="b">
        <f>K947&lt;=Number_Payments</f>
        <v>0</v>
      </c>
      <c r="J947" s="1855"/>
      <c r="K947" s="1351">
        <f>K946+1</f>
        <v>821</v>
      </c>
      <c r="L947" s="1854" t="str" cm="1">
        <f t="array" ref="L947">_xlfn.IFS(
    I946=FALSE, "",
    Payment_Frequency="Monthly", EDATE(L946, 1),
    Payment_Frequency="Weekly", DATE(YEAR(L946), MONTH(L946), DAY(L946) + 7),
    Payment_Frequency="Fortnightly", DATE(YEAR(L946), MONTH(L946), DAY(L946) + 14),
    Payment_Frequency="Quarterly", DATE(YEAR(L946), MONTH(L946) + 3, DAY(L946)),
    Payment_Frequency="Yearly", DATE(YEAR(L946) + 1, MONTH(L946), DAY(L946)),
    TRUE, ""
)</f>
        <v/>
      </c>
      <c r="M947" s="1853">
        <f>IF(ISERROR(L947-L946),0,L947-L946)</f>
        <v>0</v>
      </c>
      <c r="N947" s="1851" cm="1">
        <f t="array" ref="N947">_xlfn.IFS(
    AND(I947=TRUE, K947&lt;=No_Regular_Payments), Repay_Amt,
    AND(I947=TRUE, K947=No_Regular_Payments+1), Tm_Balloon_Amt,
   TRUE, 0
)</f>
        <v>0</v>
      </c>
      <c r="O947" s="1850" cm="1">
        <f t="array" ref="O947">_xlfn.IFS(
    M947=0,0,
   ABS(N947 - S946 - P947-Q947) &lt; 1, N947 - S946-Q947,
    TRUE, P947
)</f>
        <v>0</v>
      </c>
      <c r="P947" s="1852">
        <f>IF(M947=0,0,ROUND(S946*EXP(Int_Rate/365.25 * M947)-S946,2))</f>
        <v>0</v>
      </c>
      <c r="Q947" s="1851" cm="1">
        <f t="array" ref="Q947">_xlfn.IFS(
    AND(I947=TRUE, K947&lt;=No_Regular_Payments), Periodic_Admin_Charge,
   TRUE, 0
)</f>
        <v>0</v>
      </c>
      <c r="R947" s="1850">
        <f>N947-O947-Q947</f>
        <v>0</v>
      </c>
      <c r="S947" s="1850">
        <f>ROUND(S946-R947,2)</f>
        <v>0</v>
      </c>
      <c r="T947" s="1850">
        <f>ROUND(T946-(N947-Q947),2)</f>
        <v>0</v>
      </c>
      <c r="U947" s="1849"/>
      <c r="W947" s="1848"/>
      <c r="X947" s="1848"/>
      <c r="Y947" s="1848"/>
    </row>
    <row r="948" spans="2:25" hidden="1">
      <c r="B948" s="1815" t="b">
        <f>AND(I948=FALSE,N947=0,Q947=0,L947="")</f>
        <v>1</v>
      </c>
      <c r="C948" s="1844" t="str" cm="1">
        <f t="array" ref="C948">_xlfn.IFS(
    L948="", "",
    MONTH(L948) &lt;= End_of_Year_Month, YEAR(L948),
    TRUE, YEAR(L948) + 1
)</f>
        <v/>
      </c>
      <c r="F948" s="1857">
        <f>IF(L948="",0,L948)</f>
        <v>0</v>
      </c>
      <c r="G948" s="1856">
        <f>-(N948-Q948)</f>
        <v>0</v>
      </c>
      <c r="I948" s="1815" t="b">
        <f>K948&lt;=Number_Payments</f>
        <v>0</v>
      </c>
      <c r="J948" s="1855"/>
      <c r="K948" s="1351">
        <f>K947+1</f>
        <v>822</v>
      </c>
      <c r="L948" s="1854" t="str" cm="1">
        <f t="array" ref="L948">_xlfn.IFS(
    I947=FALSE, "",
    Payment_Frequency="Monthly", EDATE(L947, 1),
    Payment_Frequency="Weekly", DATE(YEAR(L947), MONTH(L947), DAY(L947) + 7),
    Payment_Frequency="Fortnightly", DATE(YEAR(L947), MONTH(L947), DAY(L947) + 14),
    Payment_Frequency="Quarterly", DATE(YEAR(L947), MONTH(L947) + 3, DAY(L947)),
    Payment_Frequency="Yearly", DATE(YEAR(L947) + 1, MONTH(L947), DAY(L947)),
    TRUE, ""
)</f>
        <v/>
      </c>
      <c r="M948" s="1853">
        <f>IF(ISERROR(L948-L947),0,L948-L947)</f>
        <v>0</v>
      </c>
      <c r="N948" s="1851" cm="1">
        <f t="array" ref="N948">_xlfn.IFS(
    AND(I948=TRUE, K948&lt;=No_Regular_Payments), Repay_Amt,
    AND(I948=TRUE, K948=No_Regular_Payments+1), Tm_Balloon_Amt,
   TRUE, 0
)</f>
        <v>0</v>
      </c>
      <c r="O948" s="1850" cm="1">
        <f t="array" ref="O948">_xlfn.IFS(
    M948=0,0,
   ABS(N948 - S947 - P948-Q948) &lt; 1, N948 - S947-Q948,
    TRUE, P948
)</f>
        <v>0</v>
      </c>
      <c r="P948" s="1852">
        <f>IF(M948=0,0,ROUND(S947*EXP(Int_Rate/365.25 * M948)-S947,2))</f>
        <v>0</v>
      </c>
      <c r="Q948" s="1851" cm="1">
        <f t="array" ref="Q948">_xlfn.IFS(
    AND(I948=TRUE, K948&lt;=No_Regular_Payments), Periodic_Admin_Charge,
   TRUE, 0
)</f>
        <v>0</v>
      </c>
      <c r="R948" s="1850">
        <f>N948-O948-Q948</f>
        <v>0</v>
      </c>
      <c r="S948" s="1850">
        <f>ROUND(S947-R948,2)</f>
        <v>0</v>
      </c>
      <c r="T948" s="1850">
        <f>ROUND(T947-(N948-Q948),2)</f>
        <v>0</v>
      </c>
      <c r="U948" s="1849"/>
      <c r="W948" s="1848"/>
      <c r="X948" s="1848"/>
      <c r="Y948" s="1848"/>
    </row>
    <row r="949" spans="2:25" hidden="1">
      <c r="B949" s="1815" t="b">
        <f>AND(I949=FALSE,N948=0,Q948=0,L948="")</f>
        <v>1</v>
      </c>
      <c r="C949" s="1844" t="str" cm="1">
        <f t="array" ref="C949">_xlfn.IFS(
    L949="", "",
    MONTH(L949) &lt;= End_of_Year_Month, YEAR(L949),
    TRUE, YEAR(L949) + 1
)</f>
        <v/>
      </c>
      <c r="F949" s="1857">
        <f>IF(L949="",0,L949)</f>
        <v>0</v>
      </c>
      <c r="G949" s="1856">
        <f>-(N949-Q949)</f>
        <v>0</v>
      </c>
      <c r="I949" s="1815" t="b">
        <f>K949&lt;=Number_Payments</f>
        <v>0</v>
      </c>
      <c r="J949" s="1855"/>
      <c r="K949" s="1351">
        <f>K948+1</f>
        <v>823</v>
      </c>
      <c r="L949" s="1854" t="str" cm="1">
        <f t="array" ref="L949">_xlfn.IFS(
    I948=FALSE, "",
    Payment_Frequency="Monthly", EDATE(L948, 1),
    Payment_Frequency="Weekly", DATE(YEAR(L948), MONTH(L948), DAY(L948) + 7),
    Payment_Frequency="Fortnightly", DATE(YEAR(L948), MONTH(L948), DAY(L948) + 14),
    Payment_Frequency="Quarterly", DATE(YEAR(L948), MONTH(L948) + 3, DAY(L948)),
    Payment_Frequency="Yearly", DATE(YEAR(L948) + 1, MONTH(L948), DAY(L948)),
    TRUE, ""
)</f>
        <v/>
      </c>
      <c r="M949" s="1853">
        <f>IF(ISERROR(L949-L948),0,L949-L948)</f>
        <v>0</v>
      </c>
      <c r="N949" s="1851" cm="1">
        <f t="array" ref="N949">_xlfn.IFS(
    AND(I949=TRUE, K949&lt;=No_Regular_Payments), Repay_Amt,
    AND(I949=TRUE, K949=No_Regular_Payments+1), Tm_Balloon_Amt,
   TRUE, 0
)</f>
        <v>0</v>
      </c>
      <c r="O949" s="1850" cm="1">
        <f t="array" ref="O949">_xlfn.IFS(
    M949=0,0,
   ABS(N949 - S948 - P949-Q949) &lt; 1, N949 - S948-Q949,
    TRUE, P949
)</f>
        <v>0</v>
      </c>
      <c r="P949" s="1852">
        <f>IF(M949=0,0,ROUND(S948*EXP(Int_Rate/365.25 * M949)-S948,2))</f>
        <v>0</v>
      </c>
      <c r="Q949" s="1851" cm="1">
        <f t="array" ref="Q949">_xlfn.IFS(
    AND(I949=TRUE, K949&lt;=No_Regular_Payments), Periodic_Admin_Charge,
   TRUE, 0
)</f>
        <v>0</v>
      </c>
      <c r="R949" s="1850">
        <f>N949-O949-Q949</f>
        <v>0</v>
      </c>
      <c r="S949" s="1850">
        <f>ROUND(S948-R949,2)</f>
        <v>0</v>
      </c>
      <c r="T949" s="1850">
        <f>ROUND(T948-(N949-Q949),2)</f>
        <v>0</v>
      </c>
      <c r="U949" s="1849"/>
      <c r="W949" s="1848"/>
      <c r="X949" s="1848"/>
      <c r="Y949" s="1848"/>
    </row>
    <row r="950" spans="2:25" hidden="1">
      <c r="B950" s="1815" t="b">
        <f>AND(I950=FALSE,N949=0,Q949=0,L949="")</f>
        <v>1</v>
      </c>
      <c r="C950" s="1844" t="str" cm="1">
        <f t="array" ref="C950">_xlfn.IFS(
    L950="", "",
    MONTH(L950) &lt;= End_of_Year_Month, YEAR(L950),
    TRUE, YEAR(L950) + 1
)</f>
        <v/>
      </c>
      <c r="F950" s="1857">
        <f>IF(L950="",0,L950)</f>
        <v>0</v>
      </c>
      <c r="G950" s="1856">
        <f>-(N950-Q950)</f>
        <v>0</v>
      </c>
      <c r="I950" s="1815" t="b">
        <f>K950&lt;=Number_Payments</f>
        <v>0</v>
      </c>
      <c r="J950" s="1855"/>
      <c r="K950" s="1351">
        <f>K949+1</f>
        <v>824</v>
      </c>
      <c r="L950" s="1854" t="str" cm="1">
        <f t="array" ref="L950">_xlfn.IFS(
    I949=FALSE, "",
    Payment_Frequency="Monthly", EDATE(L949, 1),
    Payment_Frequency="Weekly", DATE(YEAR(L949), MONTH(L949), DAY(L949) + 7),
    Payment_Frequency="Fortnightly", DATE(YEAR(L949), MONTH(L949), DAY(L949) + 14),
    Payment_Frequency="Quarterly", DATE(YEAR(L949), MONTH(L949) + 3, DAY(L949)),
    Payment_Frequency="Yearly", DATE(YEAR(L949) + 1, MONTH(L949), DAY(L949)),
    TRUE, ""
)</f>
        <v/>
      </c>
      <c r="M950" s="1853">
        <f>IF(ISERROR(L950-L949),0,L950-L949)</f>
        <v>0</v>
      </c>
      <c r="N950" s="1851" cm="1">
        <f t="array" ref="N950">_xlfn.IFS(
    AND(I950=TRUE, K950&lt;=No_Regular_Payments), Repay_Amt,
    AND(I950=TRUE, K950=No_Regular_Payments+1), Tm_Balloon_Amt,
   TRUE, 0
)</f>
        <v>0</v>
      </c>
      <c r="O950" s="1850" cm="1">
        <f t="array" ref="O950">_xlfn.IFS(
    M950=0,0,
   ABS(N950 - S949 - P950-Q950) &lt; 1, N950 - S949-Q950,
    TRUE, P950
)</f>
        <v>0</v>
      </c>
      <c r="P950" s="1852">
        <f>IF(M950=0,0,ROUND(S949*EXP(Int_Rate/365.25 * M950)-S949,2))</f>
        <v>0</v>
      </c>
      <c r="Q950" s="1851" cm="1">
        <f t="array" ref="Q950">_xlfn.IFS(
    AND(I950=TRUE, K950&lt;=No_Regular_Payments), Periodic_Admin_Charge,
   TRUE, 0
)</f>
        <v>0</v>
      </c>
      <c r="R950" s="1850">
        <f>N950-O950-Q950</f>
        <v>0</v>
      </c>
      <c r="S950" s="1850">
        <f>ROUND(S949-R950,2)</f>
        <v>0</v>
      </c>
      <c r="T950" s="1850">
        <f>ROUND(T949-(N950-Q950),2)</f>
        <v>0</v>
      </c>
      <c r="U950" s="1849"/>
      <c r="W950" s="1848"/>
      <c r="X950" s="1848"/>
      <c r="Y950" s="1848"/>
    </row>
    <row r="951" spans="2:25" hidden="1">
      <c r="B951" s="1815" t="b">
        <f>AND(I951=FALSE,N950=0,Q950=0,L950="")</f>
        <v>1</v>
      </c>
      <c r="C951" s="1844" t="str" cm="1">
        <f t="array" ref="C951">_xlfn.IFS(
    L951="", "",
    MONTH(L951) &lt;= End_of_Year_Month, YEAR(L951),
    TRUE, YEAR(L951) + 1
)</f>
        <v/>
      </c>
      <c r="F951" s="1857">
        <f>IF(L951="",0,L951)</f>
        <v>0</v>
      </c>
      <c r="G951" s="1856">
        <f>-(N951-Q951)</f>
        <v>0</v>
      </c>
      <c r="I951" s="1815" t="b">
        <f>K951&lt;=Number_Payments</f>
        <v>0</v>
      </c>
      <c r="J951" s="1855"/>
      <c r="K951" s="1351">
        <f>K950+1</f>
        <v>825</v>
      </c>
      <c r="L951" s="1854" t="str" cm="1">
        <f t="array" ref="L951">_xlfn.IFS(
    I950=FALSE, "",
    Payment_Frequency="Monthly", EDATE(L950, 1),
    Payment_Frequency="Weekly", DATE(YEAR(L950), MONTH(L950), DAY(L950) + 7),
    Payment_Frequency="Fortnightly", DATE(YEAR(L950), MONTH(L950), DAY(L950) + 14),
    Payment_Frequency="Quarterly", DATE(YEAR(L950), MONTH(L950) + 3, DAY(L950)),
    Payment_Frequency="Yearly", DATE(YEAR(L950) + 1, MONTH(L950), DAY(L950)),
    TRUE, ""
)</f>
        <v/>
      </c>
      <c r="M951" s="1853">
        <f>IF(ISERROR(L951-L950),0,L951-L950)</f>
        <v>0</v>
      </c>
      <c r="N951" s="1851" cm="1">
        <f t="array" ref="N951">_xlfn.IFS(
    AND(I951=TRUE, K951&lt;=No_Regular_Payments), Repay_Amt,
    AND(I951=TRUE, K951=No_Regular_Payments+1), Tm_Balloon_Amt,
   TRUE, 0
)</f>
        <v>0</v>
      </c>
      <c r="O951" s="1850" cm="1">
        <f t="array" ref="O951">_xlfn.IFS(
    M951=0,0,
   ABS(N951 - S950 - P951-Q951) &lt; 1, N951 - S950-Q951,
    TRUE, P951
)</f>
        <v>0</v>
      </c>
      <c r="P951" s="1852">
        <f>IF(M951=0,0,ROUND(S950*EXP(Int_Rate/365.25 * M951)-S950,2))</f>
        <v>0</v>
      </c>
      <c r="Q951" s="1851" cm="1">
        <f t="array" ref="Q951">_xlfn.IFS(
    AND(I951=TRUE, K951&lt;=No_Regular_Payments), Periodic_Admin_Charge,
   TRUE, 0
)</f>
        <v>0</v>
      </c>
      <c r="R951" s="1850">
        <f>N951-O951-Q951</f>
        <v>0</v>
      </c>
      <c r="S951" s="1850">
        <f>ROUND(S950-R951,2)</f>
        <v>0</v>
      </c>
      <c r="T951" s="1850">
        <f>ROUND(T950-(N951-Q951),2)</f>
        <v>0</v>
      </c>
      <c r="U951" s="1849"/>
      <c r="W951" s="1848"/>
      <c r="X951" s="1848"/>
      <c r="Y951" s="1848"/>
    </row>
    <row r="952" spans="2:25" hidden="1">
      <c r="B952" s="1815" t="b">
        <f>AND(I952=FALSE,N951=0,Q951=0,L951="")</f>
        <v>1</v>
      </c>
      <c r="C952" s="1844" t="str" cm="1">
        <f t="array" ref="C952">_xlfn.IFS(
    L952="", "",
    MONTH(L952) &lt;= End_of_Year_Month, YEAR(L952),
    TRUE, YEAR(L952) + 1
)</f>
        <v/>
      </c>
      <c r="F952" s="1857">
        <f>IF(L952="",0,L952)</f>
        <v>0</v>
      </c>
      <c r="G952" s="1856">
        <f>-(N952-Q952)</f>
        <v>0</v>
      </c>
      <c r="I952" s="1815" t="b">
        <f>K952&lt;=Number_Payments</f>
        <v>0</v>
      </c>
      <c r="J952" s="1855"/>
      <c r="K952" s="1351">
        <f>K951+1</f>
        <v>826</v>
      </c>
      <c r="L952" s="1854" t="str" cm="1">
        <f t="array" ref="L952">_xlfn.IFS(
    I951=FALSE, "",
    Payment_Frequency="Monthly", EDATE(L951, 1),
    Payment_Frequency="Weekly", DATE(YEAR(L951), MONTH(L951), DAY(L951) + 7),
    Payment_Frequency="Fortnightly", DATE(YEAR(L951), MONTH(L951), DAY(L951) + 14),
    Payment_Frequency="Quarterly", DATE(YEAR(L951), MONTH(L951) + 3, DAY(L951)),
    Payment_Frequency="Yearly", DATE(YEAR(L951) + 1, MONTH(L951), DAY(L951)),
    TRUE, ""
)</f>
        <v/>
      </c>
      <c r="M952" s="1853">
        <f>IF(ISERROR(L952-L951),0,L952-L951)</f>
        <v>0</v>
      </c>
      <c r="N952" s="1851" cm="1">
        <f t="array" ref="N952">_xlfn.IFS(
    AND(I952=TRUE, K952&lt;=No_Regular_Payments), Repay_Amt,
    AND(I952=TRUE, K952=No_Regular_Payments+1), Tm_Balloon_Amt,
   TRUE, 0
)</f>
        <v>0</v>
      </c>
      <c r="O952" s="1850" cm="1">
        <f t="array" ref="O952">_xlfn.IFS(
    M952=0,0,
   ABS(N952 - S951 - P952-Q952) &lt; 1, N952 - S951-Q952,
    TRUE, P952
)</f>
        <v>0</v>
      </c>
      <c r="P952" s="1852">
        <f>IF(M952=0,0,ROUND(S951*EXP(Int_Rate/365.25 * M952)-S951,2))</f>
        <v>0</v>
      </c>
      <c r="Q952" s="1851" cm="1">
        <f t="array" ref="Q952">_xlfn.IFS(
    AND(I952=TRUE, K952&lt;=No_Regular_Payments), Periodic_Admin_Charge,
   TRUE, 0
)</f>
        <v>0</v>
      </c>
      <c r="R952" s="1850">
        <f>N952-O952-Q952</f>
        <v>0</v>
      </c>
      <c r="S952" s="1850">
        <f>ROUND(S951-R952,2)</f>
        <v>0</v>
      </c>
      <c r="T952" s="1850">
        <f>ROUND(T951-(N952-Q952),2)</f>
        <v>0</v>
      </c>
      <c r="U952" s="1849"/>
      <c r="W952" s="1848"/>
      <c r="X952" s="1848"/>
      <c r="Y952" s="1848"/>
    </row>
    <row r="953" spans="2:25" hidden="1">
      <c r="B953" s="1815" t="b">
        <f>AND(I953=FALSE,N952=0,Q952=0,L952="")</f>
        <v>1</v>
      </c>
      <c r="C953" s="1844" t="str" cm="1">
        <f t="array" ref="C953">_xlfn.IFS(
    L953="", "",
    MONTH(L953) &lt;= End_of_Year_Month, YEAR(L953),
    TRUE, YEAR(L953) + 1
)</f>
        <v/>
      </c>
      <c r="F953" s="1857">
        <f>IF(L953="",0,L953)</f>
        <v>0</v>
      </c>
      <c r="G953" s="1856">
        <f>-(N953-Q953)</f>
        <v>0</v>
      </c>
      <c r="I953" s="1815" t="b">
        <f>K953&lt;=Number_Payments</f>
        <v>0</v>
      </c>
      <c r="J953" s="1855"/>
      <c r="K953" s="1351">
        <f>K952+1</f>
        <v>827</v>
      </c>
      <c r="L953" s="1854" t="str" cm="1">
        <f t="array" ref="L953">_xlfn.IFS(
    I952=FALSE, "",
    Payment_Frequency="Monthly", EDATE(L952, 1),
    Payment_Frequency="Weekly", DATE(YEAR(L952), MONTH(L952), DAY(L952) + 7),
    Payment_Frequency="Fortnightly", DATE(YEAR(L952), MONTH(L952), DAY(L952) + 14),
    Payment_Frequency="Quarterly", DATE(YEAR(L952), MONTH(L952) + 3, DAY(L952)),
    Payment_Frequency="Yearly", DATE(YEAR(L952) + 1, MONTH(L952), DAY(L952)),
    TRUE, ""
)</f>
        <v/>
      </c>
      <c r="M953" s="1853">
        <f>IF(ISERROR(L953-L952),0,L953-L952)</f>
        <v>0</v>
      </c>
      <c r="N953" s="1851" cm="1">
        <f t="array" ref="N953">_xlfn.IFS(
    AND(I953=TRUE, K953&lt;=No_Regular_Payments), Repay_Amt,
    AND(I953=TRUE, K953=No_Regular_Payments+1), Tm_Balloon_Amt,
   TRUE, 0
)</f>
        <v>0</v>
      </c>
      <c r="O953" s="1850" cm="1">
        <f t="array" ref="O953">_xlfn.IFS(
    M953=0,0,
   ABS(N953 - S952 - P953-Q953) &lt; 1, N953 - S952-Q953,
    TRUE, P953
)</f>
        <v>0</v>
      </c>
      <c r="P953" s="1852">
        <f>IF(M953=0,0,ROUND(S952*EXP(Int_Rate/365.25 * M953)-S952,2))</f>
        <v>0</v>
      </c>
      <c r="Q953" s="1851" cm="1">
        <f t="array" ref="Q953">_xlfn.IFS(
    AND(I953=TRUE, K953&lt;=No_Regular_Payments), Periodic_Admin_Charge,
   TRUE, 0
)</f>
        <v>0</v>
      </c>
      <c r="R953" s="1850">
        <f>N953-O953-Q953</f>
        <v>0</v>
      </c>
      <c r="S953" s="1850">
        <f>ROUND(S952-R953,2)</f>
        <v>0</v>
      </c>
      <c r="T953" s="1850">
        <f>ROUND(T952-(N953-Q953),2)</f>
        <v>0</v>
      </c>
      <c r="U953" s="1849"/>
      <c r="W953" s="1848"/>
      <c r="X953" s="1848"/>
      <c r="Y953" s="1848"/>
    </row>
    <row r="954" spans="2:25" hidden="1">
      <c r="B954" s="1815" t="b">
        <f>AND(I954=FALSE,N953=0,Q953=0,L953="")</f>
        <v>1</v>
      </c>
      <c r="C954" s="1844" t="str" cm="1">
        <f t="array" ref="C954">_xlfn.IFS(
    L954="", "",
    MONTH(L954) &lt;= End_of_Year_Month, YEAR(L954),
    TRUE, YEAR(L954) + 1
)</f>
        <v/>
      </c>
      <c r="F954" s="1857">
        <f>IF(L954="",0,L954)</f>
        <v>0</v>
      </c>
      <c r="G954" s="1856">
        <f>-(N954-Q954)</f>
        <v>0</v>
      </c>
      <c r="I954" s="1815" t="b">
        <f>K954&lt;=Number_Payments</f>
        <v>0</v>
      </c>
      <c r="J954" s="1855"/>
      <c r="K954" s="1351">
        <f>K953+1</f>
        <v>828</v>
      </c>
      <c r="L954" s="1854" t="str" cm="1">
        <f t="array" ref="L954">_xlfn.IFS(
    I953=FALSE, "",
    Payment_Frequency="Monthly", EDATE(L953, 1),
    Payment_Frequency="Weekly", DATE(YEAR(L953), MONTH(L953), DAY(L953) + 7),
    Payment_Frequency="Fortnightly", DATE(YEAR(L953), MONTH(L953), DAY(L953) + 14),
    Payment_Frequency="Quarterly", DATE(YEAR(L953), MONTH(L953) + 3, DAY(L953)),
    Payment_Frequency="Yearly", DATE(YEAR(L953) + 1, MONTH(L953), DAY(L953)),
    TRUE, ""
)</f>
        <v/>
      </c>
      <c r="M954" s="1853">
        <f>IF(ISERROR(L954-L953),0,L954-L953)</f>
        <v>0</v>
      </c>
      <c r="N954" s="1851" cm="1">
        <f t="array" ref="N954">_xlfn.IFS(
    AND(I954=TRUE, K954&lt;=No_Regular_Payments), Repay_Amt,
    AND(I954=TRUE, K954=No_Regular_Payments+1), Tm_Balloon_Amt,
   TRUE, 0
)</f>
        <v>0</v>
      </c>
      <c r="O954" s="1850" cm="1">
        <f t="array" ref="O954">_xlfn.IFS(
    M954=0,0,
   ABS(N954 - S953 - P954-Q954) &lt; 1, N954 - S953-Q954,
    TRUE, P954
)</f>
        <v>0</v>
      </c>
      <c r="P954" s="1852">
        <f>IF(M954=0,0,ROUND(S953*EXP(Int_Rate/365.25 * M954)-S953,2))</f>
        <v>0</v>
      </c>
      <c r="Q954" s="1851" cm="1">
        <f t="array" ref="Q954">_xlfn.IFS(
    AND(I954=TRUE, K954&lt;=No_Regular_Payments), Periodic_Admin_Charge,
   TRUE, 0
)</f>
        <v>0</v>
      </c>
      <c r="R954" s="1850">
        <f>N954-O954-Q954</f>
        <v>0</v>
      </c>
      <c r="S954" s="1850">
        <f>ROUND(S953-R954,2)</f>
        <v>0</v>
      </c>
      <c r="T954" s="1850">
        <f>ROUND(T953-(N954-Q954),2)</f>
        <v>0</v>
      </c>
      <c r="U954" s="1849"/>
      <c r="W954" s="1848"/>
      <c r="X954" s="1848"/>
      <c r="Y954" s="1848"/>
    </row>
    <row r="955" spans="2:25" hidden="1">
      <c r="B955" s="1815" t="b">
        <f>AND(I955=FALSE,N954=0,Q954=0,L954="")</f>
        <v>1</v>
      </c>
      <c r="C955" s="1844" t="str" cm="1">
        <f t="array" ref="C955">_xlfn.IFS(
    L955="", "",
    MONTH(L955) &lt;= End_of_Year_Month, YEAR(L955),
    TRUE, YEAR(L955) + 1
)</f>
        <v/>
      </c>
      <c r="F955" s="1857">
        <f>IF(L955="",0,L955)</f>
        <v>0</v>
      </c>
      <c r="G955" s="1856">
        <f>-(N955-Q955)</f>
        <v>0</v>
      </c>
      <c r="I955" s="1815" t="b">
        <f>K955&lt;=Number_Payments</f>
        <v>0</v>
      </c>
      <c r="J955" s="1855"/>
      <c r="K955" s="1351">
        <f>K954+1</f>
        <v>829</v>
      </c>
      <c r="L955" s="1854" t="str" cm="1">
        <f t="array" ref="L955">_xlfn.IFS(
    I954=FALSE, "",
    Payment_Frequency="Monthly", EDATE(L954, 1),
    Payment_Frequency="Weekly", DATE(YEAR(L954), MONTH(L954), DAY(L954) + 7),
    Payment_Frequency="Fortnightly", DATE(YEAR(L954), MONTH(L954), DAY(L954) + 14),
    Payment_Frequency="Quarterly", DATE(YEAR(L954), MONTH(L954) + 3, DAY(L954)),
    Payment_Frequency="Yearly", DATE(YEAR(L954) + 1, MONTH(L954), DAY(L954)),
    TRUE, ""
)</f>
        <v/>
      </c>
      <c r="M955" s="1853">
        <f>IF(ISERROR(L955-L954),0,L955-L954)</f>
        <v>0</v>
      </c>
      <c r="N955" s="1851" cm="1">
        <f t="array" ref="N955">_xlfn.IFS(
    AND(I955=TRUE, K955&lt;=No_Regular_Payments), Repay_Amt,
    AND(I955=TRUE, K955=No_Regular_Payments+1), Tm_Balloon_Amt,
   TRUE, 0
)</f>
        <v>0</v>
      </c>
      <c r="O955" s="1850" cm="1">
        <f t="array" ref="O955">_xlfn.IFS(
    M955=0,0,
   ABS(N955 - S954 - P955-Q955) &lt; 1, N955 - S954-Q955,
    TRUE, P955
)</f>
        <v>0</v>
      </c>
      <c r="P955" s="1852">
        <f>IF(M955=0,0,ROUND(S954*EXP(Int_Rate/365.25 * M955)-S954,2))</f>
        <v>0</v>
      </c>
      <c r="Q955" s="1851" cm="1">
        <f t="array" ref="Q955">_xlfn.IFS(
    AND(I955=TRUE, K955&lt;=No_Regular_Payments), Periodic_Admin_Charge,
   TRUE, 0
)</f>
        <v>0</v>
      </c>
      <c r="R955" s="1850">
        <f>N955-O955-Q955</f>
        <v>0</v>
      </c>
      <c r="S955" s="1850">
        <f>ROUND(S954-R955,2)</f>
        <v>0</v>
      </c>
      <c r="T955" s="1850">
        <f>ROUND(T954-(N955-Q955),2)</f>
        <v>0</v>
      </c>
      <c r="U955" s="1849"/>
      <c r="W955" s="1848"/>
      <c r="X955" s="1848"/>
      <c r="Y955" s="1848"/>
    </row>
    <row r="956" spans="2:25" hidden="1">
      <c r="B956" s="1815" t="b">
        <f>AND(I956=FALSE,N955=0,Q955=0,L955="")</f>
        <v>1</v>
      </c>
      <c r="C956" s="1844" t="str" cm="1">
        <f t="array" ref="C956">_xlfn.IFS(
    L956="", "",
    MONTH(L956) &lt;= End_of_Year_Month, YEAR(L956),
    TRUE, YEAR(L956) + 1
)</f>
        <v/>
      </c>
      <c r="F956" s="1857">
        <f>IF(L956="",0,L956)</f>
        <v>0</v>
      </c>
      <c r="G956" s="1856">
        <f>-(N956-Q956)</f>
        <v>0</v>
      </c>
      <c r="I956" s="1815" t="b">
        <f>K956&lt;=Number_Payments</f>
        <v>0</v>
      </c>
      <c r="J956" s="1855"/>
      <c r="K956" s="1351">
        <f>K955+1</f>
        <v>830</v>
      </c>
      <c r="L956" s="1854" t="str" cm="1">
        <f t="array" ref="L956">_xlfn.IFS(
    I955=FALSE, "",
    Payment_Frequency="Monthly", EDATE(L955, 1),
    Payment_Frequency="Weekly", DATE(YEAR(L955), MONTH(L955), DAY(L955) + 7),
    Payment_Frequency="Fortnightly", DATE(YEAR(L955), MONTH(L955), DAY(L955) + 14),
    Payment_Frequency="Quarterly", DATE(YEAR(L955), MONTH(L955) + 3, DAY(L955)),
    Payment_Frequency="Yearly", DATE(YEAR(L955) + 1, MONTH(L955), DAY(L955)),
    TRUE, ""
)</f>
        <v/>
      </c>
      <c r="M956" s="1853">
        <f>IF(ISERROR(L956-L955),0,L956-L955)</f>
        <v>0</v>
      </c>
      <c r="N956" s="1851" cm="1">
        <f t="array" ref="N956">_xlfn.IFS(
    AND(I956=TRUE, K956&lt;=No_Regular_Payments), Repay_Amt,
    AND(I956=TRUE, K956=No_Regular_Payments+1), Tm_Balloon_Amt,
   TRUE, 0
)</f>
        <v>0</v>
      </c>
      <c r="O956" s="1850" cm="1">
        <f t="array" ref="O956">_xlfn.IFS(
    M956=0,0,
   ABS(N956 - S955 - P956-Q956) &lt; 1, N956 - S955-Q956,
    TRUE, P956
)</f>
        <v>0</v>
      </c>
      <c r="P956" s="1852">
        <f>IF(M956=0,0,ROUND(S955*EXP(Int_Rate/365.25 * M956)-S955,2))</f>
        <v>0</v>
      </c>
      <c r="Q956" s="1851" cm="1">
        <f t="array" ref="Q956">_xlfn.IFS(
    AND(I956=TRUE, K956&lt;=No_Regular_Payments), Periodic_Admin_Charge,
   TRUE, 0
)</f>
        <v>0</v>
      </c>
      <c r="R956" s="1850">
        <f>N956-O956-Q956</f>
        <v>0</v>
      </c>
      <c r="S956" s="1850">
        <f>ROUND(S955-R956,2)</f>
        <v>0</v>
      </c>
      <c r="T956" s="1850">
        <f>ROUND(T955-(N956-Q956),2)</f>
        <v>0</v>
      </c>
      <c r="U956" s="1849"/>
      <c r="W956" s="1848"/>
      <c r="X956" s="1848"/>
      <c r="Y956" s="1848"/>
    </row>
    <row r="957" spans="2:25" hidden="1">
      <c r="B957" s="1815" t="b">
        <f>AND(I957=FALSE,N956=0,Q956=0,L956="")</f>
        <v>1</v>
      </c>
      <c r="C957" s="1844" t="str" cm="1">
        <f t="array" ref="C957">_xlfn.IFS(
    L957="", "",
    MONTH(L957) &lt;= End_of_Year_Month, YEAR(L957),
    TRUE, YEAR(L957) + 1
)</f>
        <v/>
      </c>
      <c r="F957" s="1857">
        <f>IF(L957="",0,L957)</f>
        <v>0</v>
      </c>
      <c r="G957" s="1856">
        <f>-(N957-Q957)</f>
        <v>0</v>
      </c>
      <c r="I957" s="1815" t="b">
        <f>K957&lt;=Number_Payments</f>
        <v>0</v>
      </c>
      <c r="J957" s="1855"/>
      <c r="K957" s="1351">
        <f>K956+1</f>
        <v>831</v>
      </c>
      <c r="L957" s="1854" t="str" cm="1">
        <f t="array" ref="L957">_xlfn.IFS(
    I956=FALSE, "",
    Payment_Frequency="Monthly", EDATE(L956, 1),
    Payment_Frequency="Weekly", DATE(YEAR(L956), MONTH(L956), DAY(L956) + 7),
    Payment_Frequency="Fortnightly", DATE(YEAR(L956), MONTH(L956), DAY(L956) + 14),
    Payment_Frequency="Quarterly", DATE(YEAR(L956), MONTH(L956) + 3, DAY(L956)),
    Payment_Frequency="Yearly", DATE(YEAR(L956) + 1, MONTH(L956), DAY(L956)),
    TRUE, ""
)</f>
        <v/>
      </c>
      <c r="M957" s="1853">
        <f>IF(ISERROR(L957-L956),0,L957-L956)</f>
        <v>0</v>
      </c>
      <c r="N957" s="1851" cm="1">
        <f t="array" ref="N957">_xlfn.IFS(
    AND(I957=TRUE, K957&lt;=No_Regular_Payments), Repay_Amt,
    AND(I957=TRUE, K957=No_Regular_Payments+1), Tm_Balloon_Amt,
   TRUE, 0
)</f>
        <v>0</v>
      </c>
      <c r="O957" s="1850" cm="1">
        <f t="array" ref="O957">_xlfn.IFS(
    M957=0,0,
   ABS(N957 - S956 - P957-Q957) &lt; 1, N957 - S956-Q957,
    TRUE, P957
)</f>
        <v>0</v>
      </c>
      <c r="P957" s="1852">
        <f>IF(M957=0,0,ROUND(S956*EXP(Int_Rate/365.25 * M957)-S956,2))</f>
        <v>0</v>
      </c>
      <c r="Q957" s="1851" cm="1">
        <f t="array" ref="Q957">_xlfn.IFS(
    AND(I957=TRUE, K957&lt;=No_Regular_Payments), Periodic_Admin_Charge,
   TRUE, 0
)</f>
        <v>0</v>
      </c>
      <c r="R957" s="1850">
        <f>N957-O957-Q957</f>
        <v>0</v>
      </c>
      <c r="S957" s="1850">
        <f>ROUND(S956-R957,2)</f>
        <v>0</v>
      </c>
      <c r="T957" s="1850">
        <f>ROUND(T956-(N957-Q957),2)</f>
        <v>0</v>
      </c>
      <c r="U957" s="1849"/>
      <c r="W957" s="1848"/>
      <c r="X957" s="1848"/>
      <c r="Y957" s="1848"/>
    </row>
    <row r="958" spans="2:25" hidden="1">
      <c r="B958" s="1815" t="b">
        <f>AND(I958=FALSE,N957=0,Q957=0,L957="")</f>
        <v>1</v>
      </c>
      <c r="C958" s="1844" t="str" cm="1">
        <f t="array" ref="C958">_xlfn.IFS(
    L958="", "",
    MONTH(L958) &lt;= End_of_Year_Month, YEAR(L958),
    TRUE, YEAR(L958) + 1
)</f>
        <v/>
      </c>
      <c r="F958" s="1857">
        <f>IF(L958="",0,L958)</f>
        <v>0</v>
      </c>
      <c r="G958" s="1856">
        <f>-(N958-Q958)</f>
        <v>0</v>
      </c>
      <c r="I958" s="1815" t="b">
        <f>K958&lt;=Number_Payments</f>
        <v>0</v>
      </c>
      <c r="J958" s="1855"/>
      <c r="K958" s="1351">
        <f>K957+1</f>
        <v>832</v>
      </c>
      <c r="L958" s="1854" t="str" cm="1">
        <f t="array" ref="L958">_xlfn.IFS(
    I957=FALSE, "",
    Payment_Frequency="Monthly", EDATE(L957, 1),
    Payment_Frequency="Weekly", DATE(YEAR(L957), MONTH(L957), DAY(L957) + 7),
    Payment_Frequency="Fortnightly", DATE(YEAR(L957), MONTH(L957), DAY(L957) + 14),
    Payment_Frequency="Quarterly", DATE(YEAR(L957), MONTH(L957) + 3, DAY(L957)),
    Payment_Frequency="Yearly", DATE(YEAR(L957) + 1, MONTH(L957), DAY(L957)),
    TRUE, ""
)</f>
        <v/>
      </c>
      <c r="M958" s="1853">
        <f>IF(ISERROR(L958-L957),0,L958-L957)</f>
        <v>0</v>
      </c>
      <c r="N958" s="1851" cm="1">
        <f t="array" ref="N958">_xlfn.IFS(
    AND(I958=TRUE, K958&lt;=No_Regular_Payments), Repay_Amt,
    AND(I958=TRUE, K958=No_Regular_Payments+1), Tm_Balloon_Amt,
   TRUE, 0
)</f>
        <v>0</v>
      </c>
      <c r="O958" s="1850" cm="1">
        <f t="array" ref="O958">_xlfn.IFS(
    M958=0,0,
   ABS(N958 - S957 - P958-Q958) &lt; 1, N958 - S957-Q958,
    TRUE, P958
)</f>
        <v>0</v>
      </c>
      <c r="P958" s="1852">
        <f>IF(M958=0,0,ROUND(S957*EXP(Int_Rate/365.25 * M958)-S957,2))</f>
        <v>0</v>
      </c>
      <c r="Q958" s="1851" cm="1">
        <f t="array" ref="Q958">_xlfn.IFS(
    AND(I958=TRUE, K958&lt;=No_Regular_Payments), Periodic_Admin_Charge,
   TRUE, 0
)</f>
        <v>0</v>
      </c>
      <c r="R958" s="1850">
        <f>N958-O958-Q958</f>
        <v>0</v>
      </c>
      <c r="S958" s="1850">
        <f>ROUND(S957-R958,2)</f>
        <v>0</v>
      </c>
      <c r="T958" s="1850">
        <f>ROUND(T957-(N958-Q958),2)</f>
        <v>0</v>
      </c>
      <c r="U958" s="1849"/>
      <c r="W958" s="1848"/>
      <c r="X958" s="1848"/>
      <c r="Y958" s="1848"/>
    </row>
    <row r="959" spans="2:25" hidden="1">
      <c r="B959" s="1815" t="b">
        <f>AND(I959=FALSE,N958=0,Q958=0,L958="")</f>
        <v>1</v>
      </c>
      <c r="C959" s="1844" t="str" cm="1">
        <f t="array" ref="C959">_xlfn.IFS(
    L959="", "",
    MONTH(L959) &lt;= End_of_Year_Month, YEAR(L959),
    TRUE, YEAR(L959) + 1
)</f>
        <v/>
      </c>
      <c r="F959" s="1857">
        <f>IF(L959="",0,L959)</f>
        <v>0</v>
      </c>
      <c r="G959" s="1856">
        <f>-(N959-Q959)</f>
        <v>0</v>
      </c>
      <c r="I959" s="1815" t="b">
        <f>K959&lt;=Number_Payments</f>
        <v>0</v>
      </c>
      <c r="J959" s="1855"/>
      <c r="K959" s="1351">
        <f>K958+1</f>
        <v>833</v>
      </c>
      <c r="L959" s="1854" t="str" cm="1">
        <f t="array" ref="L959">_xlfn.IFS(
    I958=FALSE, "",
    Payment_Frequency="Monthly", EDATE(L958, 1),
    Payment_Frequency="Weekly", DATE(YEAR(L958), MONTH(L958), DAY(L958) + 7),
    Payment_Frequency="Fortnightly", DATE(YEAR(L958), MONTH(L958), DAY(L958) + 14),
    Payment_Frequency="Quarterly", DATE(YEAR(L958), MONTH(L958) + 3, DAY(L958)),
    Payment_Frequency="Yearly", DATE(YEAR(L958) + 1, MONTH(L958), DAY(L958)),
    TRUE, ""
)</f>
        <v/>
      </c>
      <c r="M959" s="1853">
        <f>IF(ISERROR(L959-L958),0,L959-L958)</f>
        <v>0</v>
      </c>
      <c r="N959" s="1851" cm="1">
        <f t="array" ref="N959">_xlfn.IFS(
    AND(I959=TRUE, K959&lt;=No_Regular_Payments), Repay_Amt,
    AND(I959=TRUE, K959=No_Regular_Payments+1), Tm_Balloon_Amt,
   TRUE, 0
)</f>
        <v>0</v>
      </c>
      <c r="O959" s="1850" cm="1">
        <f t="array" ref="O959">_xlfn.IFS(
    M959=0,0,
   ABS(N959 - S958 - P959-Q959) &lt; 1, N959 - S958-Q959,
    TRUE, P959
)</f>
        <v>0</v>
      </c>
      <c r="P959" s="1852">
        <f>IF(M959=0,0,ROUND(S958*EXP(Int_Rate/365.25 * M959)-S958,2))</f>
        <v>0</v>
      </c>
      <c r="Q959" s="1851" cm="1">
        <f t="array" ref="Q959">_xlfn.IFS(
    AND(I959=TRUE, K959&lt;=No_Regular_Payments), Periodic_Admin_Charge,
   TRUE, 0
)</f>
        <v>0</v>
      </c>
      <c r="R959" s="1850">
        <f>N959-O959-Q959</f>
        <v>0</v>
      </c>
      <c r="S959" s="1850">
        <f>ROUND(S958-R959,2)</f>
        <v>0</v>
      </c>
      <c r="T959" s="1850">
        <f>ROUND(T958-(N959-Q959),2)</f>
        <v>0</v>
      </c>
      <c r="U959" s="1849"/>
      <c r="W959" s="1848"/>
      <c r="X959" s="1848"/>
      <c r="Y959" s="1848"/>
    </row>
    <row r="960" spans="2:25" hidden="1">
      <c r="B960" s="1815" t="b">
        <f>AND(I960=FALSE,N959=0,Q959=0,L959="")</f>
        <v>1</v>
      </c>
      <c r="C960" s="1844" t="str" cm="1">
        <f t="array" ref="C960">_xlfn.IFS(
    L960="", "",
    MONTH(L960) &lt;= End_of_Year_Month, YEAR(L960),
    TRUE, YEAR(L960) + 1
)</f>
        <v/>
      </c>
      <c r="F960" s="1857">
        <f>IF(L960="",0,L960)</f>
        <v>0</v>
      </c>
      <c r="G960" s="1856">
        <f>-(N960-Q960)</f>
        <v>0</v>
      </c>
      <c r="I960" s="1815" t="b">
        <f>K960&lt;=Number_Payments</f>
        <v>0</v>
      </c>
      <c r="J960" s="1855"/>
      <c r="K960" s="1351">
        <f>K959+1</f>
        <v>834</v>
      </c>
      <c r="L960" s="1854" t="str" cm="1">
        <f t="array" ref="L960">_xlfn.IFS(
    I959=FALSE, "",
    Payment_Frequency="Monthly", EDATE(L959, 1),
    Payment_Frequency="Weekly", DATE(YEAR(L959), MONTH(L959), DAY(L959) + 7),
    Payment_Frequency="Fortnightly", DATE(YEAR(L959), MONTH(L959), DAY(L959) + 14),
    Payment_Frequency="Quarterly", DATE(YEAR(L959), MONTH(L959) + 3, DAY(L959)),
    Payment_Frequency="Yearly", DATE(YEAR(L959) + 1, MONTH(L959), DAY(L959)),
    TRUE, ""
)</f>
        <v/>
      </c>
      <c r="M960" s="1853">
        <f>IF(ISERROR(L960-L959),0,L960-L959)</f>
        <v>0</v>
      </c>
      <c r="N960" s="1851" cm="1">
        <f t="array" ref="N960">_xlfn.IFS(
    AND(I960=TRUE, K960&lt;=No_Regular_Payments), Repay_Amt,
    AND(I960=TRUE, K960=No_Regular_Payments+1), Tm_Balloon_Amt,
   TRUE, 0
)</f>
        <v>0</v>
      </c>
      <c r="O960" s="1850" cm="1">
        <f t="array" ref="O960">_xlfn.IFS(
    M960=0,0,
   ABS(N960 - S959 - P960-Q960) &lt; 1, N960 - S959-Q960,
    TRUE, P960
)</f>
        <v>0</v>
      </c>
      <c r="P960" s="1852">
        <f>IF(M960=0,0,ROUND(S959*EXP(Int_Rate/365.25 * M960)-S959,2))</f>
        <v>0</v>
      </c>
      <c r="Q960" s="1851" cm="1">
        <f t="array" ref="Q960">_xlfn.IFS(
    AND(I960=TRUE, K960&lt;=No_Regular_Payments), Periodic_Admin_Charge,
   TRUE, 0
)</f>
        <v>0</v>
      </c>
      <c r="R960" s="1850">
        <f>N960-O960-Q960</f>
        <v>0</v>
      </c>
      <c r="S960" s="1850">
        <f>ROUND(S959-R960,2)</f>
        <v>0</v>
      </c>
      <c r="T960" s="1850">
        <f>ROUND(T959-(N960-Q960),2)</f>
        <v>0</v>
      </c>
      <c r="U960" s="1849"/>
      <c r="W960" s="1848"/>
      <c r="X960" s="1848"/>
      <c r="Y960" s="1848"/>
    </row>
    <row r="961" spans="2:25" hidden="1">
      <c r="B961" s="1815" t="b">
        <f>AND(I961=FALSE,N960=0,Q960=0,L960="")</f>
        <v>1</v>
      </c>
      <c r="C961" s="1844" t="str" cm="1">
        <f t="array" ref="C961">_xlfn.IFS(
    L961="", "",
    MONTH(L961) &lt;= End_of_Year_Month, YEAR(L961),
    TRUE, YEAR(L961) + 1
)</f>
        <v/>
      </c>
      <c r="F961" s="1857">
        <f>IF(L961="",0,L961)</f>
        <v>0</v>
      </c>
      <c r="G961" s="1856">
        <f>-(N961-Q961)</f>
        <v>0</v>
      </c>
      <c r="I961" s="1815" t="b">
        <f>K961&lt;=Number_Payments</f>
        <v>0</v>
      </c>
      <c r="J961" s="1855"/>
      <c r="K961" s="1351">
        <f>K960+1</f>
        <v>835</v>
      </c>
      <c r="L961" s="1854" t="str" cm="1">
        <f t="array" ref="L961">_xlfn.IFS(
    I960=FALSE, "",
    Payment_Frequency="Monthly", EDATE(L960, 1),
    Payment_Frequency="Weekly", DATE(YEAR(L960), MONTH(L960), DAY(L960) + 7),
    Payment_Frequency="Fortnightly", DATE(YEAR(L960), MONTH(L960), DAY(L960) + 14),
    Payment_Frequency="Quarterly", DATE(YEAR(L960), MONTH(L960) + 3, DAY(L960)),
    Payment_Frequency="Yearly", DATE(YEAR(L960) + 1, MONTH(L960), DAY(L960)),
    TRUE, ""
)</f>
        <v/>
      </c>
      <c r="M961" s="1853">
        <f>IF(ISERROR(L961-L960),0,L961-L960)</f>
        <v>0</v>
      </c>
      <c r="N961" s="1851" cm="1">
        <f t="array" ref="N961">_xlfn.IFS(
    AND(I961=TRUE, K961&lt;=No_Regular_Payments), Repay_Amt,
    AND(I961=TRUE, K961=No_Regular_Payments+1), Tm_Balloon_Amt,
   TRUE, 0
)</f>
        <v>0</v>
      </c>
      <c r="O961" s="1850" cm="1">
        <f t="array" ref="O961">_xlfn.IFS(
    M961=0,0,
   ABS(N961 - S960 - P961-Q961) &lt; 1, N961 - S960-Q961,
    TRUE, P961
)</f>
        <v>0</v>
      </c>
      <c r="P961" s="1852">
        <f>IF(M961=0,0,ROUND(S960*EXP(Int_Rate/365.25 * M961)-S960,2))</f>
        <v>0</v>
      </c>
      <c r="Q961" s="1851" cm="1">
        <f t="array" ref="Q961">_xlfn.IFS(
    AND(I961=TRUE, K961&lt;=No_Regular_Payments), Periodic_Admin_Charge,
   TRUE, 0
)</f>
        <v>0</v>
      </c>
      <c r="R961" s="1850">
        <f>N961-O961-Q961</f>
        <v>0</v>
      </c>
      <c r="S961" s="1850">
        <f>ROUND(S960-R961,2)</f>
        <v>0</v>
      </c>
      <c r="T961" s="1850">
        <f>ROUND(T960-(N961-Q961),2)</f>
        <v>0</v>
      </c>
      <c r="U961" s="1849"/>
      <c r="W961" s="1848"/>
      <c r="X961" s="1848"/>
      <c r="Y961" s="1848"/>
    </row>
    <row r="962" spans="2:25" hidden="1">
      <c r="B962" s="1815" t="b">
        <f>AND(I962=FALSE,N961=0,Q961=0,L961="")</f>
        <v>1</v>
      </c>
      <c r="C962" s="1844" t="str" cm="1">
        <f t="array" ref="C962">_xlfn.IFS(
    L962="", "",
    MONTH(L962) &lt;= End_of_Year_Month, YEAR(L962),
    TRUE, YEAR(L962) + 1
)</f>
        <v/>
      </c>
      <c r="F962" s="1857">
        <f>IF(L962="",0,L962)</f>
        <v>0</v>
      </c>
      <c r="G962" s="1856">
        <f>-(N962-Q962)</f>
        <v>0</v>
      </c>
      <c r="I962" s="1815" t="b">
        <f>K962&lt;=Number_Payments</f>
        <v>0</v>
      </c>
      <c r="J962" s="1855"/>
      <c r="K962" s="1351">
        <f>K961+1</f>
        <v>836</v>
      </c>
      <c r="L962" s="1854" t="str" cm="1">
        <f t="array" ref="L962">_xlfn.IFS(
    I961=FALSE, "",
    Payment_Frequency="Monthly", EDATE(L961, 1),
    Payment_Frequency="Weekly", DATE(YEAR(L961), MONTH(L961), DAY(L961) + 7),
    Payment_Frequency="Fortnightly", DATE(YEAR(L961), MONTH(L961), DAY(L961) + 14),
    Payment_Frequency="Quarterly", DATE(YEAR(L961), MONTH(L961) + 3, DAY(L961)),
    Payment_Frequency="Yearly", DATE(YEAR(L961) + 1, MONTH(L961), DAY(L961)),
    TRUE, ""
)</f>
        <v/>
      </c>
      <c r="M962" s="1853">
        <f>IF(ISERROR(L962-L961),0,L962-L961)</f>
        <v>0</v>
      </c>
      <c r="N962" s="1851" cm="1">
        <f t="array" ref="N962">_xlfn.IFS(
    AND(I962=TRUE, K962&lt;=No_Regular_Payments), Repay_Amt,
    AND(I962=TRUE, K962=No_Regular_Payments+1), Tm_Balloon_Amt,
   TRUE, 0
)</f>
        <v>0</v>
      </c>
      <c r="O962" s="1850" cm="1">
        <f t="array" ref="O962">_xlfn.IFS(
    M962=0,0,
   ABS(N962 - S961 - P962-Q962) &lt; 1, N962 - S961-Q962,
    TRUE, P962
)</f>
        <v>0</v>
      </c>
      <c r="P962" s="1852">
        <f>IF(M962=0,0,ROUND(S961*EXP(Int_Rate/365.25 * M962)-S961,2))</f>
        <v>0</v>
      </c>
      <c r="Q962" s="1851" cm="1">
        <f t="array" ref="Q962">_xlfn.IFS(
    AND(I962=TRUE, K962&lt;=No_Regular_Payments), Periodic_Admin_Charge,
   TRUE, 0
)</f>
        <v>0</v>
      </c>
      <c r="R962" s="1850">
        <f>N962-O962-Q962</f>
        <v>0</v>
      </c>
      <c r="S962" s="1850">
        <f>ROUND(S961-R962,2)</f>
        <v>0</v>
      </c>
      <c r="T962" s="1850">
        <f>ROUND(T961-(N962-Q962),2)</f>
        <v>0</v>
      </c>
      <c r="U962" s="1849"/>
      <c r="W962" s="1848"/>
      <c r="X962" s="1848"/>
      <c r="Y962" s="1848"/>
    </row>
    <row r="963" spans="2:25" hidden="1">
      <c r="B963" s="1815" t="b">
        <f>AND(I963=FALSE,N962=0,Q962=0,L962="")</f>
        <v>1</v>
      </c>
      <c r="C963" s="1844" t="str" cm="1">
        <f t="array" ref="C963">_xlfn.IFS(
    L963="", "",
    MONTH(L963) &lt;= End_of_Year_Month, YEAR(L963),
    TRUE, YEAR(L963) + 1
)</f>
        <v/>
      </c>
      <c r="F963" s="1857">
        <f>IF(L963="",0,L963)</f>
        <v>0</v>
      </c>
      <c r="G963" s="1856">
        <f>-(N963-Q963)</f>
        <v>0</v>
      </c>
      <c r="I963" s="1815" t="b">
        <f>K963&lt;=Number_Payments</f>
        <v>0</v>
      </c>
      <c r="J963" s="1855"/>
      <c r="K963" s="1351">
        <f>K962+1</f>
        <v>837</v>
      </c>
      <c r="L963" s="1854" t="str" cm="1">
        <f t="array" ref="L963">_xlfn.IFS(
    I962=FALSE, "",
    Payment_Frequency="Monthly", EDATE(L962, 1),
    Payment_Frequency="Weekly", DATE(YEAR(L962), MONTH(L962), DAY(L962) + 7),
    Payment_Frequency="Fortnightly", DATE(YEAR(L962), MONTH(L962), DAY(L962) + 14),
    Payment_Frequency="Quarterly", DATE(YEAR(L962), MONTH(L962) + 3, DAY(L962)),
    Payment_Frequency="Yearly", DATE(YEAR(L962) + 1, MONTH(L962), DAY(L962)),
    TRUE, ""
)</f>
        <v/>
      </c>
      <c r="M963" s="1853">
        <f>IF(ISERROR(L963-L962),0,L963-L962)</f>
        <v>0</v>
      </c>
      <c r="N963" s="1851" cm="1">
        <f t="array" ref="N963">_xlfn.IFS(
    AND(I963=TRUE, K963&lt;=No_Regular_Payments), Repay_Amt,
    AND(I963=TRUE, K963=No_Regular_Payments+1), Tm_Balloon_Amt,
   TRUE, 0
)</f>
        <v>0</v>
      </c>
      <c r="O963" s="1850" cm="1">
        <f t="array" ref="O963">_xlfn.IFS(
    M963=0,0,
   ABS(N963 - S962 - P963-Q963) &lt; 1, N963 - S962-Q963,
    TRUE, P963
)</f>
        <v>0</v>
      </c>
      <c r="P963" s="1852">
        <f>IF(M963=0,0,ROUND(S962*EXP(Int_Rate/365.25 * M963)-S962,2))</f>
        <v>0</v>
      </c>
      <c r="Q963" s="1851" cm="1">
        <f t="array" ref="Q963">_xlfn.IFS(
    AND(I963=TRUE, K963&lt;=No_Regular_Payments), Periodic_Admin_Charge,
   TRUE, 0
)</f>
        <v>0</v>
      </c>
      <c r="R963" s="1850">
        <f>N963-O963-Q963</f>
        <v>0</v>
      </c>
      <c r="S963" s="1850">
        <f>ROUND(S962-R963,2)</f>
        <v>0</v>
      </c>
      <c r="T963" s="1850">
        <f>ROUND(T962-(N963-Q963),2)</f>
        <v>0</v>
      </c>
      <c r="U963" s="1849"/>
      <c r="W963" s="1848"/>
      <c r="X963" s="1848"/>
      <c r="Y963" s="1848"/>
    </row>
    <row r="964" spans="2:25" hidden="1">
      <c r="B964" s="1815" t="b">
        <f>AND(I964=FALSE,N963=0,Q963=0,L963="")</f>
        <v>1</v>
      </c>
      <c r="C964" s="1844" t="str" cm="1">
        <f t="array" ref="C964">_xlfn.IFS(
    L964="", "",
    MONTH(L964) &lt;= End_of_Year_Month, YEAR(L964),
    TRUE, YEAR(L964) + 1
)</f>
        <v/>
      </c>
      <c r="F964" s="1857">
        <f>IF(L964="",0,L964)</f>
        <v>0</v>
      </c>
      <c r="G964" s="1856">
        <f>-(N964-Q964)</f>
        <v>0</v>
      </c>
      <c r="I964" s="1815" t="b">
        <f>K964&lt;=Number_Payments</f>
        <v>0</v>
      </c>
      <c r="J964" s="1855"/>
      <c r="K964" s="1351">
        <f>K963+1</f>
        <v>838</v>
      </c>
      <c r="L964" s="1854" t="str" cm="1">
        <f t="array" ref="L964">_xlfn.IFS(
    I963=FALSE, "",
    Payment_Frequency="Monthly", EDATE(L963, 1),
    Payment_Frequency="Weekly", DATE(YEAR(L963), MONTH(L963), DAY(L963) + 7),
    Payment_Frequency="Fortnightly", DATE(YEAR(L963), MONTH(L963), DAY(L963) + 14),
    Payment_Frequency="Quarterly", DATE(YEAR(L963), MONTH(L963) + 3, DAY(L963)),
    Payment_Frequency="Yearly", DATE(YEAR(L963) + 1, MONTH(L963), DAY(L963)),
    TRUE, ""
)</f>
        <v/>
      </c>
      <c r="M964" s="1853">
        <f>IF(ISERROR(L964-L963),0,L964-L963)</f>
        <v>0</v>
      </c>
      <c r="N964" s="1851" cm="1">
        <f t="array" ref="N964">_xlfn.IFS(
    AND(I964=TRUE, K964&lt;=No_Regular_Payments), Repay_Amt,
    AND(I964=TRUE, K964=No_Regular_Payments+1), Tm_Balloon_Amt,
   TRUE, 0
)</f>
        <v>0</v>
      </c>
      <c r="O964" s="1850" cm="1">
        <f t="array" ref="O964">_xlfn.IFS(
    M964=0,0,
   ABS(N964 - S963 - P964-Q964) &lt; 1, N964 - S963-Q964,
    TRUE, P964
)</f>
        <v>0</v>
      </c>
      <c r="P964" s="1852">
        <f>IF(M964=0,0,ROUND(S963*EXP(Int_Rate/365.25 * M964)-S963,2))</f>
        <v>0</v>
      </c>
      <c r="Q964" s="1851" cm="1">
        <f t="array" ref="Q964">_xlfn.IFS(
    AND(I964=TRUE, K964&lt;=No_Regular_Payments), Periodic_Admin_Charge,
   TRUE, 0
)</f>
        <v>0</v>
      </c>
      <c r="R964" s="1850">
        <f>N964-O964-Q964</f>
        <v>0</v>
      </c>
      <c r="S964" s="1850">
        <f>ROUND(S963-R964,2)</f>
        <v>0</v>
      </c>
      <c r="T964" s="1850">
        <f>ROUND(T963-(N964-Q964),2)</f>
        <v>0</v>
      </c>
      <c r="U964" s="1849"/>
      <c r="W964" s="1848"/>
      <c r="X964" s="1848"/>
      <c r="Y964" s="1848"/>
    </row>
    <row r="965" spans="2:25" hidden="1">
      <c r="B965" s="1815" t="b">
        <f>AND(I965=FALSE,N964=0,Q964=0,L964="")</f>
        <v>1</v>
      </c>
      <c r="C965" s="1844" t="str" cm="1">
        <f t="array" ref="C965">_xlfn.IFS(
    L965="", "",
    MONTH(L965) &lt;= End_of_Year_Month, YEAR(L965),
    TRUE, YEAR(L965) + 1
)</f>
        <v/>
      </c>
      <c r="F965" s="1857">
        <f>IF(L965="",0,L965)</f>
        <v>0</v>
      </c>
      <c r="G965" s="1856">
        <f>-(N965-Q965)</f>
        <v>0</v>
      </c>
      <c r="I965" s="1815" t="b">
        <f>K965&lt;=Number_Payments</f>
        <v>0</v>
      </c>
      <c r="J965" s="1855"/>
      <c r="K965" s="1351">
        <f>K964+1</f>
        <v>839</v>
      </c>
      <c r="L965" s="1854" t="str" cm="1">
        <f t="array" ref="L965">_xlfn.IFS(
    I964=FALSE, "",
    Payment_Frequency="Monthly", EDATE(L964, 1),
    Payment_Frequency="Weekly", DATE(YEAR(L964), MONTH(L964), DAY(L964) + 7),
    Payment_Frequency="Fortnightly", DATE(YEAR(L964), MONTH(L964), DAY(L964) + 14),
    Payment_Frequency="Quarterly", DATE(YEAR(L964), MONTH(L964) + 3, DAY(L964)),
    Payment_Frequency="Yearly", DATE(YEAR(L964) + 1, MONTH(L964), DAY(L964)),
    TRUE, ""
)</f>
        <v/>
      </c>
      <c r="M965" s="1853">
        <f>IF(ISERROR(L965-L964),0,L965-L964)</f>
        <v>0</v>
      </c>
      <c r="N965" s="1851" cm="1">
        <f t="array" ref="N965">_xlfn.IFS(
    AND(I965=TRUE, K965&lt;=No_Regular_Payments), Repay_Amt,
    AND(I965=TRUE, K965=No_Regular_Payments+1), Tm_Balloon_Amt,
   TRUE, 0
)</f>
        <v>0</v>
      </c>
      <c r="O965" s="1850" cm="1">
        <f t="array" ref="O965">_xlfn.IFS(
    M965=0,0,
   ABS(N965 - S964 - P965-Q965) &lt; 1, N965 - S964-Q965,
    TRUE, P965
)</f>
        <v>0</v>
      </c>
      <c r="P965" s="1852">
        <f>IF(M965=0,0,ROUND(S964*EXP(Int_Rate/365.25 * M965)-S964,2))</f>
        <v>0</v>
      </c>
      <c r="Q965" s="1851" cm="1">
        <f t="array" ref="Q965">_xlfn.IFS(
    AND(I965=TRUE, K965&lt;=No_Regular_Payments), Periodic_Admin_Charge,
   TRUE, 0
)</f>
        <v>0</v>
      </c>
      <c r="R965" s="1850">
        <f>N965-O965-Q965</f>
        <v>0</v>
      </c>
      <c r="S965" s="1850">
        <f>ROUND(S964-R965,2)</f>
        <v>0</v>
      </c>
      <c r="T965" s="1850">
        <f>ROUND(T964-(N965-Q965),2)</f>
        <v>0</v>
      </c>
      <c r="U965" s="1849"/>
      <c r="W965" s="1848"/>
      <c r="X965" s="1848"/>
      <c r="Y965" s="1848"/>
    </row>
    <row r="966" spans="2:25" hidden="1">
      <c r="B966" s="1815" t="b">
        <f>AND(I966=FALSE,N965=0,Q965=0,L965="")</f>
        <v>1</v>
      </c>
      <c r="C966" s="1844" t="str" cm="1">
        <f t="array" ref="C966">_xlfn.IFS(
    L966="", "",
    MONTH(L966) &lt;= End_of_Year_Month, YEAR(L966),
    TRUE, YEAR(L966) + 1
)</f>
        <v/>
      </c>
      <c r="F966" s="1857">
        <f>IF(L966="",0,L966)</f>
        <v>0</v>
      </c>
      <c r="G966" s="1856">
        <f>-(N966-Q966)</f>
        <v>0</v>
      </c>
      <c r="I966" s="1815" t="b">
        <f>K966&lt;=Number_Payments</f>
        <v>0</v>
      </c>
      <c r="J966" s="1855"/>
      <c r="K966" s="1351">
        <f>K965+1</f>
        <v>840</v>
      </c>
      <c r="L966" s="1854" t="str" cm="1">
        <f t="array" ref="L966">_xlfn.IFS(
    I965=FALSE, "",
    Payment_Frequency="Monthly", EDATE(L965, 1),
    Payment_Frequency="Weekly", DATE(YEAR(L965), MONTH(L965), DAY(L965) + 7),
    Payment_Frequency="Fortnightly", DATE(YEAR(L965), MONTH(L965), DAY(L965) + 14),
    Payment_Frequency="Quarterly", DATE(YEAR(L965), MONTH(L965) + 3, DAY(L965)),
    Payment_Frequency="Yearly", DATE(YEAR(L965) + 1, MONTH(L965), DAY(L965)),
    TRUE, ""
)</f>
        <v/>
      </c>
      <c r="M966" s="1853">
        <f>IF(ISERROR(L966-L965),0,L966-L965)</f>
        <v>0</v>
      </c>
      <c r="N966" s="1851" cm="1">
        <f t="array" ref="N966">_xlfn.IFS(
    AND(I966=TRUE, K966&lt;=No_Regular_Payments), Repay_Amt,
    AND(I966=TRUE, K966=No_Regular_Payments+1), Tm_Balloon_Amt,
   TRUE, 0
)</f>
        <v>0</v>
      </c>
      <c r="O966" s="1850" cm="1">
        <f t="array" ref="O966">_xlfn.IFS(
    M966=0,0,
   ABS(N966 - S965 - P966-Q966) &lt; 1, N966 - S965-Q966,
    TRUE, P966
)</f>
        <v>0</v>
      </c>
      <c r="P966" s="1852">
        <f>IF(M966=0,0,ROUND(S965*EXP(Int_Rate/365.25 * M966)-S965,2))</f>
        <v>0</v>
      </c>
      <c r="Q966" s="1851" cm="1">
        <f t="array" ref="Q966">_xlfn.IFS(
    AND(I966=TRUE, K966&lt;=No_Regular_Payments), Periodic_Admin_Charge,
   TRUE, 0
)</f>
        <v>0</v>
      </c>
      <c r="R966" s="1850">
        <f>N966-O966-Q966</f>
        <v>0</v>
      </c>
      <c r="S966" s="1850">
        <f>ROUND(S965-R966,2)</f>
        <v>0</v>
      </c>
      <c r="T966" s="1850">
        <f>ROUND(T965-(N966-Q966),2)</f>
        <v>0</v>
      </c>
      <c r="U966" s="1849"/>
      <c r="W966" s="1848"/>
      <c r="X966" s="1848"/>
      <c r="Y966" s="1848"/>
    </row>
    <row r="967" spans="2:25" hidden="1">
      <c r="B967" s="1815" t="b">
        <f>AND(I967=FALSE,N966=0,Q966=0,L966="")</f>
        <v>1</v>
      </c>
      <c r="C967" s="1844" t="str" cm="1">
        <f t="array" ref="C967">_xlfn.IFS(
    L967="", "",
    MONTH(L967) &lt;= End_of_Year_Month, YEAR(L967),
    TRUE, YEAR(L967) + 1
)</f>
        <v/>
      </c>
      <c r="F967" s="1857">
        <f>IF(L967="",0,L967)</f>
        <v>0</v>
      </c>
      <c r="G967" s="1856">
        <f>-(N967-Q967)</f>
        <v>0</v>
      </c>
      <c r="I967" s="1815" t="b">
        <f>K967&lt;=Number_Payments</f>
        <v>0</v>
      </c>
      <c r="J967" s="1855"/>
      <c r="K967" s="1351">
        <f>K966+1</f>
        <v>841</v>
      </c>
      <c r="L967" s="1854" t="str" cm="1">
        <f t="array" ref="L967">_xlfn.IFS(
    I966=FALSE, "",
    Payment_Frequency="Monthly", EDATE(L966, 1),
    Payment_Frequency="Weekly", DATE(YEAR(L966), MONTH(L966), DAY(L966) + 7),
    Payment_Frequency="Fortnightly", DATE(YEAR(L966), MONTH(L966), DAY(L966) + 14),
    Payment_Frequency="Quarterly", DATE(YEAR(L966), MONTH(L966) + 3, DAY(L966)),
    Payment_Frequency="Yearly", DATE(YEAR(L966) + 1, MONTH(L966), DAY(L966)),
    TRUE, ""
)</f>
        <v/>
      </c>
      <c r="M967" s="1853">
        <f>IF(ISERROR(L967-L966),0,L967-L966)</f>
        <v>0</v>
      </c>
      <c r="N967" s="1851" cm="1">
        <f t="array" ref="N967">_xlfn.IFS(
    AND(I967=TRUE, K967&lt;=No_Regular_Payments), Repay_Amt,
    AND(I967=TRUE, K967=No_Regular_Payments+1), Tm_Balloon_Amt,
   TRUE, 0
)</f>
        <v>0</v>
      </c>
      <c r="O967" s="1850" cm="1">
        <f t="array" ref="O967">_xlfn.IFS(
    M967=0,0,
   ABS(N967 - S966 - P967-Q967) &lt; 1, N967 - S966-Q967,
    TRUE, P967
)</f>
        <v>0</v>
      </c>
      <c r="P967" s="1852">
        <f>IF(M967=0,0,ROUND(S966*EXP(Int_Rate/365.25 * M967)-S966,2))</f>
        <v>0</v>
      </c>
      <c r="Q967" s="1851" cm="1">
        <f t="array" ref="Q967">_xlfn.IFS(
    AND(I967=TRUE, K967&lt;=No_Regular_Payments), Periodic_Admin_Charge,
   TRUE, 0
)</f>
        <v>0</v>
      </c>
      <c r="R967" s="1850">
        <f>N967-O967-Q967</f>
        <v>0</v>
      </c>
      <c r="S967" s="1850">
        <f>ROUND(S966-R967,2)</f>
        <v>0</v>
      </c>
      <c r="T967" s="1850">
        <f>ROUND(T966-(N967-Q967),2)</f>
        <v>0</v>
      </c>
      <c r="U967" s="1849"/>
      <c r="W967" s="1848"/>
      <c r="X967" s="1848"/>
      <c r="Y967" s="1848"/>
    </row>
    <row r="968" spans="2:25" hidden="1">
      <c r="B968" s="1815" t="b">
        <f>AND(I968=FALSE,N967=0,Q967=0,L967="")</f>
        <v>1</v>
      </c>
      <c r="C968" s="1844" t="str" cm="1">
        <f t="array" ref="C968">_xlfn.IFS(
    L968="", "",
    MONTH(L968) &lt;= End_of_Year_Month, YEAR(L968),
    TRUE, YEAR(L968) + 1
)</f>
        <v/>
      </c>
      <c r="F968" s="1857">
        <f>IF(L968="",0,L968)</f>
        <v>0</v>
      </c>
      <c r="G968" s="1856">
        <f>-(N968-Q968)</f>
        <v>0</v>
      </c>
      <c r="I968" s="1815" t="b">
        <f>K968&lt;=Number_Payments</f>
        <v>0</v>
      </c>
      <c r="J968" s="1855"/>
      <c r="K968" s="1351">
        <f>K967+1</f>
        <v>842</v>
      </c>
      <c r="L968" s="1854" t="str" cm="1">
        <f t="array" ref="L968">_xlfn.IFS(
    I967=FALSE, "",
    Payment_Frequency="Monthly", EDATE(L967, 1),
    Payment_Frequency="Weekly", DATE(YEAR(L967), MONTH(L967), DAY(L967) + 7),
    Payment_Frequency="Fortnightly", DATE(YEAR(L967), MONTH(L967), DAY(L967) + 14),
    Payment_Frequency="Quarterly", DATE(YEAR(L967), MONTH(L967) + 3, DAY(L967)),
    Payment_Frequency="Yearly", DATE(YEAR(L967) + 1, MONTH(L967), DAY(L967)),
    TRUE, ""
)</f>
        <v/>
      </c>
      <c r="M968" s="1853">
        <f>IF(ISERROR(L968-L967),0,L968-L967)</f>
        <v>0</v>
      </c>
      <c r="N968" s="1851" cm="1">
        <f t="array" ref="N968">_xlfn.IFS(
    AND(I968=TRUE, K968&lt;=No_Regular_Payments), Repay_Amt,
    AND(I968=TRUE, K968=No_Regular_Payments+1), Tm_Balloon_Amt,
   TRUE, 0
)</f>
        <v>0</v>
      </c>
      <c r="O968" s="1850" cm="1">
        <f t="array" ref="O968">_xlfn.IFS(
    M968=0,0,
   ABS(N968 - S967 - P968-Q968) &lt; 1, N968 - S967-Q968,
    TRUE, P968
)</f>
        <v>0</v>
      </c>
      <c r="P968" s="1852">
        <f>IF(M968=0,0,ROUND(S967*EXP(Int_Rate/365.25 * M968)-S967,2))</f>
        <v>0</v>
      </c>
      <c r="Q968" s="1851" cm="1">
        <f t="array" ref="Q968">_xlfn.IFS(
    AND(I968=TRUE, K968&lt;=No_Regular_Payments), Periodic_Admin_Charge,
   TRUE, 0
)</f>
        <v>0</v>
      </c>
      <c r="R968" s="1850">
        <f>N968-O968-Q968</f>
        <v>0</v>
      </c>
      <c r="S968" s="1850">
        <f>ROUND(S967-R968,2)</f>
        <v>0</v>
      </c>
      <c r="T968" s="1850">
        <f>ROUND(T967-(N968-Q968),2)</f>
        <v>0</v>
      </c>
      <c r="U968" s="1849"/>
      <c r="W968" s="1848"/>
      <c r="X968" s="1848"/>
      <c r="Y968" s="1848"/>
    </row>
    <row r="969" spans="2:25" hidden="1">
      <c r="B969" s="1815" t="b">
        <f>AND(I969=FALSE,N968=0,Q968=0,L968="")</f>
        <v>1</v>
      </c>
      <c r="C969" s="1844" t="str" cm="1">
        <f t="array" ref="C969">_xlfn.IFS(
    L969="", "",
    MONTH(L969) &lt;= End_of_Year_Month, YEAR(L969),
    TRUE, YEAR(L969) + 1
)</f>
        <v/>
      </c>
      <c r="F969" s="1857">
        <f>IF(L969="",0,L969)</f>
        <v>0</v>
      </c>
      <c r="G969" s="1856">
        <f>-(N969-Q969)</f>
        <v>0</v>
      </c>
      <c r="I969" s="1815" t="b">
        <f>K969&lt;=Number_Payments</f>
        <v>0</v>
      </c>
      <c r="J969" s="1855"/>
      <c r="K969" s="1351">
        <f>K968+1</f>
        <v>843</v>
      </c>
      <c r="L969" s="1854" t="str" cm="1">
        <f t="array" ref="L969">_xlfn.IFS(
    I968=FALSE, "",
    Payment_Frequency="Monthly", EDATE(L968, 1),
    Payment_Frequency="Weekly", DATE(YEAR(L968), MONTH(L968), DAY(L968) + 7),
    Payment_Frequency="Fortnightly", DATE(YEAR(L968), MONTH(L968), DAY(L968) + 14),
    Payment_Frequency="Quarterly", DATE(YEAR(L968), MONTH(L968) + 3, DAY(L968)),
    Payment_Frequency="Yearly", DATE(YEAR(L968) + 1, MONTH(L968), DAY(L968)),
    TRUE, ""
)</f>
        <v/>
      </c>
      <c r="M969" s="1853">
        <f>IF(ISERROR(L969-L968),0,L969-L968)</f>
        <v>0</v>
      </c>
      <c r="N969" s="1851" cm="1">
        <f t="array" ref="N969">_xlfn.IFS(
    AND(I969=TRUE, K969&lt;=No_Regular_Payments), Repay_Amt,
    AND(I969=TRUE, K969=No_Regular_Payments+1), Tm_Balloon_Amt,
   TRUE, 0
)</f>
        <v>0</v>
      </c>
      <c r="O969" s="1850" cm="1">
        <f t="array" ref="O969">_xlfn.IFS(
    M969=0,0,
   ABS(N969 - S968 - P969-Q969) &lt; 1, N969 - S968-Q969,
    TRUE, P969
)</f>
        <v>0</v>
      </c>
      <c r="P969" s="1852">
        <f>IF(M969=0,0,ROUND(S968*EXP(Int_Rate/365.25 * M969)-S968,2))</f>
        <v>0</v>
      </c>
      <c r="Q969" s="1851" cm="1">
        <f t="array" ref="Q969">_xlfn.IFS(
    AND(I969=TRUE, K969&lt;=No_Regular_Payments), Periodic_Admin_Charge,
   TRUE, 0
)</f>
        <v>0</v>
      </c>
      <c r="R969" s="1850">
        <f>N969-O969-Q969</f>
        <v>0</v>
      </c>
      <c r="S969" s="1850">
        <f>ROUND(S968-R969,2)</f>
        <v>0</v>
      </c>
      <c r="T969" s="1850">
        <f>ROUND(T968-(N969-Q969),2)</f>
        <v>0</v>
      </c>
      <c r="U969" s="1849"/>
      <c r="W969" s="1848"/>
      <c r="X969" s="1848"/>
      <c r="Y969" s="1848"/>
    </row>
    <row r="970" spans="2:25" hidden="1">
      <c r="B970" s="1815" t="b">
        <f>AND(I970=FALSE,N969=0,Q969=0,L969="")</f>
        <v>1</v>
      </c>
      <c r="C970" s="1844" t="str" cm="1">
        <f t="array" ref="C970">_xlfn.IFS(
    L970="", "",
    MONTH(L970) &lt;= End_of_Year_Month, YEAR(L970),
    TRUE, YEAR(L970) + 1
)</f>
        <v/>
      </c>
      <c r="F970" s="1857">
        <f>IF(L970="",0,L970)</f>
        <v>0</v>
      </c>
      <c r="G970" s="1856">
        <f>-(N970-Q970)</f>
        <v>0</v>
      </c>
      <c r="I970" s="1815" t="b">
        <f>K970&lt;=Number_Payments</f>
        <v>0</v>
      </c>
      <c r="J970" s="1855"/>
      <c r="K970" s="1351">
        <f>K969+1</f>
        <v>844</v>
      </c>
      <c r="L970" s="1854" t="str" cm="1">
        <f t="array" ref="L970">_xlfn.IFS(
    I969=FALSE, "",
    Payment_Frequency="Monthly", EDATE(L969, 1),
    Payment_Frequency="Weekly", DATE(YEAR(L969), MONTH(L969), DAY(L969) + 7),
    Payment_Frequency="Fortnightly", DATE(YEAR(L969), MONTH(L969), DAY(L969) + 14),
    Payment_Frequency="Quarterly", DATE(YEAR(L969), MONTH(L969) + 3, DAY(L969)),
    Payment_Frequency="Yearly", DATE(YEAR(L969) + 1, MONTH(L969), DAY(L969)),
    TRUE, ""
)</f>
        <v/>
      </c>
      <c r="M970" s="1853">
        <f>IF(ISERROR(L970-L969),0,L970-L969)</f>
        <v>0</v>
      </c>
      <c r="N970" s="1851" cm="1">
        <f t="array" ref="N970">_xlfn.IFS(
    AND(I970=TRUE, K970&lt;=No_Regular_Payments), Repay_Amt,
    AND(I970=TRUE, K970=No_Regular_Payments+1), Tm_Balloon_Amt,
   TRUE, 0
)</f>
        <v>0</v>
      </c>
      <c r="O970" s="1850" cm="1">
        <f t="array" ref="O970">_xlfn.IFS(
    M970=0,0,
   ABS(N970 - S969 - P970-Q970) &lt; 1, N970 - S969-Q970,
    TRUE, P970
)</f>
        <v>0</v>
      </c>
      <c r="P970" s="1852">
        <f>IF(M970=0,0,ROUND(S969*EXP(Int_Rate/365.25 * M970)-S969,2))</f>
        <v>0</v>
      </c>
      <c r="Q970" s="1851" cm="1">
        <f t="array" ref="Q970">_xlfn.IFS(
    AND(I970=TRUE, K970&lt;=No_Regular_Payments), Periodic_Admin_Charge,
   TRUE, 0
)</f>
        <v>0</v>
      </c>
      <c r="R970" s="1850">
        <f>N970-O970-Q970</f>
        <v>0</v>
      </c>
      <c r="S970" s="1850">
        <f>ROUND(S969-R970,2)</f>
        <v>0</v>
      </c>
      <c r="T970" s="1850">
        <f>ROUND(T969-(N970-Q970),2)</f>
        <v>0</v>
      </c>
      <c r="U970" s="1849"/>
      <c r="W970" s="1848"/>
      <c r="X970" s="1848"/>
      <c r="Y970" s="1848"/>
    </row>
    <row r="971" spans="2:25" hidden="1">
      <c r="B971" s="1815" t="b">
        <f>AND(I971=FALSE,N970=0,Q970=0,L970="")</f>
        <v>1</v>
      </c>
      <c r="C971" s="1844" t="str" cm="1">
        <f t="array" ref="C971">_xlfn.IFS(
    L971="", "",
    MONTH(L971) &lt;= End_of_Year_Month, YEAR(L971),
    TRUE, YEAR(L971) + 1
)</f>
        <v/>
      </c>
      <c r="F971" s="1857">
        <f>IF(L971="",0,L971)</f>
        <v>0</v>
      </c>
      <c r="G971" s="1856">
        <f>-(N971-Q971)</f>
        <v>0</v>
      </c>
      <c r="I971" s="1815" t="b">
        <f>K971&lt;=Number_Payments</f>
        <v>0</v>
      </c>
      <c r="J971" s="1855"/>
      <c r="K971" s="1351">
        <f>K970+1</f>
        <v>845</v>
      </c>
      <c r="L971" s="1854" t="str" cm="1">
        <f t="array" ref="L971">_xlfn.IFS(
    I970=FALSE, "",
    Payment_Frequency="Monthly", EDATE(L970, 1),
    Payment_Frequency="Weekly", DATE(YEAR(L970), MONTH(L970), DAY(L970) + 7),
    Payment_Frequency="Fortnightly", DATE(YEAR(L970), MONTH(L970), DAY(L970) + 14),
    Payment_Frequency="Quarterly", DATE(YEAR(L970), MONTH(L970) + 3, DAY(L970)),
    Payment_Frequency="Yearly", DATE(YEAR(L970) + 1, MONTH(L970), DAY(L970)),
    TRUE, ""
)</f>
        <v/>
      </c>
      <c r="M971" s="1853">
        <f>IF(ISERROR(L971-L970),0,L971-L970)</f>
        <v>0</v>
      </c>
      <c r="N971" s="1851" cm="1">
        <f t="array" ref="N971">_xlfn.IFS(
    AND(I971=TRUE, K971&lt;=No_Regular_Payments), Repay_Amt,
    AND(I971=TRUE, K971=No_Regular_Payments+1), Tm_Balloon_Amt,
   TRUE, 0
)</f>
        <v>0</v>
      </c>
      <c r="O971" s="1850" cm="1">
        <f t="array" ref="O971">_xlfn.IFS(
    M971=0,0,
   ABS(N971 - S970 - P971-Q971) &lt; 1, N971 - S970-Q971,
    TRUE, P971
)</f>
        <v>0</v>
      </c>
      <c r="P971" s="1852">
        <f>IF(M971=0,0,ROUND(S970*EXP(Int_Rate/365.25 * M971)-S970,2))</f>
        <v>0</v>
      </c>
      <c r="Q971" s="1851" cm="1">
        <f t="array" ref="Q971">_xlfn.IFS(
    AND(I971=TRUE, K971&lt;=No_Regular_Payments), Periodic_Admin_Charge,
   TRUE, 0
)</f>
        <v>0</v>
      </c>
      <c r="R971" s="1850">
        <f>N971-O971-Q971</f>
        <v>0</v>
      </c>
      <c r="S971" s="1850">
        <f>ROUND(S970-R971,2)</f>
        <v>0</v>
      </c>
      <c r="T971" s="1850">
        <f>ROUND(T970-(N971-Q971),2)</f>
        <v>0</v>
      </c>
      <c r="U971" s="1849"/>
      <c r="W971" s="1848"/>
      <c r="X971" s="1848"/>
      <c r="Y971" s="1848"/>
    </row>
    <row r="972" spans="2:25" hidden="1">
      <c r="B972" s="1815" t="b">
        <f>AND(I972=FALSE,N971=0,Q971=0,L971="")</f>
        <v>1</v>
      </c>
      <c r="C972" s="1844" t="str" cm="1">
        <f t="array" ref="C972">_xlfn.IFS(
    L972="", "",
    MONTH(L972) &lt;= End_of_Year_Month, YEAR(L972),
    TRUE, YEAR(L972) + 1
)</f>
        <v/>
      </c>
      <c r="F972" s="1857">
        <f>IF(L972="",0,L972)</f>
        <v>0</v>
      </c>
      <c r="G972" s="1856">
        <f>-(N972-Q972)</f>
        <v>0</v>
      </c>
      <c r="I972" s="1815" t="b">
        <f>K972&lt;=Number_Payments</f>
        <v>0</v>
      </c>
      <c r="J972" s="1855"/>
      <c r="K972" s="1351">
        <f>K971+1</f>
        <v>846</v>
      </c>
      <c r="L972" s="1854" t="str" cm="1">
        <f t="array" ref="L972">_xlfn.IFS(
    I971=FALSE, "",
    Payment_Frequency="Monthly", EDATE(L971, 1),
    Payment_Frequency="Weekly", DATE(YEAR(L971), MONTH(L971), DAY(L971) + 7),
    Payment_Frequency="Fortnightly", DATE(YEAR(L971), MONTH(L971), DAY(L971) + 14),
    Payment_Frequency="Quarterly", DATE(YEAR(L971), MONTH(L971) + 3, DAY(L971)),
    Payment_Frequency="Yearly", DATE(YEAR(L971) + 1, MONTH(L971), DAY(L971)),
    TRUE, ""
)</f>
        <v/>
      </c>
      <c r="M972" s="1853">
        <f>IF(ISERROR(L972-L971),0,L972-L971)</f>
        <v>0</v>
      </c>
      <c r="N972" s="1851" cm="1">
        <f t="array" ref="N972">_xlfn.IFS(
    AND(I972=TRUE, K972&lt;=No_Regular_Payments), Repay_Amt,
    AND(I972=TRUE, K972=No_Regular_Payments+1), Tm_Balloon_Amt,
   TRUE, 0
)</f>
        <v>0</v>
      </c>
      <c r="O972" s="1850" cm="1">
        <f t="array" ref="O972">_xlfn.IFS(
    M972=0,0,
   ABS(N972 - S971 - P972-Q972) &lt; 1, N972 - S971-Q972,
    TRUE, P972
)</f>
        <v>0</v>
      </c>
      <c r="P972" s="1852">
        <f>IF(M972=0,0,ROUND(S971*EXP(Int_Rate/365.25 * M972)-S971,2))</f>
        <v>0</v>
      </c>
      <c r="Q972" s="1851" cm="1">
        <f t="array" ref="Q972">_xlfn.IFS(
    AND(I972=TRUE, K972&lt;=No_Regular_Payments), Periodic_Admin_Charge,
   TRUE, 0
)</f>
        <v>0</v>
      </c>
      <c r="R972" s="1850">
        <f>N972-O972-Q972</f>
        <v>0</v>
      </c>
      <c r="S972" s="1850">
        <f>ROUND(S971-R972,2)</f>
        <v>0</v>
      </c>
      <c r="T972" s="1850">
        <f>ROUND(T971-(N972-Q972),2)</f>
        <v>0</v>
      </c>
      <c r="U972" s="1849"/>
      <c r="W972" s="1848"/>
      <c r="X972" s="1848"/>
      <c r="Y972" s="1848"/>
    </row>
    <row r="973" spans="2:25" hidden="1">
      <c r="B973" s="1815" t="b">
        <f>AND(I973=FALSE,N972=0,Q972=0,L972="")</f>
        <v>1</v>
      </c>
      <c r="C973" s="1844" t="str" cm="1">
        <f t="array" ref="C973">_xlfn.IFS(
    L973="", "",
    MONTH(L973) &lt;= End_of_Year_Month, YEAR(L973),
    TRUE, YEAR(L973) + 1
)</f>
        <v/>
      </c>
      <c r="F973" s="1857">
        <f>IF(L973="",0,L973)</f>
        <v>0</v>
      </c>
      <c r="G973" s="1856">
        <f>-(N973-Q973)</f>
        <v>0</v>
      </c>
      <c r="I973" s="1815" t="b">
        <f>K973&lt;=Number_Payments</f>
        <v>0</v>
      </c>
      <c r="J973" s="1855"/>
      <c r="K973" s="1351">
        <f>K972+1</f>
        <v>847</v>
      </c>
      <c r="L973" s="1854" t="str" cm="1">
        <f t="array" ref="L973">_xlfn.IFS(
    I972=FALSE, "",
    Payment_Frequency="Monthly", EDATE(L972, 1),
    Payment_Frequency="Weekly", DATE(YEAR(L972), MONTH(L972), DAY(L972) + 7),
    Payment_Frequency="Fortnightly", DATE(YEAR(L972), MONTH(L972), DAY(L972) + 14),
    Payment_Frequency="Quarterly", DATE(YEAR(L972), MONTH(L972) + 3, DAY(L972)),
    Payment_Frequency="Yearly", DATE(YEAR(L972) + 1, MONTH(L972), DAY(L972)),
    TRUE, ""
)</f>
        <v/>
      </c>
      <c r="M973" s="1853">
        <f>IF(ISERROR(L973-L972),0,L973-L972)</f>
        <v>0</v>
      </c>
      <c r="N973" s="1851" cm="1">
        <f t="array" ref="N973">_xlfn.IFS(
    AND(I973=TRUE, K973&lt;=No_Regular_Payments), Repay_Amt,
    AND(I973=TRUE, K973=No_Regular_Payments+1), Tm_Balloon_Amt,
   TRUE, 0
)</f>
        <v>0</v>
      </c>
      <c r="O973" s="1850" cm="1">
        <f t="array" ref="O973">_xlfn.IFS(
    M973=0,0,
   ABS(N973 - S972 - P973-Q973) &lt; 1, N973 - S972-Q973,
    TRUE, P973
)</f>
        <v>0</v>
      </c>
      <c r="P973" s="1852">
        <f>IF(M973=0,0,ROUND(S972*EXP(Int_Rate/365.25 * M973)-S972,2))</f>
        <v>0</v>
      </c>
      <c r="Q973" s="1851" cm="1">
        <f t="array" ref="Q973">_xlfn.IFS(
    AND(I973=TRUE, K973&lt;=No_Regular_Payments), Periodic_Admin_Charge,
   TRUE, 0
)</f>
        <v>0</v>
      </c>
      <c r="R973" s="1850">
        <f>N973-O973-Q973</f>
        <v>0</v>
      </c>
      <c r="S973" s="1850">
        <f>ROUND(S972-R973,2)</f>
        <v>0</v>
      </c>
      <c r="T973" s="1850">
        <f>ROUND(T972-(N973-Q973),2)</f>
        <v>0</v>
      </c>
      <c r="U973" s="1849"/>
      <c r="W973" s="1848"/>
      <c r="X973" s="1848"/>
      <c r="Y973" s="1848"/>
    </row>
    <row r="974" spans="2:25" hidden="1">
      <c r="B974" s="1815" t="b">
        <f>AND(I974=FALSE,N973=0,Q973=0,L973="")</f>
        <v>1</v>
      </c>
      <c r="C974" s="1844" t="str" cm="1">
        <f t="array" ref="C974">_xlfn.IFS(
    L974="", "",
    MONTH(L974) &lt;= End_of_Year_Month, YEAR(L974),
    TRUE, YEAR(L974) + 1
)</f>
        <v/>
      </c>
      <c r="F974" s="1857">
        <f>IF(L974="",0,L974)</f>
        <v>0</v>
      </c>
      <c r="G974" s="1856">
        <f>-(N974-Q974)</f>
        <v>0</v>
      </c>
      <c r="I974" s="1815" t="b">
        <f>K974&lt;=Number_Payments</f>
        <v>0</v>
      </c>
      <c r="J974" s="1855"/>
      <c r="K974" s="1351">
        <f>K973+1</f>
        <v>848</v>
      </c>
      <c r="L974" s="1854" t="str" cm="1">
        <f t="array" ref="L974">_xlfn.IFS(
    I973=FALSE, "",
    Payment_Frequency="Monthly", EDATE(L973, 1),
    Payment_Frequency="Weekly", DATE(YEAR(L973), MONTH(L973), DAY(L973) + 7),
    Payment_Frequency="Fortnightly", DATE(YEAR(L973), MONTH(L973), DAY(L973) + 14),
    Payment_Frequency="Quarterly", DATE(YEAR(L973), MONTH(L973) + 3, DAY(L973)),
    Payment_Frequency="Yearly", DATE(YEAR(L973) + 1, MONTH(L973), DAY(L973)),
    TRUE, ""
)</f>
        <v/>
      </c>
      <c r="M974" s="1853">
        <f>IF(ISERROR(L974-L973),0,L974-L973)</f>
        <v>0</v>
      </c>
      <c r="N974" s="1851" cm="1">
        <f t="array" ref="N974">_xlfn.IFS(
    AND(I974=TRUE, K974&lt;=No_Regular_Payments), Repay_Amt,
    AND(I974=TRUE, K974=No_Regular_Payments+1), Tm_Balloon_Amt,
   TRUE, 0
)</f>
        <v>0</v>
      </c>
      <c r="O974" s="1850" cm="1">
        <f t="array" ref="O974">_xlfn.IFS(
    M974=0,0,
   ABS(N974 - S973 - P974-Q974) &lt; 1, N974 - S973-Q974,
    TRUE, P974
)</f>
        <v>0</v>
      </c>
      <c r="P974" s="1852">
        <f>IF(M974=0,0,ROUND(S973*EXP(Int_Rate/365.25 * M974)-S973,2))</f>
        <v>0</v>
      </c>
      <c r="Q974" s="1851" cm="1">
        <f t="array" ref="Q974">_xlfn.IFS(
    AND(I974=TRUE, K974&lt;=No_Regular_Payments), Periodic_Admin_Charge,
   TRUE, 0
)</f>
        <v>0</v>
      </c>
      <c r="R974" s="1850">
        <f>N974-O974-Q974</f>
        <v>0</v>
      </c>
      <c r="S974" s="1850">
        <f>ROUND(S973-R974,2)</f>
        <v>0</v>
      </c>
      <c r="T974" s="1850">
        <f>ROUND(T973-(N974-Q974),2)</f>
        <v>0</v>
      </c>
      <c r="U974" s="1849"/>
      <c r="W974" s="1848"/>
      <c r="X974" s="1848"/>
      <c r="Y974" s="1848"/>
    </row>
    <row r="975" spans="2:25" hidden="1">
      <c r="B975" s="1815" t="b">
        <f>AND(I975=FALSE,N974=0,Q974=0,L974="")</f>
        <v>1</v>
      </c>
      <c r="C975" s="1844" t="str" cm="1">
        <f t="array" ref="C975">_xlfn.IFS(
    L975="", "",
    MONTH(L975) &lt;= End_of_Year_Month, YEAR(L975),
    TRUE, YEAR(L975) + 1
)</f>
        <v/>
      </c>
      <c r="F975" s="1857">
        <f>IF(L975="",0,L975)</f>
        <v>0</v>
      </c>
      <c r="G975" s="1856">
        <f>-(N975-Q975)</f>
        <v>0</v>
      </c>
      <c r="I975" s="1815" t="b">
        <f>K975&lt;=Number_Payments</f>
        <v>0</v>
      </c>
      <c r="J975" s="1855"/>
      <c r="K975" s="1351">
        <f>K974+1</f>
        <v>849</v>
      </c>
      <c r="L975" s="1854" t="str" cm="1">
        <f t="array" ref="L975">_xlfn.IFS(
    I974=FALSE, "",
    Payment_Frequency="Monthly", EDATE(L974, 1),
    Payment_Frequency="Weekly", DATE(YEAR(L974), MONTH(L974), DAY(L974) + 7),
    Payment_Frequency="Fortnightly", DATE(YEAR(L974), MONTH(L974), DAY(L974) + 14),
    Payment_Frequency="Quarterly", DATE(YEAR(L974), MONTH(L974) + 3, DAY(L974)),
    Payment_Frequency="Yearly", DATE(YEAR(L974) + 1, MONTH(L974), DAY(L974)),
    TRUE, ""
)</f>
        <v/>
      </c>
      <c r="M975" s="1853">
        <f>IF(ISERROR(L975-L974),0,L975-L974)</f>
        <v>0</v>
      </c>
      <c r="N975" s="1851" cm="1">
        <f t="array" ref="N975">_xlfn.IFS(
    AND(I975=TRUE, K975&lt;=No_Regular_Payments), Repay_Amt,
    AND(I975=TRUE, K975=No_Regular_Payments+1), Tm_Balloon_Amt,
   TRUE, 0
)</f>
        <v>0</v>
      </c>
      <c r="O975" s="1850" cm="1">
        <f t="array" ref="O975">_xlfn.IFS(
    M975=0,0,
   ABS(N975 - S974 - P975-Q975) &lt; 1, N975 - S974-Q975,
    TRUE, P975
)</f>
        <v>0</v>
      </c>
      <c r="P975" s="1852">
        <f>IF(M975=0,0,ROUND(S974*EXP(Int_Rate/365.25 * M975)-S974,2))</f>
        <v>0</v>
      </c>
      <c r="Q975" s="1851" cm="1">
        <f t="array" ref="Q975">_xlfn.IFS(
    AND(I975=TRUE, K975&lt;=No_Regular_Payments), Periodic_Admin_Charge,
   TRUE, 0
)</f>
        <v>0</v>
      </c>
      <c r="R975" s="1850">
        <f>N975-O975-Q975</f>
        <v>0</v>
      </c>
      <c r="S975" s="1850">
        <f>ROUND(S974-R975,2)</f>
        <v>0</v>
      </c>
      <c r="T975" s="1850">
        <f>ROUND(T974-(N975-Q975),2)</f>
        <v>0</v>
      </c>
      <c r="U975" s="1849"/>
      <c r="W975" s="1848"/>
      <c r="X975" s="1848"/>
      <c r="Y975" s="1848"/>
    </row>
    <row r="976" spans="2:25" hidden="1">
      <c r="B976" s="1815" t="b">
        <f>AND(I976=FALSE,N975=0,Q975=0,L975="")</f>
        <v>1</v>
      </c>
      <c r="C976" s="1844" t="str" cm="1">
        <f t="array" ref="C976">_xlfn.IFS(
    L976="", "",
    MONTH(L976) &lt;= End_of_Year_Month, YEAR(L976),
    TRUE, YEAR(L976) + 1
)</f>
        <v/>
      </c>
      <c r="F976" s="1857">
        <f>IF(L976="",0,L976)</f>
        <v>0</v>
      </c>
      <c r="G976" s="1856">
        <f>-(N976-Q976)</f>
        <v>0</v>
      </c>
      <c r="I976" s="1815" t="b">
        <f>K976&lt;=Number_Payments</f>
        <v>0</v>
      </c>
      <c r="J976" s="1855"/>
      <c r="K976" s="1351">
        <f>K975+1</f>
        <v>850</v>
      </c>
      <c r="L976" s="1854" t="str" cm="1">
        <f t="array" ref="L976">_xlfn.IFS(
    I975=FALSE, "",
    Payment_Frequency="Monthly", EDATE(L975, 1),
    Payment_Frequency="Weekly", DATE(YEAR(L975), MONTH(L975), DAY(L975) + 7),
    Payment_Frequency="Fortnightly", DATE(YEAR(L975), MONTH(L975), DAY(L975) + 14),
    Payment_Frequency="Quarterly", DATE(YEAR(L975), MONTH(L975) + 3, DAY(L975)),
    Payment_Frequency="Yearly", DATE(YEAR(L975) + 1, MONTH(L975), DAY(L975)),
    TRUE, ""
)</f>
        <v/>
      </c>
      <c r="M976" s="1853">
        <f>IF(ISERROR(L976-L975),0,L976-L975)</f>
        <v>0</v>
      </c>
      <c r="N976" s="1851" cm="1">
        <f t="array" ref="N976">_xlfn.IFS(
    AND(I976=TRUE, K976&lt;=No_Regular_Payments), Repay_Amt,
    AND(I976=TRUE, K976=No_Regular_Payments+1), Tm_Balloon_Amt,
   TRUE, 0
)</f>
        <v>0</v>
      </c>
      <c r="O976" s="1850" cm="1">
        <f t="array" ref="O976">_xlfn.IFS(
    M976=0,0,
   ABS(N976 - S975 - P976-Q976) &lt; 1, N976 - S975-Q976,
    TRUE, P976
)</f>
        <v>0</v>
      </c>
      <c r="P976" s="1852">
        <f>IF(M976=0,0,ROUND(S975*EXP(Int_Rate/365.25 * M976)-S975,2))</f>
        <v>0</v>
      </c>
      <c r="Q976" s="1851" cm="1">
        <f t="array" ref="Q976">_xlfn.IFS(
    AND(I976=TRUE, K976&lt;=No_Regular_Payments), Periodic_Admin_Charge,
   TRUE, 0
)</f>
        <v>0</v>
      </c>
      <c r="R976" s="1850">
        <f>N976-O976-Q976</f>
        <v>0</v>
      </c>
      <c r="S976" s="1850">
        <f>ROUND(S975-R976,2)</f>
        <v>0</v>
      </c>
      <c r="T976" s="1850">
        <f>ROUND(T975-(N976-Q976),2)</f>
        <v>0</v>
      </c>
      <c r="U976" s="1849"/>
      <c r="W976" s="1848"/>
      <c r="X976" s="1848"/>
      <c r="Y976" s="1848"/>
    </row>
    <row r="977" spans="2:25" hidden="1">
      <c r="B977" s="1815" t="b">
        <f>AND(I977=FALSE,N976=0,Q976=0,L976="")</f>
        <v>1</v>
      </c>
      <c r="C977" s="1844" t="str" cm="1">
        <f t="array" ref="C977">_xlfn.IFS(
    L977="", "",
    MONTH(L977) &lt;= End_of_Year_Month, YEAR(L977),
    TRUE, YEAR(L977) + 1
)</f>
        <v/>
      </c>
      <c r="F977" s="1857">
        <f>IF(L977="",0,L977)</f>
        <v>0</v>
      </c>
      <c r="G977" s="1856">
        <f>-(N977-Q977)</f>
        <v>0</v>
      </c>
      <c r="I977" s="1815" t="b">
        <f>K977&lt;=Number_Payments</f>
        <v>0</v>
      </c>
      <c r="J977" s="1855"/>
      <c r="K977" s="1351">
        <f>K976+1</f>
        <v>851</v>
      </c>
      <c r="L977" s="1854" t="str" cm="1">
        <f t="array" ref="L977">_xlfn.IFS(
    I976=FALSE, "",
    Payment_Frequency="Monthly", EDATE(L976, 1),
    Payment_Frequency="Weekly", DATE(YEAR(L976), MONTH(L976), DAY(L976) + 7),
    Payment_Frequency="Fortnightly", DATE(YEAR(L976), MONTH(L976), DAY(L976) + 14),
    Payment_Frequency="Quarterly", DATE(YEAR(L976), MONTH(L976) + 3, DAY(L976)),
    Payment_Frequency="Yearly", DATE(YEAR(L976) + 1, MONTH(L976), DAY(L976)),
    TRUE, ""
)</f>
        <v/>
      </c>
      <c r="M977" s="1853">
        <f>IF(ISERROR(L977-L976),0,L977-L976)</f>
        <v>0</v>
      </c>
      <c r="N977" s="1851" cm="1">
        <f t="array" ref="N977">_xlfn.IFS(
    AND(I977=TRUE, K977&lt;=No_Regular_Payments), Repay_Amt,
    AND(I977=TRUE, K977=No_Regular_Payments+1), Tm_Balloon_Amt,
   TRUE, 0
)</f>
        <v>0</v>
      </c>
      <c r="O977" s="1850" cm="1">
        <f t="array" ref="O977">_xlfn.IFS(
    M977=0,0,
   ABS(N977 - S976 - P977-Q977) &lt; 1, N977 - S976-Q977,
    TRUE, P977
)</f>
        <v>0</v>
      </c>
      <c r="P977" s="1852">
        <f>IF(M977=0,0,ROUND(S976*EXP(Int_Rate/365.25 * M977)-S976,2))</f>
        <v>0</v>
      </c>
      <c r="Q977" s="1851" cm="1">
        <f t="array" ref="Q977">_xlfn.IFS(
    AND(I977=TRUE, K977&lt;=No_Regular_Payments), Periodic_Admin_Charge,
   TRUE, 0
)</f>
        <v>0</v>
      </c>
      <c r="R977" s="1850">
        <f>N977-O977-Q977</f>
        <v>0</v>
      </c>
      <c r="S977" s="1850">
        <f>ROUND(S976-R977,2)</f>
        <v>0</v>
      </c>
      <c r="T977" s="1850">
        <f>ROUND(T976-(N977-Q977),2)</f>
        <v>0</v>
      </c>
      <c r="U977" s="1849"/>
      <c r="W977" s="1848"/>
      <c r="X977" s="1848"/>
      <c r="Y977" s="1848"/>
    </row>
    <row r="978" spans="2:25" hidden="1">
      <c r="B978" s="1815" t="b">
        <f>AND(I978=FALSE,N977=0,Q977=0,L977="")</f>
        <v>1</v>
      </c>
      <c r="C978" s="1844" t="str" cm="1">
        <f t="array" ref="C978">_xlfn.IFS(
    L978="", "",
    MONTH(L978) &lt;= End_of_Year_Month, YEAR(L978),
    TRUE, YEAR(L978) + 1
)</f>
        <v/>
      </c>
      <c r="F978" s="1857">
        <f>IF(L978="",0,L978)</f>
        <v>0</v>
      </c>
      <c r="G978" s="1856">
        <f>-(N978-Q978)</f>
        <v>0</v>
      </c>
      <c r="I978" s="1815" t="b">
        <f>K978&lt;=Number_Payments</f>
        <v>0</v>
      </c>
      <c r="J978" s="1855"/>
      <c r="K978" s="1351">
        <f>K977+1</f>
        <v>852</v>
      </c>
      <c r="L978" s="1854" t="str" cm="1">
        <f t="array" ref="L978">_xlfn.IFS(
    I977=FALSE, "",
    Payment_Frequency="Monthly", EDATE(L977, 1),
    Payment_Frequency="Weekly", DATE(YEAR(L977), MONTH(L977), DAY(L977) + 7),
    Payment_Frequency="Fortnightly", DATE(YEAR(L977), MONTH(L977), DAY(L977) + 14),
    Payment_Frequency="Quarterly", DATE(YEAR(L977), MONTH(L977) + 3, DAY(L977)),
    Payment_Frequency="Yearly", DATE(YEAR(L977) + 1, MONTH(L977), DAY(L977)),
    TRUE, ""
)</f>
        <v/>
      </c>
      <c r="M978" s="1853">
        <f>IF(ISERROR(L978-L977),0,L978-L977)</f>
        <v>0</v>
      </c>
      <c r="N978" s="1851" cm="1">
        <f t="array" ref="N978">_xlfn.IFS(
    AND(I978=TRUE, K978&lt;=No_Regular_Payments), Repay_Amt,
    AND(I978=TRUE, K978=No_Regular_Payments+1), Tm_Balloon_Amt,
   TRUE, 0
)</f>
        <v>0</v>
      </c>
      <c r="O978" s="1850" cm="1">
        <f t="array" ref="O978">_xlfn.IFS(
    M978=0,0,
   ABS(N978 - S977 - P978-Q978) &lt; 1, N978 - S977-Q978,
    TRUE, P978
)</f>
        <v>0</v>
      </c>
      <c r="P978" s="1852">
        <f>IF(M978=0,0,ROUND(S977*EXP(Int_Rate/365.25 * M978)-S977,2))</f>
        <v>0</v>
      </c>
      <c r="Q978" s="1851" cm="1">
        <f t="array" ref="Q978">_xlfn.IFS(
    AND(I978=TRUE, K978&lt;=No_Regular_Payments), Periodic_Admin_Charge,
   TRUE, 0
)</f>
        <v>0</v>
      </c>
      <c r="R978" s="1850">
        <f>N978-O978-Q978</f>
        <v>0</v>
      </c>
      <c r="S978" s="1850">
        <f>ROUND(S977-R978,2)</f>
        <v>0</v>
      </c>
      <c r="T978" s="1850">
        <f>ROUND(T977-(N978-Q978),2)</f>
        <v>0</v>
      </c>
      <c r="U978" s="1849"/>
      <c r="W978" s="1848"/>
      <c r="X978" s="1848"/>
      <c r="Y978" s="1848"/>
    </row>
    <row r="979" spans="2:25" hidden="1">
      <c r="B979" s="1815" t="b">
        <f>AND(I979=FALSE,N978=0,Q978=0,L978="")</f>
        <v>1</v>
      </c>
      <c r="C979" s="1844" t="str" cm="1">
        <f t="array" ref="C979">_xlfn.IFS(
    L979="", "",
    MONTH(L979) &lt;= End_of_Year_Month, YEAR(L979),
    TRUE, YEAR(L979) + 1
)</f>
        <v/>
      </c>
      <c r="F979" s="1857">
        <f>IF(L979="",0,L979)</f>
        <v>0</v>
      </c>
      <c r="G979" s="1856">
        <f>-(N979-Q979)</f>
        <v>0</v>
      </c>
      <c r="I979" s="1815" t="b">
        <f>K979&lt;=Number_Payments</f>
        <v>0</v>
      </c>
      <c r="J979" s="1855"/>
      <c r="K979" s="1351">
        <f>K978+1</f>
        <v>853</v>
      </c>
      <c r="L979" s="1854" t="str" cm="1">
        <f t="array" ref="L979">_xlfn.IFS(
    I978=FALSE, "",
    Payment_Frequency="Monthly", EDATE(L978, 1),
    Payment_Frequency="Weekly", DATE(YEAR(L978), MONTH(L978), DAY(L978) + 7),
    Payment_Frequency="Fortnightly", DATE(YEAR(L978), MONTH(L978), DAY(L978) + 14),
    Payment_Frequency="Quarterly", DATE(YEAR(L978), MONTH(L978) + 3, DAY(L978)),
    Payment_Frequency="Yearly", DATE(YEAR(L978) + 1, MONTH(L978), DAY(L978)),
    TRUE, ""
)</f>
        <v/>
      </c>
      <c r="M979" s="1853">
        <f>IF(ISERROR(L979-L978),0,L979-L978)</f>
        <v>0</v>
      </c>
      <c r="N979" s="1851" cm="1">
        <f t="array" ref="N979">_xlfn.IFS(
    AND(I979=TRUE, K979&lt;=No_Regular_Payments), Repay_Amt,
    AND(I979=TRUE, K979=No_Regular_Payments+1), Tm_Balloon_Amt,
   TRUE, 0
)</f>
        <v>0</v>
      </c>
      <c r="O979" s="1850" cm="1">
        <f t="array" ref="O979">_xlfn.IFS(
    M979=0,0,
   ABS(N979 - S978 - P979-Q979) &lt; 1, N979 - S978-Q979,
    TRUE, P979
)</f>
        <v>0</v>
      </c>
      <c r="P979" s="1852">
        <f>IF(M979=0,0,ROUND(S978*EXP(Int_Rate/365.25 * M979)-S978,2))</f>
        <v>0</v>
      </c>
      <c r="Q979" s="1851" cm="1">
        <f t="array" ref="Q979">_xlfn.IFS(
    AND(I979=TRUE, K979&lt;=No_Regular_Payments), Periodic_Admin_Charge,
   TRUE, 0
)</f>
        <v>0</v>
      </c>
      <c r="R979" s="1850">
        <f>N979-O979-Q979</f>
        <v>0</v>
      </c>
      <c r="S979" s="1850">
        <f>ROUND(S978-R979,2)</f>
        <v>0</v>
      </c>
      <c r="T979" s="1850">
        <f>ROUND(T978-(N979-Q979),2)</f>
        <v>0</v>
      </c>
      <c r="U979" s="1849"/>
      <c r="W979" s="1848"/>
      <c r="X979" s="1848"/>
      <c r="Y979" s="1848"/>
    </row>
    <row r="980" spans="2:25" hidden="1">
      <c r="B980" s="1815" t="b">
        <f>AND(I980=FALSE,N979=0,Q979=0,L979="")</f>
        <v>1</v>
      </c>
      <c r="C980" s="1844" t="str" cm="1">
        <f t="array" ref="C980">_xlfn.IFS(
    L980="", "",
    MONTH(L980) &lt;= End_of_Year_Month, YEAR(L980),
    TRUE, YEAR(L980) + 1
)</f>
        <v/>
      </c>
      <c r="F980" s="1857">
        <f>IF(L980="",0,L980)</f>
        <v>0</v>
      </c>
      <c r="G980" s="1856">
        <f>-(N980-Q980)</f>
        <v>0</v>
      </c>
      <c r="I980" s="1815" t="b">
        <f>K980&lt;=Number_Payments</f>
        <v>0</v>
      </c>
      <c r="J980" s="1855"/>
      <c r="K980" s="1351">
        <f>K979+1</f>
        <v>854</v>
      </c>
      <c r="L980" s="1854" t="str" cm="1">
        <f t="array" ref="L980">_xlfn.IFS(
    I979=FALSE, "",
    Payment_Frequency="Monthly", EDATE(L979, 1),
    Payment_Frequency="Weekly", DATE(YEAR(L979), MONTH(L979), DAY(L979) + 7),
    Payment_Frequency="Fortnightly", DATE(YEAR(L979), MONTH(L979), DAY(L979) + 14),
    Payment_Frequency="Quarterly", DATE(YEAR(L979), MONTH(L979) + 3, DAY(L979)),
    Payment_Frequency="Yearly", DATE(YEAR(L979) + 1, MONTH(L979), DAY(L979)),
    TRUE, ""
)</f>
        <v/>
      </c>
      <c r="M980" s="1853">
        <f>IF(ISERROR(L980-L979),0,L980-L979)</f>
        <v>0</v>
      </c>
      <c r="N980" s="1851" cm="1">
        <f t="array" ref="N980">_xlfn.IFS(
    AND(I980=TRUE, K980&lt;=No_Regular_Payments), Repay_Amt,
    AND(I980=TRUE, K980=No_Regular_Payments+1), Tm_Balloon_Amt,
   TRUE, 0
)</f>
        <v>0</v>
      </c>
      <c r="O980" s="1850" cm="1">
        <f t="array" ref="O980">_xlfn.IFS(
    M980=0,0,
   ABS(N980 - S979 - P980-Q980) &lt; 1, N980 - S979-Q980,
    TRUE, P980
)</f>
        <v>0</v>
      </c>
      <c r="P980" s="1852">
        <f>IF(M980=0,0,ROUND(S979*EXP(Int_Rate/365.25 * M980)-S979,2))</f>
        <v>0</v>
      </c>
      <c r="Q980" s="1851" cm="1">
        <f t="array" ref="Q980">_xlfn.IFS(
    AND(I980=TRUE, K980&lt;=No_Regular_Payments), Periodic_Admin_Charge,
   TRUE, 0
)</f>
        <v>0</v>
      </c>
      <c r="R980" s="1850">
        <f>N980-O980-Q980</f>
        <v>0</v>
      </c>
      <c r="S980" s="1850">
        <f>ROUND(S979-R980,2)</f>
        <v>0</v>
      </c>
      <c r="T980" s="1850">
        <f>ROUND(T979-(N980-Q980),2)</f>
        <v>0</v>
      </c>
      <c r="U980" s="1849"/>
      <c r="W980" s="1848"/>
      <c r="X980" s="1848"/>
      <c r="Y980" s="1848"/>
    </row>
    <row r="981" spans="2:25" hidden="1">
      <c r="B981" s="1815" t="b">
        <f>AND(I981=FALSE,N980=0,Q980=0,L980="")</f>
        <v>1</v>
      </c>
      <c r="C981" s="1844" t="str" cm="1">
        <f t="array" ref="C981">_xlfn.IFS(
    L981="", "",
    MONTH(L981) &lt;= End_of_Year_Month, YEAR(L981),
    TRUE, YEAR(L981) + 1
)</f>
        <v/>
      </c>
      <c r="F981" s="1857">
        <f>IF(L981="",0,L981)</f>
        <v>0</v>
      </c>
      <c r="G981" s="1856">
        <f>-(N981-Q981)</f>
        <v>0</v>
      </c>
      <c r="I981" s="1815" t="b">
        <f>K981&lt;=Number_Payments</f>
        <v>0</v>
      </c>
      <c r="J981" s="1855"/>
      <c r="K981" s="1351">
        <f>K980+1</f>
        <v>855</v>
      </c>
      <c r="L981" s="1854" t="str" cm="1">
        <f t="array" ref="L981">_xlfn.IFS(
    I980=FALSE, "",
    Payment_Frequency="Monthly", EDATE(L980, 1),
    Payment_Frequency="Weekly", DATE(YEAR(L980), MONTH(L980), DAY(L980) + 7),
    Payment_Frequency="Fortnightly", DATE(YEAR(L980), MONTH(L980), DAY(L980) + 14),
    Payment_Frequency="Quarterly", DATE(YEAR(L980), MONTH(L980) + 3, DAY(L980)),
    Payment_Frequency="Yearly", DATE(YEAR(L980) + 1, MONTH(L980), DAY(L980)),
    TRUE, ""
)</f>
        <v/>
      </c>
      <c r="M981" s="1853">
        <f>IF(ISERROR(L981-L980),0,L981-L980)</f>
        <v>0</v>
      </c>
      <c r="N981" s="1851" cm="1">
        <f t="array" ref="N981">_xlfn.IFS(
    AND(I981=TRUE, K981&lt;=No_Regular_Payments), Repay_Amt,
    AND(I981=TRUE, K981=No_Regular_Payments+1), Tm_Balloon_Amt,
   TRUE, 0
)</f>
        <v>0</v>
      </c>
      <c r="O981" s="1850" cm="1">
        <f t="array" ref="O981">_xlfn.IFS(
    M981=0,0,
   ABS(N981 - S980 - P981-Q981) &lt; 1, N981 - S980-Q981,
    TRUE, P981
)</f>
        <v>0</v>
      </c>
      <c r="P981" s="1852">
        <f>IF(M981=0,0,ROUND(S980*EXP(Int_Rate/365.25 * M981)-S980,2))</f>
        <v>0</v>
      </c>
      <c r="Q981" s="1851" cm="1">
        <f t="array" ref="Q981">_xlfn.IFS(
    AND(I981=TRUE, K981&lt;=No_Regular_Payments), Periodic_Admin_Charge,
   TRUE, 0
)</f>
        <v>0</v>
      </c>
      <c r="R981" s="1850">
        <f>N981-O981-Q981</f>
        <v>0</v>
      </c>
      <c r="S981" s="1850">
        <f>ROUND(S980-R981,2)</f>
        <v>0</v>
      </c>
      <c r="T981" s="1850">
        <f>ROUND(T980-(N981-Q981),2)</f>
        <v>0</v>
      </c>
      <c r="U981" s="1849"/>
      <c r="W981" s="1848"/>
      <c r="X981" s="1848"/>
      <c r="Y981" s="1848"/>
    </row>
    <row r="982" spans="2:25" hidden="1">
      <c r="B982" s="1815" t="b">
        <f>AND(I982=FALSE,N981=0,Q981=0,L981="")</f>
        <v>1</v>
      </c>
      <c r="C982" s="1844" t="str" cm="1">
        <f t="array" ref="C982">_xlfn.IFS(
    L982="", "",
    MONTH(L982) &lt;= End_of_Year_Month, YEAR(L982),
    TRUE, YEAR(L982) + 1
)</f>
        <v/>
      </c>
      <c r="F982" s="1857">
        <f>IF(L982="",0,L982)</f>
        <v>0</v>
      </c>
      <c r="G982" s="1856">
        <f>-(N982-Q982)</f>
        <v>0</v>
      </c>
      <c r="I982" s="1815" t="b">
        <f>K982&lt;=Number_Payments</f>
        <v>0</v>
      </c>
      <c r="J982" s="1855"/>
      <c r="K982" s="1351">
        <f>K981+1</f>
        <v>856</v>
      </c>
      <c r="L982" s="1854" t="str" cm="1">
        <f t="array" ref="L982">_xlfn.IFS(
    I981=FALSE, "",
    Payment_Frequency="Monthly", EDATE(L981, 1),
    Payment_Frequency="Weekly", DATE(YEAR(L981), MONTH(L981), DAY(L981) + 7),
    Payment_Frequency="Fortnightly", DATE(YEAR(L981), MONTH(L981), DAY(L981) + 14),
    Payment_Frequency="Quarterly", DATE(YEAR(L981), MONTH(L981) + 3, DAY(L981)),
    Payment_Frequency="Yearly", DATE(YEAR(L981) + 1, MONTH(L981), DAY(L981)),
    TRUE, ""
)</f>
        <v/>
      </c>
      <c r="M982" s="1853">
        <f>IF(ISERROR(L982-L981),0,L982-L981)</f>
        <v>0</v>
      </c>
      <c r="N982" s="1851" cm="1">
        <f t="array" ref="N982">_xlfn.IFS(
    AND(I982=TRUE, K982&lt;=No_Regular_Payments), Repay_Amt,
    AND(I982=TRUE, K982=No_Regular_Payments+1), Tm_Balloon_Amt,
   TRUE, 0
)</f>
        <v>0</v>
      </c>
      <c r="O982" s="1850" cm="1">
        <f t="array" ref="O982">_xlfn.IFS(
    M982=0,0,
   ABS(N982 - S981 - P982-Q982) &lt; 1, N982 - S981-Q982,
    TRUE, P982
)</f>
        <v>0</v>
      </c>
      <c r="P982" s="1852">
        <f>IF(M982=0,0,ROUND(S981*EXP(Int_Rate/365.25 * M982)-S981,2))</f>
        <v>0</v>
      </c>
      <c r="Q982" s="1851" cm="1">
        <f t="array" ref="Q982">_xlfn.IFS(
    AND(I982=TRUE, K982&lt;=No_Regular_Payments), Periodic_Admin_Charge,
   TRUE, 0
)</f>
        <v>0</v>
      </c>
      <c r="R982" s="1850">
        <f>N982-O982-Q982</f>
        <v>0</v>
      </c>
      <c r="S982" s="1850">
        <f>ROUND(S981-R982,2)</f>
        <v>0</v>
      </c>
      <c r="T982" s="1850">
        <f>ROUND(T981-(N982-Q982),2)</f>
        <v>0</v>
      </c>
      <c r="U982" s="1849"/>
      <c r="W982" s="1848"/>
      <c r="X982" s="1848"/>
      <c r="Y982" s="1848"/>
    </row>
    <row r="983" spans="2:25" hidden="1">
      <c r="B983" s="1815" t="b">
        <f>AND(I983=FALSE,N982=0,Q982=0,L982="")</f>
        <v>1</v>
      </c>
      <c r="C983" s="1844" t="str" cm="1">
        <f t="array" ref="C983">_xlfn.IFS(
    L983="", "",
    MONTH(L983) &lt;= End_of_Year_Month, YEAR(L983),
    TRUE, YEAR(L983) + 1
)</f>
        <v/>
      </c>
      <c r="F983" s="1857">
        <f>IF(L983="",0,L983)</f>
        <v>0</v>
      </c>
      <c r="G983" s="1856">
        <f>-(N983-Q983)</f>
        <v>0</v>
      </c>
      <c r="I983" s="1815" t="b">
        <f>K983&lt;=Number_Payments</f>
        <v>0</v>
      </c>
      <c r="J983" s="1855"/>
      <c r="K983" s="1351">
        <f>K982+1</f>
        <v>857</v>
      </c>
      <c r="L983" s="1854" t="str" cm="1">
        <f t="array" ref="L983">_xlfn.IFS(
    I982=FALSE, "",
    Payment_Frequency="Monthly", EDATE(L982, 1),
    Payment_Frequency="Weekly", DATE(YEAR(L982), MONTH(L982), DAY(L982) + 7),
    Payment_Frequency="Fortnightly", DATE(YEAR(L982), MONTH(L982), DAY(L982) + 14),
    Payment_Frequency="Quarterly", DATE(YEAR(L982), MONTH(L982) + 3, DAY(L982)),
    Payment_Frequency="Yearly", DATE(YEAR(L982) + 1, MONTH(L982), DAY(L982)),
    TRUE, ""
)</f>
        <v/>
      </c>
      <c r="M983" s="1853">
        <f>IF(ISERROR(L983-L982),0,L983-L982)</f>
        <v>0</v>
      </c>
      <c r="N983" s="1851" cm="1">
        <f t="array" ref="N983">_xlfn.IFS(
    AND(I983=TRUE, K983&lt;=No_Regular_Payments), Repay_Amt,
    AND(I983=TRUE, K983=No_Regular_Payments+1), Tm_Balloon_Amt,
   TRUE, 0
)</f>
        <v>0</v>
      </c>
      <c r="O983" s="1850" cm="1">
        <f t="array" ref="O983">_xlfn.IFS(
    M983=0,0,
   ABS(N983 - S982 - P983-Q983) &lt; 1, N983 - S982-Q983,
    TRUE, P983
)</f>
        <v>0</v>
      </c>
      <c r="P983" s="1852">
        <f>IF(M983=0,0,ROUND(S982*EXP(Int_Rate/365.25 * M983)-S982,2))</f>
        <v>0</v>
      </c>
      <c r="Q983" s="1851" cm="1">
        <f t="array" ref="Q983">_xlfn.IFS(
    AND(I983=TRUE, K983&lt;=No_Regular_Payments), Periodic_Admin_Charge,
   TRUE, 0
)</f>
        <v>0</v>
      </c>
      <c r="R983" s="1850">
        <f>N983-O983-Q983</f>
        <v>0</v>
      </c>
      <c r="S983" s="1850">
        <f>ROUND(S982-R983,2)</f>
        <v>0</v>
      </c>
      <c r="T983" s="1850">
        <f>ROUND(T982-(N983-Q983),2)</f>
        <v>0</v>
      </c>
      <c r="U983" s="1849"/>
      <c r="W983" s="1848"/>
      <c r="X983" s="1848"/>
      <c r="Y983" s="1848"/>
    </row>
    <row r="984" spans="2:25" hidden="1">
      <c r="B984" s="1815" t="b">
        <f>AND(I984=FALSE,N983=0,Q983=0,L983="")</f>
        <v>1</v>
      </c>
      <c r="C984" s="1844" t="str" cm="1">
        <f t="array" ref="C984">_xlfn.IFS(
    L984="", "",
    MONTH(L984) &lt;= End_of_Year_Month, YEAR(L984),
    TRUE, YEAR(L984) + 1
)</f>
        <v/>
      </c>
      <c r="F984" s="1857">
        <f>IF(L984="",0,L984)</f>
        <v>0</v>
      </c>
      <c r="G984" s="1856">
        <f>-(N984-Q984)</f>
        <v>0</v>
      </c>
      <c r="I984" s="1815" t="b">
        <f>K984&lt;=Number_Payments</f>
        <v>0</v>
      </c>
      <c r="J984" s="1855"/>
      <c r="K984" s="1351">
        <f>K983+1</f>
        <v>858</v>
      </c>
      <c r="L984" s="1854" t="str" cm="1">
        <f t="array" ref="L984">_xlfn.IFS(
    I983=FALSE, "",
    Payment_Frequency="Monthly", EDATE(L983, 1),
    Payment_Frequency="Weekly", DATE(YEAR(L983), MONTH(L983), DAY(L983) + 7),
    Payment_Frequency="Fortnightly", DATE(YEAR(L983), MONTH(L983), DAY(L983) + 14),
    Payment_Frequency="Quarterly", DATE(YEAR(L983), MONTH(L983) + 3, DAY(L983)),
    Payment_Frequency="Yearly", DATE(YEAR(L983) + 1, MONTH(L983), DAY(L983)),
    TRUE, ""
)</f>
        <v/>
      </c>
      <c r="M984" s="1853">
        <f>IF(ISERROR(L984-L983),0,L984-L983)</f>
        <v>0</v>
      </c>
      <c r="N984" s="1851" cm="1">
        <f t="array" ref="N984">_xlfn.IFS(
    AND(I984=TRUE, K984&lt;=No_Regular_Payments), Repay_Amt,
    AND(I984=TRUE, K984=No_Regular_Payments+1), Tm_Balloon_Amt,
   TRUE, 0
)</f>
        <v>0</v>
      </c>
      <c r="O984" s="1850" cm="1">
        <f t="array" ref="O984">_xlfn.IFS(
    M984=0,0,
   ABS(N984 - S983 - P984-Q984) &lt; 1, N984 - S983-Q984,
    TRUE, P984
)</f>
        <v>0</v>
      </c>
      <c r="P984" s="1852">
        <f>IF(M984=0,0,ROUND(S983*EXP(Int_Rate/365.25 * M984)-S983,2))</f>
        <v>0</v>
      </c>
      <c r="Q984" s="1851" cm="1">
        <f t="array" ref="Q984">_xlfn.IFS(
    AND(I984=TRUE, K984&lt;=No_Regular_Payments), Periodic_Admin_Charge,
   TRUE, 0
)</f>
        <v>0</v>
      </c>
      <c r="R984" s="1850">
        <f>N984-O984-Q984</f>
        <v>0</v>
      </c>
      <c r="S984" s="1850">
        <f>ROUND(S983-R984,2)</f>
        <v>0</v>
      </c>
      <c r="T984" s="1850">
        <f>ROUND(T983-(N984-Q984),2)</f>
        <v>0</v>
      </c>
      <c r="U984" s="1849"/>
      <c r="W984" s="1848"/>
      <c r="X984" s="1848"/>
      <c r="Y984" s="1848"/>
    </row>
    <row r="985" spans="2:25" hidden="1">
      <c r="B985" s="1815" t="b">
        <f>AND(I985=FALSE,N984=0,Q984=0,L984="")</f>
        <v>1</v>
      </c>
      <c r="C985" s="1844" t="str" cm="1">
        <f t="array" ref="C985">_xlfn.IFS(
    L985="", "",
    MONTH(L985) &lt;= End_of_Year_Month, YEAR(L985),
    TRUE, YEAR(L985) + 1
)</f>
        <v/>
      </c>
      <c r="F985" s="1857">
        <f>IF(L985="",0,L985)</f>
        <v>0</v>
      </c>
      <c r="G985" s="1856">
        <f>-(N985-Q985)</f>
        <v>0</v>
      </c>
      <c r="I985" s="1815" t="b">
        <f>K985&lt;=Number_Payments</f>
        <v>0</v>
      </c>
      <c r="J985" s="1855"/>
      <c r="K985" s="1351">
        <f>K984+1</f>
        <v>859</v>
      </c>
      <c r="L985" s="1854" t="str" cm="1">
        <f t="array" ref="L985">_xlfn.IFS(
    I984=FALSE, "",
    Payment_Frequency="Monthly", EDATE(L984, 1),
    Payment_Frequency="Weekly", DATE(YEAR(L984), MONTH(L984), DAY(L984) + 7),
    Payment_Frequency="Fortnightly", DATE(YEAR(L984), MONTH(L984), DAY(L984) + 14),
    Payment_Frequency="Quarterly", DATE(YEAR(L984), MONTH(L984) + 3, DAY(L984)),
    Payment_Frequency="Yearly", DATE(YEAR(L984) + 1, MONTH(L984), DAY(L984)),
    TRUE, ""
)</f>
        <v/>
      </c>
      <c r="M985" s="1853">
        <f>IF(ISERROR(L985-L984),0,L985-L984)</f>
        <v>0</v>
      </c>
      <c r="N985" s="1851" cm="1">
        <f t="array" ref="N985">_xlfn.IFS(
    AND(I985=TRUE, K985&lt;=No_Regular_Payments), Repay_Amt,
    AND(I985=TRUE, K985=No_Regular_Payments+1), Tm_Balloon_Amt,
   TRUE, 0
)</f>
        <v>0</v>
      </c>
      <c r="O985" s="1850" cm="1">
        <f t="array" ref="O985">_xlfn.IFS(
    M985=0,0,
   ABS(N985 - S984 - P985-Q985) &lt; 1, N985 - S984-Q985,
    TRUE, P985
)</f>
        <v>0</v>
      </c>
      <c r="P985" s="1852">
        <f>IF(M985=0,0,ROUND(S984*EXP(Int_Rate/365.25 * M985)-S984,2))</f>
        <v>0</v>
      </c>
      <c r="Q985" s="1851" cm="1">
        <f t="array" ref="Q985">_xlfn.IFS(
    AND(I985=TRUE, K985&lt;=No_Regular_Payments), Periodic_Admin_Charge,
   TRUE, 0
)</f>
        <v>0</v>
      </c>
      <c r="R985" s="1850">
        <f>N985-O985-Q985</f>
        <v>0</v>
      </c>
      <c r="S985" s="1850">
        <f>ROUND(S984-R985,2)</f>
        <v>0</v>
      </c>
      <c r="T985" s="1850">
        <f>ROUND(T984-(N985-Q985),2)</f>
        <v>0</v>
      </c>
      <c r="U985" s="1849"/>
      <c r="W985" s="1848"/>
      <c r="X985" s="1848"/>
      <c r="Y985" s="1848"/>
    </row>
    <row r="986" spans="2:25" hidden="1">
      <c r="B986" s="1815" t="b">
        <f>AND(I986=FALSE,N985=0,Q985=0,L985="")</f>
        <v>1</v>
      </c>
      <c r="C986" s="1844" t="str" cm="1">
        <f t="array" ref="C986">_xlfn.IFS(
    L986="", "",
    MONTH(L986) &lt;= End_of_Year_Month, YEAR(L986),
    TRUE, YEAR(L986) + 1
)</f>
        <v/>
      </c>
      <c r="F986" s="1857">
        <f>IF(L986="",0,L986)</f>
        <v>0</v>
      </c>
      <c r="G986" s="1856">
        <f>-(N986-Q986)</f>
        <v>0</v>
      </c>
      <c r="I986" s="1815" t="b">
        <f>K986&lt;=Number_Payments</f>
        <v>0</v>
      </c>
      <c r="J986" s="1855"/>
      <c r="K986" s="1351">
        <f>K985+1</f>
        <v>860</v>
      </c>
      <c r="L986" s="1854" t="str" cm="1">
        <f t="array" ref="L986">_xlfn.IFS(
    I985=FALSE, "",
    Payment_Frequency="Monthly", EDATE(L985, 1),
    Payment_Frequency="Weekly", DATE(YEAR(L985), MONTH(L985), DAY(L985) + 7),
    Payment_Frequency="Fortnightly", DATE(YEAR(L985), MONTH(L985), DAY(L985) + 14),
    Payment_Frequency="Quarterly", DATE(YEAR(L985), MONTH(L985) + 3, DAY(L985)),
    Payment_Frequency="Yearly", DATE(YEAR(L985) + 1, MONTH(L985), DAY(L985)),
    TRUE, ""
)</f>
        <v/>
      </c>
      <c r="M986" s="1853">
        <f>IF(ISERROR(L986-L985),0,L986-L985)</f>
        <v>0</v>
      </c>
      <c r="N986" s="1851" cm="1">
        <f t="array" ref="N986">_xlfn.IFS(
    AND(I986=TRUE, K986&lt;=No_Regular_Payments), Repay_Amt,
    AND(I986=TRUE, K986=No_Regular_Payments+1), Tm_Balloon_Amt,
   TRUE, 0
)</f>
        <v>0</v>
      </c>
      <c r="O986" s="1850" cm="1">
        <f t="array" ref="O986">_xlfn.IFS(
    M986=0,0,
   ABS(N986 - S985 - P986-Q986) &lt; 1, N986 - S985-Q986,
    TRUE, P986
)</f>
        <v>0</v>
      </c>
      <c r="P986" s="1852">
        <f>IF(M986=0,0,ROUND(S985*EXP(Int_Rate/365.25 * M986)-S985,2))</f>
        <v>0</v>
      </c>
      <c r="Q986" s="1851" cm="1">
        <f t="array" ref="Q986">_xlfn.IFS(
    AND(I986=TRUE, K986&lt;=No_Regular_Payments), Periodic_Admin_Charge,
   TRUE, 0
)</f>
        <v>0</v>
      </c>
      <c r="R986" s="1850">
        <f>N986-O986-Q986</f>
        <v>0</v>
      </c>
      <c r="S986" s="1850">
        <f>ROUND(S985-R986,2)</f>
        <v>0</v>
      </c>
      <c r="T986" s="1850">
        <f>ROUND(T985-(N986-Q986),2)</f>
        <v>0</v>
      </c>
      <c r="U986" s="1849"/>
      <c r="W986" s="1848"/>
      <c r="X986" s="1848"/>
      <c r="Y986" s="1848"/>
    </row>
    <row r="987" spans="2:25" hidden="1">
      <c r="B987" s="1815" t="b">
        <f>AND(I987=FALSE,N986=0,Q986=0,L986="")</f>
        <v>1</v>
      </c>
      <c r="C987" s="1844" t="str" cm="1">
        <f t="array" ref="C987">_xlfn.IFS(
    L987="", "",
    MONTH(L987) &lt;= End_of_Year_Month, YEAR(L987),
    TRUE, YEAR(L987) + 1
)</f>
        <v/>
      </c>
      <c r="F987" s="1857">
        <f>IF(L987="",0,L987)</f>
        <v>0</v>
      </c>
      <c r="G987" s="1856">
        <f>-(N987-Q987)</f>
        <v>0</v>
      </c>
      <c r="I987" s="1815" t="b">
        <f>K987&lt;=Number_Payments</f>
        <v>0</v>
      </c>
      <c r="J987" s="1855"/>
      <c r="K987" s="1351">
        <f>K986+1</f>
        <v>861</v>
      </c>
      <c r="L987" s="1854" t="str" cm="1">
        <f t="array" ref="L987">_xlfn.IFS(
    I986=FALSE, "",
    Payment_Frequency="Monthly", EDATE(L986, 1),
    Payment_Frequency="Weekly", DATE(YEAR(L986), MONTH(L986), DAY(L986) + 7),
    Payment_Frequency="Fortnightly", DATE(YEAR(L986), MONTH(L986), DAY(L986) + 14),
    Payment_Frequency="Quarterly", DATE(YEAR(L986), MONTH(L986) + 3, DAY(L986)),
    Payment_Frequency="Yearly", DATE(YEAR(L986) + 1, MONTH(L986), DAY(L986)),
    TRUE, ""
)</f>
        <v/>
      </c>
      <c r="M987" s="1853">
        <f>IF(ISERROR(L987-L986),0,L987-L986)</f>
        <v>0</v>
      </c>
      <c r="N987" s="1851" cm="1">
        <f t="array" ref="N987">_xlfn.IFS(
    AND(I987=TRUE, K987&lt;=No_Regular_Payments), Repay_Amt,
    AND(I987=TRUE, K987=No_Regular_Payments+1), Tm_Balloon_Amt,
   TRUE, 0
)</f>
        <v>0</v>
      </c>
      <c r="O987" s="1850" cm="1">
        <f t="array" ref="O987">_xlfn.IFS(
    M987=0,0,
   ABS(N987 - S986 - P987-Q987) &lt; 1, N987 - S986-Q987,
    TRUE, P987
)</f>
        <v>0</v>
      </c>
      <c r="P987" s="1852">
        <f>IF(M987=0,0,ROUND(S986*EXP(Int_Rate/365.25 * M987)-S986,2))</f>
        <v>0</v>
      </c>
      <c r="Q987" s="1851" cm="1">
        <f t="array" ref="Q987">_xlfn.IFS(
    AND(I987=TRUE, K987&lt;=No_Regular_Payments), Periodic_Admin_Charge,
   TRUE, 0
)</f>
        <v>0</v>
      </c>
      <c r="R987" s="1850">
        <f>N987-O987-Q987</f>
        <v>0</v>
      </c>
      <c r="S987" s="1850">
        <f>ROUND(S986-R987,2)</f>
        <v>0</v>
      </c>
      <c r="T987" s="1850">
        <f>ROUND(T986-(N987-Q987),2)</f>
        <v>0</v>
      </c>
      <c r="U987" s="1849"/>
      <c r="W987" s="1848"/>
      <c r="X987" s="1848"/>
      <c r="Y987" s="1848"/>
    </row>
    <row r="988" spans="2:25" hidden="1">
      <c r="B988" s="1815" t="b">
        <f>AND(I988=FALSE,N987=0,Q987=0,L987="")</f>
        <v>1</v>
      </c>
      <c r="C988" s="1844" t="str" cm="1">
        <f t="array" ref="C988">_xlfn.IFS(
    L988="", "",
    MONTH(L988) &lt;= End_of_Year_Month, YEAR(L988),
    TRUE, YEAR(L988) + 1
)</f>
        <v/>
      </c>
      <c r="F988" s="1857">
        <f>IF(L988="",0,L988)</f>
        <v>0</v>
      </c>
      <c r="G988" s="1856">
        <f>-(N988-Q988)</f>
        <v>0</v>
      </c>
      <c r="I988" s="1815" t="b">
        <f>K988&lt;=Number_Payments</f>
        <v>0</v>
      </c>
      <c r="J988" s="1855"/>
      <c r="K988" s="1351">
        <f>K987+1</f>
        <v>862</v>
      </c>
      <c r="L988" s="1854" t="str" cm="1">
        <f t="array" ref="L988">_xlfn.IFS(
    I987=FALSE, "",
    Payment_Frequency="Monthly", EDATE(L987, 1),
    Payment_Frequency="Weekly", DATE(YEAR(L987), MONTH(L987), DAY(L987) + 7),
    Payment_Frequency="Fortnightly", DATE(YEAR(L987), MONTH(L987), DAY(L987) + 14),
    Payment_Frequency="Quarterly", DATE(YEAR(L987), MONTH(L987) + 3, DAY(L987)),
    Payment_Frequency="Yearly", DATE(YEAR(L987) + 1, MONTH(L987), DAY(L987)),
    TRUE, ""
)</f>
        <v/>
      </c>
      <c r="M988" s="1853">
        <f>IF(ISERROR(L988-L987),0,L988-L987)</f>
        <v>0</v>
      </c>
      <c r="N988" s="1851" cm="1">
        <f t="array" ref="N988">_xlfn.IFS(
    AND(I988=TRUE, K988&lt;=No_Regular_Payments), Repay_Amt,
    AND(I988=TRUE, K988=No_Regular_Payments+1), Tm_Balloon_Amt,
   TRUE, 0
)</f>
        <v>0</v>
      </c>
      <c r="O988" s="1850" cm="1">
        <f t="array" ref="O988">_xlfn.IFS(
    M988=0,0,
   ABS(N988 - S987 - P988-Q988) &lt; 1, N988 - S987-Q988,
    TRUE, P988
)</f>
        <v>0</v>
      </c>
      <c r="P988" s="1852">
        <f>IF(M988=0,0,ROUND(S987*EXP(Int_Rate/365.25 * M988)-S987,2))</f>
        <v>0</v>
      </c>
      <c r="Q988" s="1851" cm="1">
        <f t="array" ref="Q988">_xlfn.IFS(
    AND(I988=TRUE, K988&lt;=No_Regular_Payments), Periodic_Admin_Charge,
   TRUE, 0
)</f>
        <v>0</v>
      </c>
      <c r="R988" s="1850">
        <f>N988-O988-Q988</f>
        <v>0</v>
      </c>
      <c r="S988" s="1850">
        <f>ROUND(S987-R988,2)</f>
        <v>0</v>
      </c>
      <c r="T988" s="1850">
        <f>ROUND(T987-(N988-Q988),2)</f>
        <v>0</v>
      </c>
      <c r="U988" s="1849"/>
      <c r="W988" s="1848"/>
      <c r="X988" s="1848"/>
      <c r="Y988" s="1848"/>
    </row>
    <row r="989" spans="2:25" hidden="1">
      <c r="B989" s="1815" t="b">
        <f>AND(I989=FALSE,N988=0,Q988=0,L988="")</f>
        <v>1</v>
      </c>
      <c r="C989" s="1844" t="str" cm="1">
        <f t="array" ref="C989">_xlfn.IFS(
    L989="", "",
    MONTH(L989) &lt;= End_of_Year_Month, YEAR(L989),
    TRUE, YEAR(L989) + 1
)</f>
        <v/>
      </c>
      <c r="F989" s="1857">
        <f>IF(L989="",0,L989)</f>
        <v>0</v>
      </c>
      <c r="G989" s="1856">
        <f>-(N989-Q989)</f>
        <v>0</v>
      </c>
      <c r="I989" s="1815" t="b">
        <f>K989&lt;=Number_Payments</f>
        <v>0</v>
      </c>
      <c r="J989" s="1855"/>
      <c r="K989" s="1351">
        <f>K988+1</f>
        <v>863</v>
      </c>
      <c r="L989" s="1854" t="str" cm="1">
        <f t="array" ref="L989">_xlfn.IFS(
    I988=FALSE, "",
    Payment_Frequency="Monthly", EDATE(L988, 1),
    Payment_Frequency="Weekly", DATE(YEAR(L988), MONTH(L988), DAY(L988) + 7),
    Payment_Frequency="Fortnightly", DATE(YEAR(L988), MONTH(L988), DAY(L988) + 14),
    Payment_Frequency="Quarterly", DATE(YEAR(L988), MONTH(L988) + 3, DAY(L988)),
    Payment_Frequency="Yearly", DATE(YEAR(L988) + 1, MONTH(L988), DAY(L988)),
    TRUE, ""
)</f>
        <v/>
      </c>
      <c r="M989" s="1853">
        <f>IF(ISERROR(L989-L988),0,L989-L988)</f>
        <v>0</v>
      </c>
      <c r="N989" s="1851" cm="1">
        <f t="array" ref="N989">_xlfn.IFS(
    AND(I989=TRUE, K989&lt;=No_Regular_Payments), Repay_Amt,
    AND(I989=TRUE, K989=No_Regular_Payments+1), Tm_Balloon_Amt,
   TRUE, 0
)</f>
        <v>0</v>
      </c>
      <c r="O989" s="1850" cm="1">
        <f t="array" ref="O989">_xlfn.IFS(
    M989=0,0,
   ABS(N989 - S988 - P989-Q989) &lt; 1, N989 - S988-Q989,
    TRUE, P989
)</f>
        <v>0</v>
      </c>
      <c r="P989" s="1852">
        <f>IF(M989=0,0,ROUND(S988*EXP(Int_Rate/365.25 * M989)-S988,2))</f>
        <v>0</v>
      </c>
      <c r="Q989" s="1851" cm="1">
        <f t="array" ref="Q989">_xlfn.IFS(
    AND(I989=TRUE, K989&lt;=No_Regular_Payments), Periodic_Admin_Charge,
   TRUE, 0
)</f>
        <v>0</v>
      </c>
      <c r="R989" s="1850">
        <f>N989-O989-Q989</f>
        <v>0</v>
      </c>
      <c r="S989" s="1850">
        <f>ROUND(S988-R989,2)</f>
        <v>0</v>
      </c>
      <c r="T989" s="1850">
        <f>ROUND(T988-(N989-Q989),2)</f>
        <v>0</v>
      </c>
      <c r="U989" s="1849"/>
      <c r="W989" s="1848"/>
      <c r="X989" s="1848"/>
      <c r="Y989" s="1848"/>
    </row>
    <row r="990" spans="2:25" hidden="1">
      <c r="B990" s="1815" t="b">
        <f>AND(I990=FALSE,N989=0,Q989=0,L989="")</f>
        <v>1</v>
      </c>
      <c r="C990" s="1844" t="str" cm="1">
        <f t="array" ref="C990">_xlfn.IFS(
    L990="", "",
    MONTH(L990) &lt;= End_of_Year_Month, YEAR(L990),
    TRUE, YEAR(L990) + 1
)</f>
        <v/>
      </c>
      <c r="F990" s="1857">
        <f>IF(L990="",0,L990)</f>
        <v>0</v>
      </c>
      <c r="G990" s="1856">
        <f>-(N990-Q990)</f>
        <v>0</v>
      </c>
      <c r="I990" s="1815" t="b">
        <f>K990&lt;=Number_Payments</f>
        <v>0</v>
      </c>
      <c r="J990" s="1855"/>
      <c r="K990" s="1351">
        <f>K989+1</f>
        <v>864</v>
      </c>
      <c r="L990" s="1854" t="str" cm="1">
        <f t="array" ref="L990">_xlfn.IFS(
    I989=FALSE, "",
    Payment_Frequency="Monthly", EDATE(L989, 1),
    Payment_Frequency="Weekly", DATE(YEAR(L989), MONTH(L989), DAY(L989) + 7),
    Payment_Frequency="Fortnightly", DATE(YEAR(L989), MONTH(L989), DAY(L989) + 14),
    Payment_Frequency="Quarterly", DATE(YEAR(L989), MONTH(L989) + 3, DAY(L989)),
    Payment_Frequency="Yearly", DATE(YEAR(L989) + 1, MONTH(L989), DAY(L989)),
    TRUE, ""
)</f>
        <v/>
      </c>
      <c r="M990" s="1853">
        <f>IF(ISERROR(L990-L989),0,L990-L989)</f>
        <v>0</v>
      </c>
      <c r="N990" s="1851" cm="1">
        <f t="array" ref="N990">_xlfn.IFS(
    AND(I990=TRUE, K990&lt;=No_Regular_Payments), Repay_Amt,
    AND(I990=TRUE, K990=No_Regular_Payments+1), Tm_Balloon_Amt,
   TRUE, 0
)</f>
        <v>0</v>
      </c>
      <c r="O990" s="1850" cm="1">
        <f t="array" ref="O990">_xlfn.IFS(
    M990=0,0,
   ABS(N990 - S989 - P990-Q990) &lt; 1, N990 - S989-Q990,
    TRUE, P990
)</f>
        <v>0</v>
      </c>
      <c r="P990" s="1852">
        <f>IF(M990=0,0,ROUND(S989*EXP(Int_Rate/365.25 * M990)-S989,2))</f>
        <v>0</v>
      </c>
      <c r="Q990" s="1851" cm="1">
        <f t="array" ref="Q990">_xlfn.IFS(
    AND(I990=TRUE, K990&lt;=No_Regular_Payments), Periodic_Admin_Charge,
   TRUE, 0
)</f>
        <v>0</v>
      </c>
      <c r="R990" s="1850">
        <f>N990-O990-Q990</f>
        <v>0</v>
      </c>
      <c r="S990" s="1850">
        <f>ROUND(S989-R990,2)</f>
        <v>0</v>
      </c>
      <c r="T990" s="1850">
        <f>ROUND(T989-(N990-Q990),2)</f>
        <v>0</v>
      </c>
      <c r="U990" s="1849"/>
      <c r="W990" s="1848"/>
      <c r="X990" s="1848"/>
      <c r="Y990" s="1848"/>
    </row>
    <row r="991" spans="2:25" hidden="1">
      <c r="B991" s="1815" t="b">
        <f>AND(I991=FALSE,N990=0,Q990=0,L990="")</f>
        <v>1</v>
      </c>
      <c r="C991" s="1844" t="str" cm="1">
        <f t="array" ref="C991">_xlfn.IFS(
    L991="", "",
    MONTH(L991) &lt;= End_of_Year_Month, YEAR(L991),
    TRUE, YEAR(L991) + 1
)</f>
        <v/>
      </c>
      <c r="F991" s="1857">
        <f>IF(L991="",0,L991)</f>
        <v>0</v>
      </c>
      <c r="G991" s="1856">
        <f>-(N991-Q991)</f>
        <v>0</v>
      </c>
      <c r="I991" s="1815" t="b">
        <f>K991&lt;=Number_Payments</f>
        <v>0</v>
      </c>
      <c r="J991" s="1855"/>
      <c r="K991" s="1351">
        <f>K990+1</f>
        <v>865</v>
      </c>
      <c r="L991" s="1854" t="str" cm="1">
        <f t="array" ref="L991">_xlfn.IFS(
    I990=FALSE, "",
    Payment_Frequency="Monthly", EDATE(L990, 1),
    Payment_Frequency="Weekly", DATE(YEAR(L990), MONTH(L990), DAY(L990) + 7),
    Payment_Frequency="Fortnightly", DATE(YEAR(L990), MONTH(L990), DAY(L990) + 14),
    Payment_Frequency="Quarterly", DATE(YEAR(L990), MONTH(L990) + 3, DAY(L990)),
    Payment_Frequency="Yearly", DATE(YEAR(L990) + 1, MONTH(L990), DAY(L990)),
    TRUE, ""
)</f>
        <v/>
      </c>
      <c r="M991" s="1853">
        <f>IF(ISERROR(L991-L990),0,L991-L990)</f>
        <v>0</v>
      </c>
      <c r="N991" s="1851" cm="1">
        <f t="array" ref="N991">_xlfn.IFS(
    AND(I991=TRUE, K991&lt;=No_Regular_Payments), Repay_Amt,
    AND(I991=TRUE, K991=No_Regular_Payments+1), Tm_Balloon_Amt,
   TRUE, 0
)</f>
        <v>0</v>
      </c>
      <c r="O991" s="1850" cm="1">
        <f t="array" ref="O991">_xlfn.IFS(
    M991=0,0,
   ABS(N991 - S990 - P991-Q991) &lt; 1, N991 - S990-Q991,
    TRUE, P991
)</f>
        <v>0</v>
      </c>
      <c r="P991" s="1852">
        <f>IF(M991=0,0,ROUND(S990*EXP(Int_Rate/365.25 * M991)-S990,2))</f>
        <v>0</v>
      </c>
      <c r="Q991" s="1851" cm="1">
        <f t="array" ref="Q991">_xlfn.IFS(
    AND(I991=TRUE, K991&lt;=No_Regular_Payments), Periodic_Admin_Charge,
   TRUE, 0
)</f>
        <v>0</v>
      </c>
      <c r="R991" s="1850">
        <f>N991-O991-Q991</f>
        <v>0</v>
      </c>
      <c r="S991" s="1850">
        <f>ROUND(S990-R991,2)</f>
        <v>0</v>
      </c>
      <c r="T991" s="1850">
        <f>ROUND(T990-(N991-Q991),2)</f>
        <v>0</v>
      </c>
      <c r="U991" s="1849"/>
      <c r="W991" s="1848"/>
      <c r="X991" s="1848"/>
      <c r="Y991" s="1848"/>
    </row>
    <row r="992" spans="2:25" hidden="1">
      <c r="B992" s="1815" t="b">
        <f>AND(I992=FALSE,N991=0,Q991=0,L991="")</f>
        <v>1</v>
      </c>
      <c r="C992" s="1844" t="str" cm="1">
        <f t="array" ref="C992">_xlfn.IFS(
    L992="", "",
    MONTH(L992) &lt;= End_of_Year_Month, YEAR(L992),
    TRUE, YEAR(L992) + 1
)</f>
        <v/>
      </c>
      <c r="F992" s="1857">
        <f>IF(L992="",0,L992)</f>
        <v>0</v>
      </c>
      <c r="G992" s="1856">
        <f>-(N992-Q992)</f>
        <v>0</v>
      </c>
      <c r="I992" s="1815" t="b">
        <f>K992&lt;=Number_Payments</f>
        <v>0</v>
      </c>
      <c r="J992" s="1855"/>
      <c r="K992" s="1351">
        <f>K991+1</f>
        <v>866</v>
      </c>
      <c r="L992" s="1854" t="str" cm="1">
        <f t="array" ref="L992">_xlfn.IFS(
    I991=FALSE, "",
    Payment_Frequency="Monthly", EDATE(L991, 1),
    Payment_Frequency="Weekly", DATE(YEAR(L991), MONTH(L991), DAY(L991) + 7),
    Payment_Frequency="Fortnightly", DATE(YEAR(L991), MONTH(L991), DAY(L991) + 14),
    Payment_Frequency="Quarterly", DATE(YEAR(L991), MONTH(L991) + 3, DAY(L991)),
    Payment_Frequency="Yearly", DATE(YEAR(L991) + 1, MONTH(L991), DAY(L991)),
    TRUE, ""
)</f>
        <v/>
      </c>
      <c r="M992" s="1853">
        <f>IF(ISERROR(L992-L991),0,L992-L991)</f>
        <v>0</v>
      </c>
      <c r="N992" s="1851" cm="1">
        <f t="array" ref="N992">_xlfn.IFS(
    AND(I992=TRUE, K992&lt;=No_Regular_Payments), Repay_Amt,
    AND(I992=TRUE, K992=No_Regular_Payments+1), Tm_Balloon_Amt,
   TRUE, 0
)</f>
        <v>0</v>
      </c>
      <c r="O992" s="1850" cm="1">
        <f t="array" ref="O992">_xlfn.IFS(
    M992=0,0,
   ABS(N992 - S991 - P992-Q992) &lt; 1, N992 - S991-Q992,
    TRUE, P992
)</f>
        <v>0</v>
      </c>
      <c r="P992" s="1852">
        <f>IF(M992=0,0,ROUND(S991*EXP(Int_Rate/365.25 * M992)-S991,2))</f>
        <v>0</v>
      </c>
      <c r="Q992" s="1851" cm="1">
        <f t="array" ref="Q992">_xlfn.IFS(
    AND(I992=TRUE, K992&lt;=No_Regular_Payments), Periodic_Admin_Charge,
   TRUE, 0
)</f>
        <v>0</v>
      </c>
      <c r="R992" s="1850">
        <f>N992-O992-Q992</f>
        <v>0</v>
      </c>
      <c r="S992" s="1850">
        <f>ROUND(S991-R992,2)</f>
        <v>0</v>
      </c>
      <c r="T992" s="1850">
        <f>ROUND(T991-(N992-Q992),2)</f>
        <v>0</v>
      </c>
      <c r="U992" s="1849"/>
      <c r="W992" s="1848"/>
      <c r="X992" s="1848"/>
      <c r="Y992" s="1848"/>
    </row>
    <row r="993" spans="2:25" hidden="1">
      <c r="B993" s="1815" t="b">
        <f>AND(I993=FALSE,N992=0,Q992=0,L992="")</f>
        <v>1</v>
      </c>
      <c r="C993" s="1844" t="str" cm="1">
        <f t="array" ref="C993">_xlfn.IFS(
    L993="", "",
    MONTH(L993) &lt;= End_of_Year_Month, YEAR(L993),
    TRUE, YEAR(L993) + 1
)</f>
        <v/>
      </c>
      <c r="F993" s="1857">
        <f>IF(L993="",0,L993)</f>
        <v>0</v>
      </c>
      <c r="G993" s="1856">
        <f>-(N993-Q993)</f>
        <v>0</v>
      </c>
      <c r="I993" s="1815" t="b">
        <f>K993&lt;=Number_Payments</f>
        <v>0</v>
      </c>
      <c r="J993" s="1855"/>
      <c r="K993" s="1351">
        <f>K992+1</f>
        <v>867</v>
      </c>
      <c r="L993" s="1854" t="str" cm="1">
        <f t="array" ref="L993">_xlfn.IFS(
    I992=FALSE, "",
    Payment_Frequency="Monthly", EDATE(L992, 1),
    Payment_Frequency="Weekly", DATE(YEAR(L992), MONTH(L992), DAY(L992) + 7),
    Payment_Frequency="Fortnightly", DATE(YEAR(L992), MONTH(L992), DAY(L992) + 14),
    Payment_Frequency="Quarterly", DATE(YEAR(L992), MONTH(L992) + 3, DAY(L992)),
    Payment_Frequency="Yearly", DATE(YEAR(L992) + 1, MONTH(L992), DAY(L992)),
    TRUE, ""
)</f>
        <v/>
      </c>
      <c r="M993" s="1853">
        <f>IF(ISERROR(L993-L992),0,L993-L992)</f>
        <v>0</v>
      </c>
      <c r="N993" s="1851" cm="1">
        <f t="array" ref="N993">_xlfn.IFS(
    AND(I993=TRUE, K993&lt;=No_Regular_Payments), Repay_Amt,
    AND(I993=TRUE, K993=No_Regular_Payments+1), Tm_Balloon_Amt,
   TRUE, 0
)</f>
        <v>0</v>
      </c>
      <c r="O993" s="1850" cm="1">
        <f t="array" ref="O993">_xlfn.IFS(
    M993=0,0,
   ABS(N993 - S992 - P993-Q993) &lt; 1, N993 - S992-Q993,
    TRUE, P993
)</f>
        <v>0</v>
      </c>
      <c r="P993" s="1852">
        <f>IF(M993=0,0,ROUND(S992*EXP(Int_Rate/365.25 * M993)-S992,2))</f>
        <v>0</v>
      </c>
      <c r="Q993" s="1851" cm="1">
        <f t="array" ref="Q993">_xlfn.IFS(
    AND(I993=TRUE, K993&lt;=No_Regular_Payments), Periodic_Admin_Charge,
   TRUE, 0
)</f>
        <v>0</v>
      </c>
      <c r="R993" s="1850">
        <f>N993-O993-Q993</f>
        <v>0</v>
      </c>
      <c r="S993" s="1850">
        <f>ROUND(S992-R993,2)</f>
        <v>0</v>
      </c>
      <c r="T993" s="1850">
        <f>ROUND(T992-(N993-Q993),2)</f>
        <v>0</v>
      </c>
      <c r="U993" s="1849"/>
      <c r="W993" s="1848"/>
      <c r="X993" s="1848"/>
      <c r="Y993" s="1848"/>
    </row>
    <row r="994" spans="2:25" hidden="1">
      <c r="B994" s="1815" t="b">
        <f>AND(I994=FALSE,N993=0,Q993=0,L993="")</f>
        <v>1</v>
      </c>
      <c r="C994" s="1844" t="str" cm="1">
        <f t="array" ref="C994">_xlfn.IFS(
    L994="", "",
    MONTH(L994) &lt;= End_of_Year_Month, YEAR(L994),
    TRUE, YEAR(L994) + 1
)</f>
        <v/>
      </c>
      <c r="F994" s="1857">
        <f>IF(L994="",0,L994)</f>
        <v>0</v>
      </c>
      <c r="G994" s="1856">
        <f>-(N994-Q994)</f>
        <v>0</v>
      </c>
      <c r="I994" s="1815" t="b">
        <f>K994&lt;=Number_Payments</f>
        <v>0</v>
      </c>
      <c r="J994" s="1855"/>
      <c r="K994" s="1351">
        <f>K993+1</f>
        <v>868</v>
      </c>
      <c r="L994" s="1854" t="str" cm="1">
        <f t="array" ref="L994">_xlfn.IFS(
    I993=FALSE, "",
    Payment_Frequency="Monthly", EDATE(L993, 1),
    Payment_Frequency="Weekly", DATE(YEAR(L993), MONTH(L993), DAY(L993) + 7),
    Payment_Frequency="Fortnightly", DATE(YEAR(L993), MONTH(L993), DAY(L993) + 14),
    Payment_Frequency="Quarterly", DATE(YEAR(L993), MONTH(L993) + 3, DAY(L993)),
    Payment_Frequency="Yearly", DATE(YEAR(L993) + 1, MONTH(L993), DAY(L993)),
    TRUE, ""
)</f>
        <v/>
      </c>
      <c r="M994" s="1853">
        <f>IF(ISERROR(L994-L993),0,L994-L993)</f>
        <v>0</v>
      </c>
      <c r="N994" s="1851" cm="1">
        <f t="array" ref="N994">_xlfn.IFS(
    AND(I994=TRUE, K994&lt;=No_Regular_Payments), Repay_Amt,
    AND(I994=TRUE, K994=No_Regular_Payments+1), Tm_Balloon_Amt,
   TRUE, 0
)</f>
        <v>0</v>
      </c>
      <c r="O994" s="1850" cm="1">
        <f t="array" ref="O994">_xlfn.IFS(
    M994=0,0,
   ABS(N994 - S993 - P994-Q994) &lt; 1, N994 - S993-Q994,
    TRUE, P994
)</f>
        <v>0</v>
      </c>
      <c r="P994" s="1852">
        <f>IF(M994=0,0,ROUND(S993*EXP(Int_Rate/365.25 * M994)-S993,2))</f>
        <v>0</v>
      </c>
      <c r="Q994" s="1851" cm="1">
        <f t="array" ref="Q994">_xlfn.IFS(
    AND(I994=TRUE, K994&lt;=No_Regular_Payments), Periodic_Admin_Charge,
   TRUE, 0
)</f>
        <v>0</v>
      </c>
      <c r="R994" s="1850">
        <f>N994-O994-Q994</f>
        <v>0</v>
      </c>
      <c r="S994" s="1850">
        <f>ROUND(S993-R994,2)</f>
        <v>0</v>
      </c>
      <c r="T994" s="1850">
        <f>ROUND(T993-(N994-Q994),2)</f>
        <v>0</v>
      </c>
      <c r="U994" s="1849"/>
      <c r="W994" s="1848"/>
      <c r="X994" s="1848"/>
      <c r="Y994" s="1848"/>
    </row>
    <row r="995" spans="2:25" hidden="1">
      <c r="B995" s="1815" t="b">
        <f>AND(I995=FALSE,N994=0,Q994=0,L994="")</f>
        <v>1</v>
      </c>
      <c r="C995" s="1844" t="str" cm="1">
        <f t="array" ref="C995">_xlfn.IFS(
    L995="", "",
    MONTH(L995) &lt;= End_of_Year_Month, YEAR(L995),
    TRUE, YEAR(L995) + 1
)</f>
        <v/>
      </c>
      <c r="F995" s="1857">
        <f>IF(L995="",0,L995)</f>
        <v>0</v>
      </c>
      <c r="G995" s="1856">
        <f>-(N995-Q995)</f>
        <v>0</v>
      </c>
      <c r="I995" s="1815" t="b">
        <f>K995&lt;=Number_Payments</f>
        <v>0</v>
      </c>
      <c r="J995" s="1855"/>
      <c r="K995" s="1351">
        <f>K994+1</f>
        <v>869</v>
      </c>
      <c r="L995" s="1854" t="str" cm="1">
        <f t="array" ref="L995">_xlfn.IFS(
    I994=FALSE, "",
    Payment_Frequency="Monthly", EDATE(L994, 1),
    Payment_Frequency="Weekly", DATE(YEAR(L994), MONTH(L994), DAY(L994) + 7),
    Payment_Frequency="Fortnightly", DATE(YEAR(L994), MONTH(L994), DAY(L994) + 14),
    Payment_Frequency="Quarterly", DATE(YEAR(L994), MONTH(L994) + 3, DAY(L994)),
    Payment_Frequency="Yearly", DATE(YEAR(L994) + 1, MONTH(L994), DAY(L994)),
    TRUE, ""
)</f>
        <v/>
      </c>
      <c r="M995" s="1853">
        <f>IF(ISERROR(L995-L994),0,L995-L994)</f>
        <v>0</v>
      </c>
      <c r="N995" s="1851" cm="1">
        <f t="array" ref="N995">_xlfn.IFS(
    AND(I995=TRUE, K995&lt;=No_Regular_Payments), Repay_Amt,
    AND(I995=TRUE, K995=No_Regular_Payments+1), Tm_Balloon_Amt,
   TRUE, 0
)</f>
        <v>0</v>
      </c>
      <c r="O995" s="1850" cm="1">
        <f t="array" ref="O995">_xlfn.IFS(
    M995=0,0,
   ABS(N995 - S994 - P995-Q995) &lt; 1, N995 - S994-Q995,
    TRUE, P995
)</f>
        <v>0</v>
      </c>
      <c r="P995" s="1852">
        <f>IF(M995=0,0,ROUND(S994*EXP(Int_Rate/365.25 * M995)-S994,2))</f>
        <v>0</v>
      </c>
      <c r="Q995" s="1851" cm="1">
        <f t="array" ref="Q995">_xlfn.IFS(
    AND(I995=TRUE, K995&lt;=No_Regular_Payments), Periodic_Admin_Charge,
   TRUE, 0
)</f>
        <v>0</v>
      </c>
      <c r="R995" s="1850">
        <f>N995-O995-Q995</f>
        <v>0</v>
      </c>
      <c r="S995" s="1850">
        <f>ROUND(S994-R995,2)</f>
        <v>0</v>
      </c>
      <c r="T995" s="1850">
        <f>ROUND(T994-(N995-Q995),2)</f>
        <v>0</v>
      </c>
      <c r="U995" s="1849"/>
      <c r="W995" s="1848"/>
      <c r="X995" s="1848"/>
      <c r="Y995" s="1848"/>
    </row>
    <row r="996" spans="2:25" hidden="1">
      <c r="B996" s="1815" t="b">
        <f>AND(I996=FALSE,N995=0,Q995=0,L995="")</f>
        <v>1</v>
      </c>
      <c r="C996" s="1844" t="str" cm="1">
        <f t="array" ref="C996">_xlfn.IFS(
    L996="", "",
    MONTH(L996) &lt;= End_of_Year_Month, YEAR(L996),
    TRUE, YEAR(L996) + 1
)</f>
        <v/>
      </c>
      <c r="F996" s="1857">
        <f>IF(L996="",0,L996)</f>
        <v>0</v>
      </c>
      <c r="G996" s="1856">
        <f>-(N996-Q996)</f>
        <v>0</v>
      </c>
      <c r="I996" s="1815" t="b">
        <f>K996&lt;=Number_Payments</f>
        <v>0</v>
      </c>
      <c r="J996" s="1855"/>
      <c r="K996" s="1351">
        <f>K995+1</f>
        <v>870</v>
      </c>
      <c r="L996" s="1854" t="str" cm="1">
        <f t="array" ref="L996">_xlfn.IFS(
    I995=FALSE, "",
    Payment_Frequency="Monthly", EDATE(L995, 1),
    Payment_Frequency="Weekly", DATE(YEAR(L995), MONTH(L995), DAY(L995) + 7),
    Payment_Frequency="Fortnightly", DATE(YEAR(L995), MONTH(L995), DAY(L995) + 14),
    Payment_Frequency="Quarterly", DATE(YEAR(L995), MONTH(L995) + 3, DAY(L995)),
    Payment_Frequency="Yearly", DATE(YEAR(L995) + 1, MONTH(L995), DAY(L995)),
    TRUE, ""
)</f>
        <v/>
      </c>
      <c r="M996" s="1853">
        <f>IF(ISERROR(L996-L995),0,L996-L995)</f>
        <v>0</v>
      </c>
      <c r="N996" s="1851" cm="1">
        <f t="array" ref="N996">_xlfn.IFS(
    AND(I996=TRUE, K996&lt;=No_Regular_Payments), Repay_Amt,
    AND(I996=TRUE, K996=No_Regular_Payments+1), Tm_Balloon_Amt,
   TRUE, 0
)</f>
        <v>0</v>
      </c>
      <c r="O996" s="1850" cm="1">
        <f t="array" ref="O996">_xlfn.IFS(
    M996=0,0,
   ABS(N996 - S995 - P996-Q996) &lt; 1, N996 - S995-Q996,
    TRUE, P996
)</f>
        <v>0</v>
      </c>
      <c r="P996" s="1852">
        <f>IF(M996=0,0,ROUND(S995*EXP(Int_Rate/365.25 * M996)-S995,2))</f>
        <v>0</v>
      </c>
      <c r="Q996" s="1851" cm="1">
        <f t="array" ref="Q996">_xlfn.IFS(
    AND(I996=TRUE, K996&lt;=No_Regular_Payments), Periodic_Admin_Charge,
   TRUE, 0
)</f>
        <v>0</v>
      </c>
      <c r="R996" s="1850">
        <f>N996-O996-Q996</f>
        <v>0</v>
      </c>
      <c r="S996" s="1850">
        <f>ROUND(S995-R996,2)</f>
        <v>0</v>
      </c>
      <c r="T996" s="1850">
        <f>ROUND(T995-(N996-Q996),2)</f>
        <v>0</v>
      </c>
      <c r="U996" s="1849"/>
      <c r="W996" s="1848"/>
      <c r="X996" s="1848"/>
      <c r="Y996" s="1848"/>
    </row>
    <row r="997" spans="2:25" hidden="1">
      <c r="B997" s="1815" t="b">
        <f>AND(I997=FALSE,N996=0,Q996=0,L996="")</f>
        <v>1</v>
      </c>
      <c r="C997" s="1844" t="str" cm="1">
        <f t="array" ref="C997">_xlfn.IFS(
    L997="", "",
    MONTH(L997) &lt;= End_of_Year_Month, YEAR(L997),
    TRUE, YEAR(L997) + 1
)</f>
        <v/>
      </c>
      <c r="F997" s="1857">
        <f>IF(L997="",0,L997)</f>
        <v>0</v>
      </c>
      <c r="G997" s="1856">
        <f>-(N997-Q997)</f>
        <v>0</v>
      </c>
      <c r="I997" s="1815" t="b">
        <f>K997&lt;=Number_Payments</f>
        <v>0</v>
      </c>
      <c r="J997" s="1855"/>
      <c r="K997" s="1351">
        <f>K996+1</f>
        <v>871</v>
      </c>
      <c r="L997" s="1854" t="str" cm="1">
        <f t="array" ref="L997">_xlfn.IFS(
    I996=FALSE, "",
    Payment_Frequency="Monthly", EDATE(L996, 1),
    Payment_Frequency="Weekly", DATE(YEAR(L996), MONTH(L996), DAY(L996) + 7),
    Payment_Frequency="Fortnightly", DATE(YEAR(L996), MONTH(L996), DAY(L996) + 14),
    Payment_Frequency="Quarterly", DATE(YEAR(L996), MONTH(L996) + 3, DAY(L996)),
    Payment_Frequency="Yearly", DATE(YEAR(L996) + 1, MONTH(L996), DAY(L996)),
    TRUE, ""
)</f>
        <v/>
      </c>
      <c r="M997" s="1853">
        <f>IF(ISERROR(L997-L996),0,L997-L996)</f>
        <v>0</v>
      </c>
      <c r="N997" s="1851" cm="1">
        <f t="array" ref="N997">_xlfn.IFS(
    AND(I997=TRUE, K997&lt;=No_Regular_Payments), Repay_Amt,
    AND(I997=TRUE, K997=No_Regular_Payments+1), Tm_Balloon_Amt,
   TRUE, 0
)</f>
        <v>0</v>
      </c>
      <c r="O997" s="1850" cm="1">
        <f t="array" ref="O997">_xlfn.IFS(
    M997=0,0,
   ABS(N997 - S996 - P997-Q997) &lt; 1, N997 - S996-Q997,
    TRUE, P997
)</f>
        <v>0</v>
      </c>
      <c r="P997" s="1852">
        <f>IF(M997=0,0,ROUND(S996*EXP(Int_Rate/365.25 * M997)-S996,2))</f>
        <v>0</v>
      </c>
      <c r="Q997" s="1851" cm="1">
        <f t="array" ref="Q997">_xlfn.IFS(
    AND(I997=TRUE, K997&lt;=No_Regular_Payments), Periodic_Admin_Charge,
   TRUE, 0
)</f>
        <v>0</v>
      </c>
      <c r="R997" s="1850">
        <f>N997-O997-Q997</f>
        <v>0</v>
      </c>
      <c r="S997" s="1850">
        <f>ROUND(S996-R997,2)</f>
        <v>0</v>
      </c>
      <c r="T997" s="1850">
        <f>ROUND(T996-(N997-Q997),2)</f>
        <v>0</v>
      </c>
      <c r="U997" s="1849"/>
      <c r="W997" s="1848"/>
      <c r="X997" s="1848"/>
      <c r="Y997" s="1848"/>
    </row>
    <row r="998" spans="2:25" hidden="1">
      <c r="B998" s="1815" t="b">
        <f>AND(I998=FALSE,N997=0,Q997=0,L997="")</f>
        <v>1</v>
      </c>
      <c r="C998" s="1844" t="str" cm="1">
        <f t="array" ref="C998">_xlfn.IFS(
    L998="", "",
    MONTH(L998) &lt;= End_of_Year_Month, YEAR(L998),
    TRUE, YEAR(L998) + 1
)</f>
        <v/>
      </c>
      <c r="F998" s="1857">
        <f>IF(L998="",0,L998)</f>
        <v>0</v>
      </c>
      <c r="G998" s="1856">
        <f>-(N998-Q998)</f>
        <v>0</v>
      </c>
      <c r="I998" s="1815" t="b">
        <f>K998&lt;=Number_Payments</f>
        <v>0</v>
      </c>
      <c r="J998" s="1855"/>
      <c r="K998" s="1351">
        <f>K997+1</f>
        <v>872</v>
      </c>
      <c r="L998" s="1854" t="str" cm="1">
        <f t="array" ref="L998">_xlfn.IFS(
    I997=FALSE, "",
    Payment_Frequency="Monthly", EDATE(L997, 1),
    Payment_Frequency="Weekly", DATE(YEAR(L997), MONTH(L997), DAY(L997) + 7),
    Payment_Frequency="Fortnightly", DATE(YEAR(L997), MONTH(L997), DAY(L997) + 14),
    Payment_Frequency="Quarterly", DATE(YEAR(L997), MONTH(L997) + 3, DAY(L997)),
    Payment_Frequency="Yearly", DATE(YEAR(L997) + 1, MONTH(L997), DAY(L997)),
    TRUE, ""
)</f>
        <v/>
      </c>
      <c r="M998" s="1853">
        <f>IF(ISERROR(L998-L997),0,L998-L997)</f>
        <v>0</v>
      </c>
      <c r="N998" s="1851" cm="1">
        <f t="array" ref="N998">_xlfn.IFS(
    AND(I998=TRUE, K998&lt;=No_Regular_Payments), Repay_Amt,
    AND(I998=TRUE, K998=No_Regular_Payments+1), Tm_Balloon_Amt,
   TRUE, 0
)</f>
        <v>0</v>
      </c>
      <c r="O998" s="1850" cm="1">
        <f t="array" ref="O998">_xlfn.IFS(
    M998=0,0,
   ABS(N998 - S997 - P998-Q998) &lt; 1, N998 - S997-Q998,
    TRUE, P998
)</f>
        <v>0</v>
      </c>
      <c r="P998" s="1852">
        <f>IF(M998=0,0,ROUND(S997*EXP(Int_Rate/365.25 * M998)-S997,2))</f>
        <v>0</v>
      </c>
      <c r="Q998" s="1851" cm="1">
        <f t="array" ref="Q998">_xlfn.IFS(
    AND(I998=TRUE, K998&lt;=No_Regular_Payments), Periodic_Admin_Charge,
   TRUE, 0
)</f>
        <v>0</v>
      </c>
      <c r="R998" s="1850">
        <f>N998-O998-Q998</f>
        <v>0</v>
      </c>
      <c r="S998" s="1850">
        <f>ROUND(S997-R998,2)</f>
        <v>0</v>
      </c>
      <c r="T998" s="1850">
        <f>ROUND(T997-(N998-Q998),2)</f>
        <v>0</v>
      </c>
      <c r="U998" s="1849"/>
      <c r="W998" s="1848"/>
      <c r="X998" s="1848"/>
      <c r="Y998" s="1848"/>
    </row>
    <row r="999" spans="2:25" hidden="1">
      <c r="B999" s="1815" t="b">
        <f>AND(I999=FALSE,N998=0,Q998=0,L998="")</f>
        <v>1</v>
      </c>
      <c r="C999" s="1844" t="str" cm="1">
        <f t="array" ref="C999">_xlfn.IFS(
    L999="", "",
    MONTH(L999) &lt;= End_of_Year_Month, YEAR(L999),
    TRUE, YEAR(L999) + 1
)</f>
        <v/>
      </c>
      <c r="F999" s="1857">
        <f>IF(L999="",0,L999)</f>
        <v>0</v>
      </c>
      <c r="G999" s="1856">
        <f>-(N999-Q999)</f>
        <v>0</v>
      </c>
      <c r="I999" s="1815" t="b">
        <f>K999&lt;=Number_Payments</f>
        <v>0</v>
      </c>
      <c r="J999" s="1855"/>
      <c r="K999" s="1351">
        <f>K998+1</f>
        <v>873</v>
      </c>
      <c r="L999" s="1854" t="str" cm="1">
        <f t="array" ref="L999">_xlfn.IFS(
    I998=FALSE, "",
    Payment_Frequency="Monthly", EDATE(L998, 1),
    Payment_Frequency="Weekly", DATE(YEAR(L998), MONTH(L998), DAY(L998) + 7),
    Payment_Frequency="Fortnightly", DATE(YEAR(L998), MONTH(L998), DAY(L998) + 14),
    Payment_Frequency="Quarterly", DATE(YEAR(L998), MONTH(L998) + 3, DAY(L998)),
    Payment_Frequency="Yearly", DATE(YEAR(L998) + 1, MONTH(L998), DAY(L998)),
    TRUE, ""
)</f>
        <v/>
      </c>
      <c r="M999" s="1853">
        <f>IF(ISERROR(L999-L998),0,L999-L998)</f>
        <v>0</v>
      </c>
      <c r="N999" s="1851" cm="1">
        <f t="array" ref="N999">_xlfn.IFS(
    AND(I999=TRUE, K999&lt;=No_Regular_Payments), Repay_Amt,
    AND(I999=TRUE, K999=No_Regular_Payments+1), Tm_Balloon_Amt,
   TRUE, 0
)</f>
        <v>0</v>
      </c>
      <c r="O999" s="1850" cm="1">
        <f t="array" ref="O999">_xlfn.IFS(
    M999=0,0,
   ABS(N999 - S998 - P999-Q999) &lt; 1, N999 - S998-Q999,
    TRUE, P999
)</f>
        <v>0</v>
      </c>
      <c r="P999" s="1852">
        <f>IF(M999=0,0,ROUND(S998*EXP(Int_Rate/365.25 * M999)-S998,2))</f>
        <v>0</v>
      </c>
      <c r="Q999" s="1851" cm="1">
        <f t="array" ref="Q999">_xlfn.IFS(
    AND(I999=TRUE, K999&lt;=No_Regular_Payments), Periodic_Admin_Charge,
   TRUE, 0
)</f>
        <v>0</v>
      </c>
      <c r="R999" s="1850">
        <f>N999-O999-Q999</f>
        <v>0</v>
      </c>
      <c r="S999" s="1850">
        <f>ROUND(S998-R999,2)</f>
        <v>0</v>
      </c>
      <c r="T999" s="1850">
        <f>ROUND(T998-(N999-Q999),2)</f>
        <v>0</v>
      </c>
      <c r="U999" s="1849"/>
      <c r="W999" s="1848"/>
      <c r="X999" s="1848"/>
      <c r="Y999" s="1848"/>
    </row>
    <row r="1000" spans="2:25" hidden="1">
      <c r="B1000" s="1815" t="b">
        <f>AND(I1000=FALSE,N999=0,Q999=0,L999="")</f>
        <v>1</v>
      </c>
      <c r="C1000" s="1844" t="str" cm="1">
        <f t="array" ref="C1000">_xlfn.IFS(
    L1000="", "",
    MONTH(L1000) &lt;= End_of_Year_Month, YEAR(L1000),
    TRUE, YEAR(L1000) + 1
)</f>
        <v/>
      </c>
      <c r="F1000" s="1857">
        <f>IF(L1000="",0,L1000)</f>
        <v>0</v>
      </c>
      <c r="G1000" s="1856">
        <f>-(N1000-Q1000)</f>
        <v>0</v>
      </c>
      <c r="I1000" s="1815" t="b">
        <f>K1000&lt;=Number_Payments</f>
        <v>0</v>
      </c>
      <c r="J1000" s="1855"/>
      <c r="K1000" s="1351">
        <f>K999+1</f>
        <v>874</v>
      </c>
      <c r="L1000" s="1854" t="str" cm="1">
        <f t="array" ref="L1000">_xlfn.IFS(
    I999=FALSE, "",
    Payment_Frequency="Monthly", EDATE(L999, 1),
    Payment_Frequency="Weekly", DATE(YEAR(L999), MONTH(L999), DAY(L999) + 7),
    Payment_Frequency="Fortnightly", DATE(YEAR(L999), MONTH(L999), DAY(L999) + 14),
    Payment_Frequency="Quarterly", DATE(YEAR(L999), MONTH(L999) + 3, DAY(L999)),
    Payment_Frequency="Yearly", DATE(YEAR(L999) + 1, MONTH(L999), DAY(L999)),
    TRUE, ""
)</f>
        <v/>
      </c>
      <c r="M1000" s="1853">
        <f>IF(ISERROR(L1000-L999),0,L1000-L999)</f>
        <v>0</v>
      </c>
      <c r="N1000" s="1851" cm="1">
        <f t="array" ref="N1000">_xlfn.IFS(
    AND(I1000=TRUE, K1000&lt;=No_Regular_Payments), Repay_Amt,
    AND(I1000=TRUE, K1000=No_Regular_Payments+1), Tm_Balloon_Amt,
   TRUE, 0
)</f>
        <v>0</v>
      </c>
      <c r="O1000" s="1850" cm="1">
        <f t="array" ref="O1000">_xlfn.IFS(
    M1000=0,0,
   ABS(N1000 - S999 - P1000-Q1000) &lt; 1, N1000 - S999-Q1000,
    TRUE, P1000
)</f>
        <v>0</v>
      </c>
      <c r="P1000" s="1852">
        <f>IF(M1000=0,0,ROUND(S999*EXP(Int_Rate/365.25 * M1000)-S999,2))</f>
        <v>0</v>
      </c>
      <c r="Q1000" s="1851" cm="1">
        <f t="array" ref="Q1000">_xlfn.IFS(
    AND(I1000=TRUE, K1000&lt;=No_Regular_Payments), Periodic_Admin_Charge,
   TRUE, 0
)</f>
        <v>0</v>
      </c>
      <c r="R1000" s="1850">
        <f>N1000-O1000-Q1000</f>
        <v>0</v>
      </c>
      <c r="S1000" s="1850">
        <f>ROUND(S999-R1000,2)</f>
        <v>0</v>
      </c>
      <c r="T1000" s="1850">
        <f>ROUND(T999-(N1000-Q1000),2)</f>
        <v>0</v>
      </c>
      <c r="U1000" s="1849"/>
      <c r="W1000" s="1848"/>
      <c r="X1000" s="1848"/>
      <c r="Y1000" s="1848"/>
    </row>
    <row r="1001" spans="2:25" hidden="1">
      <c r="B1001" s="1815" t="b">
        <f>AND(I1001=FALSE,N1000=0,Q1000=0,L1000="")</f>
        <v>1</v>
      </c>
      <c r="C1001" s="1844" t="str" cm="1">
        <f t="array" ref="C1001">_xlfn.IFS(
    L1001="", "",
    MONTH(L1001) &lt;= End_of_Year_Month, YEAR(L1001),
    TRUE, YEAR(L1001) + 1
)</f>
        <v/>
      </c>
      <c r="F1001" s="1857">
        <f>IF(L1001="",0,L1001)</f>
        <v>0</v>
      </c>
      <c r="G1001" s="1856">
        <f>-(N1001-Q1001)</f>
        <v>0</v>
      </c>
      <c r="I1001" s="1815" t="b">
        <f>K1001&lt;=Number_Payments</f>
        <v>0</v>
      </c>
      <c r="J1001" s="1855"/>
      <c r="K1001" s="1351">
        <f>K1000+1</f>
        <v>875</v>
      </c>
      <c r="L1001" s="1854" t="str" cm="1">
        <f t="array" ref="L1001">_xlfn.IFS(
    I1000=FALSE, "",
    Payment_Frequency="Monthly", EDATE(L1000, 1),
    Payment_Frequency="Weekly", DATE(YEAR(L1000), MONTH(L1000), DAY(L1000) + 7),
    Payment_Frequency="Fortnightly", DATE(YEAR(L1000), MONTH(L1000), DAY(L1000) + 14),
    Payment_Frequency="Quarterly", DATE(YEAR(L1000), MONTH(L1000) + 3, DAY(L1000)),
    Payment_Frequency="Yearly", DATE(YEAR(L1000) + 1, MONTH(L1000), DAY(L1000)),
    TRUE, ""
)</f>
        <v/>
      </c>
      <c r="M1001" s="1853">
        <f>IF(ISERROR(L1001-L1000),0,L1001-L1000)</f>
        <v>0</v>
      </c>
      <c r="N1001" s="1851" cm="1">
        <f t="array" ref="N1001">_xlfn.IFS(
    AND(I1001=TRUE, K1001&lt;=No_Regular_Payments), Repay_Amt,
    AND(I1001=TRUE, K1001=No_Regular_Payments+1), Tm_Balloon_Amt,
   TRUE, 0
)</f>
        <v>0</v>
      </c>
      <c r="O1001" s="1850" cm="1">
        <f t="array" ref="O1001">_xlfn.IFS(
    M1001=0,0,
   ABS(N1001 - S1000 - P1001-Q1001) &lt; 1, N1001 - S1000-Q1001,
    TRUE, P1001
)</f>
        <v>0</v>
      </c>
      <c r="P1001" s="1852">
        <f>IF(M1001=0,0,ROUND(S1000*EXP(Int_Rate/365.25 * M1001)-S1000,2))</f>
        <v>0</v>
      </c>
      <c r="Q1001" s="1851" cm="1">
        <f t="array" ref="Q1001">_xlfn.IFS(
    AND(I1001=TRUE, K1001&lt;=No_Regular_Payments), Periodic_Admin_Charge,
   TRUE, 0
)</f>
        <v>0</v>
      </c>
      <c r="R1001" s="1850">
        <f>N1001-O1001-Q1001</f>
        <v>0</v>
      </c>
      <c r="S1001" s="1850">
        <f>ROUND(S1000-R1001,2)</f>
        <v>0</v>
      </c>
      <c r="T1001" s="1850">
        <f>ROUND(T1000-(N1001-Q1001),2)</f>
        <v>0</v>
      </c>
      <c r="U1001" s="1849"/>
      <c r="W1001" s="1848"/>
      <c r="X1001" s="1848"/>
      <c r="Y1001" s="1848"/>
    </row>
    <row r="1002" spans="2:25" hidden="1">
      <c r="B1002" s="1815" t="b">
        <f>AND(I1002=FALSE,N1001=0,Q1001=0,L1001="")</f>
        <v>1</v>
      </c>
      <c r="C1002" s="1844" t="str" cm="1">
        <f t="array" ref="C1002">_xlfn.IFS(
    L1002="", "",
    MONTH(L1002) &lt;= End_of_Year_Month, YEAR(L1002),
    TRUE, YEAR(L1002) + 1
)</f>
        <v/>
      </c>
      <c r="F1002" s="1857">
        <f>IF(L1002="",0,L1002)</f>
        <v>0</v>
      </c>
      <c r="G1002" s="1856">
        <f>-(N1002-Q1002)</f>
        <v>0</v>
      </c>
      <c r="I1002" s="1815" t="b">
        <f>K1002&lt;=Number_Payments</f>
        <v>0</v>
      </c>
      <c r="J1002" s="1855"/>
      <c r="K1002" s="1351">
        <f>K1001+1</f>
        <v>876</v>
      </c>
      <c r="L1002" s="1854" t="str" cm="1">
        <f t="array" ref="L1002">_xlfn.IFS(
    I1001=FALSE, "",
    Payment_Frequency="Monthly", EDATE(L1001, 1),
    Payment_Frequency="Weekly", DATE(YEAR(L1001), MONTH(L1001), DAY(L1001) + 7),
    Payment_Frequency="Fortnightly", DATE(YEAR(L1001), MONTH(L1001), DAY(L1001) + 14),
    Payment_Frequency="Quarterly", DATE(YEAR(L1001), MONTH(L1001) + 3, DAY(L1001)),
    Payment_Frequency="Yearly", DATE(YEAR(L1001) + 1, MONTH(L1001), DAY(L1001)),
    TRUE, ""
)</f>
        <v/>
      </c>
      <c r="M1002" s="1853">
        <f>IF(ISERROR(L1002-L1001),0,L1002-L1001)</f>
        <v>0</v>
      </c>
      <c r="N1002" s="1851" cm="1">
        <f t="array" ref="N1002">_xlfn.IFS(
    AND(I1002=TRUE, K1002&lt;=No_Regular_Payments), Repay_Amt,
    AND(I1002=TRUE, K1002=No_Regular_Payments+1), Tm_Balloon_Amt,
   TRUE, 0
)</f>
        <v>0</v>
      </c>
      <c r="O1002" s="1850" cm="1">
        <f t="array" ref="O1002">_xlfn.IFS(
    M1002=0,0,
   ABS(N1002 - S1001 - P1002-Q1002) &lt; 1, N1002 - S1001-Q1002,
    TRUE, P1002
)</f>
        <v>0</v>
      </c>
      <c r="P1002" s="1852">
        <f>IF(M1002=0,0,ROUND(S1001*EXP(Int_Rate/365.25 * M1002)-S1001,2))</f>
        <v>0</v>
      </c>
      <c r="Q1002" s="1851" cm="1">
        <f t="array" ref="Q1002">_xlfn.IFS(
    AND(I1002=TRUE, K1002&lt;=No_Regular_Payments), Periodic_Admin_Charge,
   TRUE, 0
)</f>
        <v>0</v>
      </c>
      <c r="R1002" s="1850">
        <f>N1002-O1002-Q1002</f>
        <v>0</v>
      </c>
      <c r="S1002" s="1850">
        <f>ROUND(S1001-R1002,2)</f>
        <v>0</v>
      </c>
      <c r="T1002" s="1850">
        <f>ROUND(T1001-(N1002-Q1002),2)</f>
        <v>0</v>
      </c>
      <c r="U1002" s="1849"/>
      <c r="W1002" s="1848"/>
      <c r="X1002" s="1848"/>
      <c r="Y1002" s="1848"/>
    </row>
    <row r="1003" spans="2:25" hidden="1">
      <c r="B1003" s="1815" t="b">
        <f>AND(I1003=FALSE,N1002=0,Q1002=0,L1002="")</f>
        <v>1</v>
      </c>
      <c r="C1003" s="1844" t="str" cm="1">
        <f t="array" ref="C1003">_xlfn.IFS(
    L1003="", "",
    MONTH(L1003) &lt;= End_of_Year_Month, YEAR(L1003),
    TRUE, YEAR(L1003) + 1
)</f>
        <v/>
      </c>
      <c r="F1003" s="1857">
        <f>IF(L1003="",0,L1003)</f>
        <v>0</v>
      </c>
      <c r="G1003" s="1856">
        <f>-(N1003-Q1003)</f>
        <v>0</v>
      </c>
      <c r="I1003" s="1815" t="b">
        <f>K1003&lt;=Number_Payments</f>
        <v>0</v>
      </c>
      <c r="J1003" s="1855"/>
      <c r="K1003" s="1351">
        <f>K1002+1</f>
        <v>877</v>
      </c>
      <c r="L1003" s="1854" t="str" cm="1">
        <f t="array" ref="L1003">_xlfn.IFS(
    I1002=FALSE, "",
    Payment_Frequency="Monthly", EDATE(L1002, 1),
    Payment_Frequency="Weekly", DATE(YEAR(L1002), MONTH(L1002), DAY(L1002) + 7),
    Payment_Frequency="Fortnightly", DATE(YEAR(L1002), MONTH(L1002), DAY(L1002) + 14),
    Payment_Frequency="Quarterly", DATE(YEAR(L1002), MONTH(L1002) + 3, DAY(L1002)),
    Payment_Frequency="Yearly", DATE(YEAR(L1002) + 1, MONTH(L1002), DAY(L1002)),
    TRUE, ""
)</f>
        <v/>
      </c>
      <c r="M1003" s="1853">
        <f>IF(ISERROR(L1003-L1002),0,L1003-L1002)</f>
        <v>0</v>
      </c>
      <c r="N1003" s="1851" cm="1">
        <f t="array" ref="N1003">_xlfn.IFS(
    AND(I1003=TRUE, K1003&lt;=No_Regular_Payments), Repay_Amt,
    AND(I1003=TRUE, K1003=No_Regular_Payments+1), Tm_Balloon_Amt,
   TRUE, 0
)</f>
        <v>0</v>
      </c>
      <c r="O1003" s="1850" cm="1">
        <f t="array" ref="O1003">_xlfn.IFS(
    M1003=0,0,
   ABS(N1003 - S1002 - P1003-Q1003) &lt; 1, N1003 - S1002-Q1003,
    TRUE, P1003
)</f>
        <v>0</v>
      </c>
      <c r="P1003" s="1852">
        <f>IF(M1003=0,0,ROUND(S1002*EXP(Int_Rate/365.25 * M1003)-S1002,2))</f>
        <v>0</v>
      </c>
      <c r="Q1003" s="1851" cm="1">
        <f t="array" ref="Q1003">_xlfn.IFS(
    AND(I1003=TRUE, K1003&lt;=No_Regular_Payments), Periodic_Admin_Charge,
   TRUE, 0
)</f>
        <v>0</v>
      </c>
      <c r="R1003" s="1850">
        <f>N1003-O1003-Q1003</f>
        <v>0</v>
      </c>
      <c r="S1003" s="1850">
        <f>ROUND(S1002-R1003,2)</f>
        <v>0</v>
      </c>
      <c r="T1003" s="1850">
        <f>ROUND(T1002-(N1003-Q1003),2)</f>
        <v>0</v>
      </c>
      <c r="U1003" s="1849"/>
      <c r="W1003" s="1848"/>
      <c r="X1003" s="1848"/>
      <c r="Y1003" s="1848"/>
    </row>
    <row r="1004" spans="2:25" hidden="1">
      <c r="B1004" s="1815" t="b">
        <f>AND(I1004=FALSE,N1003=0,Q1003=0,L1003="")</f>
        <v>1</v>
      </c>
      <c r="C1004" s="1844" t="str" cm="1">
        <f t="array" ref="C1004">_xlfn.IFS(
    L1004="", "",
    MONTH(L1004) &lt;= End_of_Year_Month, YEAR(L1004),
    TRUE, YEAR(L1004) + 1
)</f>
        <v/>
      </c>
      <c r="F1004" s="1857">
        <f>IF(L1004="",0,L1004)</f>
        <v>0</v>
      </c>
      <c r="G1004" s="1856">
        <f>-(N1004-Q1004)</f>
        <v>0</v>
      </c>
      <c r="I1004" s="1815" t="b">
        <f>K1004&lt;=Number_Payments</f>
        <v>0</v>
      </c>
      <c r="J1004" s="1855"/>
      <c r="K1004" s="1351">
        <f>K1003+1</f>
        <v>878</v>
      </c>
      <c r="L1004" s="1854" t="str" cm="1">
        <f t="array" ref="L1004">_xlfn.IFS(
    I1003=FALSE, "",
    Payment_Frequency="Monthly", EDATE(L1003, 1),
    Payment_Frequency="Weekly", DATE(YEAR(L1003), MONTH(L1003), DAY(L1003) + 7),
    Payment_Frequency="Fortnightly", DATE(YEAR(L1003), MONTH(L1003), DAY(L1003) + 14),
    Payment_Frequency="Quarterly", DATE(YEAR(L1003), MONTH(L1003) + 3, DAY(L1003)),
    Payment_Frequency="Yearly", DATE(YEAR(L1003) + 1, MONTH(L1003), DAY(L1003)),
    TRUE, ""
)</f>
        <v/>
      </c>
      <c r="M1004" s="1853">
        <f>IF(ISERROR(L1004-L1003),0,L1004-L1003)</f>
        <v>0</v>
      </c>
      <c r="N1004" s="1851" cm="1">
        <f t="array" ref="N1004">_xlfn.IFS(
    AND(I1004=TRUE, K1004&lt;=No_Regular_Payments), Repay_Amt,
    AND(I1004=TRUE, K1004=No_Regular_Payments+1), Tm_Balloon_Amt,
   TRUE, 0
)</f>
        <v>0</v>
      </c>
      <c r="O1004" s="1850" cm="1">
        <f t="array" ref="O1004">_xlfn.IFS(
    M1004=0,0,
   ABS(N1004 - S1003 - P1004-Q1004) &lt; 1, N1004 - S1003-Q1004,
    TRUE, P1004
)</f>
        <v>0</v>
      </c>
      <c r="P1004" s="1852">
        <f>IF(M1004=0,0,ROUND(S1003*EXP(Int_Rate/365.25 * M1004)-S1003,2))</f>
        <v>0</v>
      </c>
      <c r="Q1004" s="1851" cm="1">
        <f t="array" ref="Q1004">_xlfn.IFS(
    AND(I1004=TRUE, K1004&lt;=No_Regular_Payments), Periodic_Admin_Charge,
   TRUE, 0
)</f>
        <v>0</v>
      </c>
      <c r="R1004" s="1850">
        <f>N1004-O1004-Q1004</f>
        <v>0</v>
      </c>
      <c r="S1004" s="1850">
        <f>ROUND(S1003-R1004,2)</f>
        <v>0</v>
      </c>
      <c r="T1004" s="1850">
        <f>ROUND(T1003-(N1004-Q1004),2)</f>
        <v>0</v>
      </c>
      <c r="U1004" s="1849"/>
      <c r="W1004" s="1848"/>
      <c r="X1004" s="1848"/>
      <c r="Y1004" s="1848"/>
    </row>
    <row r="1005" spans="2:25" hidden="1">
      <c r="B1005" s="1815" t="b">
        <f>AND(I1005=FALSE,N1004=0,Q1004=0,L1004="")</f>
        <v>1</v>
      </c>
      <c r="C1005" s="1844" t="str" cm="1">
        <f t="array" ref="C1005">_xlfn.IFS(
    L1005="", "",
    MONTH(L1005) &lt;= End_of_Year_Month, YEAR(L1005),
    TRUE, YEAR(L1005) + 1
)</f>
        <v/>
      </c>
      <c r="F1005" s="1857">
        <f>IF(L1005="",0,L1005)</f>
        <v>0</v>
      </c>
      <c r="G1005" s="1856">
        <f>-(N1005-Q1005)</f>
        <v>0</v>
      </c>
      <c r="I1005" s="1815" t="b">
        <f>K1005&lt;=Number_Payments</f>
        <v>0</v>
      </c>
      <c r="J1005" s="1855"/>
      <c r="K1005" s="1351">
        <f>K1004+1</f>
        <v>879</v>
      </c>
      <c r="L1005" s="1854" t="str" cm="1">
        <f t="array" ref="L1005">_xlfn.IFS(
    I1004=FALSE, "",
    Payment_Frequency="Monthly", EDATE(L1004, 1),
    Payment_Frequency="Weekly", DATE(YEAR(L1004), MONTH(L1004), DAY(L1004) + 7),
    Payment_Frequency="Fortnightly", DATE(YEAR(L1004), MONTH(L1004), DAY(L1004) + 14),
    Payment_Frequency="Quarterly", DATE(YEAR(L1004), MONTH(L1004) + 3, DAY(L1004)),
    Payment_Frequency="Yearly", DATE(YEAR(L1004) + 1, MONTH(L1004), DAY(L1004)),
    TRUE, ""
)</f>
        <v/>
      </c>
      <c r="M1005" s="1853">
        <f>IF(ISERROR(L1005-L1004),0,L1005-L1004)</f>
        <v>0</v>
      </c>
      <c r="N1005" s="1851" cm="1">
        <f t="array" ref="N1005">_xlfn.IFS(
    AND(I1005=TRUE, K1005&lt;=No_Regular_Payments), Repay_Amt,
    AND(I1005=TRUE, K1005=No_Regular_Payments+1), Tm_Balloon_Amt,
   TRUE, 0
)</f>
        <v>0</v>
      </c>
      <c r="O1005" s="1850" cm="1">
        <f t="array" ref="O1005">_xlfn.IFS(
    M1005=0,0,
   ABS(N1005 - S1004 - P1005-Q1005) &lt; 1, N1005 - S1004-Q1005,
    TRUE, P1005
)</f>
        <v>0</v>
      </c>
      <c r="P1005" s="1852">
        <f>IF(M1005=0,0,ROUND(S1004*EXP(Int_Rate/365.25 * M1005)-S1004,2))</f>
        <v>0</v>
      </c>
      <c r="Q1005" s="1851" cm="1">
        <f t="array" ref="Q1005">_xlfn.IFS(
    AND(I1005=TRUE, K1005&lt;=No_Regular_Payments), Periodic_Admin_Charge,
   TRUE, 0
)</f>
        <v>0</v>
      </c>
      <c r="R1005" s="1850">
        <f>N1005-O1005-Q1005</f>
        <v>0</v>
      </c>
      <c r="S1005" s="1850">
        <f>ROUND(S1004-R1005,2)</f>
        <v>0</v>
      </c>
      <c r="T1005" s="1850">
        <f>ROUND(T1004-(N1005-Q1005),2)</f>
        <v>0</v>
      </c>
      <c r="U1005" s="1849"/>
      <c r="W1005" s="1848"/>
      <c r="X1005" s="1848"/>
      <c r="Y1005" s="1848"/>
    </row>
    <row r="1006" spans="2:25" hidden="1">
      <c r="B1006" s="1815" t="b">
        <f>AND(I1006=FALSE,N1005=0,Q1005=0,L1005="")</f>
        <v>1</v>
      </c>
      <c r="C1006" s="1844" t="str" cm="1">
        <f t="array" ref="C1006">_xlfn.IFS(
    L1006="", "",
    MONTH(L1006) &lt;= End_of_Year_Month, YEAR(L1006),
    TRUE, YEAR(L1006) + 1
)</f>
        <v/>
      </c>
      <c r="F1006" s="1857">
        <f>IF(L1006="",0,L1006)</f>
        <v>0</v>
      </c>
      <c r="G1006" s="1856">
        <f>-(N1006-Q1006)</f>
        <v>0</v>
      </c>
      <c r="I1006" s="1815" t="b">
        <f>K1006&lt;=Number_Payments</f>
        <v>0</v>
      </c>
      <c r="J1006" s="1855"/>
      <c r="K1006" s="1351">
        <f>K1005+1</f>
        <v>880</v>
      </c>
      <c r="L1006" s="1854" t="str" cm="1">
        <f t="array" ref="L1006">_xlfn.IFS(
    I1005=FALSE, "",
    Payment_Frequency="Monthly", EDATE(L1005, 1),
    Payment_Frequency="Weekly", DATE(YEAR(L1005), MONTH(L1005), DAY(L1005) + 7),
    Payment_Frequency="Fortnightly", DATE(YEAR(L1005), MONTH(L1005), DAY(L1005) + 14),
    Payment_Frequency="Quarterly", DATE(YEAR(L1005), MONTH(L1005) + 3, DAY(L1005)),
    Payment_Frequency="Yearly", DATE(YEAR(L1005) + 1, MONTH(L1005), DAY(L1005)),
    TRUE, ""
)</f>
        <v/>
      </c>
      <c r="M1006" s="1853">
        <f>IF(ISERROR(L1006-L1005),0,L1006-L1005)</f>
        <v>0</v>
      </c>
      <c r="N1006" s="1851" cm="1">
        <f t="array" ref="N1006">_xlfn.IFS(
    AND(I1006=TRUE, K1006&lt;=No_Regular_Payments), Repay_Amt,
    AND(I1006=TRUE, K1006=No_Regular_Payments+1), Tm_Balloon_Amt,
   TRUE, 0
)</f>
        <v>0</v>
      </c>
      <c r="O1006" s="1850" cm="1">
        <f t="array" ref="O1006">_xlfn.IFS(
    M1006=0,0,
   ABS(N1006 - S1005 - P1006-Q1006) &lt; 1, N1006 - S1005-Q1006,
    TRUE, P1006
)</f>
        <v>0</v>
      </c>
      <c r="P1006" s="1852">
        <f>IF(M1006=0,0,ROUND(S1005*EXP(Int_Rate/365.25 * M1006)-S1005,2))</f>
        <v>0</v>
      </c>
      <c r="Q1006" s="1851" cm="1">
        <f t="array" ref="Q1006">_xlfn.IFS(
    AND(I1006=TRUE, K1006&lt;=No_Regular_Payments), Periodic_Admin_Charge,
   TRUE, 0
)</f>
        <v>0</v>
      </c>
      <c r="R1006" s="1850">
        <f>N1006-O1006-Q1006</f>
        <v>0</v>
      </c>
      <c r="S1006" s="1850">
        <f>ROUND(S1005-R1006,2)</f>
        <v>0</v>
      </c>
      <c r="T1006" s="1850">
        <f>ROUND(T1005-(N1006-Q1006),2)</f>
        <v>0</v>
      </c>
      <c r="U1006" s="1849"/>
      <c r="W1006" s="1848"/>
      <c r="X1006" s="1848"/>
      <c r="Y1006" s="1848"/>
    </row>
    <row r="1007" spans="2:25" hidden="1">
      <c r="B1007" s="1815" t="b">
        <f>AND(I1007=FALSE,N1006=0,Q1006=0,L1006="")</f>
        <v>1</v>
      </c>
      <c r="C1007" s="1844" t="str" cm="1">
        <f t="array" ref="C1007">_xlfn.IFS(
    L1007="", "",
    MONTH(L1007) &lt;= End_of_Year_Month, YEAR(L1007),
    TRUE, YEAR(L1007) + 1
)</f>
        <v/>
      </c>
      <c r="F1007" s="1857">
        <f>IF(L1007="",0,L1007)</f>
        <v>0</v>
      </c>
      <c r="G1007" s="1856">
        <f>-(N1007-Q1007)</f>
        <v>0</v>
      </c>
      <c r="I1007" s="1815" t="b">
        <f>K1007&lt;=Number_Payments</f>
        <v>0</v>
      </c>
      <c r="J1007" s="1855"/>
      <c r="K1007" s="1351">
        <f>K1006+1</f>
        <v>881</v>
      </c>
      <c r="L1007" s="1854" t="str" cm="1">
        <f t="array" ref="L1007">_xlfn.IFS(
    I1006=FALSE, "",
    Payment_Frequency="Monthly", EDATE(L1006, 1),
    Payment_Frequency="Weekly", DATE(YEAR(L1006), MONTH(L1006), DAY(L1006) + 7),
    Payment_Frequency="Fortnightly", DATE(YEAR(L1006), MONTH(L1006), DAY(L1006) + 14),
    Payment_Frequency="Quarterly", DATE(YEAR(L1006), MONTH(L1006) + 3, DAY(L1006)),
    Payment_Frequency="Yearly", DATE(YEAR(L1006) + 1, MONTH(L1006), DAY(L1006)),
    TRUE, ""
)</f>
        <v/>
      </c>
      <c r="M1007" s="1853">
        <f>IF(ISERROR(L1007-L1006),0,L1007-L1006)</f>
        <v>0</v>
      </c>
      <c r="N1007" s="1851" cm="1">
        <f t="array" ref="N1007">_xlfn.IFS(
    AND(I1007=TRUE, K1007&lt;=No_Regular_Payments), Repay_Amt,
    AND(I1007=TRUE, K1007=No_Regular_Payments+1), Tm_Balloon_Amt,
   TRUE, 0
)</f>
        <v>0</v>
      </c>
      <c r="O1007" s="1850" cm="1">
        <f t="array" ref="O1007">_xlfn.IFS(
    M1007=0,0,
   ABS(N1007 - S1006 - P1007-Q1007) &lt; 1, N1007 - S1006-Q1007,
    TRUE, P1007
)</f>
        <v>0</v>
      </c>
      <c r="P1007" s="1852">
        <f>IF(M1007=0,0,ROUND(S1006*EXP(Int_Rate/365.25 * M1007)-S1006,2))</f>
        <v>0</v>
      </c>
      <c r="Q1007" s="1851" cm="1">
        <f t="array" ref="Q1007">_xlfn.IFS(
    AND(I1007=TRUE, K1007&lt;=No_Regular_Payments), Periodic_Admin_Charge,
   TRUE, 0
)</f>
        <v>0</v>
      </c>
      <c r="R1007" s="1850">
        <f>N1007-O1007-Q1007</f>
        <v>0</v>
      </c>
      <c r="S1007" s="1850">
        <f>ROUND(S1006-R1007,2)</f>
        <v>0</v>
      </c>
      <c r="T1007" s="1850">
        <f>ROUND(T1006-(N1007-Q1007),2)</f>
        <v>0</v>
      </c>
      <c r="U1007" s="1849"/>
      <c r="W1007" s="1848"/>
      <c r="X1007" s="1848"/>
      <c r="Y1007" s="1848"/>
    </row>
    <row r="1008" spans="2:25" hidden="1">
      <c r="B1008" s="1815" t="b">
        <f>AND(I1008=FALSE,N1007=0,Q1007=0,L1007="")</f>
        <v>1</v>
      </c>
      <c r="C1008" s="1844" t="str" cm="1">
        <f t="array" ref="C1008">_xlfn.IFS(
    L1008="", "",
    MONTH(L1008) &lt;= End_of_Year_Month, YEAR(L1008),
    TRUE, YEAR(L1008) + 1
)</f>
        <v/>
      </c>
      <c r="F1008" s="1857">
        <f>IF(L1008="",0,L1008)</f>
        <v>0</v>
      </c>
      <c r="G1008" s="1856">
        <f>-(N1008-Q1008)</f>
        <v>0</v>
      </c>
      <c r="I1008" s="1815" t="b">
        <f>K1008&lt;=Number_Payments</f>
        <v>0</v>
      </c>
      <c r="J1008" s="1855"/>
      <c r="K1008" s="1351">
        <f>K1007+1</f>
        <v>882</v>
      </c>
      <c r="L1008" s="1854" t="str" cm="1">
        <f t="array" ref="L1008">_xlfn.IFS(
    I1007=FALSE, "",
    Payment_Frequency="Monthly", EDATE(L1007, 1),
    Payment_Frequency="Weekly", DATE(YEAR(L1007), MONTH(L1007), DAY(L1007) + 7),
    Payment_Frequency="Fortnightly", DATE(YEAR(L1007), MONTH(L1007), DAY(L1007) + 14),
    Payment_Frequency="Quarterly", DATE(YEAR(L1007), MONTH(L1007) + 3, DAY(L1007)),
    Payment_Frequency="Yearly", DATE(YEAR(L1007) + 1, MONTH(L1007), DAY(L1007)),
    TRUE, ""
)</f>
        <v/>
      </c>
      <c r="M1008" s="1853">
        <f>IF(ISERROR(L1008-L1007),0,L1008-L1007)</f>
        <v>0</v>
      </c>
      <c r="N1008" s="1851" cm="1">
        <f t="array" ref="N1008">_xlfn.IFS(
    AND(I1008=TRUE, K1008&lt;=No_Regular_Payments), Repay_Amt,
    AND(I1008=TRUE, K1008=No_Regular_Payments+1), Tm_Balloon_Amt,
   TRUE, 0
)</f>
        <v>0</v>
      </c>
      <c r="O1008" s="1850" cm="1">
        <f t="array" ref="O1008">_xlfn.IFS(
    M1008=0,0,
   ABS(N1008 - S1007 - P1008-Q1008) &lt; 1, N1008 - S1007-Q1008,
    TRUE, P1008
)</f>
        <v>0</v>
      </c>
      <c r="P1008" s="1852">
        <f>IF(M1008=0,0,ROUND(S1007*EXP(Int_Rate/365.25 * M1008)-S1007,2))</f>
        <v>0</v>
      </c>
      <c r="Q1008" s="1851" cm="1">
        <f t="array" ref="Q1008">_xlfn.IFS(
    AND(I1008=TRUE, K1008&lt;=No_Regular_Payments), Periodic_Admin_Charge,
   TRUE, 0
)</f>
        <v>0</v>
      </c>
      <c r="R1008" s="1850">
        <f>N1008-O1008-Q1008</f>
        <v>0</v>
      </c>
      <c r="S1008" s="1850">
        <f>ROUND(S1007-R1008,2)</f>
        <v>0</v>
      </c>
      <c r="T1008" s="1850">
        <f>ROUND(T1007-(N1008-Q1008),2)</f>
        <v>0</v>
      </c>
      <c r="U1008" s="1849"/>
      <c r="W1008" s="1848"/>
      <c r="X1008" s="1848"/>
      <c r="Y1008" s="1848"/>
    </row>
    <row r="1009" spans="2:25" hidden="1">
      <c r="B1009" s="1815" t="b">
        <f>AND(I1009=FALSE,N1008=0,Q1008=0,L1008="")</f>
        <v>1</v>
      </c>
      <c r="C1009" s="1844" t="str" cm="1">
        <f t="array" ref="C1009">_xlfn.IFS(
    L1009="", "",
    MONTH(L1009) &lt;= End_of_Year_Month, YEAR(L1009),
    TRUE, YEAR(L1009) + 1
)</f>
        <v/>
      </c>
      <c r="F1009" s="1857">
        <f>IF(L1009="",0,L1009)</f>
        <v>0</v>
      </c>
      <c r="G1009" s="1856">
        <f>-(N1009-Q1009)</f>
        <v>0</v>
      </c>
      <c r="I1009" s="1815" t="b">
        <f>K1009&lt;=Number_Payments</f>
        <v>0</v>
      </c>
      <c r="J1009" s="1855"/>
      <c r="K1009" s="1351">
        <f>K1008+1</f>
        <v>883</v>
      </c>
      <c r="L1009" s="1854" t="str" cm="1">
        <f t="array" ref="L1009">_xlfn.IFS(
    I1008=FALSE, "",
    Payment_Frequency="Monthly", EDATE(L1008, 1),
    Payment_Frequency="Weekly", DATE(YEAR(L1008), MONTH(L1008), DAY(L1008) + 7),
    Payment_Frequency="Fortnightly", DATE(YEAR(L1008), MONTH(L1008), DAY(L1008) + 14),
    Payment_Frequency="Quarterly", DATE(YEAR(L1008), MONTH(L1008) + 3, DAY(L1008)),
    Payment_Frequency="Yearly", DATE(YEAR(L1008) + 1, MONTH(L1008), DAY(L1008)),
    TRUE, ""
)</f>
        <v/>
      </c>
      <c r="M1009" s="1853">
        <f>IF(ISERROR(L1009-L1008),0,L1009-L1008)</f>
        <v>0</v>
      </c>
      <c r="N1009" s="1851" cm="1">
        <f t="array" ref="N1009">_xlfn.IFS(
    AND(I1009=TRUE, K1009&lt;=No_Regular_Payments), Repay_Amt,
    AND(I1009=TRUE, K1009=No_Regular_Payments+1), Tm_Balloon_Amt,
   TRUE, 0
)</f>
        <v>0</v>
      </c>
      <c r="O1009" s="1850" cm="1">
        <f t="array" ref="O1009">_xlfn.IFS(
    M1009=0,0,
   ABS(N1009 - S1008 - P1009-Q1009) &lt; 1, N1009 - S1008-Q1009,
    TRUE, P1009
)</f>
        <v>0</v>
      </c>
      <c r="P1009" s="1852">
        <f>IF(M1009=0,0,ROUND(S1008*EXP(Int_Rate/365.25 * M1009)-S1008,2))</f>
        <v>0</v>
      </c>
      <c r="Q1009" s="1851" cm="1">
        <f t="array" ref="Q1009">_xlfn.IFS(
    AND(I1009=TRUE, K1009&lt;=No_Regular_Payments), Periodic_Admin_Charge,
   TRUE, 0
)</f>
        <v>0</v>
      </c>
      <c r="R1009" s="1850">
        <f>N1009-O1009-Q1009</f>
        <v>0</v>
      </c>
      <c r="S1009" s="1850">
        <f>ROUND(S1008-R1009,2)</f>
        <v>0</v>
      </c>
      <c r="T1009" s="1850">
        <f>ROUND(T1008-(N1009-Q1009),2)</f>
        <v>0</v>
      </c>
      <c r="U1009" s="1849"/>
      <c r="W1009" s="1848"/>
      <c r="X1009" s="1848"/>
      <c r="Y1009" s="1848"/>
    </row>
    <row r="1010" spans="2:25" hidden="1">
      <c r="B1010" s="1815" t="b">
        <f>AND(I1010=FALSE,N1009=0,Q1009=0,L1009="")</f>
        <v>1</v>
      </c>
      <c r="C1010" s="1844" t="str" cm="1">
        <f t="array" ref="C1010">_xlfn.IFS(
    L1010="", "",
    MONTH(L1010) &lt;= End_of_Year_Month, YEAR(L1010),
    TRUE, YEAR(L1010) + 1
)</f>
        <v/>
      </c>
      <c r="F1010" s="1857">
        <f>IF(L1010="",0,L1010)</f>
        <v>0</v>
      </c>
      <c r="G1010" s="1856">
        <f>-(N1010-Q1010)</f>
        <v>0</v>
      </c>
      <c r="I1010" s="1815" t="b">
        <f>K1010&lt;=Number_Payments</f>
        <v>0</v>
      </c>
      <c r="J1010" s="1855"/>
      <c r="K1010" s="1351">
        <f>K1009+1</f>
        <v>884</v>
      </c>
      <c r="L1010" s="1854" t="str" cm="1">
        <f t="array" ref="L1010">_xlfn.IFS(
    I1009=FALSE, "",
    Payment_Frequency="Monthly", EDATE(L1009, 1),
    Payment_Frequency="Weekly", DATE(YEAR(L1009), MONTH(L1009), DAY(L1009) + 7),
    Payment_Frequency="Fortnightly", DATE(YEAR(L1009), MONTH(L1009), DAY(L1009) + 14),
    Payment_Frequency="Quarterly", DATE(YEAR(L1009), MONTH(L1009) + 3, DAY(L1009)),
    Payment_Frequency="Yearly", DATE(YEAR(L1009) + 1, MONTH(L1009), DAY(L1009)),
    TRUE, ""
)</f>
        <v/>
      </c>
      <c r="M1010" s="1853">
        <f>IF(ISERROR(L1010-L1009),0,L1010-L1009)</f>
        <v>0</v>
      </c>
      <c r="N1010" s="1851" cm="1">
        <f t="array" ref="N1010">_xlfn.IFS(
    AND(I1010=TRUE, K1010&lt;=No_Regular_Payments), Repay_Amt,
    AND(I1010=TRUE, K1010=No_Regular_Payments+1), Tm_Balloon_Amt,
   TRUE, 0
)</f>
        <v>0</v>
      </c>
      <c r="O1010" s="1850" cm="1">
        <f t="array" ref="O1010">_xlfn.IFS(
    M1010=0,0,
   ABS(N1010 - S1009 - P1010-Q1010) &lt; 1, N1010 - S1009-Q1010,
    TRUE, P1010
)</f>
        <v>0</v>
      </c>
      <c r="P1010" s="1852">
        <f>IF(M1010=0,0,ROUND(S1009*EXP(Int_Rate/365.25 * M1010)-S1009,2))</f>
        <v>0</v>
      </c>
      <c r="Q1010" s="1851" cm="1">
        <f t="array" ref="Q1010">_xlfn.IFS(
    AND(I1010=TRUE, K1010&lt;=No_Regular_Payments), Periodic_Admin_Charge,
   TRUE, 0
)</f>
        <v>0</v>
      </c>
      <c r="R1010" s="1850">
        <f>N1010-O1010-Q1010</f>
        <v>0</v>
      </c>
      <c r="S1010" s="1850">
        <f>ROUND(S1009-R1010,2)</f>
        <v>0</v>
      </c>
      <c r="T1010" s="1850">
        <f>ROUND(T1009-(N1010-Q1010),2)</f>
        <v>0</v>
      </c>
      <c r="U1010" s="1849"/>
      <c r="W1010" s="1848"/>
      <c r="X1010" s="1848"/>
      <c r="Y1010" s="1848"/>
    </row>
    <row r="1011" spans="2:25" hidden="1">
      <c r="B1011" s="1815" t="b">
        <f>AND(I1011=FALSE,N1010=0,Q1010=0,L1010="")</f>
        <v>1</v>
      </c>
      <c r="C1011" s="1844" t="str" cm="1">
        <f t="array" ref="C1011">_xlfn.IFS(
    L1011="", "",
    MONTH(L1011) &lt;= End_of_Year_Month, YEAR(L1011),
    TRUE, YEAR(L1011) + 1
)</f>
        <v/>
      </c>
      <c r="F1011" s="1857">
        <f>IF(L1011="",0,L1011)</f>
        <v>0</v>
      </c>
      <c r="G1011" s="1856">
        <f>-(N1011-Q1011)</f>
        <v>0</v>
      </c>
      <c r="I1011" s="1815" t="b">
        <f>K1011&lt;=Number_Payments</f>
        <v>0</v>
      </c>
      <c r="J1011" s="1855"/>
      <c r="K1011" s="1351">
        <f>K1010+1</f>
        <v>885</v>
      </c>
      <c r="L1011" s="1854" t="str" cm="1">
        <f t="array" ref="L1011">_xlfn.IFS(
    I1010=FALSE, "",
    Payment_Frequency="Monthly", EDATE(L1010, 1),
    Payment_Frequency="Weekly", DATE(YEAR(L1010), MONTH(L1010), DAY(L1010) + 7),
    Payment_Frequency="Fortnightly", DATE(YEAR(L1010), MONTH(L1010), DAY(L1010) + 14),
    Payment_Frequency="Quarterly", DATE(YEAR(L1010), MONTH(L1010) + 3, DAY(L1010)),
    Payment_Frequency="Yearly", DATE(YEAR(L1010) + 1, MONTH(L1010), DAY(L1010)),
    TRUE, ""
)</f>
        <v/>
      </c>
      <c r="M1011" s="1853">
        <f>IF(ISERROR(L1011-L1010),0,L1011-L1010)</f>
        <v>0</v>
      </c>
      <c r="N1011" s="1851" cm="1">
        <f t="array" ref="N1011">_xlfn.IFS(
    AND(I1011=TRUE, K1011&lt;=No_Regular_Payments), Repay_Amt,
    AND(I1011=TRUE, K1011=No_Regular_Payments+1), Tm_Balloon_Amt,
   TRUE, 0
)</f>
        <v>0</v>
      </c>
      <c r="O1011" s="1850" cm="1">
        <f t="array" ref="O1011">_xlfn.IFS(
    M1011=0,0,
   ABS(N1011 - S1010 - P1011-Q1011) &lt; 1, N1011 - S1010-Q1011,
    TRUE, P1011
)</f>
        <v>0</v>
      </c>
      <c r="P1011" s="1852">
        <f>IF(M1011=0,0,ROUND(S1010*EXP(Int_Rate/365.25 * M1011)-S1010,2))</f>
        <v>0</v>
      </c>
      <c r="Q1011" s="1851" cm="1">
        <f t="array" ref="Q1011">_xlfn.IFS(
    AND(I1011=TRUE, K1011&lt;=No_Regular_Payments), Periodic_Admin_Charge,
   TRUE, 0
)</f>
        <v>0</v>
      </c>
      <c r="R1011" s="1850">
        <f>N1011-O1011-Q1011</f>
        <v>0</v>
      </c>
      <c r="S1011" s="1850">
        <f>ROUND(S1010-R1011,2)</f>
        <v>0</v>
      </c>
      <c r="T1011" s="1850">
        <f>ROUND(T1010-(N1011-Q1011),2)</f>
        <v>0</v>
      </c>
      <c r="U1011" s="1849"/>
      <c r="W1011" s="1848"/>
      <c r="X1011" s="1848"/>
      <c r="Y1011" s="1848"/>
    </row>
    <row r="1012" spans="2:25" hidden="1">
      <c r="B1012" s="1815" t="b">
        <f>AND(I1012=FALSE,N1011=0,Q1011=0,L1011="")</f>
        <v>1</v>
      </c>
      <c r="C1012" s="1844" t="str" cm="1">
        <f t="array" ref="C1012">_xlfn.IFS(
    L1012="", "",
    MONTH(L1012) &lt;= End_of_Year_Month, YEAR(L1012),
    TRUE, YEAR(L1012) + 1
)</f>
        <v/>
      </c>
      <c r="F1012" s="1857">
        <f>IF(L1012="",0,L1012)</f>
        <v>0</v>
      </c>
      <c r="G1012" s="1856">
        <f>-(N1012-Q1012)</f>
        <v>0</v>
      </c>
      <c r="I1012" s="1815" t="b">
        <f>K1012&lt;=Number_Payments</f>
        <v>0</v>
      </c>
      <c r="J1012" s="1855"/>
      <c r="K1012" s="1351">
        <f>K1011+1</f>
        <v>886</v>
      </c>
      <c r="L1012" s="1854" t="str" cm="1">
        <f t="array" ref="L1012">_xlfn.IFS(
    I1011=FALSE, "",
    Payment_Frequency="Monthly", EDATE(L1011, 1),
    Payment_Frequency="Weekly", DATE(YEAR(L1011), MONTH(L1011), DAY(L1011) + 7),
    Payment_Frequency="Fortnightly", DATE(YEAR(L1011), MONTH(L1011), DAY(L1011) + 14),
    Payment_Frequency="Quarterly", DATE(YEAR(L1011), MONTH(L1011) + 3, DAY(L1011)),
    Payment_Frequency="Yearly", DATE(YEAR(L1011) + 1, MONTH(L1011), DAY(L1011)),
    TRUE, ""
)</f>
        <v/>
      </c>
      <c r="M1012" s="1853">
        <f>IF(ISERROR(L1012-L1011),0,L1012-L1011)</f>
        <v>0</v>
      </c>
      <c r="N1012" s="1851" cm="1">
        <f t="array" ref="N1012">_xlfn.IFS(
    AND(I1012=TRUE, K1012&lt;=No_Regular_Payments), Repay_Amt,
    AND(I1012=TRUE, K1012=No_Regular_Payments+1), Tm_Balloon_Amt,
   TRUE, 0
)</f>
        <v>0</v>
      </c>
      <c r="O1012" s="1850" cm="1">
        <f t="array" ref="O1012">_xlfn.IFS(
    M1012=0,0,
   ABS(N1012 - S1011 - P1012-Q1012) &lt; 1, N1012 - S1011-Q1012,
    TRUE, P1012
)</f>
        <v>0</v>
      </c>
      <c r="P1012" s="1852">
        <f>IF(M1012=0,0,ROUND(S1011*EXP(Int_Rate/365.25 * M1012)-S1011,2))</f>
        <v>0</v>
      </c>
      <c r="Q1012" s="1851" cm="1">
        <f t="array" ref="Q1012">_xlfn.IFS(
    AND(I1012=TRUE, K1012&lt;=No_Regular_Payments), Periodic_Admin_Charge,
   TRUE, 0
)</f>
        <v>0</v>
      </c>
      <c r="R1012" s="1850">
        <f>N1012-O1012-Q1012</f>
        <v>0</v>
      </c>
      <c r="S1012" s="1850">
        <f>ROUND(S1011-R1012,2)</f>
        <v>0</v>
      </c>
      <c r="T1012" s="1850">
        <f>ROUND(T1011-(N1012-Q1012),2)</f>
        <v>0</v>
      </c>
      <c r="U1012" s="1849"/>
      <c r="W1012" s="1848"/>
      <c r="X1012" s="1848"/>
      <c r="Y1012" s="1848"/>
    </row>
    <row r="1013" spans="2:25" hidden="1">
      <c r="B1013" s="1815" t="b">
        <f>AND(I1013=FALSE,N1012=0,Q1012=0,L1012="")</f>
        <v>1</v>
      </c>
      <c r="C1013" s="1844" t="str" cm="1">
        <f t="array" ref="C1013">_xlfn.IFS(
    L1013="", "",
    MONTH(L1013) &lt;= End_of_Year_Month, YEAR(L1013),
    TRUE, YEAR(L1013) + 1
)</f>
        <v/>
      </c>
      <c r="F1013" s="1857">
        <f>IF(L1013="",0,L1013)</f>
        <v>0</v>
      </c>
      <c r="G1013" s="1856">
        <f>-(N1013-Q1013)</f>
        <v>0</v>
      </c>
      <c r="I1013" s="1815" t="b">
        <f>K1013&lt;=Number_Payments</f>
        <v>0</v>
      </c>
      <c r="J1013" s="1855"/>
      <c r="K1013" s="1351">
        <f>K1012+1</f>
        <v>887</v>
      </c>
      <c r="L1013" s="1854" t="str" cm="1">
        <f t="array" ref="L1013">_xlfn.IFS(
    I1012=FALSE, "",
    Payment_Frequency="Monthly", EDATE(L1012, 1),
    Payment_Frequency="Weekly", DATE(YEAR(L1012), MONTH(L1012), DAY(L1012) + 7),
    Payment_Frequency="Fortnightly", DATE(YEAR(L1012), MONTH(L1012), DAY(L1012) + 14),
    Payment_Frequency="Quarterly", DATE(YEAR(L1012), MONTH(L1012) + 3, DAY(L1012)),
    Payment_Frequency="Yearly", DATE(YEAR(L1012) + 1, MONTH(L1012), DAY(L1012)),
    TRUE, ""
)</f>
        <v/>
      </c>
      <c r="M1013" s="1853">
        <f>IF(ISERROR(L1013-L1012),0,L1013-L1012)</f>
        <v>0</v>
      </c>
      <c r="N1013" s="1851" cm="1">
        <f t="array" ref="N1013">_xlfn.IFS(
    AND(I1013=TRUE, K1013&lt;=No_Regular_Payments), Repay_Amt,
    AND(I1013=TRUE, K1013=No_Regular_Payments+1), Tm_Balloon_Amt,
   TRUE, 0
)</f>
        <v>0</v>
      </c>
      <c r="O1013" s="1850" cm="1">
        <f t="array" ref="O1013">_xlfn.IFS(
    M1013=0,0,
   ABS(N1013 - S1012 - P1013-Q1013) &lt; 1, N1013 - S1012-Q1013,
    TRUE, P1013
)</f>
        <v>0</v>
      </c>
      <c r="P1013" s="1852">
        <f>IF(M1013=0,0,ROUND(S1012*EXP(Int_Rate/365.25 * M1013)-S1012,2))</f>
        <v>0</v>
      </c>
      <c r="Q1013" s="1851" cm="1">
        <f t="array" ref="Q1013">_xlfn.IFS(
    AND(I1013=TRUE, K1013&lt;=No_Regular_Payments), Periodic_Admin_Charge,
   TRUE, 0
)</f>
        <v>0</v>
      </c>
      <c r="R1013" s="1850">
        <f>N1013-O1013-Q1013</f>
        <v>0</v>
      </c>
      <c r="S1013" s="1850">
        <f>ROUND(S1012-R1013,2)</f>
        <v>0</v>
      </c>
      <c r="T1013" s="1850">
        <f>ROUND(T1012-(N1013-Q1013),2)</f>
        <v>0</v>
      </c>
      <c r="U1013" s="1849"/>
      <c r="W1013" s="1848"/>
      <c r="X1013" s="1848"/>
      <c r="Y1013" s="1848"/>
    </row>
    <row r="1014" spans="2:25" hidden="1">
      <c r="B1014" s="1815" t="b">
        <f>AND(I1014=FALSE,N1013=0,Q1013=0,L1013="")</f>
        <v>1</v>
      </c>
      <c r="C1014" s="1844" t="str" cm="1">
        <f t="array" ref="C1014">_xlfn.IFS(
    L1014="", "",
    MONTH(L1014) &lt;= End_of_Year_Month, YEAR(L1014),
    TRUE, YEAR(L1014) + 1
)</f>
        <v/>
      </c>
      <c r="F1014" s="1857">
        <f>IF(L1014="",0,L1014)</f>
        <v>0</v>
      </c>
      <c r="G1014" s="1856">
        <f>-(N1014-Q1014)</f>
        <v>0</v>
      </c>
      <c r="I1014" s="1815" t="b">
        <f>K1014&lt;=Number_Payments</f>
        <v>0</v>
      </c>
      <c r="J1014" s="1855"/>
      <c r="K1014" s="1351">
        <f>K1013+1</f>
        <v>888</v>
      </c>
      <c r="L1014" s="1854" t="str" cm="1">
        <f t="array" ref="L1014">_xlfn.IFS(
    I1013=FALSE, "",
    Payment_Frequency="Monthly", EDATE(L1013, 1),
    Payment_Frequency="Weekly", DATE(YEAR(L1013), MONTH(L1013), DAY(L1013) + 7),
    Payment_Frequency="Fortnightly", DATE(YEAR(L1013), MONTH(L1013), DAY(L1013) + 14),
    Payment_Frequency="Quarterly", DATE(YEAR(L1013), MONTH(L1013) + 3, DAY(L1013)),
    Payment_Frequency="Yearly", DATE(YEAR(L1013) + 1, MONTH(L1013), DAY(L1013)),
    TRUE, ""
)</f>
        <v/>
      </c>
      <c r="M1014" s="1853">
        <f>IF(ISERROR(L1014-L1013),0,L1014-L1013)</f>
        <v>0</v>
      </c>
      <c r="N1014" s="1851" cm="1">
        <f t="array" ref="N1014">_xlfn.IFS(
    AND(I1014=TRUE, K1014&lt;=No_Regular_Payments), Repay_Amt,
    AND(I1014=TRUE, K1014=No_Regular_Payments+1), Tm_Balloon_Amt,
   TRUE, 0
)</f>
        <v>0</v>
      </c>
      <c r="O1014" s="1850" cm="1">
        <f t="array" ref="O1014">_xlfn.IFS(
    M1014=0,0,
   ABS(N1014 - S1013 - P1014-Q1014) &lt; 1, N1014 - S1013-Q1014,
    TRUE, P1014
)</f>
        <v>0</v>
      </c>
      <c r="P1014" s="1852">
        <f>IF(M1014=0,0,ROUND(S1013*EXP(Int_Rate/365.25 * M1014)-S1013,2))</f>
        <v>0</v>
      </c>
      <c r="Q1014" s="1851" cm="1">
        <f t="array" ref="Q1014">_xlfn.IFS(
    AND(I1014=TRUE, K1014&lt;=No_Regular_Payments), Periodic_Admin_Charge,
   TRUE, 0
)</f>
        <v>0</v>
      </c>
      <c r="R1014" s="1850">
        <f>N1014-O1014-Q1014</f>
        <v>0</v>
      </c>
      <c r="S1014" s="1850">
        <f>ROUND(S1013-R1014,2)</f>
        <v>0</v>
      </c>
      <c r="T1014" s="1850">
        <f>ROUND(T1013-(N1014-Q1014),2)</f>
        <v>0</v>
      </c>
      <c r="U1014" s="1849"/>
      <c r="W1014" s="1848"/>
      <c r="X1014" s="1848"/>
      <c r="Y1014" s="1848"/>
    </row>
    <row r="1015" spans="2:25" hidden="1">
      <c r="B1015" s="1815" t="b">
        <f>AND(I1015=FALSE,N1014=0,Q1014=0,L1014="")</f>
        <v>1</v>
      </c>
      <c r="C1015" s="1844" t="str" cm="1">
        <f t="array" ref="C1015">_xlfn.IFS(
    L1015="", "",
    MONTH(L1015) &lt;= End_of_Year_Month, YEAR(L1015),
    TRUE, YEAR(L1015) + 1
)</f>
        <v/>
      </c>
      <c r="F1015" s="1857">
        <f>IF(L1015="",0,L1015)</f>
        <v>0</v>
      </c>
      <c r="G1015" s="1856">
        <f>-(N1015-Q1015)</f>
        <v>0</v>
      </c>
      <c r="I1015" s="1815" t="b">
        <f>K1015&lt;=Number_Payments</f>
        <v>0</v>
      </c>
      <c r="J1015" s="1855"/>
      <c r="K1015" s="1351">
        <f>K1014+1</f>
        <v>889</v>
      </c>
      <c r="L1015" s="1854" t="str" cm="1">
        <f t="array" ref="L1015">_xlfn.IFS(
    I1014=FALSE, "",
    Payment_Frequency="Monthly", EDATE(L1014, 1),
    Payment_Frequency="Weekly", DATE(YEAR(L1014), MONTH(L1014), DAY(L1014) + 7),
    Payment_Frequency="Fortnightly", DATE(YEAR(L1014), MONTH(L1014), DAY(L1014) + 14),
    Payment_Frequency="Quarterly", DATE(YEAR(L1014), MONTH(L1014) + 3, DAY(L1014)),
    Payment_Frequency="Yearly", DATE(YEAR(L1014) + 1, MONTH(L1014), DAY(L1014)),
    TRUE, ""
)</f>
        <v/>
      </c>
      <c r="M1015" s="1853">
        <f>IF(ISERROR(L1015-L1014),0,L1015-L1014)</f>
        <v>0</v>
      </c>
      <c r="N1015" s="1851" cm="1">
        <f t="array" ref="N1015">_xlfn.IFS(
    AND(I1015=TRUE, K1015&lt;=No_Regular_Payments), Repay_Amt,
    AND(I1015=TRUE, K1015=No_Regular_Payments+1), Tm_Balloon_Amt,
   TRUE, 0
)</f>
        <v>0</v>
      </c>
      <c r="O1015" s="1850" cm="1">
        <f t="array" ref="O1015">_xlfn.IFS(
    M1015=0,0,
   ABS(N1015 - S1014 - P1015-Q1015) &lt; 1, N1015 - S1014-Q1015,
    TRUE, P1015
)</f>
        <v>0</v>
      </c>
      <c r="P1015" s="1852">
        <f>IF(M1015=0,0,ROUND(S1014*EXP(Int_Rate/365.25 * M1015)-S1014,2))</f>
        <v>0</v>
      </c>
      <c r="Q1015" s="1851" cm="1">
        <f t="array" ref="Q1015">_xlfn.IFS(
    AND(I1015=TRUE, K1015&lt;=No_Regular_Payments), Periodic_Admin_Charge,
   TRUE, 0
)</f>
        <v>0</v>
      </c>
      <c r="R1015" s="1850">
        <f>N1015-O1015-Q1015</f>
        <v>0</v>
      </c>
      <c r="S1015" s="1850">
        <f>ROUND(S1014-R1015,2)</f>
        <v>0</v>
      </c>
      <c r="T1015" s="1850">
        <f>ROUND(T1014-(N1015-Q1015),2)</f>
        <v>0</v>
      </c>
      <c r="U1015" s="1849"/>
      <c r="W1015" s="1848"/>
      <c r="X1015" s="1848"/>
      <c r="Y1015" s="1848"/>
    </row>
    <row r="1016" spans="2:25" hidden="1">
      <c r="B1016" s="1815" t="b">
        <f>AND(I1016=FALSE,N1015=0,Q1015=0,L1015="")</f>
        <v>1</v>
      </c>
      <c r="C1016" s="1844" t="str" cm="1">
        <f t="array" ref="C1016">_xlfn.IFS(
    L1016="", "",
    MONTH(L1016) &lt;= End_of_Year_Month, YEAR(L1016),
    TRUE, YEAR(L1016) + 1
)</f>
        <v/>
      </c>
      <c r="F1016" s="1857">
        <f>IF(L1016="",0,L1016)</f>
        <v>0</v>
      </c>
      <c r="G1016" s="1856">
        <f>-(N1016-Q1016)</f>
        <v>0</v>
      </c>
      <c r="I1016" s="1815" t="b">
        <f>K1016&lt;=Number_Payments</f>
        <v>0</v>
      </c>
      <c r="J1016" s="1855"/>
      <c r="K1016" s="1351">
        <f>K1015+1</f>
        <v>890</v>
      </c>
      <c r="L1016" s="1854" t="str" cm="1">
        <f t="array" ref="L1016">_xlfn.IFS(
    I1015=FALSE, "",
    Payment_Frequency="Monthly", EDATE(L1015, 1),
    Payment_Frequency="Weekly", DATE(YEAR(L1015), MONTH(L1015), DAY(L1015) + 7),
    Payment_Frequency="Fortnightly", DATE(YEAR(L1015), MONTH(L1015), DAY(L1015) + 14),
    Payment_Frequency="Quarterly", DATE(YEAR(L1015), MONTH(L1015) + 3, DAY(L1015)),
    Payment_Frequency="Yearly", DATE(YEAR(L1015) + 1, MONTH(L1015), DAY(L1015)),
    TRUE, ""
)</f>
        <v/>
      </c>
      <c r="M1016" s="1853">
        <f>IF(ISERROR(L1016-L1015),0,L1016-L1015)</f>
        <v>0</v>
      </c>
      <c r="N1016" s="1851" cm="1">
        <f t="array" ref="N1016">_xlfn.IFS(
    AND(I1016=TRUE, K1016&lt;=No_Regular_Payments), Repay_Amt,
    AND(I1016=TRUE, K1016=No_Regular_Payments+1), Tm_Balloon_Amt,
   TRUE, 0
)</f>
        <v>0</v>
      </c>
      <c r="O1016" s="1850" cm="1">
        <f t="array" ref="O1016">_xlfn.IFS(
    M1016=0,0,
   ABS(N1016 - S1015 - P1016-Q1016) &lt; 1, N1016 - S1015-Q1016,
    TRUE, P1016
)</f>
        <v>0</v>
      </c>
      <c r="P1016" s="1852">
        <f>IF(M1016=0,0,ROUND(S1015*EXP(Int_Rate/365.25 * M1016)-S1015,2))</f>
        <v>0</v>
      </c>
      <c r="Q1016" s="1851" cm="1">
        <f t="array" ref="Q1016">_xlfn.IFS(
    AND(I1016=TRUE, K1016&lt;=No_Regular_Payments), Periodic_Admin_Charge,
   TRUE, 0
)</f>
        <v>0</v>
      </c>
      <c r="R1016" s="1850">
        <f>N1016-O1016-Q1016</f>
        <v>0</v>
      </c>
      <c r="S1016" s="1850">
        <f>ROUND(S1015-R1016,2)</f>
        <v>0</v>
      </c>
      <c r="T1016" s="1850">
        <f>ROUND(T1015-(N1016-Q1016),2)</f>
        <v>0</v>
      </c>
      <c r="U1016" s="1849"/>
      <c r="W1016" s="1848"/>
      <c r="X1016" s="1848"/>
      <c r="Y1016" s="1848"/>
    </row>
    <row r="1017" spans="2:25" hidden="1">
      <c r="B1017" s="1815" t="b">
        <f>AND(I1017=FALSE,N1016=0,Q1016=0,L1016="")</f>
        <v>1</v>
      </c>
      <c r="C1017" s="1844" t="str" cm="1">
        <f t="array" ref="C1017">_xlfn.IFS(
    L1017="", "",
    MONTH(L1017) &lt;= End_of_Year_Month, YEAR(L1017),
    TRUE, YEAR(L1017) + 1
)</f>
        <v/>
      </c>
      <c r="F1017" s="1857">
        <f>IF(L1017="",0,L1017)</f>
        <v>0</v>
      </c>
      <c r="G1017" s="1856">
        <f>-(N1017-Q1017)</f>
        <v>0</v>
      </c>
      <c r="I1017" s="1815" t="b">
        <f>K1017&lt;=Number_Payments</f>
        <v>0</v>
      </c>
      <c r="J1017" s="1855"/>
      <c r="K1017" s="1351">
        <f>K1016+1</f>
        <v>891</v>
      </c>
      <c r="L1017" s="1854" t="str" cm="1">
        <f t="array" ref="L1017">_xlfn.IFS(
    I1016=FALSE, "",
    Payment_Frequency="Monthly", EDATE(L1016, 1),
    Payment_Frequency="Weekly", DATE(YEAR(L1016), MONTH(L1016), DAY(L1016) + 7),
    Payment_Frequency="Fortnightly", DATE(YEAR(L1016), MONTH(L1016), DAY(L1016) + 14),
    Payment_Frequency="Quarterly", DATE(YEAR(L1016), MONTH(L1016) + 3, DAY(L1016)),
    Payment_Frequency="Yearly", DATE(YEAR(L1016) + 1, MONTH(L1016), DAY(L1016)),
    TRUE, ""
)</f>
        <v/>
      </c>
      <c r="M1017" s="1853">
        <f>IF(ISERROR(L1017-L1016),0,L1017-L1016)</f>
        <v>0</v>
      </c>
      <c r="N1017" s="1851" cm="1">
        <f t="array" ref="N1017">_xlfn.IFS(
    AND(I1017=TRUE, K1017&lt;=No_Regular_Payments), Repay_Amt,
    AND(I1017=TRUE, K1017=No_Regular_Payments+1), Tm_Balloon_Amt,
   TRUE, 0
)</f>
        <v>0</v>
      </c>
      <c r="O1017" s="1850" cm="1">
        <f t="array" ref="O1017">_xlfn.IFS(
    M1017=0,0,
   ABS(N1017 - S1016 - P1017-Q1017) &lt; 1, N1017 - S1016-Q1017,
    TRUE, P1017
)</f>
        <v>0</v>
      </c>
      <c r="P1017" s="1852">
        <f>IF(M1017=0,0,ROUND(S1016*EXP(Int_Rate/365.25 * M1017)-S1016,2))</f>
        <v>0</v>
      </c>
      <c r="Q1017" s="1851" cm="1">
        <f t="array" ref="Q1017">_xlfn.IFS(
    AND(I1017=TRUE, K1017&lt;=No_Regular_Payments), Periodic_Admin_Charge,
   TRUE, 0
)</f>
        <v>0</v>
      </c>
      <c r="R1017" s="1850">
        <f>N1017-O1017-Q1017</f>
        <v>0</v>
      </c>
      <c r="S1017" s="1850">
        <f>ROUND(S1016-R1017,2)</f>
        <v>0</v>
      </c>
      <c r="T1017" s="1850">
        <f>ROUND(T1016-(N1017-Q1017),2)</f>
        <v>0</v>
      </c>
      <c r="U1017" s="1849"/>
      <c r="W1017" s="1848"/>
      <c r="X1017" s="1848"/>
      <c r="Y1017" s="1848"/>
    </row>
    <row r="1018" spans="2:25" hidden="1">
      <c r="B1018" s="1815" t="b">
        <f>AND(I1018=FALSE,N1017=0,Q1017=0,L1017="")</f>
        <v>1</v>
      </c>
      <c r="C1018" s="1844" t="str" cm="1">
        <f t="array" ref="C1018">_xlfn.IFS(
    L1018="", "",
    MONTH(L1018) &lt;= End_of_Year_Month, YEAR(L1018),
    TRUE, YEAR(L1018) + 1
)</f>
        <v/>
      </c>
      <c r="F1018" s="1857">
        <f>IF(L1018="",0,L1018)</f>
        <v>0</v>
      </c>
      <c r="G1018" s="1856">
        <f>-(N1018-Q1018)</f>
        <v>0</v>
      </c>
      <c r="I1018" s="1815" t="b">
        <f>K1018&lt;=Number_Payments</f>
        <v>0</v>
      </c>
      <c r="J1018" s="1855"/>
      <c r="K1018" s="1351">
        <f>K1017+1</f>
        <v>892</v>
      </c>
      <c r="L1018" s="1854" t="str" cm="1">
        <f t="array" ref="L1018">_xlfn.IFS(
    I1017=FALSE, "",
    Payment_Frequency="Monthly", EDATE(L1017, 1),
    Payment_Frequency="Weekly", DATE(YEAR(L1017), MONTH(L1017), DAY(L1017) + 7),
    Payment_Frequency="Fortnightly", DATE(YEAR(L1017), MONTH(L1017), DAY(L1017) + 14),
    Payment_Frequency="Quarterly", DATE(YEAR(L1017), MONTH(L1017) + 3, DAY(L1017)),
    Payment_Frequency="Yearly", DATE(YEAR(L1017) + 1, MONTH(L1017), DAY(L1017)),
    TRUE, ""
)</f>
        <v/>
      </c>
      <c r="M1018" s="1853">
        <f>IF(ISERROR(L1018-L1017),0,L1018-L1017)</f>
        <v>0</v>
      </c>
      <c r="N1018" s="1851" cm="1">
        <f t="array" ref="N1018">_xlfn.IFS(
    AND(I1018=TRUE, K1018&lt;=No_Regular_Payments), Repay_Amt,
    AND(I1018=TRUE, K1018=No_Regular_Payments+1), Tm_Balloon_Amt,
   TRUE, 0
)</f>
        <v>0</v>
      </c>
      <c r="O1018" s="1850" cm="1">
        <f t="array" ref="O1018">_xlfn.IFS(
    M1018=0,0,
   ABS(N1018 - S1017 - P1018-Q1018) &lt; 1, N1018 - S1017-Q1018,
    TRUE, P1018
)</f>
        <v>0</v>
      </c>
      <c r="P1018" s="1852">
        <f>IF(M1018=0,0,ROUND(S1017*EXP(Int_Rate/365.25 * M1018)-S1017,2))</f>
        <v>0</v>
      </c>
      <c r="Q1018" s="1851" cm="1">
        <f t="array" ref="Q1018">_xlfn.IFS(
    AND(I1018=TRUE, K1018&lt;=No_Regular_Payments), Periodic_Admin_Charge,
   TRUE, 0
)</f>
        <v>0</v>
      </c>
      <c r="R1018" s="1850">
        <f>N1018-O1018-Q1018</f>
        <v>0</v>
      </c>
      <c r="S1018" s="1850">
        <f>ROUND(S1017-R1018,2)</f>
        <v>0</v>
      </c>
      <c r="T1018" s="1850">
        <f>ROUND(T1017-(N1018-Q1018),2)</f>
        <v>0</v>
      </c>
      <c r="U1018" s="1849"/>
      <c r="W1018" s="1848"/>
      <c r="X1018" s="1848"/>
      <c r="Y1018" s="1848"/>
    </row>
    <row r="1019" spans="2:25" hidden="1">
      <c r="B1019" s="1815" t="b">
        <f>AND(I1019=FALSE,N1018=0,Q1018=0,L1018="")</f>
        <v>1</v>
      </c>
      <c r="C1019" s="1844" t="str" cm="1">
        <f t="array" ref="C1019">_xlfn.IFS(
    L1019="", "",
    MONTH(L1019) &lt;= End_of_Year_Month, YEAR(L1019),
    TRUE, YEAR(L1019) + 1
)</f>
        <v/>
      </c>
      <c r="F1019" s="1857">
        <f>IF(L1019="",0,L1019)</f>
        <v>0</v>
      </c>
      <c r="G1019" s="1856">
        <f>-(N1019-Q1019)</f>
        <v>0</v>
      </c>
      <c r="I1019" s="1815" t="b">
        <f>K1019&lt;=Number_Payments</f>
        <v>0</v>
      </c>
      <c r="J1019" s="1855"/>
      <c r="K1019" s="1351">
        <f>K1018+1</f>
        <v>893</v>
      </c>
      <c r="L1019" s="1854" t="str" cm="1">
        <f t="array" ref="L1019">_xlfn.IFS(
    I1018=FALSE, "",
    Payment_Frequency="Monthly", EDATE(L1018, 1),
    Payment_Frequency="Weekly", DATE(YEAR(L1018), MONTH(L1018), DAY(L1018) + 7),
    Payment_Frequency="Fortnightly", DATE(YEAR(L1018), MONTH(L1018), DAY(L1018) + 14),
    Payment_Frequency="Quarterly", DATE(YEAR(L1018), MONTH(L1018) + 3, DAY(L1018)),
    Payment_Frequency="Yearly", DATE(YEAR(L1018) + 1, MONTH(L1018), DAY(L1018)),
    TRUE, ""
)</f>
        <v/>
      </c>
      <c r="M1019" s="1853">
        <f>IF(ISERROR(L1019-L1018),0,L1019-L1018)</f>
        <v>0</v>
      </c>
      <c r="N1019" s="1851" cm="1">
        <f t="array" ref="N1019">_xlfn.IFS(
    AND(I1019=TRUE, K1019&lt;=No_Regular_Payments), Repay_Amt,
    AND(I1019=TRUE, K1019=No_Regular_Payments+1), Tm_Balloon_Amt,
   TRUE, 0
)</f>
        <v>0</v>
      </c>
      <c r="O1019" s="1850" cm="1">
        <f t="array" ref="O1019">_xlfn.IFS(
    M1019=0,0,
   ABS(N1019 - S1018 - P1019-Q1019) &lt; 1, N1019 - S1018-Q1019,
    TRUE, P1019
)</f>
        <v>0</v>
      </c>
      <c r="P1019" s="1852">
        <f>IF(M1019=0,0,ROUND(S1018*EXP(Int_Rate/365.25 * M1019)-S1018,2))</f>
        <v>0</v>
      </c>
      <c r="Q1019" s="1851" cm="1">
        <f t="array" ref="Q1019">_xlfn.IFS(
    AND(I1019=TRUE, K1019&lt;=No_Regular_Payments), Periodic_Admin_Charge,
   TRUE, 0
)</f>
        <v>0</v>
      </c>
      <c r="R1019" s="1850">
        <f>N1019-O1019-Q1019</f>
        <v>0</v>
      </c>
      <c r="S1019" s="1850">
        <f>ROUND(S1018-R1019,2)</f>
        <v>0</v>
      </c>
      <c r="T1019" s="1850">
        <f>ROUND(T1018-(N1019-Q1019),2)</f>
        <v>0</v>
      </c>
      <c r="U1019" s="1849"/>
      <c r="W1019" s="1848"/>
      <c r="X1019" s="1848"/>
      <c r="Y1019" s="1848"/>
    </row>
    <row r="1020" spans="2:25" hidden="1">
      <c r="B1020" s="1815" t="b">
        <f>AND(I1020=FALSE,N1019=0,Q1019=0,L1019="")</f>
        <v>1</v>
      </c>
      <c r="C1020" s="1844" t="str" cm="1">
        <f t="array" ref="C1020">_xlfn.IFS(
    L1020="", "",
    MONTH(L1020) &lt;= End_of_Year_Month, YEAR(L1020),
    TRUE, YEAR(L1020) + 1
)</f>
        <v/>
      </c>
      <c r="F1020" s="1857">
        <f>IF(L1020="",0,L1020)</f>
        <v>0</v>
      </c>
      <c r="G1020" s="1856">
        <f>-(N1020-Q1020)</f>
        <v>0</v>
      </c>
      <c r="I1020" s="1815" t="b">
        <f>K1020&lt;=Number_Payments</f>
        <v>0</v>
      </c>
      <c r="J1020" s="1855"/>
      <c r="K1020" s="1351">
        <f>K1019+1</f>
        <v>894</v>
      </c>
      <c r="L1020" s="1854" t="str" cm="1">
        <f t="array" ref="L1020">_xlfn.IFS(
    I1019=FALSE, "",
    Payment_Frequency="Monthly", EDATE(L1019, 1),
    Payment_Frequency="Weekly", DATE(YEAR(L1019), MONTH(L1019), DAY(L1019) + 7),
    Payment_Frequency="Fortnightly", DATE(YEAR(L1019), MONTH(L1019), DAY(L1019) + 14),
    Payment_Frequency="Quarterly", DATE(YEAR(L1019), MONTH(L1019) + 3, DAY(L1019)),
    Payment_Frequency="Yearly", DATE(YEAR(L1019) + 1, MONTH(L1019), DAY(L1019)),
    TRUE, ""
)</f>
        <v/>
      </c>
      <c r="M1020" s="1853">
        <f>IF(ISERROR(L1020-L1019),0,L1020-L1019)</f>
        <v>0</v>
      </c>
      <c r="N1020" s="1851" cm="1">
        <f t="array" ref="N1020">_xlfn.IFS(
    AND(I1020=TRUE, K1020&lt;=No_Regular_Payments), Repay_Amt,
    AND(I1020=TRUE, K1020=No_Regular_Payments+1), Tm_Balloon_Amt,
   TRUE, 0
)</f>
        <v>0</v>
      </c>
      <c r="O1020" s="1850" cm="1">
        <f t="array" ref="O1020">_xlfn.IFS(
    M1020=0,0,
   ABS(N1020 - S1019 - P1020-Q1020) &lt; 1, N1020 - S1019-Q1020,
    TRUE, P1020
)</f>
        <v>0</v>
      </c>
      <c r="P1020" s="1852">
        <f>IF(M1020=0,0,ROUND(S1019*EXP(Int_Rate/365.25 * M1020)-S1019,2))</f>
        <v>0</v>
      </c>
      <c r="Q1020" s="1851" cm="1">
        <f t="array" ref="Q1020">_xlfn.IFS(
    AND(I1020=TRUE, K1020&lt;=No_Regular_Payments), Periodic_Admin_Charge,
   TRUE, 0
)</f>
        <v>0</v>
      </c>
      <c r="R1020" s="1850">
        <f>N1020-O1020-Q1020</f>
        <v>0</v>
      </c>
      <c r="S1020" s="1850">
        <f>ROUND(S1019-R1020,2)</f>
        <v>0</v>
      </c>
      <c r="T1020" s="1850">
        <f>ROUND(T1019-(N1020-Q1020),2)</f>
        <v>0</v>
      </c>
      <c r="U1020" s="1849"/>
      <c r="W1020" s="1848"/>
      <c r="X1020" s="1848"/>
      <c r="Y1020" s="1848"/>
    </row>
    <row r="1021" spans="2:25" hidden="1">
      <c r="B1021" s="1815" t="b">
        <f>AND(I1021=FALSE,N1020=0,Q1020=0,L1020="")</f>
        <v>1</v>
      </c>
      <c r="C1021" s="1844" t="str" cm="1">
        <f t="array" ref="C1021">_xlfn.IFS(
    L1021="", "",
    MONTH(L1021) &lt;= End_of_Year_Month, YEAR(L1021),
    TRUE, YEAR(L1021) + 1
)</f>
        <v/>
      </c>
      <c r="F1021" s="1857">
        <f>IF(L1021="",0,L1021)</f>
        <v>0</v>
      </c>
      <c r="G1021" s="1856">
        <f>-(N1021-Q1021)</f>
        <v>0</v>
      </c>
      <c r="I1021" s="1815" t="b">
        <f>K1021&lt;=Number_Payments</f>
        <v>0</v>
      </c>
      <c r="J1021" s="1855"/>
      <c r="K1021" s="1351">
        <f>K1020+1</f>
        <v>895</v>
      </c>
      <c r="L1021" s="1854" t="str" cm="1">
        <f t="array" ref="L1021">_xlfn.IFS(
    I1020=FALSE, "",
    Payment_Frequency="Monthly", EDATE(L1020, 1),
    Payment_Frequency="Weekly", DATE(YEAR(L1020), MONTH(L1020), DAY(L1020) + 7),
    Payment_Frequency="Fortnightly", DATE(YEAR(L1020), MONTH(L1020), DAY(L1020) + 14),
    Payment_Frequency="Quarterly", DATE(YEAR(L1020), MONTH(L1020) + 3, DAY(L1020)),
    Payment_Frequency="Yearly", DATE(YEAR(L1020) + 1, MONTH(L1020), DAY(L1020)),
    TRUE, ""
)</f>
        <v/>
      </c>
      <c r="M1021" s="1853">
        <f>IF(ISERROR(L1021-L1020),0,L1021-L1020)</f>
        <v>0</v>
      </c>
      <c r="N1021" s="1851" cm="1">
        <f t="array" ref="N1021">_xlfn.IFS(
    AND(I1021=TRUE, K1021&lt;=No_Regular_Payments), Repay_Amt,
    AND(I1021=TRUE, K1021=No_Regular_Payments+1), Tm_Balloon_Amt,
   TRUE, 0
)</f>
        <v>0</v>
      </c>
      <c r="O1021" s="1850" cm="1">
        <f t="array" ref="O1021">_xlfn.IFS(
    M1021=0,0,
   ABS(N1021 - S1020 - P1021-Q1021) &lt; 1, N1021 - S1020-Q1021,
    TRUE, P1021
)</f>
        <v>0</v>
      </c>
      <c r="P1021" s="1852">
        <f>IF(M1021=0,0,ROUND(S1020*EXP(Int_Rate/365.25 * M1021)-S1020,2))</f>
        <v>0</v>
      </c>
      <c r="Q1021" s="1851" cm="1">
        <f t="array" ref="Q1021">_xlfn.IFS(
    AND(I1021=TRUE, K1021&lt;=No_Regular_Payments), Periodic_Admin_Charge,
   TRUE, 0
)</f>
        <v>0</v>
      </c>
      <c r="R1021" s="1850">
        <f>N1021-O1021-Q1021</f>
        <v>0</v>
      </c>
      <c r="S1021" s="1850">
        <f>ROUND(S1020-R1021,2)</f>
        <v>0</v>
      </c>
      <c r="T1021" s="1850">
        <f>ROUND(T1020-(N1021-Q1021),2)</f>
        <v>0</v>
      </c>
      <c r="U1021" s="1849"/>
      <c r="W1021" s="1848"/>
      <c r="X1021" s="1848"/>
      <c r="Y1021" s="1848"/>
    </row>
    <row r="1022" spans="2:25" hidden="1">
      <c r="B1022" s="1815" t="b">
        <f>AND(I1022=FALSE,N1021=0,Q1021=0,L1021="")</f>
        <v>1</v>
      </c>
      <c r="C1022" s="1844" t="str" cm="1">
        <f t="array" ref="C1022">_xlfn.IFS(
    L1022="", "",
    MONTH(L1022) &lt;= End_of_Year_Month, YEAR(L1022),
    TRUE, YEAR(L1022) + 1
)</f>
        <v/>
      </c>
      <c r="F1022" s="1857">
        <f>IF(L1022="",0,L1022)</f>
        <v>0</v>
      </c>
      <c r="G1022" s="1856">
        <f>-(N1022-Q1022)</f>
        <v>0</v>
      </c>
      <c r="I1022" s="1815" t="b">
        <f>K1022&lt;=Number_Payments</f>
        <v>0</v>
      </c>
      <c r="J1022" s="1855"/>
      <c r="K1022" s="1351">
        <f>K1021+1</f>
        <v>896</v>
      </c>
      <c r="L1022" s="1854" t="str" cm="1">
        <f t="array" ref="L1022">_xlfn.IFS(
    I1021=FALSE, "",
    Payment_Frequency="Monthly", EDATE(L1021, 1),
    Payment_Frequency="Weekly", DATE(YEAR(L1021), MONTH(L1021), DAY(L1021) + 7),
    Payment_Frequency="Fortnightly", DATE(YEAR(L1021), MONTH(L1021), DAY(L1021) + 14),
    Payment_Frequency="Quarterly", DATE(YEAR(L1021), MONTH(L1021) + 3, DAY(L1021)),
    Payment_Frequency="Yearly", DATE(YEAR(L1021) + 1, MONTH(L1021), DAY(L1021)),
    TRUE, ""
)</f>
        <v/>
      </c>
      <c r="M1022" s="1853">
        <f>IF(ISERROR(L1022-L1021),0,L1022-L1021)</f>
        <v>0</v>
      </c>
      <c r="N1022" s="1851" cm="1">
        <f t="array" ref="N1022">_xlfn.IFS(
    AND(I1022=TRUE, K1022&lt;=No_Regular_Payments), Repay_Amt,
    AND(I1022=TRUE, K1022=No_Regular_Payments+1), Tm_Balloon_Amt,
   TRUE, 0
)</f>
        <v>0</v>
      </c>
      <c r="O1022" s="1850" cm="1">
        <f t="array" ref="O1022">_xlfn.IFS(
    M1022=0,0,
   ABS(N1022 - S1021 - P1022-Q1022) &lt; 1, N1022 - S1021-Q1022,
    TRUE, P1022
)</f>
        <v>0</v>
      </c>
      <c r="P1022" s="1852">
        <f>IF(M1022=0,0,ROUND(S1021*EXP(Int_Rate/365.25 * M1022)-S1021,2))</f>
        <v>0</v>
      </c>
      <c r="Q1022" s="1851" cm="1">
        <f t="array" ref="Q1022">_xlfn.IFS(
    AND(I1022=TRUE, K1022&lt;=No_Regular_Payments), Periodic_Admin_Charge,
   TRUE, 0
)</f>
        <v>0</v>
      </c>
      <c r="R1022" s="1850">
        <f>N1022-O1022-Q1022</f>
        <v>0</v>
      </c>
      <c r="S1022" s="1850">
        <f>ROUND(S1021-R1022,2)</f>
        <v>0</v>
      </c>
      <c r="T1022" s="1850">
        <f>ROUND(T1021-(N1022-Q1022),2)</f>
        <v>0</v>
      </c>
      <c r="U1022" s="1849"/>
      <c r="W1022" s="1848"/>
      <c r="X1022" s="1848"/>
      <c r="Y1022" s="1848"/>
    </row>
    <row r="1023" spans="2:25" hidden="1">
      <c r="B1023" s="1815" t="b">
        <f>AND(I1023=FALSE,N1022=0,Q1022=0,L1022="")</f>
        <v>1</v>
      </c>
      <c r="C1023" s="1844" t="str" cm="1">
        <f t="array" ref="C1023">_xlfn.IFS(
    L1023="", "",
    MONTH(L1023) &lt;= End_of_Year_Month, YEAR(L1023),
    TRUE, YEAR(L1023) + 1
)</f>
        <v/>
      </c>
      <c r="F1023" s="1857">
        <f>IF(L1023="",0,L1023)</f>
        <v>0</v>
      </c>
      <c r="G1023" s="1856">
        <f>-(N1023-Q1023)</f>
        <v>0</v>
      </c>
      <c r="I1023" s="1815" t="b">
        <f>K1023&lt;=Number_Payments</f>
        <v>0</v>
      </c>
      <c r="J1023" s="1855"/>
      <c r="K1023" s="1351">
        <f>K1022+1</f>
        <v>897</v>
      </c>
      <c r="L1023" s="1854" t="str" cm="1">
        <f t="array" ref="L1023">_xlfn.IFS(
    I1022=FALSE, "",
    Payment_Frequency="Monthly", EDATE(L1022, 1),
    Payment_Frequency="Weekly", DATE(YEAR(L1022), MONTH(L1022), DAY(L1022) + 7),
    Payment_Frequency="Fortnightly", DATE(YEAR(L1022), MONTH(L1022), DAY(L1022) + 14),
    Payment_Frequency="Quarterly", DATE(YEAR(L1022), MONTH(L1022) + 3, DAY(L1022)),
    Payment_Frequency="Yearly", DATE(YEAR(L1022) + 1, MONTH(L1022), DAY(L1022)),
    TRUE, ""
)</f>
        <v/>
      </c>
      <c r="M1023" s="1853">
        <f>IF(ISERROR(L1023-L1022),0,L1023-L1022)</f>
        <v>0</v>
      </c>
      <c r="N1023" s="1851" cm="1">
        <f t="array" ref="N1023">_xlfn.IFS(
    AND(I1023=TRUE, K1023&lt;=No_Regular_Payments), Repay_Amt,
    AND(I1023=TRUE, K1023=No_Regular_Payments+1), Tm_Balloon_Amt,
   TRUE, 0
)</f>
        <v>0</v>
      </c>
      <c r="O1023" s="1850" cm="1">
        <f t="array" ref="O1023">_xlfn.IFS(
    M1023=0,0,
   ABS(N1023 - S1022 - P1023-Q1023) &lt; 1, N1023 - S1022-Q1023,
    TRUE, P1023
)</f>
        <v>0</v>
      </c>
      <c r="P1023" s="1852">
        <f>IF(M1023=0,0,ROUND(S1022*EXP(Int_Rate/365.25 * M1023)-S1022,2))</f>
        <v>0</v>
      </c>
      <c r="Q1023" s="1851" cm="1">
        <f t="array" ref="Q1023">_xlfn.IFS(
    AND(I1023=TRUE, K1023&lt;=No_Regular_Payments), Periodic_Admin_Charge,
   TRUE, 0
)</f>
        <v>0</v>
      </c>
      <c r="R1023" s="1850">
        <f>N1023-O1023-Q1023</f>
        <v>0</v>
      </c>
      <c r="S1023" s="1850">
        <f>ROUND(S1022-R1023,2)</f>
        <v>0</v>
      </c>
      <c r="T1023" s="1850">
        <f>ROUND(T1022-(N1023-Q1023),2)</f>
        <v>0</v>
      </c>
      <c r="U1023" s="1849"/>
      <c r="W1023" s="1848"/>
      <c r="X1023" s="1848"/>
      <c r="Y1023" s="1848"/>
    </row>
    <row r="1024" spans="2:25" hidden="1">
      <c r="B1024" s="1815" t="b">
        <f>AND(I1024=FALSE,N1023=0,Q1023=0,L1023="")</f>
        <v>1</v>
      </c>
      <c r="C1024" s="1844" t="str" cm="1">
        <f t="array" ref="C1024">_xlfn.IFS(
    L1024="", "",
    MONTH(L1024) &lt;= End_of_Year_Month, YEAR(L1024),
    TRUE, YEAR(L1024) + 1
)</f>
        <v/>
      </c>
      <c r="F1024" s="1857">
        <f>IF(L1024="",0,L1024)</f>
        <v>0</v>
      </c>
      <c r="G1024" s="1856">
        <f>-(N1024-Q1024)</f>
        <v>0</v>
      </c>
      <c r="I1024" s="1815" t="b">
        <f>K1024&lt;=Number_Payments</f>
        <v>0</v>
      </c>
      <c r="J1024" s="1855"/>
      <c r="K1024" s="1351">
        <f>K1023+1</f>
        <v>898</v>
      </c>
      <c r="L1024" s="1854" t="str" cm="1">
        <f t="array" ref="L1024">_xlfn.IFS(
    I1023=FALSE, "",
    Payment_Frequency="Monthly", EDATE(L1023, 1),
    Payment_Frequency="Weekly", DATE(YEAR(L1023), MONTH(L1023), DAY(L1023) + 7),
    Payment_Frequency="Fortnightly", DATE(YEAR(L1023), MONTH(L1023), DAY(L1023) + 14),
    Payment_Frequency="Quarterly", DATE(YEAR(L1023), MONTH(L1023) + 3, DAY(L1023)),
    Payment_Frequency="Yearly", DATE(YEAR(L1023) + 1, MONTH(L1023), DAY(L1023)),
    TRUE, ""
)</f>
        <v/>
      </c>
      <c r="M1024" s="1853">
        <f>IF(ISERROR(L1024-L1023),0,L1024-L1023)</f>
        <v>0</v>
      </c>
      <c r="N1024" s="1851" cm="1">
        <f t="array" ref="N1024">_xlfn.IFS(
    AND(I1024=TRUE, K1024&lt;=No_Regular_Payments), Repay_Amt,
    AND(I1024=TRUE, K1024=No_Regular_Payments+1), Tm_Balloon_Amt,
   TRUE, 0
)</f>
        <v>0</v>
      </c>
      <c r="O1024" s="1850" cm="1">
        <f t="array" ref="O1024">_xlfn.IFS(
    M1024=0,0,
   ABS(N1024 - S1023 - P1024-Q1024) &lt; 1, N1024 - S1023-Q1024,
    TRUE, P1024
)</f>
        <v>0</v>
      </c>
      <c r="P1024" s="1852">
        <f>IF(M1024=0,0,ROUND(S1023*EXP(Int_Rate/365.25 * M1024)-S1023,2))</f>
        <v>0</v>
      </c>
      <c r="Q1024" s="1851" cm="1">
        <f t="array" ref="Q1024">_xlfn.IFS(
    AND(I1024=TRUE, K1024&lt;=No_Regular_Payments), Periodic_Admin_Charge,
   TRUE, 0
)</f>
        <v>0</v>
      </c>
      <c r="R1024" s="1850">
        <f>N1024-O1024-Q1024</f>
        <v>0</v>
      </c>
      <c r="S1024" s="1850">
        <f>ROUND(S1023-R1024,2)</f>
        <v>0</v>
      </c>
      <c r="T1024" s="1850">
        <f>ROUND(T1023-(N1024-Q1024),2)</f>
        <v>0</v>
      </c>
      <c r="U1024" s="1849"/>
      <c r="W1024" s="1848"/>
      <c r="X1024" s="1848"/>
      <c r="Y1024" s="1848"/>
    </row>
    <row r="1025" spans="2:25" hidden="1">
      <c r="B1025" s="1815" t="b">
        <f>AND(I1025=FALSE,N1024=0,Q1024=0,L1024="")</f>
        <v>1</v>
      </c>
      <c r="C1025" s="1844" t="str" cm="1">
        <f t="array" ref="C1025">_xlfn.IFS(
    L1025="", "",
    MONTH(L1025) &lt;= End_of_Year_Month, YEAR(L1025),
    TRUE, YEAR(L1025) + 1
)</f>
        <v/>
      </c>
      <c r="F1025" s="1857">
        <f>IF(L1025="",0,L1025)</f>
        <v>0</v>
      </c>
      <c r="G1025" s="1856">
        <f>-(N1025-Q1025)</f>
        <v>0</v>
      </c>
      <c r="I1025" s="1815" t="b">
        <f>K1025&lt;=Number_Payments</f>
        <v>0</v>
      </c>
      <c r="J1025" s="1855"/>
      <c r="K1025" s="1351">
        <f>K1024+1</f>
        <v>899</v>
      </c>
      <c r="L1025" s="1854" t="str" cm="1">
        <f t="array" ref="L1025">_xlfn.IFS(
    I1024=FALSE, "",
    Payment_Frequency="Monthly", EDATE(L1024, 1),
    Payment_Frequency="Weekly", DATE(YEAR(L1024), MONTH(L1024), DAY(L1024) + 7),
    Payment_Frequency="Fortnightly", DATE(YEAR(L1024), MONTH(L1024), DAY(L1024) + 14),
    Payment_Frequency="Quarterly", DATE(YEAR(L1024), MONTH(L1024) + 3, DAY(L1024)),
    Payment_Frequency="Yearly", DATE(YEAR(L1024) + 1, MONTH(L1024), DAY(L1024)),
    TRUE, ""
)</f>
        <v/>
      </c>
      <c r="M1025" s="1853">
        <f>IF(ISERROR(L1025-L1024),0,L1025-L1024)</f>
        <v>0</v>
      </c>
      <c r="N1025" s="1851" cm="1">
        <f t="array" ref="N1025">_xlfn.IFS(
    AND(I1025=TRUE, K1025&lt;=No_Regular_Payments), Repay_Amt,
    AND(I1025=TRUE, K1025=No_Regular_Payments+1), Tm_Balloon_Amt,
   TRUE, 0
)</f>
        <v>0</v>
      </c>
      <c r="O1025" s="1850" cm="1">
        <f t="array" ref="O1025">_xlfn.IFS(
    M1025=0,0,
   ABS(N1025 - S1024 - P1025-Q1025) &lt; 1, N1025 - S1024-Q1025,
    TRUE, P1025
)</f>
        <v>0</v>
      </c>
      <c r="P1025" s="1852">
        <f>IF(M1025=0,0,ROUND(S1024*EXP(Int_Rate/365.25 * M1025)-S1024,2))</f>
        <v>0</v>
      </c>
      <c r="Q1025" s="1851" cm="1">
        <f t="array" ref="Q1025">_xlfn.IFS(
    AND(I1025=TRUE, K1025&lt;=No_Regular_Payments), Periodic_Admin_Charge,
   TRUE, 0
)</f>
        <v>0</v>
      </c>
      <c r="R1025" s="1850">
        <f>N1025-O1025-Q1025</f>
        <v>0</v>
      </c>
      <c r="S1025" s="1850">
        <f>ROUND(S1024-R1025,2)</f>
        <v>0</v>
      </c>
      <c r="T1025" s="1850">
        <f>ROUND(T1024-(N1025-Q1025),2)</f>
        <v>0</v>
      </c>
      <c r="U1025" s="1849"/>
      <c r="W1025" s="1848"/>
      <c r="X1025" s="1848"/>
      <c r="Y1025" s="1848"/>
    </row>
    <row r="1026" spans="2:25" hidden="1">
      <c r="B1026" s="1815" t="b">
        <f>AND(I1026=FALSE,N1025=0,Q1025=0,L1025="")</f>
        <v>1</v>
      </c>
      <c r="C1026" s="1844" t="str" cm="1">
        <f t="array" ref="C1026">_xlfn.IFS(
    L1026="", "",
    MONTH(L1026) &lt;= End_of_Year_Month, YEAR(L1026),
    TRUE, YEAR(L1026) + 1
)</f>
        <v/>
      </c>
      <c r="F1026" s="1857">
        <f>IF(L1026="",0,L1026)</f>
        <v>0</v>
      </c>
      <c r="G1026" s="1856">
        <f>-(N1026-Q1026)</f>
        <v>0</v>
      </c>
      <c r="I1026" s="1815" t="b">
        <f>K1026&lt;=Number_Payments</f>
        <v>0</v>
      </c>
      <c r="J1026" s="1855"/>
      <c r="K1026" s="1351">
        <f>K1025+1</f>
        <v>900</v>
      </c>
      <c r="L1026" s="1854" t="str" cm="1">
        <f t="array" ref="L1026">_xlfn.IFS(
    I1025=FALSE, "",
    Payment_Frequency="Monthly", EDATE(L1025, 1),
    Payment_Frequency="Weekly", DATE(YEAR(L1025), MONTH(L1025), DAY(L1025) + 7),
    Payment_Frequency="Fortnightly", DATE(YEAR(L1025), MONTH(L1025), DAY(L1025) + 14),
    Payment_Frequency="Quarterly", DATE(YEAR(L1025), MONTH(L1025) + 3, DAY(L1025)),
    Payment_Frequency="Yearly", DATE(YEAR(L1025) + 1, MONTH(L1025), DAY(L1025)),
    TRUE, ""
)</f>
        <v/>
      </c>
      <c r="M1026" s="1853">
        <f>IF(ISERROR(L1026-L1025),0,L1026-L1025)</f>
        <v>0</v>
      </c>
      <c r="N1026" s="1851" cm="1">
        <f t="array" ref="N1026">_xlfn.IFS(
    AND(I1026=TRUE, K1026&lt;=No_Regular_Payments), Repay_Amt,
    AND(I1026=TRUE, K1026=No_Regular_Payments+1), Tm_Balloon_Amt,
   TRUE, 0
)</f>
        <v>0</v>
      </c>
      <c r="O1026" s="1850" cm="1">
        <f t="array" ref="O1026">_xlfn.IFS(
    M1026=0,0,
   ABS(N1026 - S1025 - P1026-Q1026) &lt; 1, N1026 - S1025-Q1026,
    TRUE, P1026
)</f>
        <v>0</v>
      </c>
      <c r="P1026" s="1852">
        <f>IF(M1026=0,0,ROUND(S1025*EXP(Int_Rate/365.25 * M1026)-S1025,2))</f>
        <v>0</v>
      </c>
      <c r="Q1026" s="1851" cm="1">
        <f t="array" ref="Q1026">_xlfn.IFS(
    AND(I1026=TRUE, K1026&lt;=No_Regular_Payments), Periodic_Admin_Charge,
   TRUE, 0
)</f>
        <v>0</v>
      </c>
      <c r="R1026" s="1850">
        <f>N1026-O1026-Q1026</f>
        <v>0</v>
      </c>
      <c r="S1026" s="1850">
        <f>ROUND(S1025-R1026,2)</f>
        <v>0</v>
      </c>
      <c r="T1026" s="1850">
        <f>ROUND(T1025-(N1026-Q1026),2)</f>
        <v>0</v>
      </c>
      <c r="U1026" s="1849"/>
      <c r="W1026" s="1848"/>
      <c r="X1026" s="1848"/>
      <c r="Y1026" s="1848"/>
    </row>
    <row r="1027" spans="2:25" hidden="1">
      <c r="B1027" s="1815" t="b">
        <f>AND(I1027=FALSE,N1026=0,Q1026=0,L1026="")</f>
        <v>1</v>
      </c>
      <c r="C1027" s="1844" t="str" cm="1">
        <f t="array" ref="C1027">_xlfn.IFS(
    L1027="", "",
    MONTH(L1027) &lt;= End_of_Year_Month, YEAR(L1027),
    TRUE, YEAR(L1027) + 1
)</f>
        <v/>
      </c>
      <c r="F1027" s="1857">
        <f>IF(L1027="",0,L1027)</f>
        <v>0</v>
      </c>
      <c r="G1027" s="1856">
        <f>-(N1027-Q1027)</f>
        <v>0</v>
      </c>
      <c r="I1027" s="1815" t="b">
        <f>K1027&lt;=Number_Payments</f>
        <v>0</v>
      </c>
      <c r="J1027" s="1855"/>
      <c r="K1027" s="1351">
        <f>K1026+1</f>
        <v>901</v>
      </c>
      <c r="L1027" s="1854" t="str" cm="1">
        <f t="array" ref="L1027">_xlfn.IFS(
    I1026=FALSE, "",
    Payment_Frequency="Monthly", EDATE(L1026, 1),
    Payment_Frequency="Weekly", DATE(YEAR(L1026), MONTH(L1026), DAY(L1026) + 7),
    Payment_Frequency="Fortnightly", DATE(YEAR(L1026), MONTH(L1026), DAY(L1026) + 14),
    Payment_Frequency="Quarterly", DATE(YEAR(L1026), MONTH(L1026) + 3, DAY(L1026)),
    Payment_Frequency="Yearly", DATE(YEAR(L1026) + 1, MONTH(L1026), DAY(L1026)),
    TRUE, ""
)</f>
        <v/>
      </c>
      <c r="M1027" s="1853">
        <f>IF(ISERROR(L1027-L1026),0,L1027-L1026)</f>
        <v>0</v>
      </c>
      <c r="N1027" s="1851" cm="1">
        <f t="array" ref="N1027">_xlfn.IFS(
    AND(I1027=TRUE, K1027&lt;=No_Regular_Payments), Repay_Amt,
    AND(I1027=TRUE, K1027=No_Regular_Payments+1), Tm_Balloon_Amt,
   TRUE, 0
)</f>
        <v>0</v>
      </c>
      <c r="O1027" s="1850" cm="1">
        <f t="array" ref="O1027">_xlfn.IFS(
    M1027=0,0,
   ABS(N1027 - S1026 - P1027-Q1027) &lt; 1, N1027 - S1026-Q1027,
    TRUE, P1027
)</f>
        <v>0</v>
      </c>
      <c r="P1027" s="1852">
        <f>IF(M1027=0,0,ROUND(S1026*EXP(Int_Rate/365.25 * M1027)-S1026,2))</f>
        <v>0</v>
      </c>
      <c r="Q1027" s="1851" cm="1">
        <f t="array" ref="Q1027">_xlfn.IFS(
    AND(I1027=TRUE, K1027&lt;=No_Regular_Payments), Periodic_Admin_Charge,
   TRUE, 0
)</f>
        <v>0</v>
      </c>
      <c r="R1027" s="1850">
        <f>N1027-O1027-Q1027</f>
        <v>0</v>
      </c>
      <c r="S1027" s="1850">
        <f>ROUND(S1026-R1027,2)</f>
        <v>0</v>
      </c>
      <c r="T1027" s="1850">
        <f>ROUND(T1026-(N1027-Q1027),2)</f>
        <v>0</v>
      </c>
      <c r="U1027" s="1849"/>
      <c r="W1027" s="1848"/>
      <c r="X1027" s="1848"/>
      <c r="Y1027" s="1848"/>
    </row>
    <row r="1028" spans="2:25" hidden="1">
      <c r="B1028" s="1815" t="b">
        <f>AND(I1028=FALSE,N1027=0,Q1027=0,L1027="")</f>
        <v>1</v>
      </c>
      <c r="C1028" s="1844" t="str" cm="1">
        <f t="array" ref="C1028">_xlfn.IFS(
    L1028="", "",
    MONTH(L1028) &lt;= End_of_Year_Month, YEAR(L1028),
    TRUE, YEAR(L1028) + 1
)</f>
        <v/>
      </c>
      <c r="F1028" s="1857">
        <f>IF(L1028="",0,L1028)</f>
        <v>0</v>
      </c>
      <c r="G1028" s="1856">
        <f>-(N1028-Q1028)</f>
        <v>0</v>
      </c>
      <c r="I1028" s="1815" t="b">
        <f>K1028&lt;=Number_Payments</f>
        <v>0</v>
      </c>
      <c r="J1028" s="1855"/>
      <c r="K1028" s="1351">
        <f>K1027+1</f>
        <v>902</v>
      </c>
      <c r="L1028" s="1854" t="str" cm="1">
        <f t="array" ref="L1028">_xlfn.IFS(
    I1027=FALSE, "",
    Payment_Frequency="Monthly", EDATE(L1027, 1),
    Payment_Frequency="Weekly", DATE(YEAR(L1027), MONTH(L1027), DAY(L1027) + 7),
    Payment_Frequency="Fortnightly", DATE(YEAR(L1027), MONTH(L1027), DAY(L1027) + 14),
    Payment_Frequency="Quarterly", DATE(YEAR(L1027), MONTH(L1027) + 3, DAY(L1027)),
    Payment_Frequency="Yearly", DATE(YEAR(L1027) + 1, MONTH(L1027), DAY(L1027)),
    TRUE, ""
)</f>
        <v/>
      </c>
      <c r="M1028" s="1853">
        <f>IF(ISERROR(L1028-L1027),0,L1028-L1027)</f>
        <v>0</v>
      </c>
      <c r="N1028" s="1851" cm="1">
        <f t="array" ref="N1028">_xlfn.IFS(
    AND(I1028=TRUE, K1028&lt;=No_Regular_Payments), Repay_Amt,
    AND(I1028=TRUE, K1028=No_Regular_Payments+1), Tm_Balloon_Amt,
   TRUE, 0
)</f>
        <v>0</v>
      </c>
      <c r="O1028" s="1850" cm="1">
        <f t="array" ref="O1028">_xlfn.IFS(
    M1028=0,0,
   ABS(N1028 - S1027 - P1028-Q1028) &lt; 1, N1028 - S1027-Q1028,
    TRUE, P1028
)</f>
        <v>0</v>
      </c>
      <c r="P1028" s="1852">
        <f>IF(M1028=0,0,ROUND(S1027*EXP(Int_Rate/365.25 * M1028)-S1027,2))</f>
        <v>0</v>
      </c>
      <c r="Q1028" s="1851" cm="1">
        <f t="array" ref="Q1028">_xlfn.IFS(
    AND(I1028=TRUE, K1028&lt;=No_Regular_Payments), Periodic_Admin_Charge,
   TRUE, 0
)</f>
        <v>0</v>
      </c>
      <c r="R1028" s="1850">
        <f>N1028-O1028-Q1028</f>
        <v>0</v>
      </c>
      <c r="S1028" s="1850">
        <f>ROUND(S1027-R1028,2)</f>
        <v>0</v>
      </c>
      <c r="T1028" s="1850">
        <f>ROUND(T1027-(N1028-Q1028),2)</f>
        <v>0</v>
      </c>
      <c r="U1028" s="1849"/>
      <c r="W1028" s="1848"/>
      <c r="X1028" s="1848"/>
      <c r="Y1028" s="1848"/>
    </row>
    <row r="1029" spans="2:25" hidden="1">
      <c r="B1029" s="1815" t="b">
        <f>AND(I1029=FALSE,N1028=0,Q1028=0,L1028="")</f>
        <v>1</v>
      </c>
      <c r="C1029" s="1844" t="str" cm="1">
        <f t="array" ref="C1029">_xlfn.IFS(
    L1029="", "",
    MONTH(L1029) &lt;= End_of_Year_Month, YEAR(L1029),
    TRUE, YEAR(L1029) + 1
)</f>
        <v/>
      </c>
      <c r="F1029" s="1857">
        <f>IF(L1029="",0,L1029)</f>
        <v>0</v>
      </c>
      <c r="G1029" s="1856">
        <f>-(N1029-Q1029)</f>
        <v>0</v>
      </c>
      <c r="I1029" s="1815" t="b">
        <f>K1029&lt;=Number_Payments</f>
        <v>0</v>
      </c>
      <c r="J1029" s="1855"/>
      <c r="K1029" s="1351">
        <f>K1028+1</f>
        <v>903</v>
      </c>
      <c r="L1029" s="1854" t="str" cm="1">
        <f t="array" ref="L1029">_xlfn.IFS(
    I1028=FALSE, "",
    Payment_Frequency="Monthly", EDATE(L1028, 1),
    Payment_Frequency="Weekly", DATE(YEAR(L1028), MONTH(L1028), DAY(L1028) + 7),
    Payment_Frequency="Fortnightly", DATE(YEAR(L1028), MONTH(L1028), DAY(L1028) + 14),
    Payment_Frequency="Quarterly", DATE(YEAR(L1028), MONTH(L1028) + 3, DAY(L1028)),
    Payment_Frequency="Yearly", DATE(YEAR(L1028) + 1, MONTH(L1028), DAY(L1028)),
    TRUE, ""
)</f>
        <v/>
      </c>
      <c r="M1029" s="1853">
        <f>IF(ISERROR(L1029-L1028),0,L1029-L1028)</f>
        <v>0</v>
      </c>
      <c r="N1029" s="1851" cm="1">
        <f t="array" ref="N1029">_xlfn.IFS(
    AND(I1029=TRUE, K1029&lt;=No_Regular_Payments), Repay_Amt,
    AND(I1029=TRUE, K1029=No_Regular_Payments+1), Tm_Balloon_Amt,
   TRUE, 0
)</f>
        <v>0</v>
      </c>
      <c r="O1029" s="1850" cm="1">
        <f t="array" ref="O1029">_xlfn.IFS(
    M1029=0,0,
   ABS(N1029 - S1028 - P1029-Q1029) &lt; 1, N1029 - S1028-Q1029,
    TRUE, P1029
)</f>
        <v>0</v>
      </c>
      <c r="P1029" s="1852">
        <f>IF(M1029=0,0,ROUND(S1028*EXP(Int_Rate/365.25 * M1029)-S1028,2))</f>
        <v>0</v>
      </c>
      <c r="Q1029" s="1851" cm="1">
        <f t="array" ref="Q1029">_xlfn.IFS(
    AND(I1029=TRUE, K1029&lt;=No_Regular_Payments), Periodic_Admin_Charge,
   TRUE, 0
)</f>
        <v>0</v>
      </c>
      <c r="R1029" s="1850">
        <f>N1029-O1029-Q1029</f>
        <v>0</v>
      </c>
      <c r="S1029" s="1850">
        <f>ROUND(S1028-R1029,2)</f>
        <v>0</v>
      </c>
      <c r="T1029" s="1850">
        <f>ROUND(T1028-(N1029-Q1029),2)</f>
        <v>0</v>
      </c>
      <c r="U1029" s="1849"/>
      <c r="W1029" s="1848"/>
      <c r="X1029" s="1848"/>
      <c r="Y1029" s="1848"/>
    </row>
    <row r="1030" spans="2:25" hidden="1">
      <c r="B1030" s="1815" t="b">
        <f>AND(I1030=FALSE,N1029=0,Q1029=0,L1029="")</f>
        <v>1</v>
      </c>
      <c r="C1030" s="1844" t="str" cm="1">
        <f t="array" ref="C1030">_xlfn.IFS(
    L1030="", "",
    MONTH(L1030) &lt;= End_of_Year_Month, YEAR(L1030),
    TRUE, YEAR(L1030) + 1
)</f>
        <v/>
      </c>
      <c r="F1030" s="1857">
        <f>IF(L1030="",0,L1030)</f>
        <v>0</v>
      </c>
      <c r="G1030" s="1856">
        <f>-(N1030-Q1030)</f>
        <v>0</v>
      </c>
      <c r="I1030" s="1815" t="b">
        <f>K1030&lt;=Number_Payments</f>
        <v>0</v>
      </c>
      <c r="J1030" s="1855"/>
      <c r="K1030" s="1351">
        <f>K1029+1</f>
        <v>904</v>
      </c>
      <c r="L1030" s="1854" t="str" cm="1">
        <f t="array" ref="L1030">_xlfn.IFS(
    I1029=FALSE, "",
    Payment_Frequency="Monthly", EDATE(L1029, 1),
    Payment_Frequency="Weekly", DATE(YEAR(L1029), MONTH(L1029), DAY(L1029) + 7),
    Payment_Frequency="Fortnightly", DATE(YEAR(L1029), MONTH(L1029), DAY(L1029) + 14),
    Payment_Frequency="Quarterly", DATE(YEAR(L1029), MONTH(L1029) + 3, DAY(L1029)),
    Payment_Frequency="Yearly", DATE(YEAR(L1029) + 1, MONTH(L1029), DAY(L1029)),
    TRUE, ""
)</f>
        <v/>
      </c>
      <c r="M1030" s="1853">
        <f>IF(ISERROR(L1030-L1029),0,L1030-L1029)</f>
        <v>0</v>
      </c>
      <c r="N1030" s="1851" cm="1">
        <f t="array" ref="N1030">_xlfn.IFS(
    AND(I1030=TRUE, K1030&lt;=No_Regular_Payments), Repay_Amt,
    AND(I1030=TRUE, K1030=No_Regular_Payments+1), Tm_Balloon_Amt,
   TRUE, 0
)</f>
        <v>0</v>
      </c>
      <c r="O1030" s="1850" cm="1">
        <f t="array" ref="O1030">_xlfn.IFS(
    M1030=0,0,
   ABS(N1030 - S1029 - P1030-Q1030) &lt; 1, N1030 - S1029-Q1030,
    TRUE, P1030
)</f>
        <v>0</v>
      </c>
      <c r="P1030" s="1852">
        <f>IF(M1030=0,0,ROUND(S1029*EXP(Int_Rate/365.25 * M1030)-S1029,2))</f>
        <v>0</v>
      </c>
      <c r="Q1030" s="1851" cm="1">
        <f t="array" ref="Q1030">_xlfn.IFS(
    AND(I1030=TRUE, K1030&lt;=No_Regular_Payments), Periodic_Admin_Charge,
   TRUE, 0
)</f>
        <v>0</v>
      </c>
      <c r="R1030" s="1850">
        <f>N1030-O1030-Q1030</f>
        <v>0</v>
      </c>
      <c r="S1030" s="1850">
        <f>ROUND(S1029-R1030,2)</f>
        <v>0</v>
      </c>
      <c r="T1030" s="1850">
        <f>ROUND(T1029-(N1030-Q1030),2)</f>
        <v>0</v>
      </c>
      <c r="U1030" s="1849"/>
      <c r="W1030" s="1848"/>
      <c r="X1030" s="1848"/>
      <c r="Y1030" s="1848"/>
    </row>
    <row r="1031" spans="2:25" hidden="1">
      <c r="B1031" s="1815" t="b">
        <f>AND(I1031=FALSE,N1030=0,Q1030=0,L1030="")</f>
        <v>1</v>
      </c>
      <c r="C1031" s="1844" t="str" cm="1">
        <f t="array" ref="C1031">_xlfn.IFS(
    L1031="", "",
    MONTH(L1031) &lt;= End_of_Year_Month, YEAR(L1031),
    TRUE, YEAR(L1031) + 1
)</f>
        <v/>
      </c>
      <c r="F1031" s="1857">
        <f>IF(L1031="",0,L1031)</f>
        <v>0</v>
      </c>
      <c r="G1031" s="1856">
        <f>-(N1031-Q1031)</f>
        <v>0</v>
      </c>
      <c r="I1031" s="1815" t="b">
        <f>K1031&lt;=Number_Payments</f>
        <v>0</v>
      </c>
      <c r="J1031" s="1855"/>
      <c r="K1031" s="1351">
        <f>K1030+1</f>
        <v>905</v>
      </c>
      <c r="L1031" s="1854" t="str" cm="1">
        <f t="array" ref="L1031">_xlfn.IFS(
    I1030=FALSE, "",
    Payment_Frequency="Monthly", EDATE(L1030, 1),
    Payment_Frequency="Weekly", DATE(YEAR(L1030), MONTH(L1030), DAY(L1030) + 7),
    Payment_Frequency="Fortnightly", DATE(YEAR(L1030), MONTH(L1030), DAY(L1030) + 14),
    Payment_Frequency="Quarterly", DATE(YEAR(L1030), MONTH(L1030) + 3, DAY(L1030)),
    Payment_Frequency="Yearly", DATE(YEAR(L1030) + 1, MONTH(L1030), DAY(L1030)),
    TRUE, ""
)</f>
        <v/>
      </c>
      <c r="M1031" s="1853">
        <f>IF(ISERROR(L1031-L1030),0,L1031-L1030)</f>
        <v>0</v>
      </c>
      <c r="N1031" s="1851" cm="1">
        <f t="array" ref="N1031">_xlfn.IFS(
    AND(I1031=TRUE, K1031&lt;=No_Regular_Payments), Repay_Amt,
    AND(I1031=TRUE, K1031=No_Regular_Payments+1), Tm_Balloon_Amt,
   TRUE, 0
)</f>
        <v>0</v>
      </c>
      <c r="O1031" s="1850" cm="1">
        <f t="array" ref="O1031">_xlfn.IFS(
    M1031=0,0,
   ABS(N1031 - S1030 - P1031-Q1031) &lt; 1, N1031 - S1030-Q1031,
    TRUE, P1031
)</f>
        <v>0</v>
      </c>
      <c r="P1031" s="1852">
        <f>IF(M1031=0,0,ROUND(S1030*EXP(Int_Rate/365.25 * M1031)-S1030,2))</f>
        <v>0</v>
      </c>
      <c r="Q1031" s="1851" cm="1">
        <f t="array" ref="Q1031">_xlfn.IFS(
    AND(I1031=TRUE, K1031&lt;=No_Regular_Payments), Periodic_Admin_Charge,
   TRUE, 0
)</f>
        <v>0</v>
      </c>
      <c r="R1031" s="1850">
        <f>N1031-O1031-Q1031</f>
        <v>0</v>
      </c>
      <c r="S1031" s="1850">
        <f>ROUND(S1030-R1031,2)</f>
        <v>0</v>
      </c>
      <c r="T1031" s="1850">
        <f>ROUND(T1030-(N1031-Q1031),2)</f>
        <v>0</v>
      </c>
      <c r="U1031" s="1849"/>
      <c r="W1031" s="1848"/>
      <c r="X1031" s="1848"/>
      <c r="Y1031" s="1848"/>
    </row>
    <row r="1032" spans="2:25" hidden="1">
      <c r="B1032" s="1815" t="b">
        <f>AND(I1032=FALSE,N1031=0,Q1031=0,L1031="")</f>
        <v>1</v>
      </c>
      <c r="C1032" s="1844" t="str" cm="1">
        <f t="array" ref="C1032">_xlfn.IFS(
    L1032="", "",
    MONTH(L1032) &lt;= End_of_Year_Month, YEAR(L1032),
    TRUE, YEAR(L1032) + 1
)</f>
        <v/>
      </c>
      <c r="F1032" s="1857">
        <f>IF(L1032="",0,L1032)</f>
        <v>0</v>
      </c>
      <c r="G1032" s="1856">
        <f>-(N1032-Q1032)</f>
        <v>0</v>
      </c>
      <c r="I1032" s="1815" t="b">
        <f>K1032&lt;=Number_Payments</f>
        <v>0</v>
      </c>
      <c r="J1032" s="1855"/>
      <c r="K1032" s="1351">
        <f>K1031+1</f>
        <v>906</v>
      </c>
      <c r="L1032" s="1854" t="str" cm="1">
        <f t="array" ref="L1032">_xlfn.IFS(
    I1031=FALSE, "",
    Payment_Frequency="Monthly", EDATE(L1031, 1),
    Payment_Frequency="Weekly", DATE(YEAR(L1031), MONTH(L1031), DAY(L1031) + 7),
    Payment_Frequency="Fortnightly", DATE(YEAR(L1031), MONTH(L1031), DAY(L1031) + 14),
    Payment_Frequency="Quarterly", DATE(YEAR(L1031), MONTH(L1031) + 3, DAY(L1031)),
    Payment_Frequency="Yearly", DATE(YEAR(L1031) + 1, MONTH(L1031), DAY(L1031)),
    TRUE, ""
)</f>
        <v/>
      </c>
      <c r="M1032" s="1853">
        <f>IF(ISERROR(L1032-L1031),0,L1032-L1031)</f>
        <v>0</v>
      </c>
      <c r="N1032" s="1851" cm="1">
        <f t="array" ref="N1032">_xlfn.IFS(
    AND(I1032=TRUE, K1032&lt;=No_Regular_Payments), Repay_Amt,
    AND(I1032=TRUE, K1032=No_Regular_Payments+1), Tm_Balloon_Amt,
   TRUE, 0
)</f>
        <v>0</v>
      </c>
      <c r="O1032" s="1850" cm="1">
        <f t="array" ref="O1032">_xlfn.IFS(
    M1032=0,0,
   ABS(N1032 - S1031 - P1032-Q1032) &lt; 1, N1032 - S1031-Q1032,
    TRUE, P1032
)</f>
        <v>0</v>
      </c>
      <c r="P1032" s="1852">
        <f>IF(M1032=0,0,ROUND(S1031*EXP(Int_Rate/365.25 * M1032)-S1031,2))</f>
        <v>0</v>
      </c>
      <c r="Q1032" s="1851" cm="1">
        <f t="array" ref="Q1032">_xlfn.IFS(
    AND(I1032=TRUE, K1032&lt;=No_Regular_Payments), Periodic_Admin_Charge,
   TRUE, 0
)</f>
        <v>0</v>
      </c>
      <c r="R1032" s="1850">
        <f>N1032-O1032-Q1032</f>
        <v>0</v>
      </c>
      <c r="S1032" s="1850">
        <f>ROUND(S1031-R1032,2)</f>
        <v>0</v>
      </c>
      <c r="T1032" s="1850">
        <f>ROUND(T1031-(N1032-Q1032),2)</f>
        <v>0</v>
      </c>
      <c r="U1032" s="1849"/>
      <c r="W1032" s="1848"/>
      <c r="X1032" s="1848"/>
      <c r="Y1032" s="1848"/>
    </row>
    <row r="1033" spans="2:25" hidden="1">
      <c r="B1033" s="1815" t="b">
        <f>AND(I1033=FALSE,N1032=0,Q1032=0,L1032="")</f>
        <v>1</v>
      </c>
      <c r="C1033" s="1844" t="str" cm="1">
        <f t="array" ref="C1033">_xlfn.IFS(
    L1033="", "",
    MONTH(L1033) &lt;= End_of_Year_Month, YEAR(L1033),
    TRUE, YEAR(L1033) + 1
)</f>
        <v/>
      </c>
      <c r="F1033" s="1857">
        <f>IF(L1033="",0,L1033)</f>
        <v>0</v>
      </c>
      <c r="G1033" s="1856">
        <f>-(N1033-Q1033)</f>
        <v>0</v>
      </c>
      <c r="I1033" s="1815" t="b">
        <f>K1033&lt;=Number_Payments</f>
        <v>0</v>
      </c>
      <c r="J1033" s="1855"/>
      <c r="K1033" s="1351">
        <f>K1032+1</f>
        <v>907</v>
      </c>
      <c r="L1033" s="1854" t="str" cm="1">
        <f t="array" ref="L1033">_xlfn.IFS(
    I1032=FALSE, "",
    Payment_Frequency="Monthly", EDATE(L1032, 1),
    Payment_Frequency="Weekly", DATE(YEAR(L1032), MONTH(L1032), DAY(L1032) + 7),
    Payment_Frequency="Fortnightly", DATE(YEAR(L1032), MONTH(L1032), DAY(L1032) + 14),
    Payment_Frequency="Quarterly", DATE(YEAR(L1032), MONTH(L1032) + 3, DAY(L1032)),
    Payment_Frequency="Yearly", DATE(YEAR(L1032) + 1, MONTH(L1032), DAY(L1032)),
    TRUE, ""
)</f>
        <v/>
      </c>
      <c r="M1033" s="1853">
        <f>IF(ISERROR(L1033-L1032),0,L1033-L1032)</f>
        <v>0</v>
      </c>
      <c r="N1033" s="1851" cm="1">
        <f t="array" ref="N1033">_xlfn.IFS(
    AND(I1033=TRUE, K1033&lt;=No_Regular_Payments), Repay_Amt,
    AND(I1033=TRUE, K1033=No_Regular_Payments+1), Tm_Balloon_Amt,
   TRUE, 0
)</f>
        <v>0</v>
      </c>
      <c r="O1033" s="1850" cm="1">
        <f t="array" ref="O1033">_xlfn.IFS(
    M1033=0,0,
   ABS(N1033 - S1032 - P1033-Q1033) &lt; 1, N1033 - S1032-Q1033,
    TRUE, P1033
)</f>
        <v>0</v>
      </c>
      <c r="P1033" s="1852">
        <f>IF(M1033=0,0,ROUND(S1032*EXP(Int_Rate/365.25 * M1033)-S1032,2))</f>
        <v>0</v>
      </c>
      <c r="Q1033" s="1851" cm="1">
        <f t="array" ref="Q1033">_xlfn.IFS(
    AND(I1033=TRUE, K1033&lt;=No_Regular_Payments), Periodic_Admin_Charge,
   TRUE, 0
)</f>
        <v>0</v>
      </c>
      <c r="R1033" s="1850">
        <f>N1033-O1033-Q1033</f>
        <v>0</v>
      </c>
      <c r="S1033" s="1850">
        <f>ROUND(S1032-R1033,2)</f>
        <v>0</v>
      </c>
      <c r="T1033" s="1850">
        <f>ROUND(T1032-(N1033-Q1033),2)</f>
        <v>0</v>
      </c>
      <c r="U1033" s="1849"/>
      <c r="W1033" s="1848"/>
      <c r="X1033" s="1848"/>
      <c r="Y1033" s="1848"/>
    </row>
    <row r="1034" spans="2:25" hidden="1">
      <c r="B1034" s="1815" t="b">
        <f>AND(I1034=FALSE,N1033=0,Q1033=0,L1033="")</f>
        <v>1</v>
      </c>
      <c r="C1034" s="1844" t="str" cm="1">
        <f t="array" ref="C1034">_xlfn.IFS(
    L1034="", "",
    MONTH(L1034) &lt;= End_of_Year_Month, YEAR(L1034),
    TRUE, YEAR(L1034) + 1
)</f>
        <v/>
      </c>
      <c r="F1034" s="1857">
        <f>IF(L1034="",0,L1034)</f>
        <v>0</v>
      </c>
      <c r="G1034" s="1856">
        <f>-(N1034-Q1034)</f>
        <v>0</v>
      </c>
      <c r="I1034" s="1815" t="b">
        <f>K1034&lt;=Number_Payments</f>
        <v>0</v>
      </c>
      <c r="J1034" s="1855"/>
      <c r="K1034" s="1351">
        <f>K1033+1</f>
        <v>908</v>
      </c>
      <c r="L1034" s="1854" t="str" cm="1">
        <f t="array" ref="L1034">_xlfn.IFS(
    I1033=FALSE, "",
    Payment_Frequency="Monthly", EDATE(L1033, 1),
    Payment_Frequency="Weekly", DATE(YEAR(L1033), MONTH(L1033), DAY(L1033) + 7),
    Payment_Frequency="Fortnightly", DATE(YEAR(L1033), MONTH(L1033), DAY(L1033) + 14),
    Payment_Frequency="Quarterly", DATE(YEAR(L1033), MONTH(L1033) + 3, DAY(L1033)),
    Payment_Frequency="Yearly", DATE(YEAR(L1033) + 1, MONTH(L1033), DAY(L1033)),
    TRUE, ""
)</f>
        <v/>
      </c>
      <c r="M1034" s="1853">
        <f>IF(ISERROR(L1034-L1033),0,L1034-L1033)</f>
        <v>0</v>
      </c>
      <c r="N1034" s="1851" cm="1">
        <f t="array" ref="N1034">_xlfn.IFS(
    AND(I1034=TRUE, K1034&lt;=No_Regular_Payments), Repay_Amt,
    AND(I1034=TRUE, K1034=No_Regular_Payments+1), Tm_Balloon_Amt,
   TRUE, 0
)</f>
        <v>0</v>
      </c>
      <c r="O1034" s="1850" cm="1">
        <f t="array" ref="O1034">_xlfn.IFS(
    M1034=0,0,
   ABS(N1034 - S1033 - P1034-Q1034) &lt; 1, N1034 - S1033-Q1034,
    TRUE, P1034
)</f>
        <v>0</v>
      </c>
      <c r="P1034" s="1852">
        <f>IF(M1034=0,0,ROUND(S1033*EXP(Int_Rate/365.25 * M1034)-S1033,2))</f>
        <v>0</v>
      </c>
      <c r="Q1034" s="1851" cm="1">
        <f t="array" ref="Q1034">_xlfn.IFS(
    AND(I1034=TRUE, K1034&lt;=No_Regular_Payments), Periodic_Admin_Charge,
   TRUE, 0
)</f>
        <v>0</v>
      </c>
      <c r="R1034" s="1850">
        <f>N1034-O1034-Q1034</f>
        <v>0</v>
      </c>
      <c r="S1034" s="1850">
        <f>ROUND(S1033-R1034,2)</f>
        <v>0</v>
      </c>
      <c r="T1034" s="1850">
        <f>ROUND(T1033-(N1034-Q1034),2)</f>
        <v>0</v>
      </c>
      <c r="U1034" s="1849"/>
      <c r="W1034" s="1848"/>
      <c r="X1034" s="1848"/>
      <c r="Y1034" s="1848"/>
    </row>
    <row r="1035" spans="2:25" hidden="1">
      <c r="B1035" s="1815" t="b">
        <f>AND(I1035=FALSE,N1034=0,Q1034=0,L1034="")</f>
        <v>1</v>
      </c>
      <c r="C1035" s="1844" t="str" cm="1">
        <f t="array" ref="C1035">_xlfn.IFS(
    L1035="", "",
    MONTH(L1035) &lt;= End_of_Year_Month, YEAR(L1035),
    TRUE, YEAR(L1035) + 1
)</f>
        <v/>
      </c>
      <c r="F1035" s="1857">
        <f>IF(L1035="",0,L1035)</f>
        <v>0</v>
      </c>
      <c r="G1035" s="1856">
        <f>-(N1035-Q1035)</f>
        <v>0</v>
      </c>
      <c r="I1035" s="1815" t="b">
        <f>K1035&lt;=Number_Payments</f>
        <v>0</v>
      </c>
      <c r="J1035" s="1855"/>
      <c r="K1035" s="1351">
        <f>K1034+1</f>
        <v>909</v>
      </c>
      <c r="L1035" s="1854" t="str" cm="1">
        <f t="array" ref="L1035">_xlfn.IFS(
    I1034=FALSE, "",
    Payment_Frequency="Monthly", EDATE(L1034, 1),
    Payment_Frequency="Weekly", DATE(YEAR(L1034), MONTH(L1034), DAY(L1034) + 7),
    Payment_Frequency="Fortnightly", DATE(YEAR(L1034), MONTH(L1034), DAY(L1034) + 14),
    Payment_Frequency="Quarterly", DATE(YEAR(L1034), MONTH(L1034) + 3, DAY(L1034)),
    Payment_Frequency="Yearly", DATE(YEAR(L1034) + 1, MONTH(L1034), DAY(L1034)),
    TRUE, ""
)</f>
        <v/>
      </c>
      <c r="M1035" s="1853">
        <f>IF(ISERROR(L1035-L1034),0,L1035-L1034)</f>
        <v>0</v>
      </c>
      <c r="N1035" s="1851" cm="1">
        <f t="array" ref="N1035">_xlfn.IFS(
    AND(I1035=TRUE, K1035&lt;=No_Regular_Payments), Repay_Amt,
    AND(I1035=TRUE, K1035=No_Regular_Payments+1), Tm_Balloon_Amt,
   TRUE, 0
)</f>
        <v>0</v>
      </c>
      <c r="O1035" s="1850" cm="1">
        <f t="array" ref="O1035">_xlfn.IFS(
    M1035=0,0,
   ABS(N1035 - S1034 - P1035-Q1035) &lt; 1, N1035 - S1034-Q1035,
    TRUE, P1035
)</f>
        <v>0</v>
      </c>
      <c r="P1035" s="1852">
        <f>IF(M1035=0,0,ROUND(S1034*EXP(Int_Rate/365.25 * M1035)-S1034,2))</f>
        <v>0</v>
      </c>
      <c r="Q1035" s="1851" cm="1">
        <f t="array" ref="Q1035">_xlfn.IFS(
    AND(I1035=TRUE, K1035&lt;=No_Regular_Payments), Periodic_Admin_Charge,
   TRUE, 0
)</f>
        <v>0</v>
      </c>
      <c r="R1035" s="1850">
        <f>N1035-O1035-Q1035</f>
        <v>0</v>
      </c>
      <c r="S1035" s="1850">
        <f>ROUND(S1034-R1035,2)</f>
        <v>0</v>
      </c>
      <c r="T1035" s="1850">
        <f>ROUND(T1034-(N1035-Q1035),2)</f>
        <v>0</v>
      </c>
      <c r="U1035" s="1849"/>
      <c r="W1035" s="1848"/>
      <c r="X1035" s="1848"/>
      <c r="Y1035" s="1848"/>
    </row>
    <row r="1036" spans="2:25" hidden="1">
      <c r="B1036" s="1815" t="b">
        <f>AND(I1036=FALSE,N1035=0,Q1035=0,L1035="")</f>
        <v>1</v>
      </c>
      <c r="C1036" s="1844" t="str" cm="1">
        <f t="array" ref="C1036">_xlfn.IFS(
    L1036="", "",
    MONTH(L1036) &lt;= End_of_Year_Month, YEAR(L1036),
    TRUE, YEAR(L1036) + 1
)</f>
        <v/>
      </c>
      <c r="F1036" s="1857">
        <f>IF(L1036="",0,L1036)</f>
        <v>0</v>
      </c>
      <c r="G1036" s="1856">
        <f>-(N1036-Q1036)</f>
        <v>0</v>
      </c>
      <c r="I1036" s="1815" t="b">
        <f>K1036&lt;=Number_Payments</f>
        <v>0</v>
      </c>
      <c r="J1036" s="1855"/>
      <c r="K1036" s="1351">
        <f>K1035+1</f>
        <v>910</v>
      </c>
      <c r="L1036" s="1854" t="str" cm="1">
        <f t="array" ref="L1036">_xlfn.IFS(
    I1035=FALSE, "",
    Payment_Frequency="Monthly", EDATE(L1035, 1),
    Payment_Frequency="Weekly", DATE(YEAR(L1035), MONTH(L1035), DAY(L1035) + 7),
    Payment_Frequency="Fortnightly", DATE(YEAR(L1035), MONTH(L1035), DAY(L1035) + 14),
    Payment_Frequency="Quarterly", DATE(YEAR(L1035), MONTH(L1035) + 3, DAY(L1035)),
    Payment_Frequency="Yearly", DATE(YEAR(L1035) + 1, MONTH(L1035), DAY(L1035)),
    TRUE, ""
)</f>
        <v/>
      </c>
      <c r="M1036" s="1853">
        <f>IF(ISERROR(L1036-L1035),0,L1036-L1035)</f>
        <v>0</v>
      </c>
      <c r="N1036" s="1851" cm="1">
        <f t="array" ref="N1036">_xlfn.IFS(
    AND(I1036=TRUE, K1036&lt;=No_Regular_Payments), Repay_Amt,
    AND(I1036=TRUE, K1036=No_Regular_Payments+1), Tm_Balloon_Amt,
   TRUE, 0
)</f>
        <v>0</v>
      </c>
      <c r="O1036" s="1850" cm="1">
        <f t="array" ref="O1036">_xlfn.IFS(
    M1036=0,0,
   ABS(N1036 - S1035 - P1036-Q1036) &lt; 1, N1036 - S1035-Q1036,
    TRUE, P1036
)</f>
        <v>0</v>
      </c>
      <c r="P1036" s="1852">
        <f>IF(M1036=0,0,ROUND(S1035*EXP(Int_Rate/365.25 * M1036)-S1035,2))</f>
        <v>0</v>
      </c>
      <c r="Q1036" s="1851" cm="1">
        <f t="array" ref="Q1036">_xlfn.IFS(
    AND(I1036=TRUE, K1036&lt;=No_Regular_Payments), Periodic_Admin_Charge,
   TRUE, 0
)</f>
        <v>0</v>
      </c>
      <c r="R1036" s="1850">
        <f>N1036-O1036-Q1036</f>
        <v>0</v>
      </c>
      <c r="S1036" s="1850">
        <f>ROUND(S1035-R1036,2)</f>
        <v>0</v>
      </c>
      <c r="T1036" s="1850">
        <f>ROUND(T1035-(N1036-Q1036),2)</f>
        <v>0</v>
      </c>
      <c r="U1036" s="1849"/>
      <c r="W1036" s="1848"/>
      <c r="X1036" s="1848"/>
      <c r="Y1036" s="1848"/>
    </row>
    <row r="1037" spans="2:25" hidden="1">
      <c r="B1037" s="1815" t="b">
        <f>AND(I1037=FALSE,N1036=0,Q1036=0,L1036="")</f>
        <v>1</v>
      </c>
      <c r="C1037" s="1844" t="str" cm="1">
        <f t="array" ref="C1037">_xlfn.IFS(
    L1037="", "",
    MONTH(L1037) &lt;= End_of_Year_Month, YEAR(L1037),
    TRUE, YEAR(L1037) + 1
)</f>
        <v/>
      </c>
      <c r="F1037" s="1857">
        <f>IF(L1037="",0,L1037)</f>
        <v>0</v>
      </c>
      <c r="G1037" s="1856">
        <f>-(N1037-Q1037)</f>
        <v>0</v>
      </c>
      <c r="I1037" s="1815" t="b">
        <f>K1037&lt;=Number_Payments</f>
        <v>0</v>
      </c>
      <c r="J1037" s="1855"/>
      <c r="K1037" s="1351">
        <f>K1036+1</f>
        <v>911</v>
      </c>
      <c r="L1037" s="1854" t="str" cm="1">
        <f t="array" ref="L1037">_xlfn.IFS(
    I1036=FALSE, "",
    Payment_Frequency="Monthly", EDATE(L1036, 1),
    Payment_Frequency="Weekly", DATE(YEAR(L1036), MONTH(L1036), DAY(L1036) + 7),
    Payment_Frequency="Fortnightly", DATE(YEAR(L1036), MONTH(L1036), DAY(L1036) + 14),
    Payment_Frequency="Quarterly", DATE(YEAR(L1036), MONTH(L1036) + 3, DAY(L1036)),
    Payment_Frequency="Yearly", DATE(YEAR(L1036) + 1, MONTH(L1036), DAY(L1036)),
    TRUE, ""
)</f>
        <v/>
      </c>
      <c r="M1037" s="1853">
        <f>IF(ISERROR(L1037-L1036),0,L1037-L1036)</f>
        <v>0</v>
      </c>
      <c r="N1037" s="1851" cm="1">
        <f t="array" ref="N1037">_xlfn.IFS(
    AND(I1037=TRUE, K1037&lt;=No_Regular_Payments), Repay_Amt,
    AND(I1037=TRUE, K1037=No_Regular_Payments+1), Tm_Balloon_Amt,
   TRUE, 0
)</f>
        <v>0</v>
      </c>
      <c r="O1037" s="1850" cm="1">
        <f t="array" ref="O1037">_xlfn.IFS(
    M1037=0,0,
   ABS(N1037 - S1036 - P1037-Q1037) &lt; 1, N1037 - S1036-Q1037,
    TRUE, P1037
)</f>
        <v>0</v>
      </c>
      <c r="P1037" s="1852">
        <f>IF(M1037=0,0,ROUND(S1036*EXP(Int_Rate/365.25 * M1037)-S1036,2))</f>
        <v>0</v>
      </c>
      <c r="Q1037" s="1851" cm="1">
        <f t="array" ref="Q1037">_xlfn.IFS(
    AND(I1037=TRUE, K1037&lt;=No_Regular_Payments), Periodic_Admin_Charge,
   TRUE, 0
)</f>
        <v>0</v>
      </c>
      <c r="R1037" s="1850">
        <f>N1037-O1037-Q1037</f>
        <v>0</v>
      </c>
      <c r="S1037" s="1850">
        <f>ROUND(S1036-R1037,2)</f>
        <v>0</v>
      </c>
      <c r="T1037" s="1850">
        <f>ROUND(T1036-(N1037-Q1037),2)</f>
        <v>0</v>
      </c>
      <c r="U1037" s="1849"/>
      <c r="W1037" s="1848"/>
      <c r="X1037" s="1848"/>
      <c r="Y1037" s="1848"/>
    </row>
    <row r="1038" spans="2:25" hidden="1">
      <c r="B1038" s="1815" t="b">
        <f>AND(I1038=FALSE,N1037=0,Q1037=0,L1037="")</f>
        <v>1</v>
      </c>
      <c r="C1038" s="1844" t="str" cm="1">
        <f t="array" ref="C1038">_xlfn.IFS(
    L1038="", "",
    MONTH(L1038) &lt;= End_of_Year_Month, YEAR(L1038),
    TRUE, YEAR(L1038) + 1
)</f>
        <v/>
      </c>
      <c r="F1038" s="1857">
        <f>IF(L1038="",0,L1038)</f>
        <v>0</v>
      </c>
      <c r="G1038" s="1856">
        <f>-(N1038-Q1038)</f>
        <v>0</v>
      </c>
      <c r="I1038" s="1815" t="b">
        <f>K1038&lt;=Number_Payments</f>
        <v>0</v>
      </c>
      <c r="J1038" s="1855"/>
      <c r="K1038" s="1351">
        <f>K1037+1</f>
        <v>912</v>
      </c>
      <c r="L1038" s="1854" t="str" cm="1">
        <f t="array" ref="L1038">_xlfn.IFS(
    I1037=FALSE, "",
    Payment_Frequency="Monthly", EDATE(L1037, 1),
    Payment_Frequency="Weekly", DATE(YEAR(L1037), MONTH(L1037), DAY(L1037) + 7),
    Payment_Frequency="Fortnightly", DATE(YEAR(L1037), MONTH(L1037), DAY(L1037) + 14),
    Payment_Frequency="Quarterly", DATE(YEAR(L1037), MONTH(L1037) + 3, DAY(L1037)),
    Payment_Frequency="Yearly", DATE(YEAR(L1037) + 1, MONTH(L1037), DAY(L1037)),
    TRUE, ""
)</f>
        <v/>
      </c>
      <c r="M1038" s="1853">
        <f>IF(ISERROR(L1038-L1037),0,L1038-L1037)</f>
        <v>0</v>
      </c>
      <c r="N1038" s="1851" cm="1">
        <f t="array" ref="N1038">_xlfn.IFS(
    AND(I1038=TRUE, K1038&lt;=No_Regular_Payments), Repay_Amt,
    AND(I1038=TRUE, K1038=No_Regular_Payments+1), Tm_Balloon_Amt,
   TRUE, 0
)</f>
        <v>0</v>
      </c>
      <c r="O1038" s="1850" cm="1">
        <f t="array" ref="O1038">_xlfn.IFS(
    M1038=0,0,
   ABS(N1038 - S1037 - P1038-Q1038) &lt; 1, N1038 - S1037-Q1038,
    TRUE, P1038
)</f>
        <v>0</v>
      </c>
      <c r="P1038" s="1852">
        <f>IF(M1038=0,0,ROUND(S1037*EXP(Int_Rate/365.25 * M1038)-S1037,2))</f>
        <v>0</v>
      </c>
      <c r="Q1038" s="1851" cm="1">
        <f t="array" ref="Q1038">_xlfn.IFS(
    AND(I1038=TRUE, K1038&lt;=No_Regular_Payments), Periodic_Admin_Charge,
   TRUE, 0
)</f>
        <v>0</v>
      </c>
      <c r="R1038" s="1850">
        <f>N1038-O1038-Q1038</f>
        <v>0</v>
      </c>
      <c r="S1038" s="1850">
        <f>ROUND(S1037-R1038,2)</f>
        <v>0</v>
      </c>
      <c r="T1038" s="1850">
        <f>ROUND(T1037-(N1038-Q1038),2)</f>
        <v>0</v>
      </c>
      <c r="U1038" s="1849"/>
      <c r="W1038" s="1848"/>
      <c r="X1038" s="1848"/>
      <c r="Y1038" s="1848"/>
    </row>
    <row r="1039" spans="2:25" hidden="1">
      <c r="B1039" s="1815" t="b">
        <f>AND(I1039=FALSE,N1038=0,Q1038=0,L1038="")</f>
        <v>1</v>
      </c>
      <c r="C1039" s="1844" t="str" cm="1">
        <f t="array" ref="C1039">_xlfn.IFS(
    L1039="", "",
    MONTH(L1039) &lt;= End_of_Year_Month, YEAR(L1039),
    TRUE, YEAR(L1039) + 1
)</f>
        <v/>
      </c>
      <c r="F1039" s="1857">
        <f>IF(L1039="",0,L1039)</f>
        <v>0</v>
      </c>
      <c r="G1039" s="1856">
        <f>-(N1039-Q1039)</f>
        <v>0</v>
      </c>
      <c r="I1039" s="1815" t="b">
        <f>K1039&lt;=Number_Payments</f>
        <v>0</v>
      </c>
      <c r="J1039" s="1855"/>
      <c r="K1039" s="1351">
        <f>K1038+1</f>
        <v>913</v>
      </c>
      <c r="L1039" s="1854" t="str" cm="1">
        <f t="array" ref="L1039">_xlfn.IFS(
    I1038=FALSE, "",
    Payment_Frequency="Monthly", EDATE(L1038, 1),
    Payment_Frequency="Weekly", DATE(YEAR(L1038), MONTH(L1038), DAY(L1038) + 7),
    Payment_Frequency="Fortnightly", DATE(YEAR(L1038), MONTH(L1038), DAY(L1038) + 14),
    Payment_Frequency="Quarterly", DATE(YEAR(L1038), MONTH(L1038) + 3, DAY(L1038)),
    Payment_Frequency="Yearly", DATE(YEAR(L1038) + 1, MONTH(L1038), DAY(L1038)),
    TRUE, ""
)</f>
        <v/>
      </c>
      <c r="M1039" s="1853">
        <f>IF(ISERROR(L1039-L1038),0,L1039-L1038)</f>
        <v>0</v>
      </c>
      <c r="N1039" s="1851" cm="1">
        <f t="array" ref="N1039">_xlfn.IFS(
    AND(I1039=TRUE, K1039&lt;=No_Regular_Payments), Repay_Amt,
    AND(I1039=TRUE, K1039=No_Regular_Payments+1), Tm_Balloon_Amt,
   TRUE, 0
)</f>
        <v>0</v>
      </c>
      <c r="O1039" s="1850" cm="1">
        <f t="array" ref="O1039">_xlfn.IFS(
    M1039=0,0,
   ABS(N1039 - S1038 - P1039-Q1039) &lt; 1, N1039 - S1038-Q1039,
    TRUE, P1039
)</f>
        <v>0</v>
      </c>
      <c r="P1039" s="1852">
        <f>IF(M1039=0,0,ROUND(S1038*EXP(Int_Rate/365.25 * M1039)-S1038,2))</f>
        <v>0</v>
      </c>
      <c r="Q1039" s="1851" cm="1">
        <f t="array" ref="Q1039">_xlfn.IFS(
    AND(I1039=TRUE, K1039&lt;=No_Regular_Payments), Periodic_Admin_Charge,
   TRUE, 0
)</f>
        <v>0</v>
      </c>
      <c r="R1039" s="1850">
        <f>N1039-O1039-Q1039</f>
        <v>0</v>
      </c>
      <c r="S1039" s="1850">
        <f>ROUND(S1038-R1039,2)</f>
        <v>0</v>
      </c>
      <c r="T1039" s="1850">
        <f>ROUND(T1038-(N1039-Q1039),2)</f>
        <v>0</v>
      </c>
      <c r="U1039" s="1849"/>
      <c r="W1039" s="1848"/>
      <c r="X1039" s="1848"/>
      <c r="Y1039" s="1848"/>
    </row>
    <row r="1040" spans="2:25" hidden="1">
      <c r="B1040" s="1815" t="b">
        <f>AND(I1040=FALSE,N1039=0,Q1039=0,L1039="")</f>
        <v>1</v>
      </c>
      <c r="C1040" s="1844" t="str" cm="1">
        <f t="array" ref="C1040">_xlfn.IFS(
    L1040="", "",
    MONTH(L1040) &lt;= End_of_Year_Month, YEAR(L1040),
    TRUE, YEAR(L1040) + 1
)</f>
        <v/>
      </c>
      <c r="F1040" s="1857">
        <f>IF(L1040="",0,L1040)</f>
        <v>0</v>
      </c>
      <c r="G1040" s="1856">
        <f>-(N1040-Q1040)</f>
        <v>0</v>
      </c>
      <c r="I1040" s="1815" t="b">
        <f>K1040&lt;=Number_Payments</f>
        <v>0</v>
      </c>
      <c r="J1040" s="1855"/>
      <c r="K1040" s="1351">
        <f>K1039+1</f>
        <v>914</v>
      </c>
      <c r="L1040" s="1854" t="str" cm="1">
        <f t="array" ref="L1040">_xlfn.IFS(
    I1039=FALSE, "",
    Payment_Frequency="Monthly", EDATE(L1039, 1),
    Payment_Frequency="Weekly", DATE(YEAR(L1039), MONTH(L1039), DAY(L1039) + 7),
    Payment_Frequency="Fortnightly", DATE(YEAR(L1039), MONTH(L1039), DAY(L1039) + 14),
    Payment_Frequency="Quarterly", DATE(YEAR(L1039), MONTH(L1039) + 3, DAY(L1039)),
    Payment_Frequency="Yearly", DATE(YEAR(L1039) + 1, MONTH(L1039), DAY(L1039)),
    TRUE, ""
)</f>
        <v/>
      </c>
      <c r="M1040" s="1853">
        <f>IF(ISERROR(L1040-L1039),0,L1040-L1039)</f>
        <v>0</v>
      </c>
      <c r="N1040" s="1851" cm="1">
        <f t="array" ref="N1040">_xlfn.IFS(
    AND(I1040=TRUE, K1040&lt;=No_Regular_Payments), Repay_Amt,
    AND(I1040=TRUE, K1040=No_Regular_Payments+1), Tm_Balloon_Amt,
   TRUE, 0
)</f>
        <v>0</v>
      </c>
      <c r="O1040" s="1850" cm="1">
        <f t="array" ref="O1040">_xlfn.IFS(
    M1040=0,0,
   ABS(N1040 - S1039 - P1040-Q1040) &lt; 1, N1040 - S1039-Q1040,
    TRUE, P1040
)</f>
        <v>0</v>
      </c>
      <c r="P1040" s="1852">
        <f>IF(M1040=0,0,ROUND(S1039*EXP(Int_Rate/365.25 * M1040)-S1039,2))</f>
        <v>0</v>
      </c>
      <c r="Q1040" s="1851" cm="1">
        <f t="array" ref="Q1040">_xlfn.IFS(
    AND(I1040=TRUE, K1040&lt;=No_Regular_Payments), Periodic_Admin_Charge,
   TRUE, 0
)</f>
        <v>0</v>
      </c>
      <c r="R1040" s="1850">
        <f>N1040-O1040-Q1040</f>
        <v>0</v>
      </c>
      <c r="S1040" s="1850">
        <f>ROUND(S1039-R1040,2)</f>
        <v>0</v>
      </c>
      <c r="T1040" s="1850">
        <f>ROUND(T1039-(N1040-Q1040),2)</f>
        <v>0</v>
      </c>
      <c r="U1040" s="1849"/>
      <c r="W1040" s="1848"/>
      <c r="X1040" s="1848"/>
      <c r="Y1040" s="1848"/>
    </row>
    <row r="1041" spans="2:25" hidden="1">
      <c r="B1041" s="1815" t="b">
        <f>AND(I1041=FALSE,N1040=0,Q1040=0,L1040="")</f>
        <v>1</v>
      </c>
      <c r="C1041" s="1844" t="str" cm="1">
        <f t="array" ref="C1041">_xlfn.IFS(
    L1041="", "",
    MONTH(L1041) &lt;= End_of_Year_Month, YEAR(L1041),
    TRUE, YEAR(L1041) + 1
)</f>
        <v/>
      </c>
      <c r="F1041" s="1857">
        <f>IF(L1041="",0,L1041)</f>
        <v>0</v>
      </c>
      <c r="G1041" s="1856">
        <f>-(N1041-Q1041)</f>
        <v>0</v>
      </c>
      <c r="I1041" s="1815" t="b">
        <f>K1041&lt;=Number_Payments</f>
        <v>0</v>
      </c>
      <c r="J1041" s="1855"/>
      <c r="K1041" s="1351">
        <f>K1040+1</f>
        <v>915</v>
      </c>
      <c r="L1041" s="1854" t="str" cm="1">
        <f t="array" ref="L1041">_xlfn.IFS(
    I1040=FALSE, "",
    Payment_Frequency="Monthly", EDATE(L1040, 1),
    Payment_Frequency="Weekly", DATE(YEAR(L1040), MONTH(L1040), DAY(L1040) + 7),
    Payment_Frequency="Fortnightly", DATE(YEAR(L1040), MONTH(L1040), DAY(L1040) + 14),
    Payment_Frequency="Quarterly", DATE(YEAR(L1040), MONTH(L1040) + 3, DAY(L1040)),
    Payment_Frequency="Yearly", DATE(YEAR(L1040) + 1, MONTH(L1040), DAY(L1040)),
    TRUE, ""
)</f>
        <v/>
      </c>
      <c r="M1041" s="1853">
        <f>IF(ISERROR(L1041-L1040),0,L1041-L1040)</f>
        <v>0</v>
      </c>
      <c r="N1041" s="1851" cm="1">
        <f t="array" ref="N1041">_xlfn.IFS(
    AND(I1041=TRUE, K1041&lt;=No_Regular_Payments), Repay_Amt,
    AND(I1041=TRUE, K1041=No_Regular_Payments+1), Tm_Balloon_Amt,
   TRUE, 0
)</f>
        <v>0</v>
      </c>
      <c r="O1041" s="1850" cm="1">
        <f t="array" ref="O1041">_xlfn.IFS(
    M1041=0,0,
   ABS(N1041 - S1040 - P1041-Q1041) &lt; 1, N1041 - S1040-Q1041,
    TRUE, P1041
)</f>
        <v>0</v>
      </c>
      <c r="P1041" s="1852">
        <f>IF(M1041=0,0,ROUND(S1040*EXP(Int_Rate/365.25 * M1041)-S1040,2))</f>
        <v>0</v>
      </c>
      <c r="Q1041" s="1851" cm="1">
        <f t="array" ref="Q1041">_xlfn.IFS(
    AND(I1041=TRUE, K1041&lt;=No_Regular_Payments), Periodic_Admin_Charge,
   TRUE, 0
)</f>
        <v>0</v>
      </c>
      <c r="R1041" s="1850">
        <f>N1041-O1041-Q1041</f>
        <v>0</v>
      </c>
      <c r="S1041" s="1850">
        <f>ROUND(S1040-R1041,2)</f>
        <v>0</v>
      </c>
      <c r="T1041" s="1850">
        <f>ROUND(T1040-(N1041-Q1041),2)</f>
        <v>0</v>
      </c>
      <c r="U1041" s="1849"/>
      <c r="W1041" s="1848"/>
      <c r="X1041" s="1848"/>
      <c r="Y1041" s="1848"/>
    </row>
    <row r="1042" spans="2:25" hidden="1">
      <c r="B1042" s="1815" t="b">
        <f>AND(I1042=FALSE,N1041=0,Q1041=0,L1041="")</f>
        <v>1</v>
      </c>
      <c r="C1042" s="1844" t="str" cm="1">
        <f t="array" ref="C1042">_xlfn.IFS(
    L1042="", "",
    MONTH(L1042) &lt;= End_of_Year_Month, YEAR(L1042),
    TRUE, YEAR(L1042) + 1
)</f>
        <v/>
      </c>
      <c r="F1042" s="1857">
        <f>IF(L1042="",0,L1042)</f>
        <v>0</v>
      </c>
      <c r="G1042" s="1856">
        <f>-(N1042-Q1042)</f>
        <v>0</v>
      </c>
      <c r="I1042" s="1815" t="b">
        <f>K1042&lt;=Number_Payments</f>
        <v>0</v>
      </c>
      <c r="J1042" s="1855"/>
      <c r="K1042" s="1351">
        <f>K1041+1</f>
        <v>916</v>
      </c>
      <c r="L1042" s="1854" t="str" cm="1">
        <f t="array" ref="L1042">_xlfn.IFS(
    I1041=FALSE, "",
    Payment_Frequency="Monthly", EDATE(L1041, 1),
    Payment_Frequency="Weekly", DATE(YEAR(L1041), MONTH(L1041), DAY(L1041) + 7),
    Payment_Frequency="Fortnightly", DATE(YEAR(L1041), MONTH(L1041), DAY(L1041) + 14),
    Payment_Frequency="Quarterly", DATE(YEAR(L1041), MONTH(L1041) + 3, DAY(L1041)),
    Payment_Frequency="Yearly", DATE(YEAR(L1041) + 1, MONTH(L1041), DAY(L1041)),
    TRUE, ""
)</f>
        <v/>
      </c>
      <c r="M1042" s="1853">
        <f>IF(ISERROR(L1042-L1041),0,L1042-L1041)</f>
        <v>0</v>
      </c>
      <c r="N1042" s="1851" cm="1">
        <f t="array" ref="N1042">_xlfn.IFS(
    AND(I1042=TRUE, K1042&lt;=No_Regular_Payments), Repay_Amt,
    AND(I1042=TRUE, K1042=No_Regular_Payments+1), Tm_Balloon_Amt,
   TRUE, 0
)</f>
        <v>0</v>
      </c>
      <c r="O1042" s="1850" cm="1">
        <f t="array" ref="O1042">_xlfn.IFS(
    M1042=0,0,
   ABS(N1042 - S1041 - P1042-Q1042) &lt; 1, N1042 - S1041-Q1042,
    TRUE, P1042
)</f>
        <v>0</v>
      </c>
      <c r="P1042" s="1852">
        <f>IF(M1042=0,0,ROUND(S1041*EXP(Int_Rate/365.25 * M1042)-S1041,2))</f>
        <v>0</v>
      </c>
      <c r="Q1042" s="1851" cm="1">
        <f t="array" ref="Q1042">_xlfn.IFS(
    AND(I1042=TRUE, K1042&lt;=No_Regular_Payments), Periodic_Admin_Charge,
   TRUE, 0
)</f>
        <v>0</v>
      </c>
      <c r="R1042" s="1850">
        <f>N1042-O1042-Q1042</f>
        <v>0</v>
      </c>
      <c r="S1042" s="1850">
        <f>ROUND(S1041-R1042,2)</f>
        <v>0</v>
      </c>
      <c r="T1042" s="1850">
        <f>ROUND(T1041-(N1042-Q1042),2)</f>
        <v>0</v>
      </c>
      <c r="U1042" s="1849"/>
      <c r="W1042" s="1848"/>
      <c r="X1042" s="1848"/>
      <c r="Y1042" s="1848"/>
    </row>
    <row r="1043" spans="2:25" hidden="1">
      <c r="B1043" s="1815" t="b">
        <f>AND(I1043=FALSE,N1042=0,Q1042=0,L1042="")</f>
        <v>1</v>
      </c>
      <c r="C1043" s="1844" t="str" cm="1">
        <f t="array" ref="C1043">_xlfn.IFS(
    L1043="", "",
    MONTH(L1043) &lt;= End_of_Year_Month, YEAR(L1043),
    TRUE, YEAR(L1043) + 1
)</f>
        <v/>
      </c>
      <c r="F1043" s="1857">
        <f>IF(L1043="",0,L1043)</f>
        <v>0</v>
      </c>
      <c r="G1043" s="1856">
        <f>-(N1043-Q1043)</f>
        <v>0</v>
      </c>
      <c r="I1043" s="1815" t="b">
        <f>K1043&lt;=Number_Payments</f>
        <v>0</v>
      </c>
      <c r="J1043" s="1855"/>
      <c r="K1043" s="1351">
        <f>K1042+1</f>
        <v>917</v>
      </c>
      <c r="L1043" s="1854" t="str" cm="1">
        <f t="array" ref="L1043">_xlfn.IFS(
    I1042=FALSE, "",
    Payment_Frequency="Monthly", EDATE(L1042, 1),
    Payment_Frequency="Weekly", DATE(YEAR(L1042), MONTH(L1042), DAY(L1042) + 7),
    Payment_Frequency="Fortnightly", DATE(YEAR(L1042), MONTH(L1042), DAY(L1042) + 14),
    Payment_Frequency="Quarterly", DATE(YEAR(L1042), MONTH(L1042) + 3, DAY(L1042)),
    Payment_Frequency="Yearly", DATE(YEAR(L1042) + 1, MONTH(L1042), DAY(L1042)),
    TRUE, ""
)</f>
        <v/>
      </c>
      <c r="M1043" s="1853">
        <f>IF(ISERROR(L1043-L1042),0,L1043-L1042)</f>
        <v>0</v>
      </c>
      <c r="N1043" s="1851" cm="1">
        <f t="array" ref="N1043">_xlfn.IFS(
    AND(I1043=TRUE, K1043&lt;=No_Regular_Payments), Repay_Amt,
    AND(I1043=TRUE, K1043=No_Regular_Payments+1), Tm_Balloon_Amt,
   TRUE, 0
)</f>
        <v>0</v>
      </c>
      <c r="O1043" s="1850" cm="1">
        <f t="array" ref="O1043">_xlfn.IFS(
    M1043=0,0,
   ABS(N1043 - S1042 - P1043-Q1043) &lt; 1, N1043 - S1042-Q1043,
    TRUE, P1043
)</f>
        <v>0</v>
      </c>
      <c r="P1043" s="1852">
        <f>IF(M1043=0,0,ROUND(S1042*EXP(Int_Rate/365.25 * M1043)-S1042,2))</f>
        <v>0</v>
      </c>
      <c r="Q1043" s="1851" cm="1">
        <f t="array" ref="Q1043">_xlfn.IFS(
    AND(I1043=TRUE, K1043&lt;=No_Regular_Payments), Periodic_Admin_Charge,
   TRUE, 0
)</f>
        <v>0</v>
      </c>
      <c r="R1043" s="1850">
        <f>N1043-O1043-Q1043</f>
        <v>0</v>
      </c>
      <c r="S1043" s="1850">
        <f>ROUND(S1042-R1043,2)</f>
        <v>0</v>
      </c>
      <c r="T1043" s="1850">
        <f>ROUND(T1042-(N1043-Q1043),2)</f>
        <v>0</v>
      </c>
      <c r="U1043" s="1849"/>
      <c r="W1043" s="1848"/>
      <c r="X1043" s="1848"/>
      <c r="Y1043" s="1848"/>
    </row>
    <row r="1044" spans="2:25" hidden="1">
      <c r="B1044" s="1815" t="b">
        <f>AND(I1044=FALSE,N1043=0,Q1043=0,L1043="")</f>
        <v>1</v>
      </c>
      <c r="C1044" s="1844" t="str" cm="1">
        <f t="array" ref="C1044">_xlfn.IFS(
    L1044="", "",
    MONTH(L1044) &lt;= End_of_Year_Month, YEAR(L1044),
    TRUE, YEAR(L1044) + 1
)</f>
        <v/>
      </c>
      <c r="F1044" s="1857">
        <f>IF(L1044="",0,L1044)</f>
        <v>0</v>
      </c>
      <c r="G1044" s="1856">
        <f>-(N1044-Q1044)</f>
        <v>0</v>
      </c>
      <c r="I1044" s="1815" t="b">
        <f>K1044&lt;=Number_Payments</f>
        <v>0</v>
      </c>
      <c r="J1044" s="1855"/>
      <c r="K1044" s="1351">
        <f>K1043+1</f>
        <v>918</v>
      </c>
      <c r="L1044" s="1854" t="str" cm="1">
        <f t="array" ref="L1044">_xlfn.IFS(
    I1043=FALSE, "",
    Payment_Frequency="Monthly", EDATE(L1043, 1),
    Payment_Frequency="Weekly", DATE(YEAR(L1043), MONTH(L1043), DAY(L1043) + 7),
    Payment_Frequency="Fortnightly", DATE(YEAR(L1043), MONTH(L1043), DAY(L1043) + 14),
    Payment_Frequency="Quarterly", DATE(YEAR(L1043), MONTH(L1043) + 3, DAY(L1043)),
    Payment_Frequency="Yearly", DATE(YEAR(L1043) + 1, MONTH(L1043), DAY(L1043)),
    TRUE, ""
)</f>
        <v/>
      </c>
      <c r="M1044" s="1853">
        <f>IF(ISERROR(L1044-L1043),0,L1044-L1043)</f>
        <v>0</v>
      </c>
      <c r="N1044" s="1851" cm="1">
        <f t="array" ref="N1044">_xlfn.IFS(
    AND(I1044=TRUE, K1044&lt;=No_Regular_Payments), Repay_Amt,
    AND(I1044=TRUE, K1044=No_Regular_Payments+1), Tm_Balloon_Amt,
   TRUE, 0
)</f>
        <v>0</v>
      </c>
      <c r="O1044" s="1850" cm="1">
        <f t="array" ref="O1044">_xlfn.IFS(
    M1044=0,0,
   ABS(N1044 - S1043 - P1044-Q1044) &lt; 1, N1044 - S1043-Q1044,
    TRUE, P1044
)</f>
        <v>0</v>
      </c>
      <c r="P1044" s="1852">
        <f>IF(M1044=0,0,ROUND(S1043*EXP(Int_Rate/365.25 * M1044)-S1043,2))</f>
        <v>0</v>
      </c>
      <c r="Q1044" s="1851" cm="1">
        <f t="array" ref="Q1044">_xlfn.IFS(
    AND(I1044=TRUE, K1044&lt;=No_Regular_Payments), Periodic_Admin_Charge,
   TRUE, 0
)</f>
        <v>0</v>
      </c>
      <c r="R1044" s="1850">
        <f>N1044-O1044-Q1044</f>
        <v>0</v>
      </c>
      <c r="S1044" s="1850">
        <f>ROUND(S1043-R1044,2)</f>
        <v>0</v>
      </c>
      <c r="T1044" s="1850">
        <f>ROUND(T1043-(N1044-Q1044),2)</f>
        <v>0</v>
      </c>
      <c r="U1044" s="1849"/>
      <c r="W1044" s="1848"/>
      <c r="X1044" s="1848"/>
      <c r="Y1044" s="1848"/>
    </row>
    <row r="1045" spans="2:25" hidden="1">
      <c r="B1045" s="1815" t="b">
        <f>AND(I1045=FALSE,N1044=0,Q1044=0,L1044="")</f>
        <v>1</v>
      </c>
      <c r="C1045" s="1844" t="str" cm="1">
        <f t="array" ref="C1045">_xlfn.IFS(
    L1045="", "",
    MONTH(L1045) &lt;= End_of_Year_Month, YEAR(L1045),
    TRUE, YEAR(L1045) + 1
)</f>
        <v/>
      </c>
      <c r="F1045" s="1857">
        <f>IF(L1045="",0,L1045)</f>
        <v>0</v>
      </c>
      <c r="G1045" s="1856">
        <f>-(N1045-Q1045)</f>
        <v>0</v>
      </c>
      <c r="I1045" s="1815" t="b">
        <f>K1045&lt;=Number_Payments</f>
        <v>0</v>
      </c>
      <c r="J1045" s="1855"/>
      <c r="K1045" s="1351">
        <f>K1044+1</f>
        <v>919</v>
      </c>
      <c r="L1045" s="1854" t="str" cm="1">
        <f t="array" ref="L1045">_xlfn.IFS(
    I1044=FALSE, "",
    Payment_Frequency="Monthly", EDATE(L1044, 1),
    Payment_Frequency="Weekly", DATE(YEAR(L1044), MONTH(L1044), DAY(L1044) + 7),
    Payment_Frequency="Fortnightly", DATE(YEAR(L1044), MONTH(L1044), DAY(L1044) + 14),
    Payment_Frequency="Quarterly", DATE(YEAR(L1044), MONTH(L1044) + 3, DAY(L1044)),
    Payment_Frequency="Yearly", DATE(YEAR(L1044) + 1, MONTH(L1044), DAY(L1044)),
    TRUE, ""
)</f>
        <v/>
      </c>
      <c r="M1045" s="1853">
        <f>IF(ISERROR(L1045-L1044),0,L1045-L1044)</f>
        <v>0</v>
      </c>
      <c r="N1045" s="1851" cm="1">
        <f t="array" ref="N1045">_xlfn.IFS(
    AND(I1045=TRUE, K1045&lt;=No_Regular_Payments), Repay_Amt,
    AND(I1045=TRUE, K1045=No_Regular_Payments+1), Tm_Balloon_Amt,
   TRUE, 0
)</f>
        <v>0</v>
      </c>
      <c r="O1045" s="1850" cm="1">
        <f t="array" ref="O1045">_xlfn.IFS(
    M1045=0,0,
   ABS(N1045 - S1044 - P1045-Q1045) &lt; 1, N1045 - S1044-Q1045,
    TRUE, P1045
)</f>
        <v>0</v>
      </c>
      <c r="P1045" s="1852">
        <f>IF(M1045=0,0,ROUND(S1044*EXP(Int_Rate/365.25 * M1045)-S1044,2))</f>
        <v>0</v>
      </c>
      <c r="Q1045" s="1851" cm="1">
        <f t="array" ref="Q1045">_xlfn.IFS(
    AND(I1045=TRUE, K1045&lt;=No_Regular_Payments), Periodic_Admin_Charge,
   TRUE, 0
)</f>
        <v>0</v>
      </c>
      <c r="R1045" s="1850">
        <f>N1045-O1045-Q1045</f>
        <v>0</v>
      </c>
      <c r="S1045" s="1850">
        <f>ROUND(S1044-R1045,2)</f>
        <v>0</v>
      </c>
      <c r="T1045" s="1850">
        <f>ROUND(T1044-(N1045-Q1045),2)</f>
        <v>0</v>
      </c>
      <c r="U1045" s="1849"/>
      <c r="W1045" s="1848"/>
      <c r="X1045" s="1848"/>
      <c r="Y1045" s="1848"/>
    </row>
    <row r="1046" spans="2:25" hidden="1">
      <c r="B1046" s="1815" t="b">
        <f>AND(I1046=FALSE,N1045=0,Q1045=0,L1045="")</f>
        <v>1</v>
      </c>
      <c r="C1046" s="1844" t="str" cm="1">
        <f t="array" ref="C1046">_xlfn.IFS(
    L1046="", "",
    MONTH(L1046) &lt;= End_of_Year_Month, YEAR(L1046),
    TRUE, YEAR(L1046) + 1
)</f>
        <v/>
      </c>
      <c r="F1046" s="1857">
        <f>IF(L1046="",0,L1046)</f>
        <v>0</v>
      </c>
      <c r="G1046" s="1856">
        <f>-(N1046-Q1046)</f>
        <v>0</v>
      </c>
      <c r="I1046" s="1815" t="b">
        <f>K1046&lt;=Number_Payments</f>
        <v>0</v>
      </c>
      <c r="J1046" s="1855"/>
      <c r="K1046" s="1351">
        <f>K1045+1</f>
        <v>920</v>
      </c>
      <c r="L1046" s="1854" t="str" cm="1">
        <f t="array" ref="L1046">_xlfn.IFS(
    I1045=FALSE, "",
    Payment_Frequency="Monthly", EDATE(L1045, 1),
    Payment_Frequency="Weekly", DATE(YEAR(L1045), MONTH(L1045), DAY(L1045) + 7),
    Payment_Frequency="Fortnightly", DATE(YEAR(L1045), MONTH(L1045), DAY(L1045) + 14),
    Payment_Frequency="Quarterly", DATE(YEAR(L1045), MONTH(L1045) + 3, DAY(L1045)),
    Payment_Frequency="Yearly", DATE(YEAR(L1045) + 1, MONTH(L1045), DAY(L1045)),
    TRUE, ""
)</f>
        <v/>
      </c>
      <c r="M1046" s="1853">
        <f>IF(ISERROR(L1046-L1045),0,L1046-L1045)</f>
        <v>0</v>
      </c>
      <c r="N1046" s="1851" cm="1">
        <f t="array" ref="N1046">_xlfn.IFS(
    AND(I1046=TRUE, K1046&lt;=No_Regular_Payments), Repay_Amt,
    AND(I1046=TRUE, K1046=No_Regular_Payments+1), Tm_Balloon_Amt,
   TRUE, 0
)</f>
        <v>0</v>
      </c>
      <c r="O1046" s="1850" cm="1">
        <f t="array" ref="O1046">_xlfn.IFS(
    M1046=0,0,
   ABS(N1046 - S1045 - P1046-Q1046) &lt; 1, N1046 - S1045-Q1046,
    TRUE, P1046
)</f>
        <v>0</v>
      </c>
      <c r="P1046" s="1852">
        <f>IF(M1046=0,0,ROUND(S1045*EXP(Int_Rate/365.25 * M1046)-S1045,2))</f>
        <v>0</v>
      </c>
      <c r="Q1046" s="1851" cm="1">
        <f t="array" ref="Q1046">_xlfn.IFS(
    AND(I1046=TRUE, K1046&lt;=No_Regular_Payments), Periodic_Admin_Charge,
   TRUE, 0
)</f>
        <v>0</v>
      </c>
      <c r="R1046" s="1850">
        <f>N1046-O1046-Q1046</f>
        <v>0</v>
      </c>
      <c r="S1046" s="1850">
        <f>ROUND(S1045-R1046,2)</f>
        <v>0</v>
      </c>
      <c r="T1046" s="1850">
        <f>ROUND(T1045-(N1046-Q1046),2)</f>
        <v>0</v>
      </c>
      <c r="U1046" s="1849"/>
      <c r="W1046" s="1848"/>
      <c r="X1046" s="1848"/>
      <c r="Y1046" s="1848"/>
    </row>
    <row r="1047" spans="2:25" hidden="1">
      <c r="B1047" s="1815" t="b">
        <f>AND(I1047=FALSE,N1046=0,Q1046=0,L1046="")</f>
        <v>1</v>
      </c>
      <c r="C1047" s="1844" t="str" cm="1">
        <f t="array" ref="C1047">_xlfn.IFS(
    L1047="", "",
    MONTH(L1047) &lt;= End_of_Year_Month, YEAR(L1047),
    TRUE, YEAR(L1047) + 1
)</f>
        <v/>
      </c>
      <c r="F1047" s="1857">
        <f>IF(L1047="",0,L1047)</f>
        <v>0</v>
      </c>
      <c r="G1047" s="1856">
        <f>-(N1047-Q1047)</f>
        <v>0</v>
      </c>
      <c r="I1047" s="1815" t="b">
        <f>K1047&lt;=Number_Payments</f>
        <v>0</v>
      </c>
      <c r="J1047" s="1855"/>
      <c r="K1047" s="1351">
        <f>K1046+1</f>
        <v>921</v>
      </c>
      <c r="L1047" s="1854" t="str" cm="1">
        <f t="array" ref="L1047">_xlfn.IFS(
    I1046=FALSE, "",
    Payment_Frequency="Monthly", EDATE(L1046, 1),
    Payment_Frequency="Weekly", DATE(YEAR(L1046), MONTH(L1046), DAY(L1046) + 7),
    Payment_Frequency="Fortnightly", DATE(YEAR(L1046), MONTH(L1046), DAY(L1046) + 14),
    Payment_Frequency="Quarterly", DATE(YEAR(L1046), MONTH(L1046) + 3, DAY(L1046)),
    Payment_Frequency="Yearly", DATE(YEAR(L1046) + 1, MONTH(L1046), DAY(L1046)),
    TRUE, ""
)</f>
        <v/>
      </c>
      <c r="M1047" s="1853">
        <f>IF(ISERROR(L1047-L1046),0,L1047-L1046)</f>
        <v>0</v>
      </c>
      <c r="N1047" s="1851" cm="1">
        <f t="array" ref="N1047">_xlfn.IFS(
    AND(I1047=TRUE, K1047&lt;=No_Regular_Payments), Repay_Amt,
    AND(I1047=TRUE, K1047=No_Regular_Payments+1), Tm_Balloon_Amt,
   TRUE, 0
)</f>
        <v>0</v>
      </c>
      <c r="O1047" s="1850" cm="1">
        <f t="array" ref="O1047">_xlfn.IFS(
    M1047=0,0,
   ABS(N1047 - S1046 - P1047-Q1047) &lt; 1, N1047 - S1046-Q1047,
    TRUE, P1047
)</f>
        <v>0</v>
      </c>
      <c r="P1047" s="1852">
        <f>IF(M1047=0,0,ROUND(S1046*EXP(Int_Rate/365.25 * M1047)-S1046,2))</f>
        <v>0</v>
      </c>
      <c r="Q1047" s="1851" cm="1">
        <f t="array" ref="Q1047">_xlfn.IFS(
    AND(I1047=TRUE, K1047&lt;=No_Regular_Payments), Periodic_Admin_Charge,
   TRUE, 0
)</f>
        <v>0</v>
      </c>
      <c r="R1047" s="1850">
        <f>N1047-O1047-Q1047</f>
        <v>0</v>
      </c>
      <c r="S1047" s="1850">
        <f>ROUND(S1046-R1047,2)</f>
        <v>0</v>
      </c>
      <c r="T1047" s="1850">
        <f>ROUND(T1046-(N1047-Q1047),2)</f>
        <v>0</v>
      </c>
      <c r="U1047" s="1849"/>
      <c r="W1047" s="1848"/>
      <c r="X1047" s="1848"/>
      <c r="Y1047" s="1848"/>
    </row>
    <row r="1048" spans="2:25" hidden="1">
      <c r="B1048" s="1815" t="b">
        <f>AND(I1048=FALSE,N1047=0,Q1047=0,L1047="")</f>
        <v>1</v>
      </c>
      <c r="C1048" s="1844" t="str" cm="1">
        <f t="array" ref="C1048">_xlfn.IFS(
    L1048="", "",
    MONTH(L1048) &lt;= End_of_Year_Month, YEAR(L1048),
    TRUE, YEAR(L1048) + 1
)</f>
        <v/>
      </c>
      <c r="F1048" s="1857">
        <f>IF(L1048="",0,L1048)</f>
        <v>0</v>
      </c>
      <c r="G1048" s="1856">
        <f>-(N1048-Q1048)</f>
        <v>0</v>
      </c>
      <c r="I1048" s="1815" t="b">
        <f>K1048&lt;=Number_Payments</f>
        <v>0</v>
      </c>
      <c r="J1048" s="1855"/>
      <c r="K1048" s="1351">
        <f>K1047+1</f>
        <v>922</v>
      </c>
      <c r="L1048" s="1854" t="str" cm="1">
        <f t="array" ref="L1048">_xlfn.IFS(
    I1047=FALSE, "",
    Payment_Frequency="Monthly", EDATE(L1047, 1),
    Payment_Frequency="Weekly", DATE(YEAR(L1047), MONTH(L1047), DAY(L1047) + 7),
    Payment_Frequency="Fortnightly", DATE(YEAR(L1047), MONTH(L1047), DAY(L1047) + 14),
    Payment_Frequency="Quarterly", DATE(YEAR(L1047), MONTH(L1047) + 3, DAY(L1047)),
    Payment_Frequency="Yearly", DATE(YEAR(L1047) + 1, MONTH(L1047), DAY(L1047)),
    TRUE, ""
)</f>
        <v/>
      </c>
      <c r="M1048" s="1853">
        <f>IF(ISERROR(L1048-L1047),0,L1048-L1047)</f>
        <v>0</v>
      </c>
      <c r="N1048" s="1851" cm="1">
        <f t="array" ref="N1048">_xlfn.IFS(
    AND(I1048=TRUE, K1048&lt;=No_Regular_Payments), Repay_Amt,
    AND(I1048=TRUE, K1048=No_Regular_Payments+1), Tm_Balloon_Amt,
   TRUE, 0
)</f>
        <v>0</v>
      </c>
      <c r="O1048" s="1850" cm="1">
        <f t="array" ref="O1048">_xlfn.IFS(
    M1048=0,0,
   ABS(N1048 - S1047 - P1048-Q1048) &lt; 1, N1048 - S1047-Q1048,
    TRUE, P1048
)</f>
        <v>0</v>
      </c>
      <c r="P1048" s="1852">
        <f>IF(M1048=0,0,ROUND(S1047*EXP(Int_Rate/365.25 * M1048)-S1047,2))</f>
        <v>0</v>
      </c>
      <c r="Q1048" s="1851" cm="1">
        <f t="array" ref="Q1048">_xlfn.IFS(
    AND(I1048=TRUE, K1048&lt;=No_Regular_Payments), Periodic_Admin_Charge,
   TRUE, 0
)</f>
        <v>0</v>
      </c>
      <c r="R1048" s="1850">
        <f>N1048-O1048-Q1048</f>
        <v>0</v>
      </c>
      <c r="S1048" s="1850">
        <f>ROUND(S1047-R1048,2)</f>
        <v>0</v>
      </c>
      <c r="T1048" s="1850">
        <f>ROUND(T1047-(N1048-Q1048),2)</f>
        <v>0</v>
      </c>
      <c r="U1048" s="1849"/>
      <c r="W1048" s="1848"/>
      <c r="X1048" s="1848"/>
      <c r="Y1048" s="1848"/>
    </row>
    <row r="1049" spans="2:25" hidden="1">
      <c r="B1049" s="1815" t="b">
        <f>AND(I1049=FALSE,N1048=0,Q1048=0,L1048="")</f>
        <v>1</v>
      </c>
      <c r="C1049" s="1844" t="str" cm="1">
        <f t="array" ref="C1049">_xlfn.IFS(
    L1049="", "",
    MONTH(L1049) &lt;= End_of_Year_Month, YEAR(L1049),
    TRUE, YEAR(L1049) + 1
)</f>
        <v/>
      </c>
      <c r="F1049" s="1857">
        <f>IF(L1049="",0,L1049)</f>
        <v>0</v>
      </c>
      <c r="G1049" s="1856">
        <f>-(N1049-Q1049)</f>
        <v>0</v>
      </c>
      <c r="I1049" s="1815" t="b">
        <f>K1049&lt;=Number_Payments</f>
        <v>0</v>
      </c>
      <c r="J1049" s="1855"/>
      <c r="K1049" s="1351">
        <f>K1048+1</f>
        <v>923</v>
      </c>
      <c r="L1049" s="1854" t="str" cm="1">
        <f t="array" ref="L1049">_xlfn.IFS(
    I1048=FALSE, "",
    Payment_Frequency="Monthly", EDATE(L1048, 1),
    Payment_Frequency="Weekly", DATE(YEAR(L1048), MONTH(L1048), DAY(L1048) + 7),
    Payment_Frequency="Fortnightly", DATE(YEAR(L1048), MONTH(L1048), DAY(L1048) + 14),
    Payment_Frequency="Quarterly", DATE(YEAR(L1048), MONTH(L1048) + 3, DAY(L1048)),
    Payment_Frequency="Yearly", DATE(YEAR(L1048) + 1, MONTH(L1048), DAY(L1048)),
    TRUE, ""
)</f>
        <v/>
      </c>
      <c r="M1049" s="1853">
        <f>IF(ISERROR(L1049-L1048),0,L1049-L1048)</f>
        <v>0</v>
      </c>
      <c r="N1049" s="1851" cm="1">
        <f t="array" ref="N1049">_xlfn.IFS(
    AND(I1049=TRUE, K1049&lt;=No_Regular_Payments), Repay_Amt,
    AND(I1049=TRUE, K1049=No_Regular_Payments+1), Tm_Balloon_Amt,
   TRUE, 0
)</f>
        <v>0</v>
      </c>
      <c r="O1049" s="1850" cm="1">
        <f t="array" ref="O1049">_xlfn.IFS(
    M1049=0,0,
   ABS(N1049 - S1048 - P1049-Q1049) &lt; 1, N1049 - S1048-Q1049,
    TRUE, P1049
)</f>
        <v>0</v>
      </c>
      <c r="P1049" s="1852">
        <f>IF(M1049=0,0,ROUND(S1048*EXP(Int_Rate/365.25 * M1049)-S1048,2))</f>
        <v>0</v>
      </c>
      <c r="Q1049" s="1851" cm="1">
        <f t="array" ref="Q1049">_xlfn.IFS(
    AND(I1049=TRUE, K1049&lt;=No_Regular_Payments), Periodic_Admin_Charge,
   TRUE, 0
)</f>
        <v>0</v>
      </c>
      <c r="R1049" s="1850">
        <f>N1049-O1049-Q1049</f>
        <v>0</v>
      </c>
      <c r="S1049" s="1850">
        <f>ROUND(S1048-R1049,2)</f>
        <v>0</v>
      </c>
      <c r="T1049" s="1850">
        <f>ROUND(T1048-(N1049-Q1049),2)</f>
        <v>0</v>
      </c>
      <c r="U1049" s="1849"/>
      <c r="W1049" s="1848"/>
      <c r="X1049" s="1848"/>
      <c r="Y1049" s="1848"/>
    </row>
    <row r="1050" spans="2:25" hidden="1">
      <c r="B1050" s="1815" t="b">
        <f>AND(I1050=FALSE,N1049=0,Q1049=0,L1049="")</f>
        <v>1</v>
      </c>
      <c r="C1050" s="1844" t="str" cm="1">
        <f t="array" ref="C1050">_xlfn.IFS(
    L1050="", "",
    MONTH(L1050) &lt;= End_of_Year_Month, YEAR(L1050),
    TRUE, YEAR(L1050) + 1
)</f>
        <v/>
      </c>
      <c r="F1050" s="1857">
        <f>IF(L1050="",0,L1050)</f>
        <v>0</v>
      </c>
      <c r="G1050" s="1856">
        <f>-(N1050-Q1050)</f>
        <v>0</v>
      </c>
      <c r="I1050" s="1815" t="b">
        <f>K1050&lt;=Number_Payments</f>
        <v>0</v>
      </c>
      <c r="J1050" s="1855"/>
      <c r="K1050" s="1351">
        <f>K1049+1</f>
        <v>924</v>
      </c>
      <c r="L1050" s="1854" t="str" cm="1">
        <f t="array" ref="L1050">_xlfn.IFS(
    I1049=FALSE, "",
    Payment_Frequency="Monthly", EDATE(L1049, 1),
    Payment_Frequency="Weekly", DATE(YEAR(L1049), MONTH(L1049), DAY(L1049) + 7),
    Payment_Frequency="Fortnightly", DATE(YEAR(L1049), MONTH(L1049), DAY(L1049) + 14),
    Payment_Frequency="Quarterly", DATE(YEAR(L1049), MONTH(L1049) + 3, DAY(L1049)),
    Payment_Frequency="Yearly", DATE(YEAR(L1049) + 1, MONTH(L1049), DAY(L1049)),
    TRUE, ""
)</f>
        <v/>
      </c>
      <c r="M1050" s="1853">
        <f>IF(ISERROR(L1050-L1049),0,L1050-L1049)</f>
        <v>0</v>
      </c>
      <c r="N1050" s="1851" cm="1">
        <f t="array" ref="N1050">_xlfn.IFS(
    AND(I1050=TRUE, K1050&lt;=No_Regular_Payments), Repay_Amt,
    AND(I1050=TRUE, K1050=No_Regular_Payments+1), Tm_Balloon_Amt,
   TRUE, 0
)</f>
        <v>0</v>
      </c>
      <c r="O1050" s="1850" cm="1">
        <f t="array" ref="O1050">_xlfn.IFS(
    M1050=0,0,
   ABS(N1050 - S1049 - P1050-Q1050) &lt; 1, N1050 - S1049-Q1050,
    TRUE, P1050
)</f>
        <v>0</v>
      </c>
      <c r="P1050" s="1852">
        <f>IF(M1050=0,0,ROUND(S1049*EXP(Int_Rate/365.25 * M1050)-S1049,2))</f>
        <v>0</v>
      </c>
      <c r="Q1050" s="1851" cm="1">
        <f t="array" ref="Q1050">_xlfn.IFS(
    AND(I1050=TRUE, K1050&lt;=No_Regular_Payments), Periodic_Admin_Charge,
   TRUE, 0
)</f>
        <v>0</v>
      </c>
      <c r="R1050" s="1850">
        <f>N1050-O1050-Q1050</f>
        <v>0</v>
      </c>
      <c r="S1050" s="1850">
        <f>ROUND(S1049-R1050,2)</f>
        <v>0</v>
      </c>
      <c r="T1050" s="1850">
        <f>ROUND(T1049-(N1050-Q1050),2)</f>
        <v>0</v>
      </c>
      <c r="U1050" s="1849"/>
      <c r="W1050" s="1848"/>
      <c r="X1050" s="1848"/>
      <c r="Y1050" s="1848"/>
    </row>
    <row r="1051" spans="2:25" hidden="1">
      <c r="B1051" s="1815" t="b">
        <f>AND(I1051=FALSE,N1050=0,Q1050=0,L1050="")</f>
        <v>1</v>
      </c>
      <c r="C1051" s="1844" t="str" cm="1">
        <f t="array" ref="C1051">_xlfn.IFS(
    L1051="", "",
    MONTH(L1051) &lt;= End_of_Year_Month, YEAR(L1051),
    TRUE, YEAR(L1051) + 1
)</f>
        <v/>
      </c>
      <c r="F1051" s="1857">
        <f>IF(L1051="",0,L1051)</f>
        <v>0</v>
      </c>
      <c r="G1051" s="1856">
        <f>-(N1051-Q1051)</f>
        <v>0</v>
      </c>
      <c r="I1051" s="1815" t="b">
        <f>K1051&lt;=Number_Payments</f>
        <v>0</v>
      </c>
      <c r="J1051" s="1855"/>
      <c r="K1051" s="1351">
        <f>K1050+1</f>
        <v>925</v>
      </c>
      <c r="L1051" s="1854" t="str" cm="1">
        <f t="array" ref="L1051">_xlfn.IFS(
    I1050=FALSE, "",
    Payment_Frequency="Monthly", EDATE(L1050, 1),
    Payment_Frequency="Weekly", DATE(YEAR(L1050), MONTH(L1050), DAY(L1050) + 7),
    Payment_Frequency="Fortnightly", DATE(YEAR(L1050), MONTH(L1050), DAY(L1050) + 14),
    Payment_Frequency="Quarterly", DATE(YEAR(L1050), MONTH(L1050) + 3, DAY(L1050)),
    Payment_Frequency="Yearly", DATE(YEAR(L1050) + 1, MONTH(L1050), DAY(L1050)),
    TRUE, ""
)</f>
        <v/>
      </c>
      <c r="M1051" s="1853">
        <f>IF(ISERROR(L1051-L1050),0,L1051-L1050)</f>
        <v>0</v>
      </c>
      <c r="N1051" s="1851" cm="1">
        <f t="array" ref="N1051">_xlfn.IFS(
    AND(I1051=TRUE, K1051&lt;=No_Regular_Payments), Repay_Amt,
    AND(I1051=TRUE, K1051=No_Regular_Payments+1), Tm_Balloon_Amt,
   TRUE, 0
)</f>
        <v>0</v>
      </c>
      <c r="O1051" s="1850" cm="1">
        <f t="array" ref="O1051">_xlfn.IFS(
    M1051=0,0,
   ABS(N1051 - S1050 - P1051-Q1051) &lt; 1, N1051 - S1050-Q1051,
    TRUE, P1051
)</f>
        <v>0</v>
      </c>
      <c r="P1051" s="1852">
        <f>IF(M1051=0,0,ROUND(S1050*EXP(Int_Rate/365.25 * M1051)-S1050,2))</f>
        <v>0</v>
      </c>
      <c r="Q1051" s="1851" cm="1">
        <f t="array" ref="Q1051">_xlfn.IFS(
    AND(I1051=TRUE, K1051&lt;=No_Regular_Payments), Periodic_Admin_Charge,
   TRUE, 0
)</f>
        <v>0</v>
      </c>
      <c r="R1051" s="1850">
        <f>N1051-O1051-Q1051</f>
        <v>0</v>
      </c>
      <c r="S1051" s="1850">
        <f>ROUND(S1050-R1051,2)</f>
        <v>0</v>
      </c>
      <c r="T1051" s="1850">
        <f>ROUND(T1050-(N1051-Q1051),2)</f>
        <v>0</v>
      </c>
      <c r="U1051" s="1849"/>
      <c r="W1051" s="1848"/>
      <c r="X1051" s="1848"/>
      <c r="Y1051" s="1848"/>
    </row>
    <row r="1052" spans="2:25" hidden="1">
      <c r="B1052" s="1815" t="b">
        <f>AND(I1052=FALSE,N1051=0,Q1051=0,L1051="")</f>
        <v>1</v>
      </c>
      <c r="C1052" s="1844" t="str" cm="1">
        <f t="array" ref="C1052">_xlfn.IFS(
    L1052="", "",
    MONTH(L1052) &lt;= End_of_Year_Month, YEAR(L1052),
    TRUE, YEAR(L1052) + 1
)</f>
        <v/>
      </c>
      <c r="F1052" s="1857">
        <f>IF(L1052="",0,L1052)</f>
        <v>0</v>
      </c>
      <c r="G1052" s="1856">
        <f>-(N1052-Q1052)</f>
        <v>0</v>
      </c>
      <c r="I1052" s="1815" t="b">
        <f>K1052&lt;=Number_Payments</f>
        <v>0</v>
      </c>
      <c r="J1052" s="1855"/>
      <c r="K1052" s="1351">
        <f>K1051+1</f>
        <v>926</v>
      </c>
      <c r="L1052" s="1854" t="str" cm="1">
        <f t="array" ref="L1052">_xlfn.IFS(
    I1051=FALSE, "",
    Payment_Frequency="Monthly", EDATE(L1051, 1),
    Payment_Frequency="Weekly", DATE(YEAR(L1051), MONTH(L1051), DAY(L1051) + 7),
    Payment_Frequency="Fortnightly", DATE(YEAR(L1051), MONTH(L1051), DAY(L1051) + 14),
    Payment_Frequency="Quarterly", DATE(YEAR(L1051), MONTH(L1051) + 3, DAY(L1051)),
    Payment_Frequency="Yearly", DATE(YEAR(L1051) + 1, MONTH(L1051), DAY(L1051)),
    TRUE, ""
)</f>
        <v/>
      </c>
      <c r="M1052" s="1853">
        <f>IF(ISERROR(L1052-L1051),0,L1052-L1051)</f>
        <v>0</v>
      </c>
      <c r="N1052" s="1851" cm="1">
        <f t="array" ref="N1052">_xlfn.IFS(
    AND(I1052=TRUE, K1052&lt;=No_Regular_Payments), Repay_Amt,
    AND(I1052=TRUE, K1052=No_Regular_Payments+1), Tm_Balloon_Amt,
   TRUE, 0
)</f>
        <v>0</v>
      </c>
      <c r="O1052" s="1850" cm="1">
        <f t="array" ref="O1052">_xlfn.IFS(
    M1052=0,0,
   ABS(N1052 - S1051 - P1052-Q1052) &lt; 1, N1052 - S1051-Q1052,
    TRUE, P1052
)</f>
        <v>0</v>
      </c>
      <c r="P1052" s="1852">
        <f>IF(M1052=0,0,ROUND(S1051*EXP(Int_Rate/365.25 * M1052)-S1051,2))</f>
        <v>0</v>
      </c>
      <c r="Q1052" s="1851" cm="1">
        <f t="array" ref="Q1052">_xlfn.IFS(
    AND(I1052=TRUE, K1052&lt;=No_Regular_Payments), Periodic_Admin_Charge,
   TRUE, 0
)</f>
        <v>0</v>
      </c>
      <c r="R1052" s="1850">
        <f>N1052-O1052-Q1052</f>
        <v>0</v>
      </c>
      <c r="S1052" s="1850">
        <f>ROUND(S1051-R1052,2)</f>
        <v>0</v>
      </c>
      <c r="T1052" s="1850">
        <f>ROUND(T1051-(N1052-Q1052),2)</f>
        <v>0</v>
      </c>
      <c r="U1052" s="1849"/>
      <c r="W1052" s="1848"/>
      <c r="X1052" s="1848"/>
      <c r="Y1052" s="1848"/>
    </row>
    <row r="1053" spans="2:25" hidden="1">
      <c r="B1053" s="1815" t="b">
        <f>AND(I1053=FALSE,N1052=0,Q1052=0,L1052="")</f>
        <v>1</v>
      </c>
      <c r="C1053" s="1844" t="str" cm="1">
        <f t="array" ref="C1053">_xlfn.IFS(
    L1053="", "",
    MONTH(L1053) &lt;= End_of_Year_Month, YEAR(L1053),
    TRUE, YEAR(L1053) + 1
)</f>
        <v/>
      </c>
      <c r="F1053" s="1857">
        <f>IF(L1053="",0,L1053)</f>
        <v>0</v>
      </c>
      <c r="G1053" s="1856">
        <f>-(N1053-Q1053)</f>
        <v>0</v>
      </c>
      <c r="I1053" s="1815" t="b">
        <f>K1053&lt;=Number_Payments</f>
        <v>0</v>
      </c>
      <c r="J1053" s="1855"/>
      <c r="K1053" s="1351">
        <f>K1052+1</f>
        <v>927</v>
      </c>
      <c r="L1053" s="1854" t="str" cm="1">
        <f t="array" ref="L1053">_xlfn.IFS(
    I1052=FALSE, "",
    Payment_Frequency="Monthly", EDATE(L1052, 1),
    Payment_Frequency="Weekly", DATE(YEAR(L1052), MONTH(L1052), DAY(L1052) + 7),
    Payment_Frequency="Fortnightly", DATE(YEAR(L1052), MONTH(L1052), DAY(L1052) + 14),
    Payment_Frequency="Quarterly", DATE(YEAR(L1052), MONTH(L1052) + 3, DAY(L1052)),
    Payment_Frequency="Yearly", DATE(YEAR(L1052) + 1, MONTH(L1052), DAY(L1052)),
    TRUE, ""
)</f>
        <v/>
      </c>
      <c r="M1053" s="1853">
        <f>IF(ISERROR(L1053-L1052),0,L1053-L1052)</f>
        <v>0</v>
      </c>
      <c r="N1053" s="1851" cm="1">
        <f t="array" ref="N1053">_xlfn.IFS(
    AND(I1053=TRUE, K1053&lt;=No_Regular_Payments), Repay_Amt,
    AND(I1053=TRUE, K1053=No_Regular_Payments+1), Tm_Balloon_Amt,
   TRUE, 0
)</f>
        <v>0</v>
      </c>
      <c r="O1053" s="1850" cm="1">
        <f t="array" ref="O1053">_xlfn.IFS(
    M1053=0,0,
   ABS(N1053 - S1052 - P1053-Q1053) &lt; 1, N1053 - S1052-Q1053,
    TRUE, P1053
)</f>
        <v>0</v>
      </c>
      <c r="P1053" s="1852">
        <f>IF(M1053=0,0,ROUND(S1052*EXP(Int_Rate/365.25 * M1053)-S1052,2))</f>
        <v>0</v>
      </c>
      <c r="Q1053" s="1851" cm="1">
        <f t="array" ref="Q1053">_xlfn.IFS(
    AND(I1053=TRUE, K1053&lt;=No_Regular_Payments), Periodic_Admin_Charge,
   TRUE, 0
)</f>
        <v>0</v>
      </c>
      <c r="R1053" s="1850">
        <f>N1053-O1053-Q1053</f>
        <v>0</v>
      </c>
      <c r="S1053" s="1850">
        <f>ROUND(S1052-R1053,2)</f>
        <v>0</v>
      </c>
      <c r="T1053" s="1850">
        <f>ROUND(T1052-(N1053-Q1053),2)</f>
        <v>0</v>
      </c>
      <c r="U1053" s="1849"/>
      <c r="W1053" s="1848"/>
      <c r="X1053" s="1848"/>
      <c r="Y1053" s="1848"/>
    </row>
    <row r="1054" spans="2:25" hidden="1">
      <c r="B1054" s="1815" t="b">
        <f>AND(I1054=FALSE,N1053=0,Q1053=0,L1053="")</f>
        <v>1</v>
      </c>
      <c r="C1054" s="1844" t="str" cm="1">
        <f t="array" ref="C1054">_xlfn.IFS(
    L1054="", "",
    MONTH(L1054) &lt;= End_of_Year_Month, YEAR(L1054),
    TRUE, YEAR(L1054) + 1
)</f>
        <v/>
      </c>
      <c r="F1054" s="1857">
        <f>IF(L1054="",0,L1054)</f>
        <v>0</v>
      </c>
      <c r="G1054" s="1856">
        <f>-(N1054-Q1054)</f>
        <v>0</v>
      </c>
      <c r="I1054" s="1815" t="b">
        <f>K1054&lt;=Number_Payments</f>
        <v>0</v>
      </c>
      <c r="J1054" s="1855"/>
      <c r="K1054" s="1351">
        <f>K1053+1</f>
        <v>928</v>
      </c>
      <c r="L1054" s="1854" t="str" cm="1">
        <f t="array" ref="L1054">_xlfn.IFS(
    I1053=FALSE, "",
    Payment_Frequency="Monthly", EDATE(L1053, 1),
    Payment_Frequency="Weekly", DATE(YEAR(L1053), MONTH(L1053), DAY(L1053) + 7),
    Payment_Frequency="Fortnightly", DATE(YEAR(L1053), MONTH(L1053), DAY(L1053) + 14),
    Payment_Frequency="Quarterly", DATE(YEAR(L1053), MONTH(L1053) + 3, DAY(L1053)),
    Payment_Frequency="Yearly", DATE(YEAR(L1053) + 1, MONTH(L1053), DAY(L1053)),
    TRUE, ""
)</f>
        <v/>
      </c>
      <c r="M1054" s="1853">
        <f>IF(ISERROR(L1054-L1053),0,L1054-L1053)</f>
        <v>0</v>
      </c>
      <c r="N1054" s="1851" cm="1">
        <f t="array" ref="N1054">_xlfn.IFS(
    AND(I1054=TRUE, K1054&lt;=No_Regular_Payments), Repay_Amt,
    AND(I1054=TRUE, K1054=No_Regular_Payments+1), Tm_Balloon_Amt,
   TRUE, 0
)</f>
        <v>0</v>
      </c>
      <c r="O1054" s="1850" cm="1">
        <f t="array" ref="O1054">_xlfn.IFS(
    M1054=0,0,
   ABS(N1054 - S1053 - P1054-Q1054) &lt; 1, N1054 - S1053-Q1054,
    TRUE, P1054
)</f>
        <v>0</v>
      </c>
      <c r="P1054" s="1852">
        <f>IF(M1054=0,0,ROUND(S1053*EXP(Int_Rate/365.25 * M1054)-S1053,2))</f>
        <v>0</v>
      </c>
      <c r="Q1054" s="1851" cm="1">
        <f t="array" ref="Q1054">_xlfn.IFS(
    AND(I1054=TRUE, K1054&lt;=No_Regular_Payments), Periodic_Admin_Charge,
   TRUE, 0
)</f>
        <v>0</v>
      </c>
      <c r="R1054" s="1850">
        <f>N1054-O1054-Q1054</f>
        <v>0</v>
      </c>
      <c r="S1054" s="1850">
        <f>ROUND(S1053-R1054,2)</f>
        <v>0</v>
      </c>
      <c r="T1054" s="1850">
        <f>ROUND(T1053-(N1054-Q1054),2)</f>
        <v>0</v>
      </c>
      <c r="U1054" s="1849"/>
      <c r="W1054" s="1848"/>
      <c r="X1054" s="1848"/>
      <c r="Y1054" s="1848"/>
    </row>
    <row r="1055" spans="2:25" hidden="1">
      <c r="B1055" s="1815" t="b">
        <f>AND(I1055=FALSE,N1054=0,Q1054=0,L1054="")</f>
        <v>1</v>
      </c>
      <c r="C1055" s="1844" t="str" cm="1">
        <f t="array" ref="C1055">_xlfn.IFS(
    L1055="", "",
    MONTH(L1055) &lt;= End_of_Year_Month, YEAR(L1055),
    TRUE, YEAR(L1055) + 1
)</f>
        <v/>
      </c>
      <c r="F1055" s="1857">
        <f>IF(L1055="",0,L1055)</f>
        <v>0</v>
      </c>
      <c r="G1055" s="1856">
        <f>-(N1055-Q1055)</f>
        <v>0</v>
      </c>
      <c r="I1055" s="1815" t="b">
        <f>K1055&lt;=Number_Payments</f>
        <v>0</v>
      </c>
      <c r="J1055" s="1855"/>
      <c r="K1055" s="1351">
        <f>K1054+1</f>
        <v>929</v>
      </c>
      <c r="L1055" s="1854" t="str" cm="1">
        <f t="array" ref="L1055">_xlfn.IFS(
    I1054=FALSE, "",
    Payment_Frequency="Monthly", EDATE(L1054, 1),
    Payment_Frequency="Weekly", DATE(YEAR(L1054), MONTH(L1054), DAY(L1054) + 7),
    Payment_Frequency="Fortnightly", DATE(YEAR(L1054), MONTH(L1054), DAY(L1054) + 14),
    Payment_Frequency="Quarterly", DATE(YEAR(L1054), MONTH(L1054) + 3, DAY(L1054)),
    Payment_Frequency="Yearly", DATE(YEAR(L1054) + 1, MONTH(L1054), DAY(L1054)),
    TRUE, ""
)</f>
        <v/>
      </c>
      <c r="M1055" s="1853">
        <f>IF(ISERROR(L1055-L1054),0,L1055-L1054)</f>
        <v>0</v>
      </c>
      <c r="N1055" s="1851" cm="1">
        <f t="array" ref="N1055">_xlfn.IFS(
    AND(I1055=TRUE, K1055&lt;=No_Regular_Payments), Repay_Amt,
    AND(I1055=TRUE, K1055=No_Regular_Payments+1), Tm_Balloon_Amt,
   TRUE, 0
)</f>
        <v>0</v>
      </c>
      <c r="O1055" s="1850" cm="1">
        <f t="array" ref="O1055">_xlfn.IFS(
    M1055=0,0,
   ABS(N1055 - S1054 - P1055-Q1055) &lt; 1, N1055 - S1054-Q1055,
    TRUE, P1055
)</f>
        <v>0</v>
      </c>
      <c r="P1055" s="1852">
        <f>IF(M1055=0,0,ROUND(S1054*EXP(Int_Rate/365.25 * M1055)-S1054,2))</f>
        <v>0</v>
      </c>
      <c r="Q1055" s="1851" cm="1">
        <f t="array" ref="Q1055">_xlfn.IFS(
    AND(I1055=TRUE, K1055&lt;=No_Regular_Payments), Periodic_Admin_Charge,
   TRUE, 0
)</f>
        <v>0</v>
      </c>
      <c r="R1055" s="1850">
        <f>N1055-O1055-Q1055</f>
        <v>0</v>
      </c>
      <c r="S1055" s="1850">
        <f>ROUND(S1054-R1055,2)</f>
        <v>0</v>
      </c>
      <c r="T1055" s="1850">
        <f>ROUND(T1054-(N1055-Q1055),2)</f>
        <v>0</v>
      </c>
      <c r="U1055" s="1849"/>
      <c r="W1055" s="1848"/>
      <c r="X1055" s="1848"/>
      <c r="Y1055" s="1848"/>
    </row>
    <row r="1056" spans="2:25" hidden="1">
      <c r="B1056" s="1815" t="b">
        <f>AND(I1056=FALSE,N1055=0,Q1055=0,L1055="")</f>
        <v>1</v>
      </c>
      <c r="C1056" s="1844" t="str" cm="1">
        <f t="array" ref="C1056">_xlfn.IFS(
    L1056="", "",
    MONTH(L1056) &lt;= End_of_Year_Month, YEAR(L1056),
    TRUE, YEAR(L1056) + 1
)</f>
        <v/>
      </c>
      <c r="F1056" s="1857">
        <f>IF(L1056="",0,L1056)</f>
        <v>0</v>
      </c>
      <c r="G1056" s="1856">
        <f>-(N1056-Q1056)</f>
        <v>0</v>
      </c>
      <c r="I1056" s="1815" t="b">
        <f>K1056&lt;=Number_Payments</f>
        <v>0</v>
      </c>
      <c r="J1056" s="1855"/>
      <c r="K1056" s="1351">
        <f>K1055+1</f>
        <v>930</v>
      </c>
      <c r="L1056" s="1854" t="str" cm="1">
        <f t="array" ref="L1056">_xlfn.IFS(
    I1055=FALSE, "",
    Payment_Frequency="Monthly", EDATE(L1055, 1),
    Payment_Frequency="Weekly", DATE(YEAR(L1055), MONTH(L1055), DAY(L1055) + 7),
    Payment_Frequency="Fortnightly", DATE(YEAR(L1055), MONTH(L1055), DAY(L1055) + 14),
    Payment_Frequency="Quarterly", DATE(YEAR(L1055), MONTH(L1055) + 3, DAY(L1055)),
    Payment_Frequency="Yearly", DATE(YEAR(L1055) + 1, MONTH(L1055), DAY(L1055)),
    TRUE, ""
)</f>
        <v/>
      </c>
      <c r="M1056" s="1853">
        <f>IF(ISERROR(L1056-L1055),0,L1056-L1055)</f>
        <v>0</v>
      </c>
      <c r="N1056" s="1851" cm="1">
        <f t="array" ref="N1056">_xlfn.IFS(
    AND(I1056=TRUE, K1056&lt;=No_Regular_Payments), Repay_Amt,
    AND(I1056=TRUE, K1056=No_Regular_Payments+1), Tm_Balloon_Amt,
   TRUE, 0
)</f>
        <v>0</v>
      </c>
      <c r="O1056" s="1850" cm="1">
        <f t="array" ref="O1056">_xlfn.IFS(
    M1056=0,0,
   ABS(N1056 - S1055 - P1056-Q1056) &lt; 1, N1056 - S1055-Q1056,
    TRUE, P1056
)</f>
        <v>0</v>
      </c>
      <c r="P1056" s="1852">
        <f>IF(M1056=0,0,ROUND(S1055*EXP(Int_Rate/365.25 * M1056)-S1055,2))</f>
        <v>0</v>
      </c>
      <c r="Q1056" s="1851" cm="1">
        <f t="array" ref="Q1056">_xlfn.IFS(
    AND(I1056=TRUE, K1056&lt;=No_Regular_Payments), Periodic_Admin_Charge,
   TRUE, 0
)</f>
        <v>0</v>
      </c>
      <c r="R1056" s="1850">
        <f>N1056-O1056-Q1056</f>
        <v>0</v>
      </c>
      <c r="S1056" s="1850">
        <f>ROUND(S1055-R1056,2)</f>
        <v>0</v>
      </c>
      <c r="T1056" s="1850">
        <f>ROUND(T1055-(N1056-Q1056),2)</f>
        <v>0</v>
      </c>
      <c r="U1056" s="1849"/>
      <c r="W1056" s="1848"/>
      <c r="X1056" s="1848"/>
      <c r="Y1056" s="1848"/>
    </row>
    <row r="1057" spans="2:25" hidden="1">
      <c r="B1057" s="1815" t="b">
        <f>AND(I1057=FALSE,N1056=0,Q1056=0,L1056="")</f>
        <v>1</v>
      </c>
      <c r="C1057" s="1844" t="str" cm="1">
        <f t="array" ref="C1057">_xlfn.IFS(
    L1057="", "",
    MONTH(L1057) &lt;= End_of_Year_Month, YEAR(L1057),
    TRUE, YEAR(L1057) + 1
)</f>
        <v/>
      </c>
      <c r="F1057" s="1857">
        <f>IF(L1057="",0,L1057)</f>
        <v>0</v>
      </c>
      <c r="G1057" s="1856">
        <f>-(N1057-Q1057)</f>
        <v>0</v>
      </c>
      <c r="I1057" s="1815" t="b">
        <f>K1057&lt;=Number_Payments</f>
        <v>0</v>
      </c>
      <c r="J1057" s="1855"/>
      <c r="K1057" s="1351">
        <f>K1056+1</f>
        <v>931</v>
      </c>
      <c r="L1057" s="1854" t="str" cm="1">
        <f t="array" ref="L1057">_xlfn.IFS(
    I1056=FALSE, "",
    Payment_Frequency="Monthly", EDATE(L1056, 1),
    Payment_Frequency="Weekly", DATE(YEAR(L1056), MONTH(L1056), DAY(L1056) + 7),
    Payment_Frequency="Fortnightly", DATE(YEAR(L1056), MONTH(L1056), DAY(L1056) + 14),
    Payment_Frequency="Quarterly", DATE(YEAR(L1056), MONTH(L1056) + 3, DAY(L1056)),
    Payment_Frequency="Yearly", DATE(YEAR(L1056) + 1, MONTH(L1056), DAY(L1056)),
    TRUE, ""
)</f>
        <v/>
      </c>
      <c r="M1057" s="1853">
        <f>IF(ISERROR(L1057-L1056),0,L1057-L1056)</f>
        <v>0</v>
      </c>
      <c r="N1057" s="1851" cm="1">
        <f t="array" ref="N1057">_xlfn.IFS(
    AND(I1057=TRUE, K1057&lt;=No_Regular_Payments), Repay_Amt,
    AND(I1057=TRUE, K1057=No_Regular_Payments+1), Tm_Balloon_Amt,
   TRUE, 0
)</f>
        <v>0</v>
      </c>
      <c r="O1057" s="1850" cm="1">
        <f t="array" ref="O1057">_xlfn.IFS(
    M1057=0,0,
   ABS(N1057 - S1056 - P1057-Q1057) &lt; 1, N1057 - S1056-Q1057,
    TRUE, P1057
)</f>
        <v>0</v>
      </c>
      <c r="P1057" s="1852">
        <f>IF(M1057=0,0,ROUND(S1056*EXP(Int_Rate/365.25 * M1057)-S1056,2))</f>
        <v>0</v>
      </c>
      <c r="Q1057" s="1851" cm="1">
        <f t="array" ref="Q1057">_xlfn.IFS(
    AND(I1057=TRUE, K1057&lt;=No_Regular_Payments), Periodic_Admin_Charge,
   TRUE, 0
)</f>
        <v>0</v>
      </c>
      <c r="R1057" s="1850">
        <f>N1057-O1057-Q1057</f>
        <v>0</v>
      </c>
      <c r="S1057" s="1850">
        <f>ROUND(S1056-R1057,2)</f>
        <v>0</v>
      </c>
      <c r="T1057" s="1850">
        <f>ROUND(T1056-(N1057-Q1057),2)</f>
        <v>0</v>
      </c>
      <c r="U1057" s="1849"/>
      <c r="W1057" s="1848"/>
      <c r="X1057" s="1848"/>
      <c r="Y1057" s="1848"/>
    </row>
    <row r="1058" spans="2:25" hidden="1">
      <c r="B1058" s="1815" t="b">
        <f>AND(I1058=FALSE,N1057=0,Q1057=0,L1057="")</f>
        <v>1</v>
      </c>
      <c r="C1058" s="1844" t="str" cm="1">
        <f t="array" ref="C1058">_xlfn.IFS(
    L1058="", "",
    MONTH(L1058) &lt;= End_of_Year_Month, YEAR(L1058),
    TRUE, YEAR(L1058) + 1
)</f>
        <v/>
      </c>
      <c r="F1058" s="1857">
        <f>IF(L1058="",0,L1058)</f>
        <v>0</v>
      </c>
      <c r="G1058" s="1856">
        <f>-(N1058-Q1058)</f>
        <v>0</v>
      </c>
      <c r="I1058" s="1815" t="b">
        <f>K1058&lt;=Number_Payments</f>
        <v>0</v>
      </c>
      <c r="J1058" s="1855"/>
      <c r="K1058" s="1351">
        <f>K1057+1</f>
        <v>932</v>
      </c>
      <c r="L1058" s="1854" t="str" cm="1">
        <f t="array" ref="L1058">_xlfn.IFS(
    I1057=FALSE, "",
    Payment_Frequency="Monthly", EDATE(L1057, 1),
    Payment_Frequency="Weekly", DATE(YEAR(L1057), MONTH(L1057), DAY(L1057) + 7),
    Payment_Frequency="Fortnightly", DATE(YEAR(L1057), MONTH(L1057), DAY(L1057) + 14),
    Payment_Frequency="Quarterly", DATE(YEAR(L1057), MONTH(L1057) + 3, DAY(L1057)),
    Payment_Frequency="Yearly", DATE(YEAR(L1057) + 1, MONTH(L1057), DAY(L1057)),
    TRUE, ""
)</f>
        <v/>
      </c>
      <c r="M1058" s="1853">
        <f>IF(ISERROR(L1058-L1057),0,L1058-L1057)</f>
        <v>0</v>
      </c>
      <c r="N1058" s="1851" cm="1">
        <f t="array" ref="N1058">_xlfn.IFS(
    AND(I1058=TRUE, K1058&lt;=No_Regular_Payments), Repay_Amt,
    AND(I1058=TRUE, K1058=No_Regular_Payments+1), Tm_Balloon_Amt,
   TRUE, 0
)</f>
        <v>0</v>
      </c>
      <c r="O1058" s="1850" cm="1">
        <f t="array" ref="O1058">_xlfn.IFS(
    M1058=0,0,
   ABS(N1058 - S1057 - P1058-Q1058) &lt; 1, N1058 - S1057-Q1058,
    TRUE, P1058
)</f>
        <v>0</v>
      </c>
      <c r="P1058" s="1852">
        <f>IF(M1058=0,0,ROUND(S1057*EXP(Int_Rate/365.25 * M1058)-S1057,2))</f>
        <v>0</v>
      </c>
      <c r="Q1058" s="1851" cm="1">
        <f t="array" ref="Q1058">_xlfn.IFS(
    AND(I1058=TRUE, K1058&lt;=No_Regular_Payments), Periodic_Admin_Charge,
   TRUE, 0
)</f>
        <v>0</v>
      </c>
      <c r="R1058" s="1850">
        <f>N1058-O1058-Q1058</f>
        <v>0</v>
      </c>
      <c r="S1058" s="1850">
        <f>ROUND(S1057-R1058,2)</f>
        <v>0</v>
      </c>
      <c r="T1058" s="1850">
        <f>ROUND(T1057-(N1058-Q1058),2)</f>
        <v>0</v>
      </c>
      <c r="U1058" s="1849"/>
      <c r="W1058" s="1848"/>
      <c r="X1058" s="1848"/>
      <c r="Y1058" s="1848"/>
    </row>
    <row r="1059" spans="2:25" hidden="1">
      <c r="B1059" s="1815" t="b">
        <f>AND(I1059=FALSE,N1058=0,Q1058=0,L1058="")</f>
        <v>1</v>
      </c>
      <c r="C1059" s="1844" t="str" cm="1">
        <f t="array" ref="C1059">_xlfn.IFS(
    L1059="", "",
    MONTH(L1059) &lt;= End_of_Year_Month, YEAR(L1059),
    TRUE, YEAR(L1059) + 1
)</f>
        <v/>
      </c>
      <c r="F1059" s="1857">
        <f>IF(L1059="",0,L1059)</f>
        <v>0</v>
      </c>
      <c r="G1059" s="1856">
        <f>-(N1059-Q1059)</f>
        <v>0</v>
      </c>
      <c r="I1059" s="1815" t="b">
        <f>K1059&lt;=Number_Payments</f>
        <v>0</v>
      </c>
      <c r="J1059" s="1855"/>
      <c r="K1059" s="1351">
        <f>K1058+1</f>
        <v>933</v>
      </c>
      <c r="L1059" s="1854" t="str" cm="1">
        <f t="array" ref="L1059">_xlfn.IFS(
    I1058=FALSE, "",
    Payment_Frequency="Monthly", EDATE(L1058, 1),
    Payment_Frequency="Weekly", DATE(YEAR(L1058), MONTH(L1058), DAY(L1058) + 7),
    Payment_Frequency="Fortnightly", DATE(YEAR(L1058), MONTH(L1058), DAY(L1058) + 14),
    Payment_Frequency="Quarterly", DATE(YEAR(L1058), MONTH(L1058) + 3, DAY(L1058)),
    Payment_Frequency="Yearly", DATE(YEAR(L1058) + 1, MONTH(L1058), DAY(L1058)),
    TRUE, ""
)</f>
        <v/>
      </c>
      <c r="M1059" s="1853">
        <f>IF(ISERROR(L1059-L1058),0,L1059-L1058)</f>
        <v>0</v>
      </c>
      <c r="N1059" s="1851" cm="1">
        <f t="array" ref="N1059">_xlfn.IFS(
    AND(I1059=TRUE, K1059&lt;=No_Regular_Payments), Repay_Amt,
    AND(I1059=TRUE, K1059=No_Regular_Payments+1), Tm_Balloon_Amt,
   TRUE, 0
)</f>
        <v>0</v>
      </c>
      <c r="O1059" s="1850" cm="1">
        <f t="array" ref="O1059">_xlfn.IFS(
    M1059=0,0,
   ABS(N1059 - S1058 - P1059-Q1059) &lt; 1, N1059 - S1058-Q1059,
    TRUE, P1059
)</f>
        <v>0</v>
      </c>
      <c r="P1059" s="1852">
        <f>IF(M1059=0,0,ROUND(S1058*EXP(Int_Rate/365.25 * M1059)-S1058,2))</f>
        <v>0</v>
      </c>
      <c r="Q1059" s="1851" cm="1">
        <f t="array" ref="Q1059">_xlfn.IFS(
    AND(I1059=TRUE, K1059&lt;=No_Regular_Payments), Periodic_Admin_Charge,
   TRUE, 0
)</f>
        <v>0</v>
      </c>
      <c r="R1059" s="1850">
        <f>N1059-O1059-Q1059</f>
        <v>0</v>
      </c>
      <c r="S1059" s="1850">
        <f>ROUND(S1058-R1059,2)</f>
        <v>0</v>
      </c>
      <c r="T1059" s="1850">
        <f>ROUND(T1058-(N1059-Q1059),2)</f>
        <v>0</v>
      </c>
      <c r="U1059" s="1849"/>
      <c r="W1059" s="1848"/>
      <c r="X1059" s="1848"/>
      <c r="Y1059" s="1848"/>
    </row>
    <row r="1060" spans="2:25" hidden="1">
      <c r="B1060" s="1815" t="b">
        <f>AND(I1060=FALSE,N1059=0,Q1059=0,L1059="")</f>
        <v>1</v>
      </c>
      <c r="C1060" s="1844" t="str" cm="1">
        <f t="array" ref="C1060">_xlfn.IFS(
    L1060="", "",
    MONTH(L1060) &lt;= End_of_Year_Month, YEAR(L1060),
    TRUE, YEAR(L1060) + 1
)</f>
        <v/>
      </c>
      <c r="F1060" s="1857">
        <f>IF(L1060="",0,L1060)</f>
        <v>0</v>
      </c>
      <c r="G1060" s="1856">
        <f>-(N1060-Q1060)</f>
        <v>0</v>
      </c>
      <c r="I1060" s="1815" t="b">
        <f>K1060&lt;=Number_Payments</f>
        <v>0</v>
      </c>
      <c r="J1060" s="1855"/>
      <c r="K1060" s="1351">
        <f>K1059+1</f>
        <v>934</v>
      </c>
      <c r="L1060" s="1854" t="str" cm="1">
        <f t="array" ref="L1060">_xlfn.IFS(
    I1059=FALSE, "",
    Payment_Frequency="Monthly", EDATE(L1059, 1),
    Payment_Frequency="Weekly", DATE(YEAR(L1059), MONTH(L1059), DAY(L1059) + 7),
    Payment_Frequency="Fortnightly", DATE(YEAR(L1059), MONTH(L1059), DAY(L1059) + 14),
    Payment_Frequency="Quarterly", DATE(YEAR(L1059), MONTH(L1059) + 3, DAY(L1059)),
    Payment_Frequency="Yearly", DATE(YEAR(L1059) + 1, MONTH(L1059), DAY(L1059)),
    TRUE, ""
)</f>
        <v/>
      </c>
      <c r="M1060" s="1853">
        <f>IF(ISERROR(L1060-L1059),0,L1060-L1059)</f>
        <v>0</v>
      </c>
      <c r="N1060" s="1851" cm="1">
        <f t="array" ref="N1060">_xlfn.IFS(
    AND(I1060=TRUE, K1060&lt;=No_Regular_Payments), Repay_Amt,
    AND(I1060=TRUE, K1060=No_Regular_Payments+1), Tm_Balloon_Amt,
   TRUE, 0
)</f>
        <v>0</v>
      </c>
      <c r="O1060" s="1850" cm="1">
        <f t="array" ref="O1060">_xlfn.IFS(
    M1060=0,0,
   ABS(N1060 - S1059 - P1060-Q1060) &lt; 1, N1060 - S1059-Q1060,
    TRUE, P1060
)</f>
        <v>0</v>
      </c>
      <c r="P1060" s="1852">
        <f>IF(M1060=0,0,ROUND(S1059*EXP(Int_Rate/365.25 * M1060)-S1059,2))</f>
        <v>0</v>
      </c>
      <c r="Q1060" s="1851" cm="1">
        <f t="array" ref="Q1060">_xlfn.IFS(
    AND(I1060=TRUE, K1060&lt;=No_Regular_Payments), Periodic_Admin_Charge,
   TRUE, 0
)</f>
        <v>0</v>
      </c>
      <c r="R1060" s="1850">
        <f>N1060-O1060-Q1060</f>
        <v>0</v>
      </c>
      <c r="S1060" s="1850">
        <f>ROUND(S1059-R1060,2)</f>
        <v>0</v>
      </c>
      <c r="T1060" s="1850">
        <f>ROUND(T1059-(N1060-Q1060),2)</f>
        <v>0</v>
      </c>
      <c r="U1060" s="1849"/>
      <c r="W1060" s="1848"/>
      <c r="X1060" s="1848"/>
      <c r="Y1060" s="1848"/>
    </row>
    <row r="1061" spans="2:25" hidden="1">
      <c r="B1061" s="1815" t="b">
        <f>AND(I1061=FALSE,N1060=0,Q1060=0,L1060="")</f>
        <v>1</v>
      </c>
      <c r="C1061" s="1844" t="str" cm="1">
        <f t="array" ref="C1061">_xlfn.IFS(
    L1061="", "",
    MONTH(L1061) &lt;= End_of_Year_Month, YEAR(L1061),
    TRUE, YEAR(L1061) + 1
)</f>
        <v/>
      </c>
      <c r="F1061" s="1857">
        <f>IF(L1061="",0,L1061)</f>
        <v>0</v>
      </c>
      <c r="G1061" s="1856">
        <f>-(N1061-Q1061)</f>
        <v>0</v>
      </c>
      <c r="I1061" s="1815" t="b">
        <f>K1061&lt;=Number_Payments</f>
        <v>0</v>
      </c>
      <c r="J1061" s="1855"/>
      <c r="K1061" s="1351">
        <f>K1060+1</f>
        <v>935</v>
      </c>
      <c r="L1061" s="1854" t="str" cm="1">
        <f t="array" ref="L1061">_xlfn.IFS(
    I1060=FALSE, "",
    Payment_Frequency="Monthly", EDATE(L1060, 1),
    Payment_Frequency="Weekly", DATE(YEAR(L1060), MONTH(L1060), DAY(L1060) + 7),
    Payment_Frequency="Fortnightly", DATE(YEAR(L1060), MONTH(L1060), DAY(L1060) + 14),
    Payment_Frequency="Quarterly", DATE(YEAR(L1060), MONTH(L1060) + 3, DAY(L1060)),
    Payment_Frequency="Yearly", DATE(YEAR(L1060) + 1, MONTH(L1060), DAY(L1060)),
    TRUE, ""
)</f>
        <v/>
      </c>
      <c r="M1061" s="1853">
        <f>IF(ISERROR(L1061-L1060),0,L1061-L1060)</f>
        <v>0</v>
      </c>
      <c r="N1061" s="1851" cm="1">
        <f t="array" ref="N1061">_xlfn.IFS(
    AND(I1061=TRUE, K1061&lt;=No_Regular_Payments), Repay_Amt,
    AND(I1061=TRUE, K1061=No_Regular_Payments+1), Tm_Balloon_Amt,
   TRUE, 0
)</f>
        <v>0</v>
      </c>
      <c r="O1061" s="1850" cm="1">
        <f t="array" ref="O1061">_xlfn.IFS(
    M1061=0,0,
   ABS(N1061 - S1060 - P1061-Q1061) &lt; 1, N1061 - S1060-Q1061,
    TRUE, P1061
)</f>
        <v>0</v>
      </c>
      <c r="P1061" s="1852">
        <f>IF(M1061=0,0,ROUND(S1060*EXP(Int_Rate/365.25 * M1061)-S1060,2))</f>
        <v>0</v>
      </c>
      <c r="Q1061" s="1851" cm="1">
        <f t="array" ref="Q1061">_xlfn.IFS(
    AND(I1061=TRUE, K1061&lt;=No_Regular_Payments), Periodic_Admin_Charge,
   TRUE, 0
)</f>
        <v>0</v>
      </c>
      <c r="R1061" s="1850">
        <f>N1061-O1061-Q1061</f>
        <v>0</v>
      </c>
      <c r="S1061" s="1850">
        <f>ROUND(S1060-R1061,2)</f>
        <v>0</v>
      </c>
      <c r="T1061" s="1850">
        <f>ROUND(T1060-(N1061-Q1061),2)</f>
        <v>0</v>
      </c>
      <c r="U1061" s="1849"/>
      <c r="W1061" s="1848"/>
      <c r="X1061" s="1848"/>
      <c r="Y1061" s="1848"/>
    </row>
    <row r="1062" spans="2:25" hidden="1">
      <c r="B1062" s="1815" t="b">
        <f>AND(I1062=FALSE,N1061=0,Q1061=0,L1061="")</f>
        <v>1</v>
      </c>
      <c r="C1062" s="1844" t="str" cm="1">
        <f t="array" ref="C1062">_xlfn.IFS(
    L1062="", "",
    MONTH(L1062) &lt;= End_of_Year_Month, YEAR(L1062),
    TRUE, YEAR(L1062) + 1
)</f>
        <v/>
      </c>
      <c r="F1062" s="1857">
        <f>IF(L1062="",0,L1062)</f>
        <v>0</v>
      </c>
      <c r="G1062" s="1856">
        <f>-(N1062-Q1062)</f>
        <v>0</v>
      </c>
      <c r="I1062" s="1815" t="b">
        <f>K1062&lt;=Number_Payments</f>
        <v>0</v>
      </c>
      <c r="J1062" s="1855"/>
      <c r="K1062" s="1351">
        <f>K1061+1</f>
        <v>936</v>
      </c>
      <c r="L1062" s="1854" t="str" cm="1">
        <f t="array" ref="L1062">_xlfn.IFS(
    I1061=FALSE, "",
    Payment_Frequency="Monthly", EDATE(L1061, 1),
    Payment_Frequency="Weekly", DATE(YEAR(L1061), MONTH(L1061), DAY(L1061) + 7),
    Payment_Frequency="Fortnightly", DATE(YEAR(L1061), MONTH(L1061), DAY(L1061) + 14),
    Payment_Frequency="Quarterly", DATE(YEAR(L1061), MONTH(L1061) + 3, DAY(L1061)),
    Payment_Frequency="Yearly", DATE(YEAR(L1061) + 1, MONTH(L1061), DAY(L1061)),
    TRUE, ""
)</f>
        <v/>
      </c>
      <c r="M1062" s="1853">
        <f>IF(ISERROR(L1062-L1061),0,L1062-L1061)</f>
        <v>0</v>
      </c>
      <c r="N1062" s="1851" cm="1">
        <f t="array" ref="N1062">_xlfn.IFS(
    AND(I1062=TRUE, K1062&lt;=No_Regular_Payments), Repay_Amt,
    AND(I1062=TRUE, K1062=No_Regular_Payments+1), Tm_Balloon_Amt,
   TRUE, 0
)</f>
        <v>0</v>
      </c>
      <c r="O1062" s="1850" cm="1">
        <f t="array" ref="O1062">_xlfn.IFS(
    M1062=0,0,
   ABS(N1062 - S1061 - P1062-Q1062) &lt; 1, N1062 - S1061-Q1062,
    TRUE, P1062
)</f>
        <v>0</v>
      </c>
      <c r="P1062" s="1852">
        <f>IF(M1062=0,0,ROUND(S1061*EXP(Int_Rate/365.25 * M1062)-S1061,2))</f>
        <v>0</v>
      </c>
      <c r="Q1062" s="1851" cm="1">
        <f t="array" ref="Q1062">_xlfn.IFS(
    AND(I1062=TRUE, K1062&lt;=No_Regular_Payments), Periodic_Admin_Charge,
   TRUE, 0
)</f>
        <v>0</v>
      </c>
      <c r="R1062" s="1850">
        <f>N1062-O1062-Q1062</f>
        <v>0</v>
      </c>
      <c r="S1062" s="1850">
        <f>ROUND(S1061-R1062,2)</f>
        <v>0</v>
      </c>
      <c r="T1062" s="1850">
        <f>ROUND(T1061-(N1062-Q1062),2)</f>
        <v>0</v>
      </c>
      <c r="U1062" s="1849"/>
      <c r="W1062" s="1848"/>
      <c r="X1062" s="1848"/>
      <c r="Y1062" s="1848"/>
    </row>
    <row r="1063" spans="2:25" hidden="1">
      <c r="B1063" s="1815" t="b">
        <f>AND(I1063=FALSE,N1062=0,Q1062=0,L1062="")</f>
        <v>1</v>
      </c>
      <c r="C1063" s="1844" t="str" cm="1">
        <f t="array" ref="C1063">_xlfn.IFS(
    L1063="", "",
    MONTH(L1063) &lt;= End_of_Year_Month, YEAR(L1063),
    TRUE, YEAR(L1063) + 1
)</f>
        <v/>
      </c>
      <c r="F1063" s="1857">
        <f>IF(L1063="",0,L1063)</f>
        <v>0</v>
      </c>
      <c r="G1063" s="1856">
        <f>-(N1063-Q1063)</f>
        <v>0</v>
      </c>
      <c r="I1063" s="1815" t="b">
        <f>K1063&lt;=Number_Payments</f>
        <v>0</v>
      </c>
      <c r="J1063" s="1855"/>
      <c r="K1063" s="1351">
        <f>K1062+1</f>
        <v>937</v>
      </c>
      <c r="L1063" s="1854" t="str" cm="1">
        <f t="array" ref="L1063">_xlfn.IFS(
    I1062=FALSE, "",
    Payment_Frequency="Monthly", EDATE(L1062, 1),
    Payment_Frequency="Weekly", DATE(YEAR(L1062), MONTH(L1062), DAY(L1062) + 7),
    Payment_Frequency="Fortnightly", DATE(YEAR(L1062), MONTH(L1062), DAY(L1062) + 14),
    Payment_Frequency="Quarterly", DATE(YEAR(L1062), MONTH(L1062) + 3, DAY(L1062)),
    Payment_Frequency="Yearly", DATE(YEAR(L1062) + 1, MONTH(L1062), DAY(L1062)),
    TRUE, ""
)</f>
        <v/>
      </c>
      <c r="M1063" s="1853">
        <f>IF(ISERROR(L1063-L1062),0,L1063-L1062)</f>
        <v>0</v>
      </c>
      <c r="N1063" s="1851" cm="1">
        <f t="array" ref="N1063">_xlfn.IFS(
    AND(I1063=TRUE, K1063&lt;=No_Regular_Payments), Repay_Amt,
    AND(I1063=TRUE, K1063=No_Regular_Payments+1), Tm_Balloon_Amt,
   TRUE, 0
)</f>
        <v>0</v>
      </c>
      <c r="O1063" s="1850" cm="1">
        <f t="array" ref="O1063">_xlfn.IFS(
    M1063=0,0,
   ABS(N1063 - S1062 - P1063-Q1063) &lt; 1, N1063 - S1062-Q1063,
    TRUE, P1063
)</f>
        <v>0</v>
      </c>
      <c r="P1063" s="1852">
        <f>IF(M1063=0,0,ROUND(S1062*EXP(Int_Rate/365.25 * M1063)-S1062,2))</f>
        <v>0</v>
      </c>
      <c r="Q1063" s="1851" cm="1">
        <f t="array" ref="Q1063">_xlfn.IFS(
    AND(I1063=TRUE, K1063&lt;=No_Regular_Payments), Periodic_Admin_Charge,
   TRUE, 0
)</f>
        <v>0</v>
      </c>
      <c r="R1063" s="1850">
        <f>N1063-O1063-Q1063</f>
        <v>0</v>
      </c>
      <c r="S1063" s="1850">
        <f>ROUND(S1062-R1063,2)</f>
        <v>0</v>
      </c>
      <c r="T1063" s="1850">
        <f>ROUND(T1062-(N1063-Q1063),2)</f>
        <v>0</v>
      </c>
      <c r="U1063" s="1849"/>
      <c r="W1063" s="1848"/>
      <c r="X1063" s="1848"/>
      <c r="Y1063" s="1848"/>
    </row>
    <row r="1064" spans="2:25" hidden="1">
      <c r="B1064" s="1815" t="b">
        <f>AND(I1064=FALSE,N1063=0,Q1063=0,L1063="")</f>
        <v>1</v>
      </c>
      <c r="C1064" s="1844" t="str" cm="1">
        <f t="array" ref="C1064">_xlfn.IFS(
    L1064="", "",
    MONTH(L1064) &lt;= End_of_Year_Month, YEAR(L1064),
    TRUE, YEAR(L1064) + 1
)</f>
        <v/>
      </c>
      <c r="F1064" s="1857">
        <f>IF(L1064="",0,L1064)</f>
        <v>0</v>
      </c>
      <c r="G1064" s="1856">
        <f>-(N1064-Q1064)</f>
        <v>0</v>
      </c>
      <c r="I1064" s="1815" t="b">
        <f>K1064&lt;=Number_Payments</f>
        <v>0</v>
      </c>
      <c r="J1064" s="1855"/>
      <c r="K1064" s="1351">
        <f>K1063+1</f>
        <v>938</v>
      </c>
      <c r="L1064" s="1854" t="str" cm="1">
        <f t="array" ref="L1064">_xlfn.IFS(
    I1063=FALSE, "",
    Payment_Frequency="Monthly", EDATE(L1063, 1),
    Payment_Frequency="Weekly", DATE(YEAR(L1063), MONTH(L1063), DAY(L1063) + 7),
    Payment_Frequency="Fortnightly", DATE(YEAR(L1063), MONTH(L1063), DAY(L1063) + 14),
    Payment_Frequency="Quarterly", DATE(YEAR(L1063), MONTH(L1063) + 3, DAY(L1063)),
    Payment_Frequency="Yearly", DATE(YEAR(L1063) + 1, MONTH(L1063), DAY(L1063)),
    TRUE, ""
)</f>
        <v/>
      </c>
      <c r="M1064" s="1853">
        <f>IF(ISERROR(L1064-L1063),0,L1064-L1063)</f>
        <v>0</v>
      </c>
      <c r="N1064" s="1851" cm="1">
        <f t="array" ref="N1064">_xlfn.IFS(
    AND(I1064=TRUE, K1064&lt;=No_Regular_Payments), Repay_Amt,
    AND(I1064=TRUE, K1064=No_Regular_Payments+1), Tm_Balloon_Amt,
   TRUE, 0
)</f>
        <v>0</v>
      </c>
      <c r="O1064" s="1850" cm="1">
        <f t="array" ref="O1064">_xlfn.IFS(
    M1064=0,0,
   ABS(N1064 - S1063 - P1064-Q1064) &lt; 1, N1064 - S1063-Q1064,
    TRUE, P1064
)</f>
        <v>0</v>
      </c>
      <c r="P1064" s="1852">
        <f>IF(M1064=0,0,ROUND(S1063*EXP(Int_Rate/365.25 * M1064)-S1063,2))</f>
        <v>0</v>
      </c>
      <c r="Q1064" s="1851" cm="1">
        <f t="array" ref="Q1064">_xlfn.IFS(
    AND(I1064=TRUE, K1064&lt;=No_Regular_Payments), Periodic_Admin_Charge,
   TRUE, 0
)</f>
        <v>0</v>
      </c>
      <c r="R1064" s="1850">
        <f>N1064-O1064-Q1064</f>
        <v>0</v>
      </c>
      <c r="S1064" s="1850">
        <f>ROUND(S1063-R1064,2)</f>
        <v>0</v>
      </c>
      <c r="T1064" s="1850">
        <f>ROUND(T1063-(N1064-Q1064),2)</f>
        <v>0</v>
      </c>
      <c r="U1064" s="1849"/>
      <c r="W1064" s="1848"/>
      <c r="X1064" s="1848"/>
      <c r="Y1064" s="1848"/>
    </row>
    <row r="1065" spans="2:25" hidden="1">
      <c r="B1065" s="1815" t="b">
        <f>AND(I1065=FALSE,N1064=0,Q1064=0,L1064="")</f>
        <v>1</v>
      </c>
      <c r="C1065" s="1844" t="str" cm="1">
        <f t="array" ref="C1065">_xlfn.IFS(
    L1065="", "",
    MONTH(L1065) &lt;= End_of_Year_Month, YEAR(L1065),
    TRUE, YEAR(L1065) + 1
)</f>
        <v/>
      </c>
      <c r="F1065" s="1857">
        <f>IF(L1065="",0,L1065)</f>
        <v>0</v>
      </c>
      <c r="G1065" s="1856">
        <f>-(N1065-Q1065)</f>
        <v>0</v>
      </c>
      <c r="I1065" s="1815" t="b">
        <f>K1065&lt;=Number_Payments</f>
        <v>0</v>
      </c>
      <c r="J1065" s="1855"/>
      <c r="K1065" s="1351">
        <f>K1064+1</f>
        <v>939</v>
      </c>
      <c r="L1065" s="1854" t="str" cm="1">
        <f t="array" ref="L1065">_xlfn.IFS(
    I1064=FALSE, "",
    Payment_Frequency="Monthly", EDATE(L1064, 1),
    Payment_Frequency="Weekly", DATE(YEAR(L1064), MONTH(L1064), DAY(L1064) + 7),
    Payment_Frequency="Fortnightly", DATE(YEAR(L1064), MONTH(L1064), DAY(L1064) + 14),
    Payment_Frequency="Quarterly", DATE(YEAR(L1064), MONTH(L1064) + 3, DAY(L1064)),
    Payment_Frequency="Yearly", DATE(YEAR(L1064) + 1, MONTH(L1064), DAY(L1064)),
    TRUE, ""
)</f>
        <v/>
      </c>
      <c r="M1065" s="1853">
        <f>IF(ISERROR(L1065-L1064),0,L1065-L1064)</f>
        <v>0</v>
      </c>
      <c r="N1065" s="1851" cm="1">
        <f t="array" ref="N1065">_xlfn.IFS(
    AND(I1065=TRUE, K1065&lt;=No_Regular_Payments), Repay_Amt,
    AND(I1065=TRUE, K1065=No_Regular_Payments+1), Tm_Balloon_Amt,
   TRUE, 0
)</f>
        <v>0</v>
      </c>
      <c r="O1065" s="1850" cm="1">
        <f t="array" ref="O1065">_xlfn.IFS(
    M1065=0,0,
   ABS(N1065 - S1064 - P1065-Q1065) &lt; 1, N1065 - S1064-Q1065,
    TRUE, P1065
)</f>
        <v>0</v>
      </c>
      <c r="P1065" s="1852">
        <f>IF(M1065=0,0,ROUND(S1064*EXP(Int_Rate/365.25 * M1065)-S1064,2))</f>
        <v>0</v>
      </c>
      <c r="Q1065" s="1851" cm="1">
        <f t="array" ref="Q1065">_xlfn.IFS(
    AND(I1065=TRUE, K1065&lt;=No_Regular_Payments), Periodic_Admin_Charge,
   TRUE, 0
)</f>
        <v>0</v>
      </c>
      <c r="R1065" s="1850">
        <f>N1065-O1065-Q1065</f>
        <v>0</v>
      </c>
      <c r="S1065" s="1850">
        <f>ROUND(S1064-R1065,2)</f>
        <v>0</v>
      </c>
      <c r="T1065" s="1850">
        <f>ROUND(T1064-(N1065-Q1065),2)</f>
        <v>0</v>
      </c>
      <c r="U1065" s="1849"/>
      <c r="W1065" s="1848"/>
      <c r="X1065" s="1848"/>
      <c r="Y1065" s="1848"/>
    </row>
    <row r="1066" spans="2:25" hidden="1">
      <c r="B1066" s="1815" t="b">
        <f>AND(I1066=FALSE,N1065=0,Q1065=0,L1065="")</f>
        <v>1</v>
      </c>
      <c r="C1066" s="1844" t="str" cm="1">
        <f t="array" ref="C1066">_xlfn.IFS(
    L1066="", "",
    MONTH(L1066) &lt;= End_of_Year_Month, YEAR(L1066),
    TRUE, YEAR(L1066) + 1
)</f>
        <v/>
      </c>
      <c r="F1066" s="1857">
        <f>IF(L1066="",0,L1066)</f>
        <v>0</v>
      </c>
      <c r="G1066" s="1856">
        <f>-(N1066-Q1066)</f>
        <v>0</v>
      </c>
      <c r="I1066" s="1815" t="b">
        <f>K1066&lt;=Number_Payments</f>
        <v>0</v>
      </c>
      <c r="J1066" s="1855"/>
      <c r="K1066" s="1351">
        <f>K1065+1</f>
        <v>940</v>
      </c>
      <c r="L1066" s="1854" t="str" cm="1">
        <f t="array" ref="L1066">_xlfn.IFS(
    I1065=FALSE, "",
    Payment_Frequency="Monthly", EDATE(L1065, 1),
    Payment_Frequency="Weekly", DATE(YEAR(L1065), MONTH(L1065), DAY(L1065) + 7),
    Payment_Frequency="Fortnightly", DATE(YEAR(L1065), MONTH(L1065), DAY(L1065) + 14),
    Payment_Frequency="Quarterly", DATE(YEAR(L1065), MONTH(L1065) + 3, DAY(L1065)),
    Payment_Frequency="Yearly", DATE(YEAR(L1065) + 1, MONTH(L1065), DAY(L1065)),
    TRUE, ""
)</f>
        <v/>
      </c>
      <c r="M1066" s="1853">
        <f>IF(ISERROR(L1066-L1065),0,L1066-L1065)</f>
        <v>0</v>
      </c>
      <c r="N1066" s="1851" cm="1">
        <f t="array" ref="N1066">_xlfn.IFS(
    AND(I1066=TRUE, K1066&lt;=No_Regular_Payments), Repay_Amt,
    AND(I1066=TRUE, K1066=No_Regular_Payments+1), Tm_Balloon_Amt,
   TRUE, 0
)</f>
        <v>0</v>
      </c>
      <c r="O1066" s="1850" cm="1">
        <f t="array" ref="O1066">_xlfn.IFS(
    M1066=0,0,
   ABS(N1066 - S1065 - P1066-Q1066) &lt; 1, N1066 - S1065-Q1066,
    TRUE, P1066
)</f>
        <v>0</v>
      </c>
      <c r="P1066" s="1852">
        <f>IF(M1066=0,0,ROUND(S1065*EXP(Int_Rate/365.25 * M1066)-S1065,2))</f>
        <v>0</v>
      </c>
      <c r="Q1066" s="1851" cm="1">
        <f t="array" ref="Q1066">_xlfn.IFS(
    AND(I1066=TRUE, K1066&lt;=No_Regular_Payments), Periodic_Admin_Charge,
   TRUE, 0
)</f>
        <v>0</v>
      </c>
      <c r="R1066" s="1850">
        <f>N1066-O1066-Q1066</f>
        <v>0</v>
      </c>
      <c r="S1066" s="1850">
        <f>ROUND(S1065-R1066,2)</f>
        <v>0</v>
      </c>
      <c r="T1066" s="1850">
        <f>ROUND(T1065-(N1066-Q1066),2)</f>
        <v>0</v>
      </c>
      <c r="U1066" s="1849"/>
      <c r="W1066" s="1848"/>
      <c r="X1066" s="1848"/>
      <c r="Y1066" s="1848"/>
    </row>
    <row r="1067" spans="2:25" hidden="1">
      <c r="B1067" s="1815" t="b">
        <f>AND(I1067=FALSE,N1066=0,Q1066=0,L1066="")</f>
        <v>1</v>
      </c>
      <c r="C1067" s="1844" t="str" cm="1">
        <f t="array" ref="C1067">_xlfn.IFS(
    L1067="", "",
    MONTH(L1067) &lt;= End_of_Year_Month, YEAR(L1067),
    TRUE, YEAR(L1067) + 1
)</f>
        <v/>
      </c>
      <c r="F1067" s="1857">
        <f>IF(L1067="",0,L1067)</f>
        <v>0</v>
      </c>
      <c r="G1067" s="1856">
        <f>-(N1067-Q1067)</f>
        <v>0</v>
      </c>
      <c r="I1067" s="1815" t="b">
        <f>K1067&lt;=Number_Payments</f>
        <v>0</v>
      </c>
      <c r="J1067" s="1855"/>
      <c r="K1067" s="1351">
        <f>K1066+1</f>
        <v>941</v>
      </c>
      <c r="L1067" s="1854" t="str" cm="1">
        <f t="array" ref="L1067">_xlfn.IFS(
    I1066=FALSE, "",
    Payment_Frequency="Monthly", EDATE(L1066, 1),
    Payment_Frequency="Weekly", DATE(YEAR(L1066), MONTH(L1066), DAY(L1066) + 7),
    Payment_Frequency="Fortnightly", DATE(YEAR(L1066), MONTH(L1066), DAY(L1066) + 14),
    Payment_Frequency="Quarterly", DATE(YEAR(L1066), MONTH(L1066) + 3, DAY(L1066)),
    Payment_Frequency="Yearly", DATE(YEAR(L1066) + 1, MONTH(L1066), DAY(L1066)),
    TRUE, ""
)</f>
        <v/>
      </c>
      <c r="M1067" s="1853">
        <f>IF(ISERROR(L1067-L1066),0,L1067-L1066)</f>
        <v>0</v>
      </c>
      <c r="N1067" s="1851" cm="1">
        <f t="array" ref="N1067">_xlfn.IFS(
    AND(I1067=TRUE, K1067&lt;=No_Regular_Payments), Repay_Amt,
    AND(I1067=TRUE, K1067=No_Regular_Payments+1), Tm_Balloon_Amt,
   TRUE, 0
)</f>
        <v>0</v>
      </c>
      <c r="O1067" s="1850" cm="1">
        <f t="array" ref="O1067">_xlfn.IFS(
    M1067=0,0,
   ABS(N1067 - S1066 - P1067-Q1067) &lt; 1, N1067 - S1066-Q1067,
    TRUE, P1067
)</f>
        <v>0</v>
      </c>
      <c r="P1067" s="1852">
        <f>IF(M1067=0,0,ROUND(S1066*EXP(Int_Rate/365.25 * M1067)-S1066,2))</f>
        <v>0</v>
      </c>
      <c r="Q1067" s="1851" cm="1">
        <f t="array" ref="Q1067">_xlfn.IFS(
    AND(I1067=TRUE, K1067&lt;=No_Regular_Payments), Periodic_Admin_Charge,
   TRUE, 0
)</f>
        <v>0</v>
      </c>
      <c r="R1067" s="1850">
        <f>N1067-O1067-Q1067</f>
        <v>0</v>
      </c>
      <c r="S1067" s="1850">
        <f>ROUND(S1066-R1067,2)</f>
        <v>0</v>
      </c>
      <c r="T1067" s="1850">
        <f>ROUND(T1066-(N1067-Q1067),2)</f>
        <v>0</v>
      </c>
      <c r="U1067" s="1849"/>
      <c r="W1067" s="1848"/>
      <c r="X1067" s="1848"/>
      <c r="Y1067" s="1848"/>
    </row>
    <row r="1068" spans="2:25" hidden="1">
      <c r="B1068" s="1815" t="b">
        <f>AND(I1068=FALSE,N1067=0,Q1067=0,L1067="")</f>
        <v>1</v>
      </c>
      <c r="C1068" s="1844" t="str" cm="1">
        <f t="array" ref="C1068">_xlfn.IFS(
    L1068="", "",
    MONTH(L1068) &lt;= End_of_Year_Month, YEAR(L1068),
    TRUE, YEAR(L1068) + 1
)</f>
        <v/>
      </c>
      <c r="F1068" s="1857">
        <f>IF(L1068="",0,L1068)</f>
        <v>0</v>
      </c>
      <c r="G1068" s="1856">
        <f>-(N1068-Q1068)</f>
        <v>0</v>
      </c>
      <c r="I1068" s="1815" t="b">
        <f>K1068&lt;=Number_Payments</f>
        <v>0</v>
      </c>
      <c r="J1068" s="1855"/>
      <c r="K1068" s="1351">
        <f>K1067+1</f>
        <v>942</v>
      </c>
      <c r="L1068" s="1854" t="str" cm="1">
        <f t="array" ref="L1068">_xlfn.IFS(
    I1067=FALSE, "",
    Payment_Frequency="Monthly", EDATE(L1067, 1),
    Payment_Frequency="Weekly", DATE(YEAR(L1067), MONTH(L1067), DAY(L1067) + 7),
    Payment_Frequency="Fortnightly", DATE(YEAR(L1067), MONTH(L1067), DAY(L1067) + 14),
    Payment_Frequency="Quarterly", DATE(YEAR(L1067), MONTH(L1067) + 3, DAY(L1067)),
    Payment_Frequency="Yearly", DATE(YEAR(L1067) + 1, MONTH(L1067), DAY(L1067)),
    TRUE, ""
)</f>
        <v/>
      </c>
      <c r="M1068" s="1853">
        <f>IF(ISERROR(L1068-L1067),0,L1068-L1067)</f>
        <v>0</v>
      </c>
      <c r="N1068" s="1851" cm="1">
        <f t="array" ref="N1068">_xlfn.IFS(
    AND(I1068=TRUE, K1068&lt;=No_Regular_Payments), Repay_Amt,
    AND(I1068=TRUE, K1068=No_Regular_Payments+1), Tm_Balloon_Amt,
   TRUE, 0
)</f>
        <v>0</v>
      </c>
      <c r="O1068" s="1850" cm="1">
        <f t="array" ref="O1068">_xlfn.IFS(
    M1068=0,0,
   ABS(N1068 - S1067 - P1068-Q1068) &lt; 1, N1068 - S1067-Q1068,
    TRUE, P1068
)</f>
        <v>0</v>
      </c>
      <c r="P1068" s="1852">
        <f>IF(M1068=0,0,ROUND(S1067*EXP(Int_Rate/365.25 * M1068)-S1067,2))</f>
        <v>0</v>
      </c>
      <c r="Q1068" s="1851" cm="1">
        <f t="array" ref="Q1068">_xlfn.IFS(
    AND(I1068=TRUE, K1068&lt;=No_Regular_Payments), Periodic_Admin_Charge,
   TRUE, 0
)</f>
        <v>0</v>
      </c>
      <c r="R1068" s="1850">
        <f>N1068-O1068-Q1068</f>
        <v>0</v>
      </c>
      <c r="S1068" s="1850">
        <f>ROUND(S1067-R1068,2)</f>
        <v>0</v>
      </c>
      <c r="T1068" s="1850">
        <f>ROUND(T1067-(N1068-Q1068),2)</f>
        <v>0</v>
      </c>
      <c r="U1068" s="1849"/>
      <c r="W1068" s="1848"/>
      <c r="X1068" s="1848"/>
      <c r="Y1068" s="1848"/>
    </row>
    <row r="1069" spans="2:25" hidden="1">
      <c r="B1069" s="1815" t="b">
        <f>AND(I1069=FALSE,N1068=0,Q1068=0,L1068="")</f>
        <v>1</v>
      </c>
      <c r="C1069" s="1844" t="str" cm="1">
        <f t="array" ref="C1069">_xlfn.IFS(
    L1069="", "",
    MONTH(L1069) &lt;= End_of_Year_Month, YEAR(L1069),
    TRUE, YEAR(L1069) + 1
)</f>
        <v/>
      </c>
      <c r="F1069" s="1857">
        <f>IF(L1069="",0,L1069)</f>
        <v>0</v>
      </c>
      <c r="G1069" s="1856">
        <f>-(N1069-Q1069)</f>
        <v>0</v>
      </c>
      <c r="I1069" s="1815" t="b">
        <f>K1069&lt;=Number_Payments</f>
        <v>0</v>
      </c>
      <c r="J1069" s="1855"/>
      <c r="K1069" s="1351">
        <f>K1068+1</f>
        <v>943</v>
      </c>
      <c r="L1069" s="1854" t="str" cm="1">
        <f t="array" ref="L1069">_xlfn.IFS(
    I1068=FALSE, "",
    Payment_Frequency="Monthly", EDATE(L1068, 1),
    Payment_Frequency="Weekly", DATE(YEAR(L1068), MONTH(L1068), DAY(L1068) + 7),
    Payment_Frequency="Fortnightly", DATE(YEAR(L1068), MONTH(L1068), DAY(L1068) + 14),
    Payment_Frequency="Quarterly", DATE(YEAR(L1068), MONTH(L1068) + 3, DAY(L1068)),
    Payment_Frequency="Yearly", DATE(YEAR(L1068) + 1, MONTH(L1068), DAY(L1068)),
    TRUE, ""
)</f>
        <v/>
      </c>
      <c r="M1069" s="1853">
        <f>IF(ISERROR(L1069-L1068),0,L1069-L1068)</f>
        <v>0</v>
      </c>
      <c r="N1069" s="1851" cm="1">
        <f t="array" ref="N1069">_xlfn.IFS(
    AND(I1069=TRUE, K1069&lt;=No_Regular_Payments), Repay_Amt,
    AND(I1069=TRUE, K1069=No_Regular_Payments+1), Tm_Balloon_Amt,
   TRUE, 0
)</f>
        <v>0</v>
      </c>
      <c r="O1069" s="1850" cm="1">
        <f t="array" ref="O1069">_xlfn.IFS(
    M1069=0,0,
   ABS(N1069 - S1068 - P1069-Q1069) &lt; 1, N1069 - S1068-Q1069,
    TRUE, P1069
)</f>
        <v>0</v>
      </c>
      <c r="P1069" s="1852">
        <f>IF(M1069=0,0,ROUND(S1068*EXP(Int_Rate/365.25 * M1069)-S1068,2))</f>
        <v>0</v>
      </c>
      <c r="Q1069" s="1851" cm="1">
        <f t="array" ref="Q1069">_xlfn.IFS(
    AND(I1069=TRUE, K1069&lt;=No_Regular_Payments), Periodic_Admin_Charge,
   TRUE, 0
)</f>
        <v>0</v>
      </c>
      <c r="R1069" s="1850">
        <f>N1069-O1069-Q1069</f>
        <v>0</v>
      </c>
      <c r="S1069" s="1850">
        <f>ROUND(S1068-R1069,2)</f>
        <v>0</v>
      </c>
      <c r="T1069" s="1850">
        <f>ROUND(T1068-(N1069-Q1069),2)</f>
        <v>0</v>
      </c>
      <c r="U1069" s="1849"/>
      <c r="W1069" s="1848"/>
      <c r="X1069" s="1848"/>
      <c r="Y1069" s="1848"/>
    </row>
    <row r="1070" spans="2:25" hidden="1">
      <c r="B1070" s="1815" t="b">
        <f>AND(I1070=FALSE,N1069=0,Q1069=0,L1069="")</f>
        <v>1</v>
      </c>
      <c r="C1070" s="1844" t="str" cm="1">
        <f t="array" ref="C1070">_xlfn.IFS(
    L1070="", "",
    MONTH(L1070) &lt;= End_of_Year_Month, YEAR(L1070),
    TRUE, YEAR(L1070) + 1
)</f>
        <v/>
      </c>
      <c r="F1070" s="1857">
        <f>IF(L1070="",0,L1070)</f>
        <v>0</v>
      </c>
      <c r="G1070" s="1856">
        <f>-(N1070-Q1070)</f>
        <v>0</v>
      </c>
      <c r="I1070" s="1815" t="b">
        <f>K1070&lt;=Number_Payments</f>
        <v>0</v>
      </c>
      <c r="J1070" s="1855"/>
      <c r="K1070" s="1351">
        <f>K1069+1</f>
        <v>944</v>
      </c>
      <c r="L1070" s="1854" t="str" cm="1">
        <f t="array" ref="L1070">_xlfn.IFS(
    I1069=FALSE, "",
    Payment_Frequency="Monthly", EDATE(L1069, 1),
    Payment_Frequency="Weekly", DATE(YEAR(L1069), MONTH(L1069), DAY(L1069) + 7),
    Payment_Frequency="Fortnightly", DATE(YEAR(L1069), MONTH(L1069), DAY(L1069) + 14),
    Payment_Frequency="Quarterly", DATE(YEAR(L1069), MONTH(L1069) + 3, DAY(L1069)),
    Payment_Frequency="Yearly", DATE(YEAR(L1069) + 1, MONTH(L1069), DAY(L1069)),
    TRUE, ""
)</f>
        <v/>
      </c>
      <c r="M1070" s="1853">
        <f>IF(ISERROR(L1070-L1069),0,L1070-L1069)</f>
        <v>0</v>
      </c>
      <c r="N1070" s="1851" cm="1">
        <f t="array" ref="N1070">_xlfn.IFS(
    AND(I1070=TRUE, K1070&lt;=No_Regular_Payments), Repay_Amt,
    AND(I1070=TRUE, K1070=No_Regular_Payments+1), Tm_Balloon_Amt,
   TRUE, 0
)</f>
        <v>0</v>
      </c>
      <c r="O1070" s="1850" cm="1">
        <f t="array" ref="O1070">_xlfn.IFS(
    M1070=0,0,
   ABS(N1070 - S1069 - P1070-Q1070) &lt; 1, N1070 - S1069-Q1070,
    TRUE, P1070
)</f>
        <v>0</v>
      </c>
      <c r="P1070" s="1852">
        <f>IF(M1070=0,0,ROUND(S1069*EXP(Int_Rate/365.25 * M1070)-S1069,2))</f>
        <v>0</v>
      </c>
      <c r="Q1070" s="1851" cm="1">
        <f t="array" ref="Q1070">_xlfn.IFS(
    AND(I1070=TRUE, K1070&lt;=No_Regular_Payments), Periodic_Admin_Charge,
   TRUE, 0
)</f>
        <v>0</v>
      </c>
      <c r="R1070" s="1850">
        <f>N1070-O1070-Q1070</f>
        <v>0</v>
      </c>
      <c r="S1070" s="1850">
        <f>ROUND(S1069-R1070,2)</f>
        <v>0</v>
      </c>
      <c r="T1070" s="1850">
        <f>ROUND(T1069-(N1070-Q1070),2)</f>
        <v>0</v>
      </c>
      <c r="U1070" s="1849"/>
      <c r="W1070" s="1848"/>
      <c r="X1070" s="1848"/>
      <c r="Y1070" s="1848"/>
    </row>
    <row r="1071" spans="2:25" hidden="1">
      <c r="B1071" s="1815" t="b">
        <f>AND(I1071=FALSE,N1070=0,Q1070=0,L1070="")</f>
        <v>1</v>
      </c>
      <c r="C1071" s="1844" t="str" cm="1">
        <f t="array" ref="C1071">_xlfn.IFS(
    L1071="", "",
    MONTH(L1071) &lt;= End_of_Year_Month, YEAR(L1071),
    TRUE, YEAR(L1071) + 1
)</f>
        <v/>
      </c>
      <c r="F1071" s="1857">
        <f>IF(L1071="",0,L1071)</f>
        <v>0</v>
      </c>
      <c r="G1071" s="1856">
        <f>-(N1071-Q1071)</f>
        <v>0</v>
      </c>
      <c r="I1071" s="1815" t="b">
        <f>K1071&lt;=Number_Payments</f>
        <v>0</v>
      </c>
      <c r="J1071" s="1855"/>
      <c r="K1071" s="1351">
        <f>K1070+1</f>
        <v>945</v>
      </c>
      <c r="L1071" s="1854" t="str" cm="1">
        <f t="array" ref="L1071">_xlfn.IFS(
    I1070=FALSE, "",
    Payment_Frequency="Monthly", EDATE(L1070, 1),
    Payment_Frequency="Weekly", DATE(YEAR(L1070), MONTH(L1070), DAY(L1070) + 7),
    Payment_Frequency="Fortnightly", DATE(YEAR(L1070), MONTH(L1070), DAY(L1070) + 14),
    Payment_Frequency="Quarterly", DATE(YEAR(L1070), MONTH(L1070) + 3, DAY(L1070)),
    Payment_Frequency="Yearly", DATE(YEAR(L1070) + 1, MONTH(L1070), DAY(L1070)),
    TRUE, ""
)</f>
        <v/>
      </c>
      <c r="M1071" s="1853">
        <f>IF(ISERROR(L1071-L1070),0,L1071-L1070)</f>
        <v>0</v>
      </c>
      <c r="N1071" s="1851" cm="1">
        <f t="array" ref="N1071">_xlfn.IFS(
    AND(I1071=TRUE, K1071&lt;=No_Regular_Payments), Repay_Amt,
    AND(I1071=TRUE, K1071=No_Regular_Payments+1), Tm_Balloon_Amt,
   TRUE, 0
)</f>
        <v>0</v>
      </c>
      <c r="O1071" s="1850" cm="1">
        <f t="array" ref="O1071">_xlfn.IFS(
    M1071=0,0,
   ABS(N1071 - S1070 - P1071-Q1071) &lt; 1, N1071 - S1070-Q1071,
    TRUE, P1071
)</f>
        <v>0</v>
      </c>
      <c r="P1071" s="1852">
        <f>IF(M1071=0,0,ROUND(S1070*EXP(Int_Rate/365.25 * M1071)-S1070,2))</f>
        <v>0</v>
      </c>
      <c r="Q1071" s="1851" cm="1">
        <f t="array" ref="Q1071">_xlfn.IFS(
    AND(I1071=TRUE, K1071&lt;=No_Regular_Payments), Periodic_Admin_Charge,
   TRUE, 0
)</f>
        <v>0</v>
      </c>
      <c r="R1071" s="1850">
        <f>N1071-O1071-Q1071</f>
        <v>0</v>
      </c>
      <c r="S1071" s="1850">
        <f>ROUND(S1070-R1071,2)</f>
        <v>0</v>
      </c>
      <c r="T1071" s="1850">
        <f>ROUND(T1070-(N1071-Q1071),2)</f>
        <v>0</v>
      </c>
      <c r="U1071" s="1849"/>
      <c r="W1071" s="1848"/>
      <c r="X1071" s="1848"/>
      <c r="Y1071" s="1848"/>
    </row>
    <row r="1072" spans="2:25" hidden="1">
      <c r="B1072" s="1815" t="b">
        <f>AND(I1072=FALSE,N1071=0,Q1071=0,L1071="")</f>
        <v>1</v>
      </c>
      <c r="C1072" s="1844" t="str" cm="1">
        <f t="array" ref="C1072">_xlfn.IFS(
    L1072="", "",
    MONTH(L1072) &lt;= End_of_Year_Month, YEAR(L1072),
    TRUE, YEAR(L1072) + 1
)</f>
        <v/>
      </c>
      <c r="F1072" s="1857">
        <f>IF(L1072="",0,L1072)</f>
        <v>0</v>
      </c>
      <c r="G1072" s="1856">
        <f>-(N1072-Q1072)</f>
        <v>0</v>
      </c>
      <c r="I1072" s="1815" t="b">
        <f>K1072&lt;=Number_Payments</f>
        <v>0</v>
      </c>
      <c r="J1072" s="1855"/>
      <c r="K1072" s="1351">
        <f>K1071+1</f>
        <v>946</v>
      </c>
      <c r="L1072" s="1854" t="str" cm="1">
        <f t="array" ref="L1072">_xlfn.IFS(
    I1071=FALSE, "",
    Payment_Frequency="Monthly", EDATE(L1071, 1),
    Payment_Frequency="Weekly", DATE(YEAR(L1071), MONTH(L1071), DAY(L1071) + 7),
    Payment_Frequency="Fortnightly", DATE(YEAR(L1071), MONTH(L1071), DAY(L1071) + 14),
    Payment_Frequency="Quarterly", DATE(YEAR(L1071), MONTH(L1071) + 3, DAY(L1071)),
    Payment_Frequency="Yearly", DATE(YEAR(L1071) + 1, MONTH(L1071), DAY(L1071)),
    TRUE, ""
)</f>
        <v/>
      </c>
      <c r="M1072" s="1853">
        <f>IF(ISERROR(L1072-L1071),0,L1072-L1071)</f>
        <v>0</v>
      </c>
      <c r="N1072" s="1851" cm="1">
        <f t="array" ref="N1072">_xlfn.IFS(
    AND(I1072=TRUE, K1072&lt;=No_Regular_Payments), Repay_Amt,
    AND(I1072=TRUE, K1072=No_Regular_Payments+1), Tm_Balloon_Amt,
   TRUE, 0
)</f>
        <v>0</v>
      </c>
      <c r="O1072" s="1850" cm="1">
        <f t="array" ref="O1072">_xlfn.IFS(
    M1072=0,0,
   ABS(N1072 - S1071 - P1072-Q1072) &lt; 1, N1072 - S1071-Q1072,
    TRUE, P1072
)</f>
        <v>0</v>
      </c>
      <c r="P1072" s="1852">
        <f>IF(M1072=0,0,ROUND(S1071*EXP(Int_Rate/365.25 * M1072)-S1071,2))</f>
        <v>0</v>
      </c>
      <c r="Q1072" s="1851" cm="1">
        <f t="array" ref="Q1072">_xlfn.IFS(
    AND(I1072=TRUE, K1072&lt;=No_Regular_Payments), Periodic_Admin_Charge,
   TRUE, 0
)</f>
        <v>0</v>
      </c>
      <c r="R1072" s="1850">
        <f>N1072-O1072-Q1072</f>
        <v>0</v>
      </c>
      <c r="S1072" s="1850">
        <f>ROUND(S1071-R1072,2)</f>
        <v>0</v>
      </c>
      <c r="T1072" s="1850">
        <f>ROUND(T1071-(N1072-Q1072),2)</f>
        <v>0</v>
      </c>
      <c r="U1072" s="1849"/>
      <c r="W1072" s="1848"/>
      <c r="X1072" s="1848"/>
      <c r="Y1072" s="1848"/>
    </row>
    <row r="1073" spans="2:25" hidden="1">
      <c r="B1073" s="1815" t="b">
        <f>AND(I1073=FALSE,N1072=0,Q1072=0,L1072="")</f>
        <v>1</v>
      </c>
      <c r="C1073" s="1844" t="str" cm="1">
        <f t="array" ref="C1073">_xlfn.IFS(
    L1073="", "",
    MONTH(L1073) &lt;= End_of_Year_Month, YEAR(L1073),
    TRUE, YEAR(L1073) + 1
)</f>
        <v/>
      </c>
      <c r="F1073" s="1857">
        <f>IF(L1073="",0,L1073)</f>
        <v>0</v>
      </c>
      <c r="G1073" s="1856">
        <f>-(N1073-Q1073)</f>
        <v>0</v>
      </c>
      <c r="I1073" s="1815" t="b">
        <f>K1073&lt;=Number_Payments</f>
        <v>0</v>
      </c>
      <c r="J1073" s="1855"/>
      <c r="K1073" s="1351">
        <f>K1072+1</f>
        <v>947</v>
      </c>
      <c r="L1073" s="1854" t="str" cm="1">
        <f t="array" ref="L1073">_xlfn.IFS(
    I1072=FALSE, "",
    Payment_Frequency="Monthly", EDATE(L1072, 1),
    Payment_Frequency="Weekly", DATE(YEAR(L1072), MONTH(L1072), DAY(L1072) + 7),
    Payment_Frequency="Fortnightly", DATE(YEAR(L1072), MONTH(L1072), DAY(L1072) + 14),
    Payment_Frequency="Quarterly", DATE(YEAR(L1072), MONTH(L1072) + 3, DAY(L1072)),
    Payment_Frequency="Yearly", DATE(YEAR(L1072) + 1, MONTH(L1072), DAY(L1072)),
    TRUE, ""
)</f>
        <v/>
      </c>
      <c r="M1073" s="1853">
        <f>IF(ISERROR(L1073-L1072),0,L1073-L1072)</f>
        <v>0</v>
      </c>
      <c r="N1073" s="1851" cm="1">
        <f t="array" ref="N1073">_xlfn.IFS(
    AND(I1073=TRUE, K1073&lt;=No_Regular_Payments), Repay_Amt,
    AND(I1073=TRUE, K1073=No_Regular_Payments+1), Tm_Balloon_Amt,
   TRUE, 0
)</f>
        <v>0</v>
      </c>
      <c r="O1073" s="1850" cm="1">
        <f t="array" ref="O1073">_xlfn.IFS(
    M1073=0,0,
   ABS(N1073 - S1072 - P1073-Q1073) &lt; 1, N1073 - S1072-Q1073,
    TRUE, P1073
)</f>
        <v>0</v>
      </c>
      <c r="P1073" s="1852">
        <f>IF(M1073=0,0,ROUND(S1072*EXP(Int_Rate/365.25 * M1073)-S1072,2))</f>
        <v>0</v>
      </c>
      <c r="Q1073" s="1851" cm="1">
        <f t="array" ref="Q1073">_xlfn.IFS(
    AND(I1073=TRUE, K1073&lt;=No_Regular_Payments), Periodic_Admin_Charge,
   TRUE, 0
)</f>
        <v>0</v>
      </c>
      <c r="R1073" s="1850">
        <f>N1073-O1073-Q1073</f>
        <v>0</v>
      </c>
      <c r="S1073" s="1850">
        <f>ROUND(S1072-R1073,2)</f>
        <v>0</v>
      </c>
      <c r="T1073" s="1850">
        <f>ROUND(T1072-(N1073-Q1073),2)</f>
        <v>0</v>
      </c>
      <c r="U1073" s="1849"/>
      <c r="W1073" s="1848"/>
      <c r="X1073" s="1848"/>
      <c r="Y1073" s="1848"/>
    </row>
    <row r="1074" spans="2:25" hidden="1">
      <c r="B1074" s="1815" t="b">
        <f>AND(I1074=FALSE,N1073=0,Q1073=0,L1073="")</f>
        <v>1</v>
      </c>
      <c r="C1074" s="1844" t="str" cm="1">
        <f t="array" ref="C1074">_xlfn.IFS(
    L1074="", "",
    MONTH(L1074) &lt;= End_of_Year_Month, YEAR(L1074),
    TRUE, YEAR(L1074) + 1
)</f>
        <v/>
      </c>
      <c r="F1074" s="1857">
        <f>IF(L1074="",0,L1074)</f>
        <v>0</v>
      </c>
      <c r="G1074" s="1856">
        <f>-(N1074-Q1074)</f>
        <v>0</v>
      </c>
      <c r="I1074" s="1815" t="b">
        <f>K1074&lt;=Number_Payments</f>
        <v>0</v>
      </c>
      <c r="J1074" s="1855"/>
      <c r="K1074" s="1351">
        <f>K1073+1</f>
        <v>948</v>
      </c>
      <c r="L1074" s="1854" t="str" cm="1">
        <f t="array" ref="L1074">_xlfn.IFS(
    I1073=FALSE, "",
    Payment_Frequency="Monthly", EDATE(L1073, 1),
    Payment_Frequency="Weekly", DATE(YEAR(L1073), MONTH(L1073), DAY(L1073) + 7),
    Payment_Frequency="Fortnightly", DATE(YEAR(L1073), MONTH(L1073), DAY(L1073) + 14),
    Payment_Frequency="Quarterly", DATE(YEAR(L1073), MONTH(L1073) + 3, DAY(L1073)),
    Payment_Frequency="Yearly", DATE(YEAR(L1073) + 1, MONTH(L1073), DAY(L1073)),
    TRUE, ""
)</f>
        <v/>
      </c>
      <c r="M1074" s="1853">
        <f>IF(ISERROR(L1074-L1073),0,L1074-L1073)</f>
        <v>0</v>
      </c>
      <c r="N1074" s="1851" cm="1">
        <f t="array" ref="N1074">_xlfn.IFS(
    AND(I1074=TRUE, K1074&lt;=No_Regular_Payments), Repay_Amt,
    AND(I1074=TRUE, K1074=No_Regular_Payments+1), Tm_Balloon_Amt,
   TRUE, 0
)</f>
        <v>0</v>
      </c>
      <c r="O1074" s="1850" cm="1">
        <f t="array" ref="O1074">_xlfn.IFS(
    M1074=0,0,
   ABS(N1074 - S1073 - P1074-Q1074) &lt; 1, N1074 - S1073-Q1074,
    TRUE, P1074
)</f>
        <v>0</v>
      </c>
      <c r="P1074" s="1852">
        <f>IF(M1074=0,0,ROUND(S1073*EXP(Int_Rate/365.25 * M1074)-S1073,2))</f>
        <v>0</v>
      </c>
      <c r="Q1074" s="1851" cm="1">
        <f t="array" ref="Q1074">_xlfn.IFS(
    AND(I1074=TRUE, K1074&lt;=No_Regular_Payments), Periodic_Admin_Charge,
   TRUE, 0
)</f>
        <v>0</v>
      </c>
      <c r="R1074" s="1850">
        <f>N1074-O1074-Q1074</f>
        <v>0</v>
      </c>
      <c r="S1074" s="1850">
        <f>ROUND(S1073-R1074,2)</f>
        <v>0</v>
      </c>
      <c r="T1074" s="1850">
        <f>ROUND(T1073-(N1074-Q1074),2)</f>
        <v>0</v>
      </c>
      <c r="U1074" s="1849"/>
      <c r="W1074" s="1848"/>
      <c r="X1074" s="1848"/>
      <c r="Y1074" s="1848"/>
    </row>
    <row r="1075" spans="2:25" hidden="1">
      <c r="B1075" s="1815" t="b">
        <f>AND(I1075=FALSE,N1074=0,Q1074=0,L1074="")</f>
        <v>1</v>
      </c>
      <c r="C1075" s="1844" t="str" cm="1">
        <f t="array" ref="C1075">_xlfn.IFS(
    L1075="", "",
    MONTH(L1075) &lt;= End_of_Year_Month, YEAR(L1075),
    TRUE, YEAR(L1075) + 1
)</f>
        <v/>
      </c>
      <c r="F1075" s="1857">
        <f>IF(L1075="",0,L1075)</f>
        <v>0</v>
      </c>
      <c r="G1075" s="1856">
        <f>-(N1075-Q1075)</f>
        <v>0</v>
      </c>
      <c r="I1075" s="1815" t="b">
        <f>K1075&lt;=Number_Payments</f>
        <v>0</v>
      </c>
      <c r="J1075" s="1855"/>
      <c r="K1075" s="1351">
        <f>K1074+1</f>
        <v>949</v>
      </c>
      <c r="L1075" s="1854" t="str" cm="1">
        <f t="array" ref="L1075">_xlfn.IFS(
    I1074=FALSE, "",
    Payment_Frequency="Monthly", EDATE(L1074, 1),
    Payment_Frequency="Weekly", DATE(YEAR(L1074), MONTH(L1074), DAY(L1074) + 7),
    Payment_Frequency="Fortnightly", DATE(YEAR(L1074), MONTH(L1074), DAY(L1074) + 14),
    Payment_Frequency="Quarterly", DATE(YEAR(L1074), MONTH(L1074) + 3, DAY(L1074)),
    Payment_Frequency="Yearly", DATE(YEAR(L1074) + 1, MONTH(L1074), DAY(L1074)),
    TRUE, ""
)</f>
        <v/>
      </c>
      <c r="M1075" s="1853">
        <f>IF(ISERROR(L1075-L1074),0,L1075-L1074)</f>
        <v>0</v>
      </c>
      <c r="N1075" s="1851" cm="1">
        <f t="array" ref="N1075">_xlfn.IFS(
    AND(I1075=TRUE, K1075&lt;=No_Regular_Payments), Repay_Amt,
    AND(I1075=TRUE, K1075=No_Regular_Payments+1), Tm_Balloon_Amt,
   TRUE, 0
)</f>
        <v>0</v>
      </c>
      <c r="O1075" s="1850" cm="1">
        <f t="array" ref="O1075">_xlfn.IFS(
    M1075=0,0,
   ABS(N1075 - S1074 - P1075-Q1075) &lt; 1, N1075 - S1074-Q1075,
    TRUE, P1075
)</f>
        <v>0</v>
      </c>
      <c r="P1075" s="1852">
        <f>IF(M1075=0,0,ROUND(S1074*EXP(Int_Rate/365.25 * M1075)-S1074,2))</f>
        <v>0</v>
      </c>
      <c r="Q1075" s="1851" cm="1">
        <f t="array" ref="Q1075">_xlfn.IFS(
    AND(I1075=TRUE, K1075&lt;=No_Regular_Payments), Periodic_Admin_Charge,
   TRUE, 0
)</f>
        <v>0</v>
      </c>
      <c r="R1075" s="1850">
        <f>N1075-O1075-Q1075</f>
        <v>0</v>
      </c>
      <c r="S1075" s="1850">
        <f>ROUND(S1074-R1075,2)</f>
        <v>0</v>
      </c>
      <c r="T1075" s="1850">
        <f>ROUND(T1074-(N1075-Q1075),2)</f>
        <v>0</v>
      </c>
      <c r="U1075" s="1849"/>
      <c r="W1075" s="1848"/>
      <c r="X1075" s="1848"/>
      <c r="Y1075" s="1848"/>
    </row>
    <row r="1076" spans="2:25" hidden="1">
      <c r="B1076" s="1815" t="b">
        <f>AND(I1076=FALSE,N1075=0,Q1075=0,L1075="")</f>
        <v>1</v>
      </c>
      <c r="C1076" s="1844" t="str" cm="1">
        <f t="array" ref="C1076">_xlfn.IFS(
    L1076="", "",
    MONTH(L1076) &lt;= End_of_Year_Month, YEAR(L1076),
    TRUE, YEAR(L1076) + 1
)</f>
        <v/>
      </c>
      <c r="F1076" s="1857">
        <f>IF(L1076="",0,L1076)</f>
        <v>0</v>
      </c>
      <c r="G1076" s="1856">
        <f>-(N1076-Q1076)</f>
        <v>0</v>
      </c>
      <c r="I1076" s="1815" t="b">
        <f>K1076&lt;=Number_Payments</f>
        <v>0</v>
      </c>
      <c r="J1076" s="1855"/>
      <c r="K1076" s="1351">
        <f>K1075+1</f>
        <v>950</v>
      </c>
      <c r="L1076" s="1854" t="str" cm="1">
        <f t="array" ref="L1076">_xlfn.IFS(
    I1075=FALSE, "",
    Payment_Frequency="Monthly", EDATE(L1075, 1),
    Payment_Frequency="Weekly", DATE(YEAR(L1075), MONTH(L1075), DAY(L1075) + 7),
    Payment_Frequency="Fortnightly", DATE(YEAR(L1075), MONTH(L1075), DAY(L1075) + 14),
    Payment_Frequency="Quarterly", DATE(YEAR(L1075), MONTH(L1075) + 3, DAY(L1075)),
    Payment_Frequency="Yearly", DATE(YEAR(L1075) + 1, MONTH(L1075), DAY(L1075)),
    TRUE, ""
)</f>
        <v/>
      </c>
      <c r="M1076" s="1853">
        <f>IF(ISERROR(L1076-L1075),0,L1076-L1075)</f>
        <v>0</v>
      </c>
      <c r="N1076" s="1851" cm="1">
        <f t="array" ref="N1076">_xlfn.IFS(
    AND(I1076=TRUE, K1076&lt;=No_Regular_Payments), Repay_Amt,
    AND(I1076=TRUE, K1076=No_Regular_Payments+1), Tm_Balloon_Amt,
   TRUE, 0
)</f>
        <v>0</v>
      </c>
      <c r="O1076" s="1850" cm="1">
        <f t="array" ref="O1076">_xlfn.IFS(
    M1076=0,0,
   ABS(N1076 - S1075 - P1076-Q1076) &lt; 1, N1076 - S1075-Q1076,
    TRUE, P1076
)</f>
        <v>0</v>
      </c>
      <c r="P1076" s="1852">
        <f>IF(M1076=0,0,ROUND(S1075*EXP(Int_Rate/365.25 * M1076)-S1075,2))</f>
        <v>0</v>
      </c>
      <c r="Q1076" s="1851" cm="1">
        <f t="array" ref="Q1076">_xlfn.IFS(
    AND(I1076=TRUE, K1076&lt;=No_Regular_Payments), Periodic_Admin_Charge,
   TRUE, 0
)</f>
        <v>0</v>
      </c>
      <c r="R1076" s="1850">
        <f>N1076-O1076-Q1076</f>
        <v>0</v>
      </c>
      <c r="S1076" s="1850">
        <f>ROUND(S1075-R1076,2)</f>
        <v>0</v>
      </c>
      <c r="T1076" s="1850">
        <f>ROUND(T1075-(N1076-Q1076),2)</f>
        <v>0</v>
      </c>
      <c r="U1076" s="1849"/>
      <c r="W1076" s="1848"/>
      <c r="X1076" s="1848"/>
      <c r="Y1076" s="1848"/>
    </row>
    <row r="1077" spans="2:25" hidden="1">
      <c r="B1077" s="1815" t="b">
        <f>AND(I1077=FALSE,N1076=0,Q1076=0,L1076="")</f>
        <v>1</v>
      </c>
      <c r="C1077" s="1844" t="str" cm="1">
        <f t="array" ref="C1077">_xlfn.IFS(
    L1077="", "",
    MONTH(L1077) &lt;= End_of_Year_Month, YEAR(L1077),
    TRUE, YEAR(L1077) + 1
)</f>
        <v/>
      </c>
      <c r="F1077" s="1857">
        <f>IF(L1077="",0,L1077)</f>
        <v>0</v>
      </c>
      <c r="G1077" s="1856">
        <f>-(N1077-Q1077)</f>
        <v>0</v>
      </c>
      <c r="I1077" s="1815" t="b">
        <f>K1077&lt;=Number_Payments</f>
        <v>0</v>
      </c>
      <c r="J1077" s="1855"/>
      <c r="K1077" s="1351">
        <f>K1076+1</f>
        <v>951</v>
      </c>
      <c r="L1077" s="1854" t="str" cm="1">
        <f t="array" ref="L1077">_xlfn.IFS(
    I1076=FALSE, "",
    Payment_Frequency="Monthly", EDATE(L1076, 1),
    Payment_Frequency="Weekly", DATE(YEAR(L1076), MONTH(L1076), DAY(L1076) + 7),
    Payment_Frequency="Fortnightly", DATE(YEAR(L1076), MONTH(L1076), DAY(L1076) + 14),
    Payment_Frequency="Quarterly", DATE(YEAR(L1076), MONTH(L1076) + 3, DAY(L1076)),
    Payment_Frequency="Yearly", DATE(YEAR(L1076) + 1, MONTH(L1076), DAY(L1076)),
    TRUE, ""
)</f>
        <v/>
      </c>
      <c r="M1077" s="1853">
        <f>IF(ISERROR(L1077-L1076),0,L1077-L1076)</f>
        <v>0</v>
      </c>
      <c r="N1077" s="1851" cm="1">
        <f t="array" ref="N1077">_xlfn.IFS(
    AND(I1077=TRUE, K1077&lt;=No_Regular_Payments), Repay_Amt,
    AND(I1077=TRUE, K1077=No_Regular_Payments+1), Tm_Balloon_Amt,
   TRUE, 0
)</f>
        <v>0</v>
      </c>
      <c r="O1077" s="1850" cm="1">
        <f t="array" ref="O1077">_xlfn.IFS(
    M1077=0,0,
   ABS(N1077 - S1076 - P1077-Q1077) &lt; 1, N1077 - S1076-Q1077,
    TRUE, P1077
)</f>
        <v>0</v>
      </c>
      <c r="P1077" s="1852">
        <f>IF(M1077=0,0,ROUND(S1076*EXP(Int_Rate/365.25 * M1077)-S1076,2))</f>
        <v>0</v>
      </c>
      <c r="Q1077" s="1851" cm="1">
        <f t="array" ref="Q1077">_xlfn.IFS(
    AND(I1077=TRUE, K1077&lt;=No_Regular_Payments), Periodic_Admin_Charge,
   TRUE, 0
)</f>
        <v>0</v>
      </c>
      <c r="R1077" s="1850">
        <f>N1077-O1077-Q1077</f>
        <v>0</v>
      </c>
      <c r="S1077" s="1850">
        <f>ROUND(S1076-R1077,2)</f>
        <v>0</v>
      </c>
      <c r="T1077" s="1850">
        <f>ROUND(T1076-(N1077-Q1077),2)</f>
        <v>0</v>
      </c>
      <c r="U1077" s="1849"/>
      <c r="W1077" s="1848"/>
      <c r="X1077" s="1848"/>
      <c r="Y1077" s="1848"/>
    </row>
    <row r="1078" spans="2:25" hidden="1">
      <c r="B1078" s="1815" t="b">
        <f>AND(I1078=FALSE,N1077=0,Q1077=0,L1077="")</f>
        <v>1</v>
      </c>
      <c r="C1078" s="1844" t="str" cm="1">
        <f t="array" ref="C1078">_xlfn.IFS(
    L1078="", "",
    MONTH(L1078) &lt;= End_of_Year_Month, YEAR(L1078),
    TRUE, YEAR(L1078) + 1
)</f>
        <v/>
      </c>
      <c r="F1078" s="1857">
        <f>IF(L1078="",0,L1078)</f>
        <v>0</v>
      </c>
      <c r="G1078" s="1856">
        <f>-(N1078-Q1078)</f>
        <v>0</v>
      </c>
      <c r="I1078" s="1815" t="b">
        <f>K1078&lt;=Number_Payments</f>
        <v>0</v>
      </c>
      <c r="J1078" s="1855"/>
      <c r="K1078" s="1351">
        <f>K1077+1</f>
        <v>952</v>
      </c>
      <c r="L1078" s="1854" t="str" cm="1">
        <f t="array" ref="L1078">_xlfn.IFS(
    I1077=FALSE, "",
    Payment_Frequency="Monthly", EDATE(L1077, 1),
    Payment_Frequency="Weekly", DATE(YEAR(L1077), MONTH(L1077), DAY(L1077) + 7),
    Payment_Frequency="Fortnightly", DATE(YEAR(L1077), MONTH(L1077), DAY(L1077) + 14),
    Payment_Frequency="Quarterly", DATE(YEAR(L1077), MONTH(L1077) + 3, DAY(L1077)),
    Payment_Frequency="Yearly", DATE(YEAR(L1077) + 1, MONTH(L1077), DAY(L1077)),
    TRUE, ""
)</f>
        <v/>
      </c>
      <c r="M1078" s="1853">
        <f>IF(ISERROR(L1078-L1077),0,L1078-L1077)</f>
        <v>0</v>
      </c>
      <c r="N1078" s="1851" cm="1">
        <f t="array" ref="N1078">_xlfn.IFS(
    AND(I1078=TRUE, K1078&lt;=No_Regular_Payments), Repay_Amt,
    AND(I1078=TRUE, K1078=No_Regular_Payments+1), Tm_Balloon_Amt,
   TRUE, 0
)</f>
        <v>0</v>
      </c>
      <c r="O1078" s="1850" cm="1">
        <f t="array" ref="O1078">_xlfn.IFS(
    M1078=0,0,
   ABS(N1078 - S1077 - P1078-Q1078) &lt; 1, N1078 - S1077-Q1078,
    TRUE, P1078
)</f>
        <v>0</v>
      </c>
      <c r="P1078" s="1852">
        <f>IF(M1078=0,0,ROUND(S1077*EXP(Int_Rate/365.25 * M1078)-S1077,2))</f>
        <v>0</v>
      </c>
      <c r="Q1078" s="1851" cm="1">
        <f t="array" ref="Q1078">_xlfn.IFS(
    AND(I1078=TRUE, K1078&lt;=No_Regular_Payments), Periodic_Admin_Charge,
   TRUE, 0
)</f>
        <v>0</v>
      </c>
      <c r="R1078" s="1850">
        <f>N1078-O1078-Q1078</f>
        <v>0</v>
      </c>
      <c r="S1078" s="1850">
        <f>ROUND(S1077-R1078,2)</f>
        <v>0</v>
      </c>
      <c r="T1078" s="1850">
        <f>ROUND(T1077-(N1078-Q1078),2)</f>
        <v>0</v>
      </c>
      <c r="U1078" s="1849"/>
      <c r="W1078" s="1848"/>
      <c r="X1078" s="1848"/>
      <c r="Y1078" s="1848"/>
    </row>
    <row r="1079" spans="2:25" hidden="1">
      <c r="B1079" s="1815" t="b">
        <f>AND(I1079=FALSE,N1078=0,Q1078=0,L1078="")</f>
        <v>1</v>
      </c>
      <c r="C1079" s="1844" t="str" cm="1">
        <f t="array" ref="C1079">_xlfn.IFS(
    L1079="", "",
    MONTH(L1079) &lt;= End_of_Year_Month, YEAR(L1079),
    TRUE, YEAR(L1079) + 1
)</f>
        <v/>
      </c>
      <c r="F1079" s="1857">
        <f>IF(L1079="",0,L1079)</f>
        <v>0</v>
      </c>
      <c r="G1079" s="1856">
        <f>-(N1079-Q1079)</f>
        <v>0</v>
      </c>
      <c r="I1079" s="1815" t="b">
        <f>K1079&lt;=Number_Payments</f>
        <v>0</v>
      </c>
      <c r="J1079" s="1855"/>
      <c r="K1079" s="1351">
        <f>K1078+1</f>
        <v>953</v>
      </c>
      <c r="L1079" s="1854" t="str" cm="1">
        <f t="array" ref="L1079">_xlfn.IFS(
    I1078=FALSE, "",
    Payment_Frequency="Monthly", EDATE(L1078, 1),
    Payment_Frequency="Weekly", DATE(YEAR(L1078), MONTH(L1078), DAY(L1078) + 7),
    Payment_Frequency="Fortnightly", DATE(YEAR(L1078), MONTH(L1078), DAY(L1078) + 14),
    Payment_Frequency="Quarterly", DATE(YEAR(L1078), MONTH(L1078) + 3, DAY(L1078)),
    Payment_Frequency="Yearly", DATE(YEAR(L1078) + 1, MONTH(L1078), DAY(L1078)),
    TRUE, ""
)</f>
        <v/>
      </c>
      <c r="M1079" s="1853">
        <f>IF(ISERROR(L1079-L1078),0,L1079-L1078)</f>
        <v>0</v>
      </c>
      <c r="N1079" s="1851" cm="1">
        <f t="array" ref="N1079">_xlfn.IFS(
    AND(I1079=TRUE, K1079&lt;=No_Regular_Payments), Repay_Amt,
    AND(I1079=TRUE, K1079=No_Regular_Payments+1), Tm_Balloon_Amt,
   TRUE, 0
)</f>
        <v>0</v>
      </c>
      <c r="O1079" s="1850" cm="1">
        <f t="array" ref="O1079">_xlfn.IFS(
    M1079=0,0,
   ABS(N1079 - S1078 - P1079-Q1079) &lt; 1, N1079 - S1078-Q1079,
    TRUE, P1079
)</f>
        <v>0</v>
      </c>
      <c r="P1079" s="1852">
        <f>IF(M1079=0,0,ROUND(S1078*EXP(Int_Rate/365.25 * M1079)-S1078,2))</f>
        <v>0</v>
      </c>
      <c r="Q1079" s="1851" cm="1">
        <f t="array" ref="Q1079">_xlfn.IFS(
    AND(I1079=TRUE, K1079&lt;=No_Regular_Payments), Periodic_Admin_Charge,
   TRUE, 0
)</f>
        <v>0</v>
      </c>
      <c r="R1079" s="1850">
        <f>N1079-O1079-Q1079</f>
        <v>0</v>
      </c>
      <c r="S1079" s="1850">
        <f>ROUND(S1078-R1079,2)</f>
        <v>0</v>
      </c>
      <c r="T1079" s="1850">
        <f>ROUND(T1078-(N1079-Q1079),2)</f>
        <v>0</v>
      </c>
      <c r="U1079" s="1849"/>
      <c r="W1079" s="1848"/>
      <c r="X1079" s="1848"/>
      <c r="Y1079" s="1848"/>
    </row>
    <row r="1080" spans="2:25" hidden="1">
      <c r="B1080" s="1815" t="b">
        <f>AND(I1080=FALSE,N1079=0,Q1079=0,L1079="")</f>
        <v>1</v>
      </c>
      <c r="C1080" s="1844" t="str" cm="1">
        <f t="array" ref="C1080">_xlfn.IFS(
    L1080="", "",
    MONTH(L1080) &lt;= End_of_Year_Month, YEAR(L1080),
    TRUE, YEAR(L1080) + 1
)</f>
        <v/>
      </c>
      <c r="F1080" s="1857">
        <f>IF(L1080="",0,L1080)</f>
        <v>0</v>
      </c>
      <c r="G1080" s="1856">
        <f>-(N1080-Q1080)</f>
        <v>0</v>
      </c>
      <c r="I1080" s="1815" t="b">
        <f>K1080&lt;=Number_Payments</f>
        <v>0</v>
      </c>
      <c r="J1080" s="1855"/>
      <c r="K1080" s="1351">
        <f>K1079+1</f>
        <v>954</v>
      </c>
      <c r="L1080" s="1854" t="str" cm="1">
        <f t="array" ref="L1080">_xlfn.IFS(
    I1079=FALSE, "",
    Payment_Frequency="Monthly", EDATE(L1079, 1),
    Payment_Frequency="Weekly", DATE(YEAR(L1079), MONTH(L1079), DAY(L1079) + 7),
    Payment_Frequency="Fortnightly", DATE(YEAR(L1079), MONTH(L1079), DAY(L1079) + 14),
    Payment_Frequency="Quarterly", DATE(YEAR(L1079), MONTH(L1079) + 3, DAY(L1079)),
    Payment_Frequency="Yearly", DATE(YEAR(L1079) + 1, MONTH(L1079), DAY(L1079)),
    TRUE, ""
)</f>
        <v/>
      </c>
      <c r="M1080" s="1853">
        <f>IF(ISERROR(L1080-L1079),0,L1080-L1079)</f>
        <v>0</v>
      </c>
      <c r="N1080" s="1851" cm="1">
        <f t="array" ref="N1080">_xlfn.IFS(
    AND(I1080=TRUE, K1080&lt;=No_Regular_Payments), Repay_Amt,
    AND(I1080=TRUE, K1080=No_Regular_Payments+1), Tm_Balloon_Amt,
   TRUE, 0
)</f>
        <v>0</v>
      </c>
      <c r="O1080" s="1850" cm="1">
        <f t="array" ref="O1080">_xlfn.IFS(
    M1080=0,0,
   ABS(N1080 - S1079 - P1080-Q1080) &lt; 1, N1080 - S1079-Q1080,
    TRUE, P1080
)</f>
        <v>0</v>
      </c>
      <c r="P1080" s="1852">
        <f>IF(M1080=0,0,ROUND(S1079*EXP(Int_Rate/365.25 * M1080)-S1079,2))</f>
        <v>0</v>
      </c>
      <c r="Q1080" s="1851" cm="1">
        <f t="array" ref="Q1080">_xlfn.IFS(
    AND(I1080=TRUE, K1080&lt;=No_Regular_Payments), Periodic_Admin_Charge,
   TRUE, 0
)</f>
        <v>0</v>
      </c>
      <c r="R1080" s="1850">
        <f>N1080-O1080-Q1080</f>
        <v>0</v>
      </c>
      <c r="S1080" s="1850">
        <f>ROUND(S1079-R1080,2)</f>
        <v>0</v>
      </c>
      <c r="T1080" s="1850">
        <f>ROUND(T1079-(N1080-Q1080),2)</f>
        <v>0</v>
      </c>
      <c r="U1080" s="1849"/>
      <c r="W1080" s="1848"/>
      <c r="X1080" s="1848"/>
      <c r="Y1080" s="1848"/>
    </row>
    <row r="1081" spans="2:25" hidden="1">
      <c r="B1081" s="1815" t="b">
        <f>AND(I1081=FALSE,N1080=0,Q1080=0,L1080="")</f>
        <v>1</v>
      </c>
      <c r="C1081" s="1844" t="str" cm="1">
        <f t="array" ref="C1081">_xlfn.IFS(
    L1081="", "",
    MONTH(L1081) &lt;= End_of_Year_Month, YEAR(L1081),
    TRUE, YEAR(L1081) + 1
)</f>
        <v/>
      </c>
      <c r="F1081" s="1857">
        <f>IF(L1081="",0,L1081)</f>
        <v>0</v>
      </c>
      <c r="G1081" s="1856">
        <f>-(N1081-Q1081)</f>
        <v>0</v>
      </c>
      <c r="I1081" s="1815" t="b">
        <f>K1081&lt;=Number_Payments</f>
        <v>0</v>
      </c>
      <c r="J1081" s="1855"/>
      <c r="K1081" s="1351">
        <f>K1080+1</f>
        <v>955</v>
      </c>
      <c r="L1081" s="1854" t="str" cm="1">
        <f t="array" ref="L1081">_xlfn.IFS(
    I1080=FALSE, "",
    Payment_Frequency="Monthly", EDATE(L1080, 1),
    Payment_Frequency="Weekly", DATE(YEAR(L1080), MONTH(L1080), DAY(L1080) + 7),
    Payment_Frequency="Fortnightly", DATE(YEAR(L1080), MONTH(L1080), DAY(L1080) + 14),
    Payment_Frequency="Quarterly", DATE(YEAR(L1080), MONTH(L1080) + 3, DAY(L1080)),
    Payment_Frequency="Yearly", DATE(YEAR(L1080) + 1, MONTH(L1080), DAY(L1080)),
    TRUE, ""
)</f>
        <v/>
      </c>
      <c r="M1081" s="1853">
        <f>IF(ISERROR(L1081-L1080),0,L1081-L1080)</f>
        <v>0</v>
      </c>
      <c r="N1081" s="1851" cm="1">
        <f t="array" ref="N1081">_xlfn.IFS(
    AND(I1081=TRUE, K1081&lt;=No_Regular_Payments), Repay_Amt,
    AND(I1081=TRUE, K1081=No_Regular_Payments+1), Tm_Balloon_Amt,
   TRUE, 0
)</f>
        <v>0</v>
      </c>
      <c r="O1081" s="1850" cm="1">
        <f t="array" ref="O1081">_xlfn.IFS(
    M1081=0,0,
   ABS(N1081 - S1080 - P1081-Q1081) &lt; 1, N1081 - S1080-Q1081,
    TRUE, P1081
)</f>
        <v>0</v>
      </c>
      <c r="P1081" s="1852">
        <f>IF(M1081=0,0,ROUND(S1080*EXP(Int_Rate/365.25 * M1081)-S1080,2))</f>
        <v>0</v>
      </c>
      <c r="Q1081" s="1851" cm="1">
        <f t="array" ref="Q1081">_xlfn.IFS(
    AND(I1081=TRUE, K1081&lt;=No_Regular_Payments), Periodic_Admin_Charge,
   TRUE, 0
)</f>
        <v>0</v>
      </c>
      <c r="R1081" s="1850">
        <f>N1081-O1081-Q1081</f>
        <v>0</v>
      </c>
      <c r="S1081" s="1850">
        <f>ROUND(S1080-R1081,2)</f>
        <v>0</v>
      </c>
      <c r="T1081" s="1850">
        <f>ROUND(T1080-(N1081-Q1081),2)</f>
        <v>0</v>
      </c>
      <c r="U1081" s="1849"/>
      <c r="W1081" s="1848"/>
      <c r="X1081" s="1848"/>
      <c r="Y1081" s="1848"/>
    </row>
    <row r="1082" spans="2:25" hidden="1">
      <c r="B1082" s="1815" t="b">
        <f>AND(I1082=FALSE,N1081=0,Q1081=0,L1081="")</f>
        <v>1</v>
      </c>
      <c r="C1082" s="1844" t="str" cm="1">
        <f t="array" ref="C1082">_xlfn.IFS(
    L1082="", "",
    MONTH(L1082) &lt;= End_of_Year_Month, YEAR(L1082),
    TRUE, YEAR(L1082) + 1
)</f>
        <v/>
      </c>
      <c r="F1082" s="1857">
        <f>IF(L1082="",0,L1082)</f>
        <v>0</v>
      </c>
      <c r="G1082" s="1856">
        <f>-(N1082-Q1082)</f>
        <v>0</v>
      </c>
      <c r="I1082" s="1815" t="b">
        <f>K1082&lt;=Number_Payments</f>
        <v>0</v>
      </c>
      <c r="J1082" s="1855"/>
      <c r="K1082" s="1351">
        <f>K1081+1</f>
        <v>956</v>
      </c>
      <c r="L1082" s="1854" t="str" cm="1">
        <f t="array" ref="L1082">_xlfn.IFS(
    I1081=FALSE, "",
    Payment_Frequency="Monthly", EDATE(L1081, 1),
    Payment_Frequency="Weekly", DATE(YEAR(L1081), MONTH(L1081), DAY(L1081) + 7),
    Payment_Frequency="Fortnightly", DATE(YEAR(L1081), MONTH(L1081), DAY(L1081) + 14),
    Payment_Frequency="Quarterly", DATE(YEAR(L1081), MONTH(L1081) + 3, DAY(L1081)),
    Payment_Frequency="Yearly", DATE(YEAR(L1081) + 1, MONTH(L1081), DAY(L1081)),
    TRUE, ""
)</f>
        <v/>
      </c>
      <c r="M1082" s="1853">
        <f>IF(ISERROR(L1082-L1081),0,L1082-L1081)</f>
        <v>0</v>
      </c>
      <c r="N1082" s="1851" cm="1">
        <f t="array" ref="N1082">_xlfn.IFS(
    AND(I1082=TRUE, K1082&lt;=No_Regular_Payments), Repay_Amt,
    AND(I1082=TRUE, K1082=No_Regular_Payments+1), Tm_Balloon_Amt,
   TRUE, 0
)</f>
        <v>0</v>
      </c>
      <c r="O1082" s="1850" cm="1">
        <f t="array" ref="O1082">_xlfn.IFS(
    M1082=0,0,
   ABS(N1082 - S1081 - P1082-Q1082) &lt; 1, N1082 - S1081-Q1082,
    TRUE, P1082
)</f>
        <v>0</v>
      </c>
      <c r="P1082" s="1852">
        <f>IF(M1082=0,0,ROUND(S1081*EXP(Int_Rate/365.25 * M1082)-S1081,2))</f>
        <v>0</v>
      </c>
      <c r="Q1082" s="1851" cm="1">
        <f t="array" ref="Q1082">_xlfn.IFS(
    AND(I1082=TRUE, K1082&lt;=No_Regular_Payments), Periodic_Admin_Charge,
   TRUE, 0
)</f>
        <v>0</v>
      </c>
      <c r="R1082" s="1850">
        <f>N1082-O1082-Q1082</f>
        <v>0</v>
      </c>
      <c r="S1082" s="1850">
        <f>ROUND(S1081-R1082,2)</f>
        <v>0</v>
      </c>
      <c r="T1082" s="1850">
        <f>ROUND(T1081-(N1082-Q1082),2)</f>
        <v>0</v>
      </c>
      <c r="U1082" s="1849"/>
      <c r="W1082" s="1848"/>
      <c r="X1082" s="1848"/>
      <c r="Y1082" s="1848"/>
    </row>
    <row r="1083" spans="2:25" hidden="1">
      <c r="B1083" s="1815" t="b">
        <f>AND(I1083=FALSE,N1082=0,Q1082=0,L1082="")</f>
        <v>1</v>
      </c>
      <c r="C1083" s="1844" t="str" cm="1">
        <f t="array" ref="C1083">_xlfn.IFS(
    L1083="", "",
    MONTH(L1083) &lt;= End_of_Year_Month, YEAR(L1083),
    TRUE, YEAR(L1083) + 1
)</f>
        <v/>
      </c>
      <c r="F1083" s="1857">
        <f>IF(L1083="",0,L1083)</f>
        <v>0</v>
      </c>
      <c r="G1083" s="1856">
        <f>-(N1083-Q1083)</f>
        <v>0</v>
      </c>
      <c r="I1083" s="1815" t="b">
        <f>K1083&lt;=Number_Payments</f>
        <v>0</v>
      </c>
      <c r="J1083" s="1855"/>
      <c r="K1083" s="1351">
        <f>K1082+1</f>
        <v>957</v>
      </c>
      <c r="L1083" s="1854" t="str" cm="1">
        <f t="array" ref="L1083">_xlfn.IFS(
    I1082=FALSE, "",
    Payment_Frequency="Monthly", EDATE(L1082, 1),
    Payment_Frequency="Weekly", DATE(YEAR(L1082), MONTH(L1082), DAY(L1082) + 7),
    Payment_Frequency="Fortnightly", DATE(YEAR(L1082), MONTH(L1082), DAY(L1082) + 14),
    Payment_Frequency="Quarterly", DATE(YEAR(L1082), MONTH(L1082) + 3, DAY(L1082)),
    Payment_Frequency="Yearly", DATE(YEAR(L1082) + 1, MONTH(L1082), DAY(L1082)),
    TRUE, ""
)</f>
        <v/>
      </c>
      <c r="M1083" s="1853">
        <f>IF(ISERROR(L1083-L1082),0,L1083-L1082)</f>
        <v>0</v>
      </c>
      <c r="N1083" s="1851" cm="1">
        <f t="array" ref="N1083">_xlfn.IFS(
    AND(I1083=TRUE, K1083&lt;=No_Regular_Payments), Repay_Amt,
    AND(I1083=TRUE, K1083=No_Regular_Payments+1), Tm_Balloon_Amt,
   TRUE, 0
)</f>
        <v>0</v>
      </c>
      <c r="O1083" s="1850" cm="1">
        <f t="array" ref="O1083">_xlfn.IFS(
    M1083=0,0,
   ABS(N1083 - S1082 - P1083-Q1083) &lt; 1, N1083 - S1082-Q1083,
    TRUE, P1083
)</f>
        <v>0</v>
      </c>
      <c r="P1083" s="1852">
        <f>IF(M1083=0,0,ROUND(S1082*EXP(Int_Rate/365.25 * M1083)-S1082,2))</f>
        <v>0</v>
      </c>
      <c r="Q1083" s="1851" cm="1">
        <f t="array" ref="Q1083">_xlfn.IFS(
    AND(I1083=TRUE, K1083&lt;=No_Regular_Payments), Periodic_Admin_Charge,
   TRUE, 0
)</f>
        <v>0</v>
      </c>
      <c r="R1083" s="1850">
        <f>N1083-O1083-Q1083</f>
        <v>0</v>
      </c>
      <c r="S1083" s="1850">
        <f>ROUND(S1082-R1083,2)</f>
        <v>0</v>
      </c>
      <c r="T1083" s="1850">
        <f>ROUND(T1082-(N1083-Q1083),2)</f>
        <v>0</v>
      </c>
      <c r="U1083" s="1849"/>
      <c r="W1083" s="1848"/>
      <c r="X1083" s="1848"/>
      <c r="Y1083" s="1848"/>
    </row>
    <row r="1084" spans="2:25" hidden="1">
      <c r="B1084" s="1815" t="b">
        <f>AND(I1084=FALSE,N1083=0,Q1083=0,L1083="")</f>
        <v>1</v>
      </c>
      <c r="C1084" s="1844" t="str" cm="1">
        <f t="array" ref="C1084">_xlfn.IFS(
    L1084="", "",
    MONTH(L1084) &lt;= End_of_Year_Month, YEAR(L1084),
    TRUE, YEAR(L1084) + 1
)</f>
        <v/>
      </c>
      <c r="F1084" s="1857">
        <f>IF(L1084="",0,L1084)</f>
        <v>0</v>
      </c>
      <c r="G1084" s="1856">
        <f>-(N1084-Q1084)</f>
        <v>0</v>
      </c>
      <c r="I1084" s="1815" t="b">
        <f>K1084&lt;=Number_Payments</f>
        <v>0</v>
      </c>
      <c r="J1084" s="1855"/>
      <c r="K1084" s="1351">
        <f>K1083+1</f>
        <v>958</v>
      </c>
      <c r="L1084" s="1854" t="str" cm="1">
        <f t="array" ref="L1084">_xlfn.IFS(
    I1083=FALSE, "",
    Payment_Frequency="Monthly", EDATE(L1083, 1),
    Payment_Frequency="Weekly", DATE(YEAR(L1083), MONTH(L1083), DAY(L1083) + 7),
    Payment_Frequency="Fortnightly", DATE(YEAR(L1083), MONTH(L1083), DAY(L1083) + 14),
    Payment_Frequency="Quarterly", DATE(YEAR(L1083), MONTH(L1083) + 3, DAY(L1083)),
    Payment_Frequency="Yearly", DATE(YEAR(L1083) + 1, MONTH(L1083), DAY(L1083)),
    TRUE, ""
)</f>
        <v/>
      </c>
      <c r="M1084" s="1853">
        <f>IF(ISERROR(L1084-L1083),0,L1084-L1083)</f>
        <v>0</v>
      </c>
      <c r="N1084" s="1851" cm="1">
        <f t="array" ref="N1084">_xlfn.IFS(
    AND(I1084=TRUE, K1084&lt;=No_Regular_Payments), Repay_Amt,
    AND(I1084=TRUE, K1084=No_Regular_Payments+1), Tm_Balloon_Amt,
   TRUE, 0
)</f>
        <v>0</v>
      </c>
      <c r="O1084" s="1850" cm="1">
        <f t="array" ref="O1084">_xlfn.IFS(
    M1084=0,0,
   ABS(N1084 - S1083 - P1084-Q1084) &lt; 1, N1084 - S1083-Q1084,
    TRUE, P1084
)</f>
        <v>0</v>
      </c>
      <c r="P1084" s="1852">
        <f>IF(M1084=0,0,ROUND(S1083*EXP(Int_Rate/365.25 * M1084)-S1083,2))</f>
        <v>0</v>
      </c>
      <c r="Q1084" s="1851" cm="1">
        <f t="array" ref="Q1084">_xlfn.IFS(
    AND(I1084=TRUE, K1084&lt;=No_Regular_Payments), Periodic_Admin_Charge,
   TRUE, 0
)</f>
        <v>0</v>
      </c>
      <c r="R1084" s="1850">
        <f>N1084-O1084-Q1084</f>
        <v>0</v>
      </c>
      <c r="S1084" s="1850">
        <f>ROUND(S1083-R1084,2)</f>
        <v>0</v>
      </c>
      <c r="T1084" s="1850">
        <f>ROUND(T1083-(N1084-Q1084),2)</f>
        <v>0</v>
      </c>
      <c r="U1084" s="1849"/>
      <c r="W1084" s="1848"/>
      <c r="X1084" s="1848"/>
      <c r="Y1084" s="1848"/>
    </row>
    <row r="1085" spans="2:25" hidden="1">
      <c r="B1085" s="1815" t="b">
        <f>AND(I1085=FALSE,N1084=0,Q1084=0,L1084="")</f>
        <v>1</v>
      </c>
      <c r="C1085" s="1844" t="str" cm="1">
        <f t="array" ref="C1085">_xlfn.IFS(
    L1085="", "",
    MONTH(L1085) &lt;= End_of_Year_Month, YEAR(L1085),
    TRUE, YEAR(L1085) + 1
)</f>
        <v/>
      </c>
      <c r="F1085" s="1857">
        <f>IF(L1085="",0,L1085)</f>
        <v>0</v>
      </c>
      <c r="G1085" s="1856">
        <f>-(N1085-Q1085)</f>
        <v>0</v>
      </c>
      <c r="I1085" s="1815" t="b">
        <f>K1085&lt;=Number_Payments</f>
        <v>0</v>
      </c>
      <c r="J1085" s="1855"/>
      <c r="K1085" s="1351">
        <f>K1084+1</f>
        <v>959</v>
      </c>
      <c r="L1085" s="1854" t="str" cm="1">
        <f t="array" ref="L1085">_xlfn.IFS(
    I1084=FALSE, "",
    Payment_Frequency="Monthly", EDATE(L1084, 1),
    Payment_Frequency="Weekly", DATE(YEAR(L1084), MONTH(L1084), DAY(L1084) + 7),
    Payment_Frequency="Fortnightly", DATE(YEAR(L1084), MONTH(L1084), DAY(L1084) + 14),
    Payment_Frequency="Quarterly", DATE(YEAR(L1084), MONTH(L1084) + 3, DAY(L1084)),
    Payment_Frequency="Yearly", DATE(YEAR(L1084) + 1, MONTH(L1084), DAY(L1084)),
    TRUE, ""
)</f>
        <v/>
      </c>
      <c r="M1085" s="1853">
        <f>IF(ISERROR(L1085-L1084),0,L1085-L1084)</f>
        <v>0</v>
      </c>
      <c r="N1085" s="1851" cm="1">
        <f t="array" ref="N1085">_xlfn.IFS(
    AND(I1085=TRUE, K1085&lt;=No_Regular_Payments), Repay_Amt,
    AND(I1085=TRUE, K1085=No_Regular_Payments+1), Tm_Balloon_Amt,
   TRUE, 0
)</f>
        <v>0</v>
      </c>
      <c r="O1085" s="1850" cm="1">
        <f t="array" ref="O1085">_xlfn.IFS(
    M1085=0,0,
   ABS(N1085 - S1084 - P1085-Q1085) &lt; 1, N1085 - S1084-Q1085,
    TRUE, P1085
)</f>
        <v>0</v>
      </c>
      <c r="P1085" s="1852">
        <f>IF(M1085=0,0,ROUND(S1084*EXP(Int_Rate/365.25 * M1085)-S1084,2))</f>
        <v>0</v>
      </c>
      <c r="Q1085" s="1851" cm="1">
        <f t="array" ref="Q1085">_xlfn.IFS(
    AND(I1085=TRUE, K1085&lt;=No_Regular_Payments), Periodic_Admin_Charge,
   TRUE, 0
)</f>
        <v>0</v>
      </c>
      <c r="R1085" s="1850">
        <f>N1085-O1085-Q1085</f>
        <v>0</v>
      </c>
      <c r="S1085" s="1850">
        <f>ROUND(S1084-R1085,2)</f>
        <v>0</v>
      </c>
      <c r="T1085" s="1850">
        <f>ROUND(T1084-(N1085-Q1085),2)</f>
        <v>0</v>
      </c>
      <c r="U1085" s="1849"/>
      <c r="W1085" s="1848"/>
      <c r="X1085" s="1848"/>
      <c r="Y1085" s="1848"/>
    </row>
    <row r="1086" spans="2:25" hidden="1">
      <c r="B1086" s="1815" t="b">
        <f>AND(I1086=FALSE,N1085=0,Q1085=0,L1085="")</f>
        <v>1</v>
      </c>
      <c r="C1086" s="1844" t="str" cm="1">
        <f t="array" ref="C1086">_xlfn.IFS(
    L1086="", "",
    MONTH(L1086) &lt;= End_of_Year_Month, YEAR(L1086),
    TRUE, YEAR(L1086) + 1
)</f>
        <v/>
      </c>
      <c r="F1086" s="1857">
        <f>IF(L1086="",0,L1086)</f>
        <v>0</v>
      </c>
      <c r="G1086" s="1856">
        <f>-(N1086-Q1086)</f>
        <v>0</v>
      </c>
      <c r="I1086" s="1815" t="b">
        <f>K1086&lt;=Number_Payments</f>
        <v>0</v>
      </c>
      <c r="J1086" s="1855"/>
      <c r="K1086" s="1351">
        <f>K1085+1</f>
        <v>960</v>
      </c>
      <c r="L1086" s="1854" t="str" cm="1">
        <f t="array" ref="L1086">_xlfn.IFS(
    I1085=FALSE, "",
    Payment_Frequency="Monthly", EDATE(L1085, 1),
    Payment_Frequency="Weekly", DATE(YEAR(L1085), MONTH(L1085), DAY(L1085) + 7),
    Payment_Frequency="Fortnightly", DATE(YEAR(L1085), MONTH(L1085), DAY(L1085) + 14),
    Payment_Frequency="Quarterly", DATE(YEAR(L1085), MONTH(L1085) + 3, DAY(L1085)),
    Payment_Frequency="Yearly", DATE(YEAR(L1085) + 1, MONTH(L1085), DAY(L1085)),
    TRUE, ""
)</f>
        <v/>
      </c>
      <c r="M1086" s="1853">
        <f>IF(ISERROR(L1086-L1085),0,L1086-L1085)</f>
        <v>0</v>
      </c>
      <c r="N1086" s="1851" cm="1">
        <f t="array" ref="N1086">_xlfn.IFS(
    AND(I1086=TRUE, K1086&lt;=No_Regular_Payments), Repay_Amt,
    AND(I1086=TRUE, K1086=No_Regular_Payments+1), Tm_Balloon_Amt,
   TRUE, 0
)</f>
        <v>0</v>
      </c>
      <c r="O1086" s="1850" cm="1">
        <f t="array" ref="O1086">_xlfn.IFS(
    M1086=0,0,
   ABS(N1086 - S1085 - P1086-Q1086) &lt; 1, N1086 - S1085-Q1086,
    TRUE, P1086
)</f>
        <v>0</v>
      </c>
      <c r="P1086" s="1852">
        <f>IF(M1086=0,0,ROUND(S1085*EXP(Int_Rate/365.25 * M1086)-S1085,2))</f>
        <v>0</v>
      </c>
      <c r="Q1086" s="1851" cm="1">
        <f t="array" ref="Q1086">_xlfn.IFS(
    AND(I1086=TRUE, K1086&lt;=No_Regular_Payments), Periodic_Admin_Charge,
   TRUE, 0
)</f>
        <v>0</v>
      </c>
      <c r="R1086" s="1850">
        <f>N1086-O1086-Q1086</f>
        <v>0</v>
      </c>
      <c r="S1086" s="1850">
        <f>ROUND(S1085-R1086,2)</f>
        <v>0</v>
      </c>
      <c r="T1086" s="1850">
        <f>ROUND(T1085-(N1086-Q1086),2)</f>
        <v>0</v>
      </c>
      <c r="U1086" s="1849"/>
      <c r="W1086" s="1848"/>
      <c r="X1086" s="1848"/>
      <c r="Y1086" s="1848"/>
    </row>
    <row r="1087" spans="2:25" hidden="1">
      <c r="B1087" s="1815" t="b">
        <f>AND(I1087=FALSE,N1086=0,Q1086=0,L1086="")</f>
        <v>1</v>
      </c>
      <c r="C1087" s="1844" t="str" cm="1">
        <f t="array" ref="C1087">_xlfn.IFS(
    L1087="", "",
    MONTH(L1087) &lt;= End_of_Year_Month, YEAR(L1087),
    TRUE, YEAR(L1087) + 1
)</f>
        <v/>
      </c>
      <c r="F1087" s="1857">
        <f>IF(L1087="",0,L1087)</f>
        <v>0</v>
      </c>
      <c r="G1087" s="1856">
        <f>-(N1087-Q1087)</f>
        <v>0</v>
      </c>
      <c r="I1087" s="1815" t="b">
        <f>K1087&lt;=Number_Payments</f>
        <v>0</v>
      </c>
      <c r="J1087" s="1855"/>
      <c r="K1087" s="1351">
        <f>K1086+1</f>
        <v>961</v>
      </c>
      <c r="L1087" s="1854" t="str" cm="1">
        <f t="array" ref="L1087">_xlfn.IFS(
    I1086=FALSE, "",
    Payment_Frequency="Monthly", EDATE(L1086, 1),
    Payment_Frequency="Weekly", DATE(YEAR(L1086), MONTH(L1086), DAY(L1086) + 7),
    Payment_Frequency="Fortnightly", DATE(YEAR(L1086), MONTH(L1086), DAY(L1086) + 14),
    Payment_Frequency="Quarterly", DATE(YEAR(L1086), MONTH(L1086) + 3, DAY(L1086)),
    Payment_Frequency="Yearly", DATE(YEAR(L1086) + 1, MONTH(L1086), DAY(L1086)),
    TRUE, ""
)</f>
        <v/>
      </c>
      <c r="M1087" s="1853">
        <f>IF(ISERROR(L1087-L1086),0,L1087-L1086)</f>
        <v>0</v>
      </c>
      <c r="N1087" s="1851" cm="1">
        <f t="array" ref="N1087">_xlfn.IFS(
    AND(I1087=TRUE, K1087&lt;=No_Regular_Payments), Repay_Amt,
    AND(I1087=TRUE, K1087=No_Regular_Payments+1), Tm_Balloon_Amt,
   TRUE, 0
)</f>
        <v>0</v>
      </c>
      <c r="O1087" s="1850" cm="1">
        <f t="array" ref="O1087">_xlfn.IFS(
    M1087=0,0,
   ABS(N1087 - S1086 - P1087-Q1087) &lt; 1, N1087 - S1086-Q1087,
    TRUE, P1087
)</f>
        <v>0</v>
      </c>
      <c r="P1087" s="1852">
        <f>IF(M1087=0,0,ROUND(S1086*EXP(Int_Rate/365.25 * M1087)-S1086,2))</f>
        <v>0</v>
      </c>
      <c r="Q1087" s="1851" cm="1">
        <f t="array" ref="Q1087">_xlfn.IFS(
    AND(I1087=TRUE, K1087&lt;=No_Regular_Payments), Periodic_Admin_Charge,
   TRUE, 0
)</f>
        <v>0</v>
      </c>
      <c r="R1087" s="1850">
        <f>N1087-O1087-Q1087</f>
        <v>0</v>
      </c>
      <c r="S1087" s="1850">
        <f>ROUND(S1086-R1087,2)</f>
        <v>0</v>
      </c>
      <c r="T1087" s="1850">
        <f>ROUND(T1086-(N1087-Q1087),2)</f>
        <v>0</v>
      </c>
      <c r="U1087" s="1849"/>
      <c r="W1087" s="1848"/>
      <c r="X1087" s="1848"/>
      <c r="Y1087" s="1848"/>
    </row>
    <row r="1088" spans="2:25" hidden="1">
      <c r="B1088" s="1815" t="b">
        <f>AND(I1088=FALSE,N1087=0,Q1087=0,L1087="")</f>
        <v>1</v>
      </c>
      <c r="C1088" s="1844" t="str" cm="1">
        <f t="array" ref="C1088">_xlfn.IFS(
    L1088="", "",
    MONTH(L1088) &lt;= End_of_Year_Month, YEAR(L1088),
    TRUE, YEAR(L1088) + 1
)</f>
        <v/>
      </c>
      <c r="F1088" s="1857">
        <f>IF(L1088="",0,L1088)</f>
        <v>0</v>
      </c>
      <c r="G1088" s="1856">
        <f>-(N1088-Q1088)</f>
        <v>0</v>
      </c>
      <c r="I1088" s="1815" t="b">
        <f>K1088&lt;=Number_Payments</f>
        <v>0</v>
      </c>
      <c r="J1088" s="1855"/>
      <c r="K1088" s="1351">
        <f>K1087+1</f>
        <v>962</v>
      </c>
      <c r="L1088" s="1854" t="str" cm="1">
        <f t="array" ref="L1088">_xlfn.IFS(
    I1087=FALSE, "",
    Payment_Frequency="Monthly", EDATE(L1087, 1),
    Payment_Frequency="Weekly", DATE(YEAR(L1087), MONTH(L1087), DAY(L1087) + 7),
    Payment_Frequency="Fortnightly", DATE(YEAR(L1087), MONTH(L1087), DAY(L1087) + 14),
    Payment_Frequency="Quarterly", DATE(YEAR(L1087), MONTH(L1087) + 3, DAY(L1087)),
    Payment_Frequency="Yearly", DATE(YEAR(L1087) + 1, MONTH(L1087), DAY(L1087)),
    TRUE, ""
)</f>
        <v/>
      </c>
      <c r="M1088" s="1853">
        <f>IF(ISERROR(L1088-L1087),0,L1088-L1087)</f>
        <v>0</v>
      </c>
      <c r="N1088" s="1851" cm="1">
        <f t="array" ref="N1088">_xlfn.IFS(
    AND(I1088=TRUE, K1088&lt;=No_Regular_Payments), Repay_Amt,
    AND(I1088=TRUE, K1088=No_Regular_Payments+1), Tm_Balloon_Amt,
   TRUE, 0
)</f>
        <v>0</v>
      </c>
      <c r="O1088" s="1850" cm="1">
        <f t="array" ref="O1088">_xlfn.IFS(
    M1088=0,0,
   ABS(N1088 - S1087 - P1088-Q1088) &lt; 1, N1088 - S1087-Q1088,
    TRUE, P1088
)</f>
        <v>0</v>
      </c>
      <c r="P1088" s="1852">
        <f>IF(M1088=0,0,ROUND(S1087*EXP(Int_Rate/365.25 * M1088)-S1087,2))</f>
        <v>0</v>
      </c>
      <c r="Q1088" s="1851" cm="1">
        <f t="array" ref="Q1088">_xlfn.IFS(
    AND(I1088=TRUE, K1088&lt;=No_Regular_Payments), Periodic_Admin_Charge,
   TRUE, 0
)</f>
        <v>0</v>
      </c>
      <c r="R1088" s="1850">
        <f>N1088-O1088-Q1088</f>
        <v>0</v>
      </c>
      <c r="S1088" s="1850">
        <f>ROUND(S1087-R1088,2)</f>
        <v>0</v>
      </c>
      <c r="T1088" s="1850">
        <f>ROUND(T1087-(N1088-Q1088),2)</f>
        <v>0</v>
      </c>
      <c r="U1088" s="1849"/>
      <c r="W1088" s="1848"/>
      <c r="X1088" s="1848"/>
      <c r="Y1088" s="1848"/>
    </row>
    <row r="1089" spans="2:25" hidden="1">
      <c r="B1089" s="1815" t="b">
        <f>AND(I1089=FALSE,N1088=0,Q1088=0,L1088="")</f>
        <v>1</v>
      </c>
      <c r="C1089" s="1844" t="str" cm="1">
        <f t="array" ref="C1089">_xlfn.IFS(
    L1089="", "",
    MONTH(L1089) &lt;= End_of_Year_Month, YEAR(L1089),
    TRUE, YEAR(L1089) + 1
)</f>
        <v/>
      </c>
      <c r="F1089" s="1857">
        <f>IF(L1089="",0,L1089)</f>
        <v>0</v>
      </c>
      <c r="G1089" s="1856">
        <f>-(N1089-Q1089)</f>
        <v>0</v>
      </c>
      <c r="I1089" s="1815" t="b">
        <f>K1089&lt;=Number_Payments</f>
        <v>0</v>
      </c>
      <c r="J1089" s="1855"/>
      <c r="K1089" s="1351">
        <f>K1088+1</f>
        <v>963</v>
      </c>
      <c r="L1089" s="1854" t="str" cm="1">
        <f t="array" ref="L1089">_xlfn.IFS(
    I1088=FALSE, "",
    Payment_Frequency="Monthly", EDATE(L1088, 1),
    Payment_Frequency="Weekly", DATE(YEAR(L1088), MONTH(L1088), DAY(L1088) + 7),
    Payment_Frequency="Fortnightly", DATE(YEAR(L1088), MONTH(L1088), DAY(L1088) + 14),
    Payment_Frequency="Quarterly", DATE(YEAR(L1088), MONTH(L1088) + 3, DAY(L1088)),
    Payment_Frequency="Yearly", DATE(YEAR(L1088) + 1, MONTH(L1088), DAY(L1088)),
    TRUE, ""
)</f>
        <v/>
      </c>
      <c r="M1089" s="1853">
        <f>IF(ISERROR(L1089-L1088),0,L1089-L1088)</f>
        <v>0</v>
      </c>
      <c r="N1089" s="1851" cm="1">
        <f t="array" ref="N1089">_xlfn.IFS(
    AND(I1089=TRUE, K1089&lt;=No_Regular_Payments), Repay_Amt,
    AND(I1089=TRUE, K1089=No_Regular_Payments+1), Tm_Balloon_Amt,
   TRUE, 0
)</f>
        <v>0</v>
      </c>
      <c r="O1089" s="1850" cm="1">
        <f t="array" ref="O1089">_xlfn.IFS(
    M1089=0,0,
   ABS(N1089 - S1088 - P1089-Q1089) &lt; 1, N1089 - S1088-Q1089,
    TRUE, P1089
)</f>
        <v>0</v>
      </c>
      <c r="P1089" s="1852">
        <f>IF(M1089=0,0,ROUND(S1088*EXP(Int_Rate/365.25 * M1089)-S1088,2))</f>
        <v>0</v>
      </c>
      <c r="Q1089" s="1851" cm="1">
        <f t="array" ref="Q1089">_xlfn.IFS(
    AND(I1089=TRUE, K1089&lt;=No_Regular_Payments), Periodic_Admin_Charge,
   TRUE, 0
)</f>
        <v>0</v>
      </c>
      <c r="R1089" s="1850">
        <f>N1089-O1089-Q1089</f>
        <v>0</v>
      </c>
      <c r="S1089" s="1850">
        <f>ROUND(S1088-R1089,2)</f>
        <v>0</v>
      </c>
      <c r="T1089" s="1850">
        <f>ROUND(T1088-(N1089-Q1089),2)</f>
        <v>0</v>
      </c>
      <c r="U1089" s="1849"/>
      <c r="W1089" s="1848"/>
      <c r="X1089" s="1848"/>
      <c r="Y1089" s="1848"/>
    </row>
    <row r="1090" spans="2:25" hidden="1">
      <c r="B1090" s="1815" t="b">
        <f>AND(I1090=FALSE,N1089=0,Q1089=0,L1089="")</f>
        <v>1</v>
      </c>
      <c r="C1090" s="1844" t="str" cm="1">
        <f t="array" ref="C1090">_xlfn.IFS(
    L1090="", "",
    MONTH(L1090) &lt;= End_of_Year_Month, YEAR(L1090),
    TRUE, YEAR(L1090) + 1
)</f>
        <v/>
      </c>
      <c r="F1090" s="1857">
        <f>IF(L1090="",0,L1090)</f>
        <v>0</v>
      </c>
      <c r="G1090" s="1856">
        <f>-(N1090-Q1090)</f>
        <v>0</v>
      </c>
      <c r="I1090" s="1815" t="b">
        <f>K1090&lt;=Number_Payments</f>
        <v>0</v>
      </c>
      <c r="J1090" s="1855"/>
      <c r="K1090" s="1351">
        <f>K1089+1</f>
        <v>964</v>
      </c>
      <c r="L1090" s="1854" t="str" cm="1">
        <f t="array" ref="L1090">_xlfn.IFS(
    I1089=FALSE, "",
    Payment_Frequency="Monthly", EDATE(L1089, 1),
    Payment_Frequency="Weekly", DATE(YEAR(L1089), MONTH(L1089), DAY(L1089) + 7),
    Payment_Frequency="Fortnightly", DATE(YEAR(L1089), MONTH(L1089), DAY(L1089) + 14),
    Payment_Frequency="Quarterly", DATE(YEAR(L1089), MONTH(L1089) + 3, DAY(L1089)),
    Payment_Frequency="Yearly", DATE(YEAR(L1089) + 1, MONTH(L1089), DAY(L1089)),
    TRUE, ""
)</f>
        <v/>
      </c>
      <c r="M1090" s="1853">
        <f>IF(ISERROR(L1090-L1089),0,L1090-L1089)</f>
        <v>0</v>
      </c>
      <c r="N1090" s="1851" cm="1">
        <f t="array" ref="N1090">_xlfn.IFS(
    AND(I1090=TRUE, K1090&lt;=No_Regular_Payments), Repay_Amt,
    AND(I1090=TRUE, K1090=No_Regular_Payments+1), Tm_Balloon_Amt,
   TRUE, 0
)</f>
        <v>0</v>
      </c>
      <c r="O1090" s="1850" cm="1">
        <f t="array" ref="O1090">_xlfn.IFS(
    M1090=0,0,
   ABS(N1090 - S1089 - P1090-Q1090) &lt; 1, N1090 - S1089-Q1090,
    TRUE, P1090
)</f>
        <v>0</v>
      </c>
      <c r="P1090" s="1852">
        <f>IF(M1090=0,0,ROUND(S1089*EXP(Int_Rate/365.25 * M1090)-S1089,2))</f>
        <v>0</v>
      </c>
      <c r="Q1090" s="1851" cm="1">
        <f t="array" ref="Q1090">_xlfn.IFS(
    AND(I1090=TRUE, K1090&lt;=No_Regular_Payments), Periodic_Admin_Charge,
   TRUE, 0
)</f>
        <v>0</v>
      </c>
      <c r="R1090" s="1850">
        <f>N1090-O1090-Q1090</f>
        <v>0</v>
      </c>
      <c r="S1090" s="1850">
        <f>ROUND(S1089-R1090,2)</f>
        <v>0</v>
      </c>
      <c r="T1090" s="1850">
        <f>ROUND(T1089-(N1090-Q1090),2)</f>
        <v>0</v>
      </c>
      <c r="U1090" s="1849"/>
      <c r="W1090" s="1848"/>
      <c r="X1090" s="1848"/>
      <c r="Y1090" s="1848"/>
    </row>
    <row r="1091" spans="2:25" hidden="1">
      <c r="B1091" s="1815" t="b">
        <f>AND(I1091=FALSE,N1090=0,Q1090=0,L1090="")</f>
        <v>1</v>
      </c>
      <c r="C1091" s="1844" t="str" cm="1">
        <f t="array" ref="C1091">_xlfn.IFS(
    L1091="", "",
    MONTH(L1091) &lt;= End_of_Year_Month, YEAR(L1091),
    TRUE, YEAR(L1091) + 1
)</f>
        <v/>
      </c>
      <c r="F1091" s="1857">
        <f>IF(L1091="",0,L1091)</f>
        <v>0</v>
      </c>
      <c r="G1091" s="1856">
        <f>-(N1091-Q1091)</f>
        <v>0</v>
      </c>
      <c r="I1091" s="1815" t="b">
        <f>K1091&lt;=Number_Payments</f>
        <v>0</v>
      </c>
      <c r="J1091" s="1855"/>
      <c r="K1091" s="1351">
        <f>K1090+1</f>
        <v>965</v>
      </c>
      <c r="L1091" s="1854" t="str" cm="1">
        <f t="array" ref="L1091">_xlfn.IFS(
    I1090=FALSE, "",
    Payment_Frequency="Monthly", EDATE(L1090, 1),
    Payment_Frequency="Weekly", DATE(YEAR(L1090), MONTH(L1090), DAY(L1090) + 7),
    Payment_Frequency="Fortnightly", DATE(YEAR(L1090), MONTH(L1090), DAY(L1090) + 14),
    Payment_Frequency="Quarterly", DATE(YEAR(L1090), MONTH(L1090) + 3, DAY(L1090)),
    Payment_Frequency="Yearly", DATE(YEAR(L1090) + 1, MONTH(L1090), DAY(L1090)),
    TRUE, ""
)</f>
        <v/>
      </c>
      <c r="M1091" s="1853">
        <f>IF(ISERROR(L1091-L1090),0,L1091-L1090)</f>
        <v>0</v>
      </c>
      <c r="N1091" s="1851" cm="1">
        <f t="array" ref="N1091">_xlfn.IFS(
    AND(I1091=TRUE, K1091&lt;=No_Regular_Payments), Repay_Amt,
    AND(I1091=TRUE, K1091=No_Regular_Payments+1), Tm_Balloon_Amt,
   TRUE, 0
)</f>
        <v>0</v>
      </c>
      <c r="O1091" s="1850" cm="1">
        <f t="array" ref="O1091">_xlfn.IFS(
    M1091=0,0,
   ABS(N1091 - S1090 - P1091-Q1091) &lt; 1, N1091 - S1090-Q1091,
    TRUE, P1091
)</f>
        <v>0</v>
      </c>
      <c r="P1091" s="1852">
        <f>IF(M1091=0,0,ROUND(S1090*EXP(Int_Rate/365.25 * M1091)-S1090,2))</f>
        <v>0</v>
      </c>
      <c r="Q1091" s="1851" cm="1">
        <f t="array" ref="Q1091">_xlfn.IFS(
    AND(I1091=TRUE, K1091&lt;=No_Regular_Payments), Periodic_Admin_Charge,
   TRUE, 0
)</f>
        <v>0</v>
      </c>
      <c r="R1091" s="1850">
        <f>N1091-O1091-Q1091</f>
        <v>0</v>
      </c>
      <c r="S1091" s="1850">
        <f>ROUND(S1090-R1091,2)</f>
        <v>0</v>
      </c>
      <c r="T1091" s="1850">
        <f>ROUND(T1090-(N1091-Q1091),2)</f>
        <v>0</v>
      </c>
      <c r="U1091" s="1849"/>
      <c r="W1091" s="1848"/>
      <c r="X1091" s="1848"/>
      <c r="Y1091" s="1848"/>
    </row>
    <row r="1092" spans="2:25" hidden="1">
      <c r="B1092" s="1815" t="b">
        <f>AND(I1092=FALSE,N1091=0,Q1091=0,L1091="")</f>
        <v>1</v>
      </c>
      <c r="C1092" s="1844" t="str" cm="1">
        <f t="array" ref="C1092">_xlfn.IFS(
    L1092="", "",
    MONTH(L1092) &lt;= End_of_Year_Month, YEAR(L1092),
    TRUE, YEAR(L1092) + 1
)</f>
        <v/>
      </c>
      <c r="F1092" s="1857">
        <f>IF(L1092="",0,L1092)</f>
        <v>0</v>
      </c>
      <c r="G1092" s="1856">
        <f>-(N1092-Q1092)</f>
        <v>0</v>
      </c>
      <c r="I1092" s="1815" t="b">
        <f>K1092&lt;=Number_Payments</f>
        <v>0</v>
      </c>
      <c r="J1092" s="1855"/>
      <c r="K1092" s="1351">
        <f>K1091+1</f>
        <v>966</v>
      </c>
      <c r="L1092" s="1854" t="str" cm="1">
        <f t="array" ref="L1092">_xlfn.IFS(
    I1091=FALSE, "",
    Payment_Frequency="Monthly", EDATE(L1091, 1),
    Payment_Frequency="Weekly", DATE(YEAR(L1091), MONTH(L1091), DAY(L1091) + 7),
    Payment_Frequency="Fortnightly", DATE(YEAR(L1091), MONTH(L1091), DAY(L1091) + 14),
    Payment_Frequency="Quarterly", DATE(YEAR(L1091), MONTH(L1091) + 3, DAY(L1091)),
    Payment_Frequency="Yearly", DATE(YEAR(L1091) + 1, MONTH(L1091), DAY(L1091)),
    TRUE, ""
)</f>
        <v/>
      </c>
      <c r="M1092" s="1853">
        <f>IF(ISERROR(L1092-L1091),0,L1092-L1091)</f>
        <v>0</v>
      </c>
      <c r="N1092" s="1851" cm="1">
        <f t="array" ref="N1092">_xlfn.IFS(
    AND(I1092=TRUE, K1092&lt;=No_Regular_Payments), Repay_Amt,
    AND(I1092=TRUE, K1092=No_Regular_Payments+1), Tm_Balloon_Amt,
   TRUE, 0
)</f>
        <v>0</v>
      </c>
      <c r="O1092" s="1850" cm="1">
        <f t="array" ref="O1092">_xlfn.IFS(
    M1092=0,0,
   ABS(N1092 - S1091 - P1092-Q1092) &lt; 1, N1092 - S1091-Q1092,
    TRUE, P1092
)</f>
        <v>0</v>
      </c>
      <c r="P1092" s="1852">
        <f>IF(M1092=0,0,ROUND(S1091*EXP(Int_Rate/365.25 * M1092)-S1091,2))</f>
        <v>0</v>
      </c>
      <c r="Q1092" s="1851" cm="1">
        <f t="array" ref="Q1092">_xlfn.IFS(
    AND(I1092=TRUE, K1092&lt;=No_Regular_Payments), Periodic_Admin_Charge,
   TRUE, 0
)</f>
        <v>0</v>
      </c>
      <c r="R1092" s="1850">
        <f>N1092-O1092-Q1092</f>
        <v>0</v>
      </c>
      <c r="S1092" s="1850">
        <f>ROUND(S1091-R1092,2)</f>
        <v>0</v>
      </c>
      <c r="T1092" s="1850">
        <f>ROUND(T1091-(N1092-Q1092),2)</f>
        <v>0</v>
      </c>
      <c r="U1092" s="1849"/>
      <c r="W1092" s="1848"/>
      <c r="X1092" s="1848"/>
      <c r="Y1092" s="1848"/>
    </row>
    <row r="1093" spans="2:25" hidden="1">
      <c r="B1093" s="1815" t="b">
        <f>AND(I1093=FALSE,N1092=0,Q1092=0,L1092="")</f>
        <v>1</v>
      </c>
      <c r="C1093" s="1844" t="str" cm="1">
        <f t="array" ref="C1093">_xlfn.IFS(
    L1093="", "",
    MONTH(L1093) &lt;= End_of_Year_Month, YEAR(L1093),
    TRUE, YEAR(L1093) + 1
)</f>
        <v/>
      </c>
      <c r="F1093" s="1857">
        <f>IF(L1093="",0,L1093)</f>
        <v>0</v>
      </c>
      <c r="G1093" s="1856">
        <f>-(N1093-Q1093)</f>
        <v>0</v>
      </c>
      <c r="I1093" s="1815" t="b">
        <f>K1093&lt;=Number_Payments</f>
        <v>0</v>
      </c>
      <c r="J1093" s="1855"/>
      <c r="K1093" s="1351">
        <f>K1092+1</f>
        <v>967</v>
      </c>
      <c r="L1093" s="1854" t="str" cm="1">
        <f t="array" ref="L1093">_xlfn.IFS(
    I1092=FALSE, "",
    Payment_Frequency="Monthly", EDATE(L1092, 1),
    Payment_Frequency="Weekly", DATE(YEAR(L1092), MONTH(L1092), DAY(L1092) + 7),
    Payment_Frequency="Fortnightly", DATE(YEAR(L1092), MONTH(L1092), DAY(L1092) + 14),
    Payment_Frequency="Quarterly", DATE(YEAR(L1092), MONTH(L1092) + 3, DAY(L1092)),
    Payment_Frequency="Yearly", DATE(YEAR(L1092) + 1, MONTH(L1092), DAY(L1092)),
    TRUE, ""
)</f>
        <v/>
      </c>
      <c r="M1093" s="1853">
        <f>IF(ISERROR(L1093-L1092),0,L1093-L1092)</f>
        <v>0</v>
      </c>
      <c r="N1093" s="1851" cm="1">
        <f t="array" ref="N1093">_xlfn.IFS(
    AND(I1093=TRUE, K1093&lt;=No_Regular_Payments), Repay_Amt,
    AND(I1093=TRUE, K1093=No_Regular_Payments+1), Tm_Balloon_Amt,
   TRUE, 0
)</f>
        <v>0</v>
      </c>
      <c r="O1093" s="1850" cm="1">
        <f t="array" ref="O1093">_xlfn.IFS(
    M1093=0,0,
   ABS(N1093 - S1092 - P1093-Q1093) &lt; 1, N1093 - S1092-Q1093,
    TRUE, P1093
)</f>
        <v>0</v>
      </c>
      <c r="P1093" s="1852">
        <f>IF(M1093=0,0,ROUND(S1092*EXP(Int_Rate/365.25 * M1093)-S1092,2))</f>
        <v>0</v>
      </c>
      <c r="Q1093" s="1851" cm="1">
        <f t="array" ref="Q1093">_xlfn.IFS(
    AND(I1093=TRUE, K1093&lt;=No_Regular_Payments), Periodic_Admin_Charge,
   TRUE, 0
)</f>
        <v>0</v>
      </c>
      <c r="R1093" s="1850">
        <f>N1093-O1093-Q1093</f>
        <v>0</v>
      </c>
      <c r="S1093" s="1850">
        <f>ROUND(S1092-R1093,2)</f>
        <v>0</v>
      </c>
      <c r="T1093" s="1850">
        <f>ROUND(T1092-(N1093-Q1093),2)</f>
        <v>0</v>
      </c>
      <c r="U1093" s="1849"/>
      <c r="W1093" s="1848"/>
      <c r="X1093" s="1848"/>
      <c r="Y1093" s="1848"/>
    </row>
    <row r="1094" spans="2:25" hidden="1">
      <c r="B1094" s="1815" t="b">
        <f>AND(I1094=FALSE,N1093=0,Q1093=0,L1093="")</f>
        <v>1</v>
      </c>
      <c r="C1094" s="1844" t="str" cm="1">
        <f t="array" ref="C1094">_xlfn.IFS(
    L1094="", "",
    MONTH(L1094) &lt;= End_of_Year_Month, YEAR(L1094),
    TRUE, YEAR(L1094) + 1
)</f>
        <v/>
      </c>
      <c r="F1094" s="1857">
        <f>IF(L1094="",0,L1094)</f>
        <v>0</v>
      </c>
      <c r="G1094" s="1856">
        <f>-(N1094-Q1094)</f>
        <v>0</v>
      </c>
      <c r="I1094" s="1815" t="b">
        <f>K1094&lt;=Number_Payments</f>
        <v>0</v>
      </c>
      <c r="J1094" s="1855"/>
      <c r="K1094" s="1351">
        <f>K1093+1</f>
        <v>968</v>
      </c>
      <c r="L1094" s="1854" t="str" cm="1">
        <f t="array" ref="L1094">_xlfn.IFS(
    I1093=FALSE, "",
    Payment_Frequency="Monthly", EDATE(L1093, 1),
    Payment_Frequency="Weekly", DATE(YEAR(L1093), MONTH(L1093), DAY(L1093) + 7),
    Payment_Frequency="Fortnightly", DATE(YEAR(L1093), MONTH(L1093), DAY(L1093) + 14),
    Payment_Frequency="Quarterly", DATE(YEAR(L1093), MONTH(L1093) + 3, DAY(L1093)),
    Payment_Frequency="Yearly", DATE(YEAR(L1093) + 1, MONTH(L1093), DAY(L1093)),
    TRUE, ""
)</f>
        <v/>
      </c>
      <c r="M1094" s="1853">
        <f>IF(ISERROR(L1094-L1093),0,L1094-L1093)</f>
        <v>0</v>
      </c>
      <c r="N1094" s="1851" cm="1">
        <f t="array" ref="N1094">_xlfn.IFS(
    AND(I1094=TRUE, K1094&lt;=No_Regular_Payments), Repay_Amt,
    AND(I1094=TRUE, K1094=No_Regular_Payments+1), Tm_Balloon_Amt,
   TRUE, 0
)</f>
        <v>0</v>
      </c>
      <c r="O1094" s="1850" cm="1">
        <f t="array" ref="O1094">_xlfn.IFS(
    M1094=0,0,
   ABS(N1094 - S1093 - P1094-Q1094) &lt; 1, N1094 - S1093-Q1094,
    TRUE, P1094
)</f>
        <v>0</v>
      </c>
      <c r="P1094" s="1852">
        <f>IF(M1094=0,0,ROUND(S1093*EXP(Int_Rate/365.25 * M1094)-S1093,2))</f>
        <v>0</v>
      </c>
      <c r="Q1094" s="1851" cm="1">
        <f t="array" ref="Q1094">_xlfn.IFS(
    AND(I1094=TRUE, K1094&lt;=No_Regular_Payments), Periodic_Admin_Charge,
   TRUE, 0
)</f>
        <v>0</v>
      </c>
      <c r="R1094" s="1850">
        <f>N1094-O1094-Q1094</f>
        <v>0</v>
      </c>
      <c r="S1094" s="1850">
        <f>ROUND(S1093-R1094,2)</f>
        <v>0</v>
      </c>
      <c r="T1094" s="1850">
        <f>ROUND(T1093-(N1094-Q1094),2)</f>
        <v>0</v>
      </c>
      <c r="U1094" s="1849"/>
      <c r="W1094" s="1848"/>
      <c r="X1094" s="1848"/>
      <c r="Y1094" s="1848"/>
    </row>
    <row r="1095" spans="2:25" hidden="1">
      <c r="B1095" s="1815" t="b">
        <f>AND(I1095=FALSE,N1094=0,Q1094=0,L1094="")</f>
        <v>1</v>
      </c>
      <c r="C1095" s="1844" t="str" cm="1">
        <f t="array" ref="C1095">_xlfn.IFS(
    L1095="", "",
    MONTH(L1095) &lt;= End_of_Year_Month, YEAR(L1095),
    TRUE, YEAR(L1095) + 1
)</f>
        <v/>
      </c>
      <c r="F1095" s="1857">
        <f>IF(L1095="",0,L1095)</f>
        <v>0</v>
      </c>
      <c r="G1095" s="1856">
        <f>-(N1095-Q1095)</f>
        <v>0</v>
      </c>
      <c r="I1095" s="1815" t="b">
        <f>K1095&lt;=Number_Payments</f>
        <v>0</v>
      </c>
      <c r="J1095" s="1855"/>
      <c r="K1095" s="1351">
        <f>K1094+1</f>
        <v>969</v>
      </c>
      <c r="L1095" s="1854" t="str" cm="1">
        <f t="array" ref="L1095">_xlfn.IFS(
    I1094=FALSE, "",
    Payment_Frequency="Monthly", EDATE(L1094, 1),
    Payment_Frequency="Weekly", DATE(YEAR(L1094), MONTH(L1094), DAY(L1094) + 7),
    Payment_Frequency="Fortnightly", DATE(YEAR(L1094), MONTH(L1094), DAY(L1094) + 14),
    Payment_Frequency="Quarterly", DATE(YEAR(L1094), MONTH(L1094) + 3, DAY(L1094)),
    Payment_Frequency="Yearly", DATE(YEAR(L1094) + 1, MONTH(L1094), DAY(L1094)),
    TRUE, ""
)</f>
        <v/>
      </c>
      <c r="M1095" s="1853">
        <f>IF(ISERROR(L1095-L1094),0,L1095-L1094)</f>
        <v>0</v>
      </c>
      <c r="N1095" s="1851" cm="1">
        <f t="array" ref="N1095">_xlfn.IFS(
    AND(I1095=TRUE, K1095&lt;=No_Regular_Payments), Repay_Amt,
    AND(I1095=TRUE, K1095=No_Regular_Payments+1), Tm_Balloon_Amt,
   TRUE, 0
)</f>
        <v>0</v>
      </c>
      <c r="O1095" s="1850" cm="1">
        <f t="array" ref="O1095">_xlfn.IFS(
    M1095=0,0,
   ABS(N1095 - S1094 - P1095-Q1095) &lt; 1, N1095 - S1094-Q1095,
    TRUE, P1095
)</f>
        <v>0</v>
      </c>
      <c r="P1095" s="1852">
        <f>IF(M1095=0,0,ROUND(S1094*EXP(Int_Rate/365.25 * M1095)-S1094,2))</f>
        <v>0</v>
      </c>
      <c r="Q1095" s="1851" cm="1">
        <f t="array" ref="Q1095">_xlfn.IFS(
    AND(I1095=TRUE, K1095&lt;=No_Regular_Payments), Periodic_Admin_Charge,
   TRUE, 0
)</f>
        <v>0</v>
      </c>
      <c r="R1095" s="1850">
        <f>N1095-O1095-Q1095</f>
        <v>0</v>
      </c>
      <c r="S1095" s="1850">
        <f>ROUND(S1094-R1095,2)</f>
        <v>0</v>
      </c>
      <c r="T1095" s="1850">
        <f>ROUND(T1094-(N1095-Q1095),2)</f>
        <v>0</v>
      </c>
      <c r="U1095" s="1849"/>
      <c r="W1095" s="1848"/>
      <c r="X1095" s="1848"/>
      <c r="Y1095" s="1848"/>
    </row>
    <row r="1096" spans="2:25" hidden="1">
      <c r="B1096" s="1815" t="b">
        <f>AND(I1096=FALSE,N1095=0,Q1095=0,L1095="")</f>
        <v>1</v>
      </c>
      <c r="C1096" s="1844" t="str" cm="1">
        <f t="array" ref="C1096">_xlfn.IFS(
    L1096="", "",
    MONTH(L1096) &lt;= End_of_Year_Month, YEAR(L1096),
    TRUE, YEAR(L1096) + 1
)</f>
        <v/>
      </c>
      <c r="F1096" s="1857">
        <f>IF(L1096="",0,L1096)</f>
        <v>0</v>
      </c>
      <c r="G1096" s="1856">
        <f>-(N1096-Q1096)</f>
        <v>0</v>
      </c>
      <c r="I1096" s="1815" t="b">
        <f>K1096&lt;=Number_Payments</f>
        <v>0</v>
      </c>
      <c r="J1096" s="1855"/>
      <c r="K1096" s="1351">
        <f>K1095+1</f>
        <v>970</v>
      </c>
      <c r="L1096" s="1854" t="str" cm="1">
        <f t="array" ref="L1096">_xlfn.IFS(
    I1095=FALSE, "",
    Payment_Frequency="Monthly", EDATE(L1095, 1),
    Payment_Frequency="Weekly", DATE(YEAR(L1095), MONTH(L1095), DAY(L1095) + 7),
    Payment_Frequency="Fortnightly", DATE(YEAR(L1095), MONTH(L1095), DAY(L1095) + 14),
    Payment_Frequency="Quarterly", DATE(YEAR(L1095), MONTH(L1095) + 3, DAY(L1095)),
    Payment_Frequency="Yearly", DATE(YEAR(L1095) + 1, MONTH(L1095), DAY(L1095)),
    TRUE, ""
)</f>
        <v/>
      </c>
      <c r="M1096" s="1853">
        <f>IF(ISERROR(L1096-L1095),0,L1096-L1095)</f>
        <v>0</v>
      </c>
      <c r="N1096" s="1851" cm="1">
        <f t="array" ref="N1096">_xlfn.IFS(
    AND(I1096=TRUE, K1096&lt;=No_Regular_Payments), Repay_Amt,
    AND(I1096=TRUE, K1096=No_Regular_Payments+1), Tm_Balloon_Amt,
   TRUE, 0
)</f>
        <v>0</v>
      </c>
      <c r="O1096" s="1850" cm="1">
        <f t="array" ref="O1096">_xlfn.IFS(
    M1096=0,0,
   ABS(N1096 - S1095 - P1096-Q1096) &lt; 1, N1096 - S1095-Q1096,
    TRUE, P1096
)</f>
        <v>0</v>
      </c>
      <c r="P1096" s="1852">
        <f>IF(M1096=0,0,ROUND(S1095*EXP(Int_Rate/365.25 * M1096)-S1095,2))</f>
        <v>0</v>
      </c>
      <c r="Q1096" s="1851" cm="1">
        <f t="array" ref="Q1096">_xlfn.IFS(
    AND(I1096=TRUE, K1096&lt;=No_Regular_Payments), Periodic_Admin_Charge,
   TRUE, 0
)</f>
        <v>0</v>
      </c>
      <c r="R1096" s="1850">
        <f>N1096-O1096-Q1096</f>
        <v>0</v>
      </c>
      <c r="S1096" s="1850">
        <f>ROUND(S1095-R1096,2)</f>
        <v>0</v>
      </c>
      <c r="T1096" s="1850">
        <f>ROUND(T1095-(N1096-Q1096),2)</f>
        <v>0</v>
      </c>
      <c r="U1096" s="1849"/>
      <c r="W1096" s="1848"/>
      <c r="X1096" s="1848"/>
      <c r="Y1096" s="1848"/>
    </row>
    <row r="1097" spans="2:25" hidden="1">
      <c r="B1097" s="1815" t="b">
        <f>AND(I1097=FALSE,N1096=0,Q1096=0,L1096="")</f>
        <v>1</v>
      </c>
      <c r="C1097" s="1844" t="str" cm="1">
        <f t="array" ref="C1097">_xlfn.IFS(
    L1097="", "",
    MONTH(L1097) &lt;= End_of_Year_Month, YEAR(L1097),
    TRUE, YEAR(L1097) + 1
)</f>
        <v/>
      </c>
      <c r="F1097" s="1857">
        <f>IF(L1097="",0,L1097)</f>
        <v>0</v>
      </c>
      <c r="G1097" s="1856">
        <f>-(N1097-Q1097)</f>
        <v>0</v>
      </c>
      <c r="I1097" s="1815" t="b">
        <f>K1097&lt;=Number_Payments</f>
        <v>0</v>
      </c>
      <c r="J1097" s="1855"/>
      <c r="K1097" s="1351">
        <f>K1096+1</f>
        <v>971</v>
      </c>
      <c r="L1097" s="1854" t="str" cm="1">
        <f t="array" ref="L1097">_xlfn.IFS(
    I1096=FALSE, "",
    Payment_Frequency="Monthly", EDATE(L1096, 1),
    Payment_Frequency="Weekly", DATE(YEAR(L1096), MONTH(L1096), DAY(L1096) + 7),
    Payment_Frequency="Fortnightly", DATE(YEAR(L1096), MONTH(L1096), DAY(L1096) + 14),
    Payment_Frequency="Quarterly", DATE(YEAR(L1096), MONTH(L1096) + 3, DAY(L1096)),
    Payment_Frequency="Yearly", DATE(YEAR(L1096) + 1, MONTH(L1096), DAY(L1096)),
    TRUE, ""
)</f>
        <v/>
      </c>
      <c r="M1097" s="1853">
        <f>IF(ISERROR(L1097-L1096),0,L1097-L1096)</f>
        <v>0</v>
      </c>
      <c r="N1097" s="1851" cm="1">
        <f t="array" ref="N1097">_xlfn.IFS(
    AND(I1097=TRUE, K1097&lt;=No_Regular_Payments), Repay_Amt,
    AND(I1097=TRUE, K1097=No_Regular_Payments+1), Tm_Balloon_Amt,
   TRUE, 0
)</f>
        <v>0</v>
      </c>
      <c r="O1097" s="1850" cm="1">
        <f t="array" ref="O1097">_xlfn.IFS(
    M1097=0,0,
   ABS(N1097 - S1096 - P1097-Q1097) &lt; 1, N1097 - S1096-Q1097,
    TRUE, P1097
)</f>
        <v>0</v>
      </c>
      <c r="P1097" s="1852">
        <f>IF(M1097=0,0,ROUND(S1096*EXP(Int_Rate/365.25 * M1097)-S1096,2))</f>
        <v>0</v>
      </c>
      <c r="Q1097" s="1851" cm="1">
        <f t="array" ref="Q1097">_xlfn.IFS(
    AND(I1097=TRUE, K1097&lt;=No_Regular_Payments), Periodic_Admin_Charge,
   TRUE, 0
)</f>
        <v>0</v>
      </c>
      <c r="R1097" s="1850">
        <f>N1097-O1097-Q1097</f>
        <v>0</v>
      </c>
      <c r="S1097" s="1850">
        <f>ROUND(S1096-R1097,2)</f>
        <v>0</v>
      </c>
      <c r="T1097" s="1850">
        <f>ROUND(T1096-(N1097-Q1097),2)</f>
        <v>0</v>
      </c>
      <c r="U1097" s="1849"/>
      <c r="W1097" s="1848"/>
      <c r="X1097" s="1848"/>
      <c r="Y1097" s="1848"/>
    </row>
    <row r="1098" spans="2:25" hidden="1">
      <c r="B1098" s="1815" t="b">
        <f>AND(I1098=FALSE,N1097=0,Q1097=0,L1097="")</f>
        <v>1</v>
      </c>
      <c r="C1098" s="1844" t="str" cm="1">
        <f t="array" ref="C1098">_xlfn.IFS(
    L1098="", "",
    MONTH(L1098) &lt;= End_of_Year_Month, YEAR(L1098),
    TRUE, YEAR(L1098) + 1
)</f>
        <v/>
      </c>
      <c r="F1098" s="1857">
        <f>IF(L1098="",0,L1098)</f>
        <v>0</v>
      </c>
      <c r="G1098" s="1856">
        <f>-(N1098-Q1098)</f>
        <v>0</v>
      </c>
      <c r="I1098" s="1815" t="b">
        <f>K1098&lt;=Number_Payments</f>
        <v>0</v>
      </c>
      <c r="J1098" s="1855"/>
      <c r="K1098" s="1351">
        <f>K1097+1</f>
        <v>972</v>
      </c>
      <c r="L1098" s="1854" t="str" cm="1">
        <f t="array" ref="L1098">_xlfn.IFS(
    I1097=FALSE, "",
    Payment_Frequency="Monthly", EDATE(L1097, 1),
    Payment_Frequency="Weekly", DATE(YEAR(L1097), MONTH(L1097), DAY(L1097) + 7),
    Payment_Frequency="Fortnightly", DATE(YEAR(L1097), MONTH(L1097), DAY(L1097) + 14),
    Payment_Frequency="Quarterly", DATE(YEAR(L1097), MONTH(L1097) + 3, DAY(L1097)),
    Payment_Frequency="Yearly", DATE(YEAR(L1097) + 1, MONTH(L1097), DAY(L1097)),
    TRUE, ""
)</f>
        <v/>
      </c>
      <c r="M1098" s="1853">
        <f>IF(ISERROR(L1098-L1097),0,L1098-L1097)</f>
        <v>0</v>
      </c>
      <c r="N1098" s="1851" cm="1">
        <f t="array" ref="N1098">_xlfn.IFS(
    AND(I1098=TRUE, K1098&lt;=No_Regular_Payments), Repay_Amt,
    AND(I1098=TRUE, K1098=No_Regular_Payments+1), Tm_Balloon_Amt,
   TRUE, 0
)</f>
        <v>0</v>
      </c>
      <c r="O1098" s="1850" cm="1">
        <f t="array" ref="O1098">_xlfn.IFS(
    M1098=0,0,
   ABS(N1098 - S1097 - P1098-Q1098) &lt; 1, N1098 - S1097-Q1098,
    TRUE, P1098
)</f>
        <v>0</v>
      </c>
      <c r="P1098" s="1852">
        <f>IF(M1098=0,0,ROUND(S1097*EXP(Int_Rate/365.25 * M1098)-S1097,2))</f>
        <v>0</v>
      </c>
      <c r="Q1098" s="1851" cm="1">
        <f t="array" ref="Q1098">_xlfn.IFS(
    AND(I1098=TRUE, K1098&lt;=No_Regular_Payments), Periodic_Admin_Charge,
   TRUE, 0
)</f>
        <v>0</v>
      </c>
      <c r="R1098" s="1850">
        <f>N1098-O1098-Q1098</f>
        <v>0</v>
      </c>
      <c r="S1098" s="1850">
        <f>ROUND(S1097-R1098,2)</f>
        <v>0</v>
      </c>
      <c r="T1098" s="1850">
        <f>ROUND(T1097-(N1098-Q1098),2)</f>
        <v>0</v>
      </c>
      <c r="U1098" s="1849"/>
      <c r="W1098" s="1848"/>
      <c r="X1098" s="1848"/>
      <c r="Y1098" s="1848"/>
    </row>
    <row r="1099" spans="2:25" hidden="1">
      <c r="B1099" s="1815" t="b">
        <f>AND(I1099=FALSE,N1098=0,Q1098=0,L1098="")</f>
        <v>1</v>
      </c>
      <c r="C1099" s="1844" t="str" cm="1">
        <f t="array" ref="C1099">_xlfn.IFS(
    L1099="", "",
    MONTH(L1099) &lt;= End_of_Year_Month, YEAR(L1099),
    TRUE, YEAR(L1099) + 1
)</f>
        <v/>
      </c>
      <c r="F1099" s="1857">
        <f>IF(L1099="",0,L1099)</f>
        <v>0</v>
      </c>
      <c r="G1099" s="1856">
        <f>-(N1099-Q1099)</f>
        <v>0</v>
      </c>
      <c r="I1099" s="1815" t="b">
        <f>K1099&lt;=Number_Payments</f>
        <v>0</v>
      </c>
      <c r="J1099" s="1855"/>
      <c r="K1099" s="1351">
        <f>K1098+1</f>
        <v>973</v>
      </c>
      <c r="L1099" s="1854" t="str" cm="1">
        <f t="array" ref="L1099">_xlfn.IFS(
    I1098=FALSE, "",
    Payment_Frequency="Monthly", EDATE(L1098, 1),
    Payment_Frequency="Weekly", DATE(YEAR(L1098), MONTH(L1098), DAY(L1098) + 7),
    Payment_Frequency="Fortnightly", DATE(YEAR(L1098), MONTH(L1098), DAY(L1098) + 14),
    Payment_Frequency="Quarterly", DATE(YEAR(L1098), MONTH(L1098) + 3, DAY(L1098)),
    Payment_Frequency="Yearly", DATE(YEAR(L1098) + 1, MONTH(L1098), DAY(L1098)),
    TRUE, ""
)</f>
        <v/>
      </c>
      <c r="M1099" s="1853">
        <f>IF(ISERROR(L1099-L1098),0,L1099-L1098)</f>
        <v>0</v>
      </c>
      <c r="N1099" s="1851" cm="1">
        <f t="array" ref="N1099">_xlfn.IFS(
    AND(I1099=TRUE, K1099&lt;=No_Regular_Payments), Repay_Amt,
    AND(I1099=TRUE, K1099=No_Regular_Payments+1), Tm_Balloon_Amt,
   TRUE, 0
)</f>
        <v>0</v>
      </c>
      <c r="O1099" s="1850" cm="1">
        <f t="array" ref="O1099">_xlfn.IFS(
    M1099=0,0,
   ABS(N1099 - S1098 - P1099-Q1099) &lt; 1, N1099 - S1098-Q1099,
    TRUE, P1099
)</f>
        <v>0</v>
      </c>
      <c r="P1099" s="1852">
        <f>IF(M1099=0,0,ROUND(S1098*EXP(Int_Rate/365.25 * M1099)-S1098,2))</f>
        <v>0</v>
      </c>
      <c r="Q1099" s="1851" cm="1">
        <f t="array" ref="Q1099">_xlfn.IFS(
    AND(I1099=TRUE, K1099&lt;=No_Regular_Payments), Periodic_Admin_Charge,
   TRUE, 0
)</f>
        <v>0</v>
      </c>
      <c r="R1099" s="1850">
        <f>N1099-O1099-Q1099</f>
        <v>0</v>
      </c>
      <c r="S1099" s="1850">
        <f>ROUND(S1098-R1099,2)</f>
        <v>0</v>
      </c>
      <c r="T1099" s="1850">
        <f>ROUND(T1098-(N1099-Q1099),2)</f>
        <v>0</v>
      </c>
      <c r="U1099" s="1849"/>
      <c r="W1099" s="1848"/>
      <c r="X1099" s="1848"/>
      <c r="Y1099" s="1848"/>
    </row>
    <row r="1100" spans="2:25" hidden="1">
      <c r="B1100" s="1815" t="b">
        <f>AND(I1100=FALSE,N1099=0,Q1099=0,L1099="")</f>
        <v>1</v>
      </c>
      <c r="C1100" s="1844" t="str" cm="1">
        <f t="array" ref="C1100">_xlfn.IFS(
    L1100="", "",
    MONTH(L1100) &lt;= End_of_Year_Month, YEAR(L1100),
    TRUE, YEAR(L1100) + 1
)</f>
        <v/>
      </c>
      <c r="F1100" s="1857">
        <f>IF(L1100="",0,L1100)</f>
        <v>0</v>
      </c>
      <c r="G1100" s="1856">
        <f>-(N1100-Q1100)</f>
        <v>0</v>
      </c>
      <c r="I1100" s="1815" t="b">
        <f>K1100&lt;=Number_Payments</f>
        <v>0</v>
      </c>
      <c r="J1100" s="1855"/>
      <c r="K1100" s="1351">
        <f>K1099+1</f>
        <v>974</v>
      </c>
      <c r="L1100" s="1854" t="str" cm="1">
        <f t="array" ref="L1100">_xlfn.IFS(
    I1099=FALSE, "",
    Payment_Frequency="Monthly", EDATE(L1099, 1),
    Payment_Frequency="Weekly", DATE(YEAR(L1099), MONTH(L1099), DAY(L1099) + 7),
    Payment_Frequency="Fortnightly", DATE(YEAR(L1099), MONTH(L1099), DAY(L1099) + 14),
    Payment_Frequency="Quarterly", DATE(YEAR(L1099), MONTH(L1099) + 3, DAY(L1099)),
    Payment_Frequency="Yearly", DATE(YEAR(L1099) + 1, MONTH(L1099), DAY(L1099)),
    TRUE, ""
)</f>
        <v/>
      </c>
      <c r="M1100" s="1853">
        <f>IF(ISERROR(L1100-L1099),0,L1100-L1099)</f>
        <v>0</v>
      </c>
      <c r="N1100" s="1851" cm="1">
        <f t="array" ref="N1100">_xlfn.IFS(
    AND(I1100=TRUE, K1100&lt;=No_Regular_Payments), Repay_Amt,
    AND(I1100=TRUE, K1100=No_Regular_Payments+1), Tm_Balloon_Amt,
   TRUE, 0
)</f>
        <v>0</v>
      </c>
      <c r="O1100" s="1850" cm="1">
        <f t="array" ref="O1100">_xlfn.IFS(
    M1100=0,0,
   ABS(N1100 - S1099 - P1100-Q1100) &lt; 1, N1100 - S1099-Q1100,
    TRUE, P1100
)</f>
        <v>0</v>
      </c>
      <c r="P1100" s="1852">
        <f>IF(M1100=0,0,ROUND(S1099*EXP(Int_Rate/365.25 * M1100)-S1099,2))</f>
        <v>0</v>
      </c>
      <c r="Q1100" s="1851" cm="1">
        <f t="array" ref="Q1100">_xlfn.IFS(
    AND(I1100=TRUE, K1100&lt;=No_Regular_Payments), Periodic_Admin_Charge,
   TRUE, 0
)</f>
        <v>0</v>
      </c>
      <c r="R1100" s="1850">
        <f>N1100-O1100-Q1100</f>
        <v>0</v>
      </c>
      <c r="S1100" s="1850">
        <f>ROUND(S1099-R1100,2)</f>
        <v>0</v>
      </c>
      <c r="T1100" s="1850">
        <f>ROUND(T1099-(N1100-Q1100),2)</f>
        <v>0</v>
      </c>
      <c r="U1100" s="1849"/>
      <c r="W1100" s="1848"/>
      <c r="X1100" s="1848"/>
      <c r="Y1100" s="1848"/>
    </row>
    <row r="1101" spans="2:25" hidden="1">
      <c r="B1101" s="1815" t="b">
        <f>AND(I1101=FALSE,N1100=0,Q1100=0,L1100="")</f>
        <v>1</v>
      </c>
      <c r="C1101" s="1844" t="str" cm="1">
        <f t="array" ref="C1101">_xlfn.IFS(
    L1101="", "",
    MONTH(L1101) &lt;= End_of_Year_Month, YEAR(L1101),
    TRUE, YEAR(L1101) + 1
)</f>
        <v/>
      </c>
      <c r="F1101" s="1857">
        <f>IF(L1101="",0,L1101)</f>
        <v>0</v>
      </c>
      <c r="G1101" s="1856">
        <f>-(N1101-Q1101)</f>
        <v>0</v>
      </c>
      <c r="I1101" s="1815" t="b">
        <f>K1101&lt;=Number_Payments</f>
        <v>0</v>
      </c>
      <c r="J1101" s="1855"/>
      <c r="K1101" s="1351">
        <f>K1100+1</f>
        <v>975</v>
      </c>
      <c r="L1101" s="1854" t="str" cm="1">
        <f t="array" ref="L1101">_xlfn.IFS(
    I1100=FALSE, "",
    Payment_Frequency="Monthly", EDATE(L1100, 1),
    Payment_Frequency="Weekly", DATE(YEAR(L1100), MONTH(L1100), DAY(L1100) + 7),
    Payment_Frequency="Fortnightly", DATE(YEAR(L1100), MONTH(L1100), DAY(L1100) + 14),
    Payment_Frequency="Quarterly", DATE(YEAR(L1100), MONTH(L1100) + 3, DAY(L1100)),
    Payment_Frequency="Yearly", DATE(YEAR(L1100) + 1, MONTH(L1100), DAY(L1100)),
    TRUE, ""
)</f>
        <v/>
      </c>
      <c r="M1101" s="1853">
        <f>IF(ISERROR(L1101-L1100),0,L1101-L1100)</f>
        <v>0</v>
      </c>
      <c r="N1101" s="1851" cm="1">
        <f t="array" ref="N1101">_xlfn.IFS(
    AND(I1101=TRUE, K1101&lt;=No_Regular_Payments), Repay_Amt,
    AND(I1101=TRUE, K1101=No_Regular_Payments+1), Tm_Balloon_Amt,
   TRUE, 0
)</f>
        <v>0</v>
      </c>
      <c r="O1101" s="1850" cm="1">
        <f t="array" ref="O1101">_xlfn.IFS(
    M1101=0,0,
   ABS(N1101 - S1100 - P1101-Q1101) &lt; 1, N1101 - S1100-Q1101,
    TRUE, P1101
)</f>
        <v>0</v>
      </c>
      <c r="P1101" s="1852">
        <f>IF(M1101=0,0,ROUND(S1100*EXP(Int_Rate/365.25 * M1101)-S1100,2))</f>
        <v>0</v>
      </c>
      <c r="Q1101" s="1851" cm="1">
        <f t="array" ref="Q1101">_xlfn.IFS(
    AND(I1101=TRUE, K1101&lt;=No_Regular_Payments), Periodic_Admin_Charge,
   TRUE, 0
)</f>
        <v>0</v>
      </c>
      <c r="R1101" s="1850">
        <f>N1101-O1101-Q1101</f>
        <v>0</v>
      </c>
      <c r="S1101" s="1850">
        <f>ROUND(S1100-R1101,2)</f>
        <v>0</v>
      </c>
      <c r="T1101" s="1850">
        <f>ROUND(T1100-(N1101-Q1101),2)</f>
        <v>0</v>
      </c>
      <c r="U1101" s="1849"/>
      <c r="W1101" s="1848"/>
      <c r="X1101" s="1848"/>
      <c r="Y1101" s="1848"/>
    </row>
    <row r="1102" spans="2:25" hidden="1">
      <c r="B1102" s="1815" t="b">
        <f>AND(I1102=FALSE,N1101=0,Q1101=0,L1101="")</f>
        <v>1</v>
      </c>
      <c r="C1102" s="1844" t="str" cm="1">
        <f t="array" ref="C1102">_xlfn.IFS(
    L1102="", "",
    MONTH(L1102) &lt;= End_of_Year_Month, YEAR(L1102),
    TRUE, YEAR(L1102) + 1
)</f>
        <v/>
      </c>
      <c r="F1102" s="1857">
        <f>IF(L1102="",0,L1102)</f>
        <v>0</v>
      </c>
      <c r="G1102" s="1856">
        <f>-(N1102-Q1102)</f>
        <v>0</v>
      </c>
      <c r="I1102" s="1815" t="b">
        <f>K1102&lt;=Number_Payments</f>
        <v>0</v>
      </c>
      <c r="J1102" s="1855"/>
      <c r="K1102" s="1351">
        <f>K1101+1</f>
        <v>976</v>
      </c>
      <c r="L1102" s="1854" t="str" cm="1">
        <f t="array" ref="L1102">_xlfn.IFS(
    I1101=FALSE, "",
    Payment_Frequency="Monthly", EDATE(L1101, 1),
    Payment_Frequency="Weekly", DATE(YEAR(L1101), MONTH(L1101), DAY(L1101) + 7),
    Payment_Frequency="Fortnightly", DATE(YEAR(L1101), MONTH(L1101), DAY(L1101) + 14),
    Payment_Frequency="Quarterly", DATE(YEAR(L1101), MONTH(L1101) + 3, DAY(L1101)),
    Payment_Frequency="Yearly", DATE(YEAR(L1101) + 1, MONTH(L1101), DAY(L1101)),
    TRUE, ""
)</f>
        <v/>
      </c>
      <c r="M1102" s="1853">
        <f>IF(ISERROR(L1102-L1101),0,L1102-L1101)</f>
        <v>0</v>
      </c>
      <c r="N1102" s="1851" cm="1">
        <f t="array" ref="N1102">_xlfn.IFS(
    AND(I1102=TRUE, K1102&lt;=No_Regular_Payments), Repay_Amt,
    AND(I1102=TRUE, K1102=No_Regular_Payments+1), Tm_Balloon_Amt,
   TRUE, 0
)</f>
        <v>0</v>
      </c>
      <c r="O1102" s="1850" cm="1">
        <f t="array" ref="O1102">_xlfn.IFS(
    M1102=0,0,
   ABS(N1102 - S1101 - P1102-Q1102) &lt; 1, N1102 - S1101-Q1102,
    TRUE, P1102
)</f>
        <v>0</v>
      </c>
      <c r="P1102" s="1852">
        <f>IF(M1102=0,0,ROUND(S1101*EXP(Int_Rate/365.25 * M1102)-S1101,2))</f>
        <v>0</v>
      </c>
      <c r="Q1102" s="1851" cm="1">
        <f t="array" ref="Q1102">_xlfn.IFS(
    AND(I1102=TRUE, K1102&lt;=No_Regular_Payments), Periodic_Admin_Charge,
   TRUE, 0
)</f>
        <v>0</v>
      </c>
      <c r="R1102" s="1850">
        <f>N1102-O1102-Q1102</f>
        <v>0</v>
      </c>
      <c r="S1102" s="1850">
        <f>ROUND(S1101-R1102,2)</f>
        <v>0</v>
      </c>
      <c r="T1102" s="1850">
        <f>ROUND(T1101-(N1102-Q1102),2)</f>
        <v>0</v>
      </c>
      <c r="U1102" s="1849"/>
      <c r="W1102" s="1848"/>
      <c r="X1102" s="1848"/>
      <c r="Y1102" s="1848"/>
    </row>
    <row r="1103" spans="2:25" hidden="1">
      <c r="B1103" s="1815" t="b">
        <f>AND(I1103=FALSE,N1102=0,Q1102=0,L1102="")</f>
        <v>1</v>
      </c>
      <c r="C1103" s="1844" t="str" cm="1">
        <f t="array" ref="C1103">_xlfn.IFS(
    L1103="", "",
    MONTH(L1103) &lt;= End_of_Year_Month, YEAR(L1103),
    TRUE, YEAR(L1103) + 1
)</f>
        <v/>
      </c>
      <c r="F1103" s="1857">
        <f>IF(L1103="",0,L1103)</f>
        <v>0</v>
      </c>
      <c r="G1103" s="1856">
        <f>-(N1103-Q1103)</f>
        <v>0</v>
      </c>
      <c r="I1103" s="1815" t="b">
        <f>K1103&lt;=Number_Payments</f>
        <v>0</v>
      </c>
      <c r="J1103" s="1855"/>
      <c r="K1103" s="1351">
        <f>K1102+1</f>
        <v>977</v>
      </c>
      <c r="L1103" s="1854" t="str" cm="1">
        <f t="array" ref="L1103">_xlfn.IFS(
    I1102=FALSE, "",
    Payment_Frequency="Monthly", EDATE(L1102, 1),
    Payment_Frequency="Weekly", DATE(YEAR(L1102), MONTH(L1102), DAY(L1102) + 7),
    Payment_Frequency="Fortnightly", DATE(YEAR(L1102), MONTH(L1102), DAY(L1102) + 14),
    Payment_Frequency="Quarterly", DATE(YEAR(L1102), MONTH(L1102) + 3, DAY(L1102)),
    Payment_Frequency="Yearly", DATE(YEAR(L1102) + 1, MONTH(L1102), DAY(L1102)),
    TRUE, ""
)</f>
        <v/>
      </c>
      <c r="M1103" s="1853">
        <f>IF(ISERROR(L1103-L1102),0,L1103-L1102)</f>
        <v>0</v>
      </c>
      <c r="N1103" s="1851" cm="1">
        <f t="array" ref="N1103">_xlfn.IFS(
    AND(I1103=TRUE, K1103&lt;=No_Regular_Payments), Repay_Amt,
    AND(I1103=TRUE, K1103=No_Regular_Payments+1), Tm_Balloon_Amt,
   TRUE, 0
)</f>
        <v>0</v>
      </c>
      <c r="O1103" s="1850" cm="1">
        <f t="array" ref="O1103">_xlfn.IFS(
    M1103=0,0,
   ABS(N1103 - S1102 - P1103-Q1103) &lt; 1, N1103 - S1102-Q1103,
    TRUE, P1103
)</f>
        <v>0</v>
      </c>
      <c r="P1103" s="1852">
        <f>IF(M1103=0,0,ROUND(S1102*EXP(Int_Rate/365.25 * M1103)-S1102,2))</f>
        <v>0</v>
      </c>
      <c r="Q1103" s="1851" cm="1">
        <f t="array" ref="Q1103">_xlfn.IFS(
    AND(I1103=TRUE, K1103&lt;=No_Regular_Payments), Periodic_Admin_Charge,
   TRUE, 0
)</f>
        <v>0</v>
      </c>
      <c r="R1103" s="1850">
        <f>N1103-O1103-Q1103</f>
        <v>0</v>
      </c>
      <c r="S1103" s="1850">
        <f>ROUND(S1102-R1103,2)</f>
        <v>0</v>
      </c>
      <c r="T1103" s="1850">
        <f>ROUND(T1102-(N1103-Q1103),2)</f>
        <v>0</v>
      </c>
      <c r="U1103" s="1849"/>
      <c r="W1103" s="1848"/>
      <c r="X1103" s="1848"/>
      <c r="Y1103" s="1848"/>
    </row>
    <row r="1104" spans="2:25" hidden="1">
      <c r="B1104" s="1815" t="b">
        <f>AND(I1104=FALSE,N1103=0,Q1103=0,L1103="")</f>
        <v>1</v>
      </c>
      <c r="C1104" s="1844" t="str" cm="1">
        <f t="array" ref="C1104">_xlfn.IFS(
    L1104="", "",
    MONTH(L1104) &lt;= End_of_Year_Month, YEAR(L1104),
    TRUE, YEAR(L1104) + 1
)</f>
        <v/>
      </c>
      <c r="F1104" s="1857">
        <f>IF(L1104="",0,L1104)</f>
        <v>0</v>
      </c>
      <c r="G1104" s="1856">
        <f>-(N1104-Q1104)</f>
        <v>0</v>
      </c>
      <c r="I1104" s="1815" t="b">
        <f>K1104&lt;=Number_Payments</f>
        <v>0</v>
      </c>
      <c r="J1104" s="1855"/>
      <c r="K1104" s="1351">
        <f>K1103+1</f>
        <v>978</v>
      </c>
      <c r="L1104" s="1854" t="str" cm="1">
        <f t="array" ref="L1104">_xlfn.IFS(
    I1103=FALSE, "",
    Payment_Frequency="Monthly", EDATE(L1103, 1),
    Payment_Frequency="Weekly", DATE(YEAR(L1103), MONTH(L1103), DAY(L1103) + 7),
    Payment_Frequency="Fortnightly", DATE(YEAR(L1103), MONTH(L1103), DAY(L1103) + 14),
    Payment_Frequency="Quarterly", DATE(YEAR(L1103), MONTH(L1103) + 3, DAY(L1103)),
    Payment_Frequency="Yearly", DATE(YEAR(L1103) + 1, MONTH(L1103), DAY(L1103)),
    TRUE, ""
)</f>
        <v/>
      </c>
      <c r="M1104" s="1853">
        <f>IF(ISERROR(L1104-L1103),0,L1104-L1103)</f>
        <v>0</v>
      </c>
      <c r="N1104" s="1851" cm="1">
        <f t="array" ref="N1104">_xlfn.IFS(
    AND(I1104=TRUE, K1104&lt;=No_Regular_Payments), Repay_Amt,
    AND(I1104=TRUE, K1104=No_Regular_Payments+1), Tm_Balloon_Amt,
   TRUE, 0
)</f>
        <v>0</v>
      </c>
      <c r="O1104" s="1850" cm="1">
        <f t="array" ref="O1104">_xlfn.IFS(
    M1104=0,0,
   ABS(N1104 - S1103 - P1104-Q1104) &lt; 1, N1104 - S1103-Q1104,
    TRUE, P1104
)</f>
        <v>0</v>
      </c>
      <c r="P1104" s="1852">
        <f>IF(M1104=0,0,ROUND(S1103*EXP(Int_Rate/365.25 * M1104)-S1103,2))</f>
        <v>0</v>
      </c>
      <c r="Q1104" s="1851" cm="1">
        <f t="array" ref="Q1104">_xlfn.IFS(
    AND(I1104=TRUE, K1104&lt;=No_Regular_Payments), Periodic_Admin_Charge,
   TRUE, 0
)</f>
        <v>0</v>
      </c>
      <c r="R1104" s="1850">
        <f>N1104-O1104-Q1104</f>
        <v>0</v>
      </c>
      <c r="S1104" s="1850">
        <f>ROUND(S1103-R1104,2)</f>
        <v>0</v>
      </c>
      <c r="T1104" s="1850">
        <f>ROUND(T1103-(N1104-Q1104),2)</f>
        <v>0</v>
      </c>
      <c r="U1104" s="1849"/>
      <c r="W1104" s="1848"/>
      <c r="X1104" s="1848"/>
      <c r="Y1104" s="1848"/>
    </row>
    <row r="1105" spans="2:25" hidden="1">
      <c r="B1105" s="1815" t="b">
        <f>AND(I1105=FALSE,N1104=0,Q1104=0,L1104="")</f>
        <v>1</v>
      </c>
      <c r="C1105" s="1844" t="str" cm="1">
        <f t="array" ref="C1105">_xlfn.IFS(
    L1105="", "",
    MONTH(L1105) &lt;= End_of_Year_Month, YEAR(L1105),
    TRUE, YEAR(L1105) + 1
)</f>
        <v/>
      </c>
      <c r="F1105" s="1857">
        <f>IF(L1105="",0,L1105)</f>
        <v>0</v>
      </c>
      <c r="G1105" s="1856">
        <f>-(N1105-Q1105)</f>
        <v>0</v>
      </c>
      <c r="I1105" s="1815" t="b">
        <f>K1105&lt;=Number_Payments</f>
        <v>0</v>
      </c>
      <c r="J1105" s="1855"/>
      <c r="K1105" s="1351">
        <f>K1104+1</f>
        <v>979</v>
      </c>
      <c r="L1105" s="1854" t="str" cm="1">
        <f t="array" ref="L1105">_xlfn.IFS(
    I1104=FALSE, "",
    Payment_Frequency="Monthly", EDATE(L1104, 1),
    Payment_Frequency="Weekly", DATE(YEAR(L1104), MONTH(L1104), DAY(L1104) + 7),
    Payment_Frequency="Fortnightly", DATE(YEAR(L1104), MONTH(L1104), DAY(L1104) + 14),
    Payment_Frequency="Quarterly", DATE(YEAR(L1104), MONTH(L1104) + 3, DAY(L1104)),
    Payment_Frequency="Yearly", DATE(YEAR(L1104) + 1, MONTH(L1104), DAY(L1104)),
    TRUE, ""
)</f>
        <v/>
      </c>
      <c r="M1105" s="1853">
        <f>IF(ISERROR(L1105-L1104),0,L1105-L1104)</f>
        <v>0</v>
      </c>
      <c r="N1105" s="1851" cm="1">
        <f t="array" ref="N1105">_xlfn.IFS(
    AND(I1105=TRUE, K1105&lt;=No_Regular_Payments), Repay_Amt,
    AND(I1105=TRUE, K1105=No_Regular_Payments+1), Tm_Balloon_Amt,
   TRUE, 0
)</f>
        <v>0</v>
      </c>
      <c r="O1105" s="1850" cm="1">
        <f t="array" ref="O1105">_xlfn.IFS(
    M1105=0,0,
   ABS(N1105 - S1104 - P1105-Q1105) &lt; 1, N1105 - S1104-Q1105,
    TRUE, P1105
)</f>
        <v>0</v>
      </c>
      <c r="P1105" s="1852">
        <f>IF(M1105=0,0,ROUND(S1104*EXP(Int_Rate/365.25 * M1105)-S1104,2))</f>
        <v>0</v>
      </c>
      <c r="Q1105" s="1851" cm="1">
        <f t="array" ref="Q1105">_xlfn.IFS(
    AND(I1105=TRUE, K1105&lt;=No_Regular_Payments), Periodic_Admin_Charge,
   TRUE, 0
)</f>
        <v>0</v>
      </c>
      <c r="R1105" s="1850">
        <f>N1105-O1105-Q1105</f>
        <v>0</v>
      </c>
      <c r="S1105" s="1850">
        <f>ROUND(S1104-R1105,2)</f>
        <v>0</v>
      </c>
      <c r="T1105" s="1850">
        <f>ROUND(T1104-(N1105-Q1105),2)</f>
        <v>0</v>
      </c>
      <c r="U1105" s="1849"/>
      <c r="W1105" s="1848"/>
      <c r="X1105" s="1848"/>
      <c r="Y1105" s="1848"/>
    </row>
    <row r="1106" spans="2:25" hidden="1">
      <c r="B1106" s="1815" t="b">
        <f>AND(I1106=FALSE,N1105=0,Q1105=0,L1105="")</f>
        <v>1</v>
      </c>
      <c r="C1106" s="1844" t="str" cm="1">
        <f t="array" ref="C1106">_xlfn.IFS(
    L1106="", "",
    MONTH(L1106) &lt;= End_of_Year_Month, YEAR(L1106),
    TRUE, YEAR(L1106) + 1
)</f>
        <v/>
      </c>
      <c r="F1106" s="1857">
        <f>IF(L1106="",0,L1106)</f>
        <v>0</v>
      </c>
      <c r="G1106" s="1856">
        <f>-(N1106-Q1106)</f>
        <v>0</v>
      </c>
      <c r="I1106" s="1815" t="b">
        <f>K1106&lt;=Number_Payments</f>
        <v>0</v>
      </c>
      <c r="J1106" s="1855"/>
      <c r="K1106" s="1351">
        <f>K1105+1</f>
        <v>980</v>
      </c>
      <c r="L1106" s="1854" t="str" cm="1">
        <f t="array" ref="L1106">_xlfn.IFS(
    I1105=FALSE, "",
    Payment_Frequency="Monthly", EDATE(L1105, 1),
    Payment_Frequency="Weekly", DATE(YEAR(L1105), MONTH(L1105), DAY(L1105) + 7),
    Payment_Frequency="Fortnightly", DATE(YEAR(L1105), MONTH(L1105), DAY(L1105) + 14),
    Payment_Frequency="Quarterly", DATE(YEAR(L1105), MONTH(L1105) + 3, DAY(L1105)),
    Payment_Frequency="Yearly", DATE(YEAR(L1105) + 1, MONTH(L1105), DAY(L1105)),
    TRUE, ""
)</f>
        <v/>
      </c>
      <c r="M1106" s="1853">
        <f>IF(ISERROR(L1106-L1105),0,L1106-L1105)</f>
        <v>0</v>
      </c>
      <c r="N1106" s="1851" cm="1">
        <f t="array" ref="N1106">_xlfn.IFS(
    AND(I1106=TRUE, K1106&lt;=No_Regular_Payments), Repay_Amt,
    AND(I1106=TRUE, K1106=No_Regular_Payments+1), Tm_Balloon_Amt,
   TRUE, 0
)</f>
        <v>0</v>
      </c>
      <c r="O1106" s="1850" cm="1">
        <f t="array" ref="O1106">_xlfn.IFS(
    M1106=0,0,
   ABS(N1106 - S1105 - P1106-Q1106) &lt; 1, N1106 - S1105-Q1106,
    TRUE, P1106
)</f>
        <v>0</v>
      </c>
      <c r="P1106" s="1852">
        <f>IF(M1106=0,0,ROUND(S1105*EXP(Int_Rate/365.25 * M1106)-S1105,2))</f>
        <v>0</v>
      </c>
      <c r="Q1106" s="1851" cm="1">
        <f t="array" ref="Q1106">_xlfn.IFS(
    AND(I1106=TRUE, K1106&lt;=No_Regular_Payments), Periodic_Admin_Charge,
   TRUE, 0
)</f>
        <v>0</v>
      </c>
      <c r="R1106" s="1850">
        <f>N1106-O1106-Q1106</f>
        <v>0</v>
      </c>
      <c r="S1106" s="1850">
        <f>ROUND(S1105-R1106,2)</f>
        <v>0</v>
      </c>
      <c r="T1106" s="1850">
        <f>ROUND(T1105-(N1106-Q1106),2)</f>
        <v>0</v>
      </c>
      <c r="U1106" s="1849"/>
      <c r="W1106" s="1848"/>
      <c r="X1106" s="1848"/>
      <c r="Y1106" s="1848"/>
    </row>
    <row r="1107" spans="2:25" hidden="1">
      <c r="B1107" s="1815" t="b">
        <f>AND(I1107=FALSE,N1106=0,Q1106=0,L1106="")</f>
        <v>1</v>
      </c>
      <c r="C1107" s="1844" t="str" cm="1">
        <f t="array" ref="C1107">_xlfn.IFS(
    L1107="", "",
    MONTH(L1107) &lt;= End_of_Year_Month, YEAR(L1107),
    TRUE, YEAR(L1107) + 1
)</f>
        <v/>
      </c>
      <c r="F1107" s="1857">
        <f>IF(L1107="",0,L1107)</f>
        <v>0</v>
      </c>
      <c r="G1107" s="1856">
        <f>-(N1107-Q1107)</f>
        <v>0</v>
      </c>
      <c r="I1107" s="1815" t="b">
        <f>K1107&lt;=Number_Payments</f>
        <v>0</v>
      </c>
      <c r="J1107" s="1855"/>
      <c r="K1107" s="1351">
        <f>K1106+1</f>
        <v>981</v>
      </c>
      <c r="L1107" s="1854" t="str" cm="1">
        <f t="array" ref="L1107">_xlfn.IFS(
    I1106=FALSE, "",
    Payment_Frequency="Monthly", EDATE(L1106, 1),
    Payment_Frequency="Weekly", DATE(YEAR(L1106), MONTH(L1106), DAY(L1106) + 7),
    Payment_Frequency="Fortnightly", DATE(YEAR(L1106), MONTH(L1106), DAY(L1106) + 14),
    Payment_Frequency="Quarterly", DATE(YEAR(L1106), MONTH(L1106) + 3, DAY(L1106)),
    Payment_Frequency="Yearly", DATE(YEAR(L1106) + 1, MONTH(L1106), DAY(L1106)),
    TRUE, ""
)</f>
        <v/>
      </c>
      <c r="M1107" s="1853">
        <f>IF(ISERROR(L1107-L1106),0,L1107-L1106)</f>
        <v>0</v>
      </c>
      <c r="N1107" s="1851" cm="1">
        <f t="array" ref="N1107">_xlfn.IFS(
    AND(I1107=TRUE, K1107&lt;=No_Regular_Payments), Repay_Amt,
    AND(I1107=TRUE, K1107=No_Regular_Payments+1), Tm_Balloon_Amt,
   TRUE, 0
)</f>
        <v>0</v>
      </c>
      <c r="O1107" s="1850" cm="1">
        <f t="array" ref="O1107">_xlfn.IFS(
    M1107=0,0,
   ABS(N1107 - S1106 - P1107-Q1107) &lt; 1, N1107 - S1106-Q1107,
    TRUE, P1107
)</f>
        <v>0</v>
      </c>
      <c r="P1107" s="1852">
        <f>IF(M1107=0,0,ROUND(S1106*EXP(Int_Rate/365.25 * M1107)-S1106,2))</f>
        <v>0</v>
      </c>
      <c r="Q1107" s="1851" cm="1">
        <f t="array" ref="Q1107">_xlfn.IFS(
    AND(I1107=TRUE, K1107&lt;=No_Regular_Payments), Periodic_Admin_Charge,
   TRUE, 0
)</f>
        <v>0</v>
      </c>
      <c r="R1107" s="1850">
        <f>N1107-O1107-Q1107</f>
        <v>0</v>
      </c>
      <c r="S1107" s="1850">
        <f>ROUND(S1106-R1107,2)</f>
        <v>0</v>
      </c>
      <c r="T1107" s="1850">
        <f>ROUND(T1106-(N1107-Q1107),2)</f>
        <v>0</v>
      </c>
      <c r="U1107" s="1849"/>
      <c r="W1107" s="1848"/>
      <c r="X1107" s="1848"/>
      <c r="Y1107" s="1848"/>
    </row>
    <row r="1108" spans="2:25" hidden="1">
      <c r="B1108" s="1815" t="b">
        <f>AND(I1108=FALSE,N1107=0,Q1107=0,L1107="")</f>
        <v>1</v>
      </c>
      <c r="C1108" s="1844" t="str" cm="1">
        <f t="array" ref="C1108">_xlfn.IFS(
    L1108="", "",
    MONTH(L1108) &lt;= End_of_Year_Month, YEAR(L1108),
    TRUE, YEAR(L1108) + 1
)</f>
        <v/>
      </c>
      <c r="F1108" s="1857">
        <f>IF(L1108="",0,L1108)</f>
        <v>0</v>
      </c>
      <c r="G1108" s="1856">
        <f>-(N1108-Q1108)</f>
        <v>0</v>
      </c>
      <c r="I1108" s="1815" t="b">
        <f>K1108&lt;=Number_Payments</f>
        <v>0</v>
      </c>
      <c r="J1108" s="1855"/>
      <c r="K1108" s="1351">
        <f>K1107+1</f>
        <v>982</v>
      </c>
      <c r="L1108" s="1854" t="str" cm="1">
        <f t="array" ref="L1108">_xlfn.IFS(
    I1107=FALSE, "",
    Payment_Frequency="Monthly", EDATE(L1107, 1),
    Payment_Frequency="Weekly", DATE(YEAR(L1107), MONTH(L1107), DAY(L1107) + 7),
    Payment_Frequency="Fortnightly", DATE(YEAR(L1107), MONTH(L1107), DAY(L1107) + 14),
    Payment_Frequency="Quarterly", DATE(YEAR(L1107), MONTH(L1107) + 3, DAY(L1107)),
    Payment_Frequency="Yearly", DATE(YEAR(L1107) + 1, MONTH(L1107), DAY(L1107)),
    TRUE, ""
)</f>
        <v/>
      </c>
      <c r="M1108" s="1853">
        <f>IF(ISERROR(L1108-L1107),0,L1108-L1107)</f>
        <v>0</v>
      </c>
      <c r="N1108" s="1851" cm="1">
        <f t="array" ref="N1108">_xlfn.IFS(
    AND(I1108=TRUE, K1108&lt;=No_Regular_Payments), Repay_Amt,
    AND(I1108=TRUE, K1108=No_Regular_Payments+1), Tm_Balloon_Amt,
   TRUE, 0
)</f>
        <v>0</v>
      </c>
      <c r="O1108" s="1850" cm="1">
        <f t="array" ref="O1108">_xlfn.IFS(
    M1108=0,0,
   ABS(N1108 - S1107 - P1108-Q1108) &lt; 1, N1108 - S1107-Q1108,
    TRUE, P1108
)</f>
        <v>0</v>
      </c>
      <c r="P1108" s="1852">
        <f>IF(M1108=0,0,ROUND(S1107*EXP(Int_Rate/365.25 * M1108)-S1107,2))</f>
        <v>0</v>
      </c>
      <c r="Q1108" s="1851" cm="1">
        <f t="array" ref="Q1108">_xlfn.IFS(
    AND(I1108=TRUE, K1108&lt;=No_Regular_Payments), Periodic_Admin_Charge,
   TRUE, 0
)</f>
        <v>0</v>
      </c>
      <c r="R1108" s="1850">
        <f>N1108-O1108-Q1108</f>
        <v>0</v>
      </c>
      <c r="S1108" s="1850">
        <f>ROUND(S1107-R1108,2)</f>
        <v>0</v>
      </c>
      <c r="T1108" s="1850">
        <f>ROUND(T1107-(N1108-Q1108),2)</f>
        <v>0</v>
      </c>
      <c r="U1108" s="1849"/>
      <c r="W1108" s="1848"/>
      <c r="X1108" s="1848"/>
      <c r="Y1108" s="1848"/>
    </row>
    <row r="1109" spans="2:25" hidden="1">
      <c r="B1109" s="1815" t="b">
        <f>AND(I1109=FALSE,N1108=0,Q1108=0,L1108="")</f>
        <v>1</v>
      </c>
      <c r="C1109" s="1844" t="str" cm="1">
        <f t="array" ref="C1109">_xlfn.IFS(
    L1109="", "",
    MONTH(L1109) &lt;= End_of_Year_Month, YEAR(L1109),
    TRUE, YEAR(L1109) + 1
)</f>
        <v/>
      </c>
      <c r="F1109" s="1857">
        <f>IF(L1109="",0,L1109)</f>
        <v>0</v>
      </c>
      <c r="G1109" s="1856">
        <f>-(N1109-Q1109)</f>
        <v>0</v>
      </c>
      <c r="I1109" s="1815" t="b">
        <f>K1109&lt;=Number_Payments</f>
        <v>0</v>
      </c>
      <c r="J1109" s="1855"/>
      <c r="K1109" s="1351">
        <f>K1108+1</f>
        <v>983</v>
      </c>
      <c r="L1109" s="1854" t="str" cm="1">
        <f t="array" ref="L1109">_xlfn.IFS(
    I1108=FALSE, "",
    Payment_Frequency="Monthly", EDATE(L1108, 1),
    Payment_Frequency="Weekly", DATE(YEAR(L1108), MONTH(L1108), DAY(L1108) + 7),
    Payment_Frequency="Fortnightly", DATE(YEAR(L1108), MONTH(L1108), DAY(L1108) + 14),
    Payment_Frequency="Quarterly", DATE(YEAR(L1108), MONTH(L1108) + 3, DAY(L1108)),
    Payment_Frequency="Yearly", DATE(YEAR(L1108) + 1, MONTH(L1108), DAY(L1108)),
    TRUE, ""
)</f>
        <v/>
      </c>
      <c r="M1109" s="1853">
        <f>IF(ISERROR(L1109-L1108),0,L1109-L1108)</f>
        <v>0</v>
      </c>
      <c r="N1109" s="1851" cm="1">
        <f t="array" ref="N1109">_xlfn.IFS(
    AND(I1109=TRUE, K1109&lt;=No_Regular_Payments), Repay_Amt,
    AND(I1109=TRUE, K1109=No_Regular_Payments+1), Tm_Balloon_Amt,
   TRUE, 0
)</f>
        <v>0</v>
      </c>
      <c r="O1109" s="1850" cm="1">
        <f t="array" ref="O1109">_xlfn.IFS(
    M1109=0,0,
   ABS(N1109 - S1108 - P1109-Q1109) &lt; 1, N1109 - S1108-Q1109,
    TRUE, P1109
)</f>
        <v>0</v>
      </c>
      <c r="P1109" s="1852">
        <f>IF(M1109=0,0,ROUND(S1108*EXP(Int_Rate/365.25 * M1109)-S1108,2))</f>
        <v>0</v>
      </c>
      <c r="Q1109" s="1851" cm="1">
        <f t="array" ref="Q1109">_xlfn.IFS(
    AND(I1109=TRUE, K1109&lt;=No_Regular_Payments), Periodic_Admin_Charge,
   TRUE, 0
)</f>
        <v>0</v>
      </c>
      <c r="R1109" s="1850">
        <f>N1109-O1109-Q1109</f>
        <v>0</v>
      </c>
      <c r="S1109" s="1850">
        <f>ROUND(S1108-R1109,2)</f>
        <v>0</v>
      </c>
      <c r="T1109" s="1850">
        <f>ROUND(T1108-(N1109-Q1109),2)</f>
        <v>0</v>
      </c>
      <c r="U1109" s="1849"/>
      <c r="W1109" s="1848"/>
      <c r="X1109" s="1848"/>
      <c r="Y1109" s="1848"/>
    </row>
    <row r="1110" spans="2:25" hidden="1">
      <c r="B1110" s="1815" t="b">
        <f>AND(I1110=FALSE,N1109=0,Q1109=0,L1109="")</f>
        <v>1</v>
      </c>
      <c r="C1110" s="1844" t="str" cm="1">
        <f t="array" ref="C1110">_xlfn.IFS(
    L1110="", "",
    MONTH(L1110) &lt;= End_of_Year_Month, YEAR(L1110),
    TRUE, YEAR(L1110) + 1
)</f>
        <v/>
      </c>
      <c r="F1110" s="1857">
        <f>IF(L1110="",0,L1110)</f>
        <v>0</v>
      </c>
      <c r="G1110" s="1856">
        <f>-(N1110-Q1110)</f>
        <v>0</v>
      </c>
      <c r="I1110" s="1815" t="b">
        <f>K1110&lt;=Number_Payments</f>
        <v>0</v>
      </c>
      <c r="J1110" s="1855"/>
      <c r="K1110" s="1351">
        <f>K1109+1</f>
        <v>984</v>
      </c>
      <c r="L1110" s="1854" t="str" cm="1">
        <f t="array" ref="L1110">_xlfn.IFS(
    I1109=FALSE, "",
    Payment_Frequency="Monthly", EDATE(L1109, 1),
    Payment_Frequency="Weekly", DATE(YEAR(L1109), MONTH(L1109), DAY(L1109) + 7),
    Payment_Frequency="Fortnightly", DATE(YEAR(L1109), MONTH(L1109), DAY(L1109) + 14),
    Payment_Frequency="Quarterly", DATE(YEAR(L1109), MONTH(L1109) + 3, DAY(L1109)),
    Payment_Frequency="Yearly", DATE(YEAR(L1109) + 1, MONTH(L1109), DAY(L1109)),
    TRUE, ""
)</f>
        <v/>
      </c>
      <c r="M1110" s="1853">
        <f>IF(ISERROR(L1110-L1109),0,L1110-L1109)</f>
        <v>0</v>
      </c>
      <c r="N1110" s="1851" cm="1">
        <f t="array" ref="N1110">_xlfn.IFS(
    AND(I1110=TRUE, K1110&lt;=No_Regular_Payments), Repay_Amt,
    AND(I1110=TRUE, K1110=No_Regular_Payments+1), Tm_Balloon_Amt,
   TRUE, 0
)</f>
        <v>0</v>
      </c>
      <c r="O1110" s="1850" cm="1">
        <f t="array" ref="O1110">_xlfn.IFS(
    M1110=0,0,
   ABS(N1110 - S1109 - P1110-Q1110) &lt; 1, N1110 - S1109-Q1110,
    TRUE, P1110
)</f>
        <v>0</v>
      </c>
      <c r="P1110" s="1852">
        <f>IF(M1110=0,0,ROUND(S1109*EXP(Int_Rate/365.25 * M1110)-S1109,2))</f>
        <v>0</v>
      </c>
      <c r="Q1110" s="1851" cm="1">
        <f t="array" ref="Q1110">_xlfn.IFS(
    AND(I1110=TRUE, K1110&lt;=No_Regular_Payments), Periodic_Admin_Charge,
   TRUE, 0
)</f>
        <v>0</v>
      </c>
      <c r="R1110" s="1850">
        <f>N1110-O1110-Q1110</f>
        <v>0</v>
      </c>
      <c r="S1110" s="1850">
        <f>ROUND(S1109-R1110,2)</f>
        <v>0</v>
      </c>
      <c r="T1110" s="1850">
        <f>ROUND(T1109-(N1110-Q1110),2)</f>
        <v>0</v>
      </c>
      <c r="U1110" s="1849"/>
      <c r="W1110" s="1848"/>
      <c r="X1110" s="1848"/>
      <c r="Y1110" s="1848"/>
    </row>
    <row r="1111" spans="2:25" hidden="1">
      <c r="B1111" s="1815" t="b">
        <f>AND(I1111=FALSE,N1110=0,Q1110=0,L1110="")</f>
        <v>1</v>
      </c>
      <c r="C1111" s="1844" t="str" cm="1">
        <f t="array" ref="C1111">_xlfn.IFS(
    L1111="", "",
    MONTH(L1111) &lt;= End_of_Year_Month, YEAR(L1111),
    TRUE, YEAR(L1111) + 1
)</f>
        <v/>
      </c>
      <c r="F1111" s="1857">
        <f>IF(L1111="",0,L1111)</f>
        <v>0</v>
      </c>
      <c r="G1111" s="1856">
        <f>-(N1111-Q1111)</f>
        <v>0</v>
      </c>
      <c r="I1111" s="1815" t="b">
        <f>K1111&lt;=Number_Payments</f>
        <v>0</v>
      </c>
      <c r="J1111" s="1855"/>
      <c r="K1111" s="1351">
        <f>K1110+1</f>
        <v>985</v>
      </c>
      <c r="L1111" s="1854" t="str" cm="1">
        <f t="array" ref="L1111">_xlfn.IFS(
    I1110=FALSE, "",
    Payment_Frequency="Monthly", EDATE(L1110, 1),
    Payment_Frequency="Weekly", DATE(YEAR(L1110), MONTH(L1110), DAY(L1110) + 7),
    Payment_Frequency="Fortnightly", DATE(YEAR(L1110), MONTH(L1110), DAY(L1110) + 14),
    Payment_Frequency="Quarterly", DATE(YEAR(L1110), MONTH(L1110) + 3, DAY(L1110)),
    Payment_Frequency="Yearly", DATE(YEAR(L1110) + 1, MONTH(L1110), DAY(L1110)),
    TRUE, ""
)</f>
        <v/>
      </c>
      <c r="M1111" s="1853">
        <f>IF(ISERROR(L1111-L1110),0,L1111-L1110)</f>
        <v>0</v>
      </c>
      <c r="N1111" s="1851" cm="1">
        <f t="array" ref="N1111">_xlfn.IFS(
    AND(I1111=TRUE, K1111&lt;=No_Regular_Payments), Repay_Amt,
    AND(I1111=TRUE, K1111=No_Regular_Payments+1), Tm_Balloon_Amt,
   TRUE, 0
)</f>
        <v>0</v>
      </c>
      <c r="O1111" s="1850" cm="1">
        <f t="array" ref="O1111">_xlfn.IFS(
    M1111=0,0,
   ABS(N1111 - S1110 - P1111-Q1111) &lt; 1, N1111 - S1110-Q1111,
    TRUE, P1111
)</f>
        <v>0</v>
      </c>
      <c r="P1111" s="1852">
        <f>IF(M1111=0,0,ROUND(S1110*EXP(Int_Rate/365.25 * M1111)-S1110,2))</f>
        <v>0</v>
      </c>
      <c r="Q1111" s="1851" cm="1">
        <f t="array" ref="Q1111">_xlfn.IFS(
    AND(I1111=TRUE, K1111&lt;=No_Regular_Payments), Periodic_Admin_Charge,
   TRUE, 0
)</f>
        <v>0</v>
      </c>
      <c r="R1111" s="1850">
        <f>N1111-O1111-Q1111</f>
        <v>0</v>
      </c>
      <c r="S1111" s="1850">
        <f>ROUND(S1110-R1111,2)</f>
        <v>0</v>
      </c>
      <c r="T1111" s="1850">
        <f>ROUND(T1110-(N1111-Q1111),2)</f>
        <v>0</v>
      </c>
      <c r="U1111" s="1849"/>
      <c r="W1111" s="1848"/>
      <c r="X1111" s="1848"/>
      <c r="Y1111" s="1848"/>
    </row>
    <row r="1112" spans="2:25" hidden="1">
      <c r="B1112" s="1815" t="b">
        <f>AND(I1112=FALSE,N1111=0,Q1111=0,L1111="")</f>
        <v>1</v>
      </c>
      <c r="C1112" s="1844" t="str" cm="1">
        <f t="array" ref="C1112">_xlfn.IFS(
    L1112="", "",
    MONTH(L1112) &lt;= End_of_Year_Month, YEAR(L1112),
    TRUE, YEAR(L1112) + 1
)</f>
        <v/>
      </c>
      <c r="F1112" s="1857">
        <f>IF(L1112="",0,L1112)</f>
        <v>0</v>
      </c>
      <c r="G1112" s="1856">
        <f>-(N1112-Q1112)</f>
        <v>0</v>
      </c>
      <c r="I1112" s="1815" t="b">
        <f>K1112&lt;=Number_Payments</f>
        <v>0</v>
      </c>
      <c r="J1112" s="1855"/>
      <c r="K1112" s="1351">
        <f>K1111+1</f>
        <v>986</v>
      </c>
      <c r="L1112" s="1854" t="str" cm="1">
        <f t="array" ref="L1112">_xlfn.IFS(
    I1111=FALSE, "",
    Payment_Frequency="Monthly", EDATE(L1111, 1),
    Payment_Frequency="Weekly", DATE(YEAR(L1111), MONTH(L1111), DAY(L1111) + 7),
    Payment_Frequency="Fortnightly", DATE(YEAR(L1111), MONTH(L1111), DAY(L1111) + 14),
    Payment_Frequency="Quarterly", DATE(YEAR(L1111), MONTH(L1111) + 3, DAY(L1111)),
    Payment_Frequency="Yearly", DATE(YEAR(L1111) + 1, MONTH(L1111), DAY(L1111)),
    TRUE, ""
)</f>
        <v/>
      </c>
      <c r="M1112" s="1853">
        <f>IF(ISERROR(L1112-L1111),0,L1112-L1111)</f>
        <v>0</v>
      </c>
      <c r="N1112" s="1851" cm="1">
        <f t="array" ref="N1112">_xlfn.IFS(
    AND(I1112=TRUE, K1112&lt;=No_Regular_Payments), Repay_Amt,
    AND(I1112=TRUE, K1112=No_Regular_Payments+1), Tm_Balloon_Amt,
   TRUE, 0
)</f>
        <v>0</v>
      </c>
      <c r="O1112" s="1850" cm="1">
        <f t="array" ref="O1112">_xlfn.IFS(
    M1112=0,0,
   ABS(N1112 - S1111 - P1112-Q1112) &lt; 1, N1112 - S1111-Q1112,
    TRUE, P1112
)</f>
        <v>0</v>
      </c>
      <c r="P1112" s="1852">
        <f>IF(M1112=0,0,ROUND(S1111*EXP(Int_Rate/365.25 * M1112)-S1111,2))</f>
        <v>0</v>
      </c>
      <c r="Q1112" s="1851" cm="1">
        <f t="array" ref="Q1112">_xlfn.IFS(
    AND(I1112=TRUE, K1112&lt;=No_Regular_Payments), Periodic_Admin_Charge,
   TRUE, 0
)</f>
        <v>0</v>
      </c>
      <c r="R1112" s="1850">
        <f>N1112-O1112-Q1112</f>
        <v>0</v>
      </c>
      <c r="S1112" s="1850">
        <f>ROUND(S1111-R1112,2)</f>
        <v>0</v>
      </c>
      <c r="T1112" s="1850">
        <f>ROUND(T1111-(N1112-Q1112),2)</f>
        <v>0</v>
      </c>
      <c r="U1112" s="1849"/>
      <c r="W1112" s="1848"/>
      <c r="X1112" s="1848"/>
      <c r="Y1112" s="1848"/>
    </row>
    <row r="1113" spans="2:25" hidden="1">
      <c r="B1113" s="1815" t="b">
        <f>AND(I1113=FALSE,N1112=0,Q1112=0,L1112="")</f>
        <v>1</v>
      </c>
      <c r="C1113" s="1844" t="str" cm="1">
        <f t="array" ref="C1113">_xlfn.IFS(
    L1113="", "",
    MONTH(L1113) &lt;= End_of_Year_Month, YEAR(L1113),
    TRUE, YEAR(L1113) + 1
)</f>
        <v/>
      </c>
      <c r="F1113" s="1857">
        <f>IF(L1113="",0,L1113)</f>
        <v>0</v>
      </c>
      <c r="G1113" s="1856">
        <f>-(N1113-Q1113)</f>
        <v>0</v>
      </c>
      <c r="I1113" s="1815" t="b">
        <f>K1113&lt;=Number_Payments</f>
        <v>0</v>
      </c>
      <c r="J1113" s="1855"/>
      <c r="K1113" s="1351">
        <f>K1112+1</f>
        <v>987</v>
      </c>
      <c r="L1113" s="1854" t="str" cm="1">
        <f t="array" ref="L1113">_xlfn.IFS(
    I1112=FALSE, "",
    Payment_Frequency="Monthly", EDATE(L1112, 1),
    Payment_Frequency="Weekly", DATE(YEAR(L1112), MONTH(L1112), DAY(L1112) + 7),
    Payment_Frequency="Fortnightly", DATE(YEAR(L1112), MONTH(L1112), DAY(L1112) + 14),
    Payment_Frequency="Quarterly", DATE(YEAR(L1112), MONTH(L1112) + 3, DAY(L1112)),
    Payment_Frequency="Yearly", DATE(YEAR(L1112) + 1, MONTH(L1112), DAY(L1112)),
    TRUE, ""
)</f>
        <v/>
      </c>
      <c r="M1113" s="1853">
        <f>IF(ISERROR(L1113-L1112),0,L1113-L1112)</f>
        <v>0</v>
      </c>
      <c r="N1113" s="1851" cm="1">
        <f t="array" ref="N1113">_xlfn.IFS(
    AND(I1113=TRUE, K1113&lt;=No_Regular_Payments), Repay_Amt,
    AND(I1113=TRUE, K1113=No_Regular_Payments+1), Tm_Balloon_Amt,
   TRUE, 0
)</f>
        <v>0</v>
      </c>
      <c r="O1113" s="1850" cm="1">
        <f t="array" ref="O1113">_xlfn.IFS(
    M1113=0,0,
   ABS(N1113 - S1112 - P1113-Q1113) &lt; 1, N1113 - S1112-Q1113,
    TRUE, P1113
)</f>
        <v>0</v>
      </c>
      <c r="P1113" s="1852">
        <f>IF(M1113=0,0,ROUND(S1112*EXP(Int_Rate/365.25 * M1113)-S1112,2))</f>
        <v>0</v>
      </c>
      <c r="Q1113" s="1851" cm="1">
        <f t="array" ref="Q1113">_xlfn.IFS(
    AND(I1113=TRUE, K1113&lt;=No_Regular_Payments), Periodic_Admin_Charge,
   TRUE, 0
)</f>
        <v>0</v>
      </c>
      <c r="R1113" s="1850">
        <f>N1113-O1113-Q1113</f>
        <v>0</v>
      </c>
      <c r="S1113" s="1850">
        <f>ROUND(S1112-R1113,2)</f>
        <v>0</v>
      </c>
      <c r="T1113" s="1850">
        <f>ROUND(T1112-(N1113-Q1113),2)</f>
        <v>0</v>
      </c>
      <c r="U1113" s="1849"/>
      <c r="W1113" s="1848"/>
      <c r="X1113" s="1848"/>
      <c r="Y1113" s="1848"/>
    </row>
    <row r="1114" spans="2:25" hidden="1">
      <c r="B1114" s="1815" t="b">
        <f>AND(I1114=FALSE,N1113=0,Q1113=0,L1113="")</f>
        <v>1</v>
      </c>
      <c r="C1114" s="1844" t="str" cm="1">
        <f t="array" ref="C1114">_xlfn.IFS(
    L1114="", "",
    MONTH(L1114) &lt;= End_of_Year_Month, YEAR(L1114),
    TRUE, YEAR(L1114) + 1
)</f>
        <v/>
      </c>
      <c r="F1114" s="1857">
        <f>IF(L1114="",0,L1114)</f>
        <v>0</v>
      </c>
      <c r="G1114" s="1856">
        <f>-(N1114-Q1114)</f>
        <v>0</v>
      </c>
      <c r="I1114" s="1815" t="b">
        <f>K1114&lt;=Number_Payments</f>
        <v>0</v>
      </c>
      <c r="J1114" s="1855"/>
      <c r="K1114" s="1351">
        <f>K1113+1</f>
        <v>988</v>
      </c>
      <c r="L1114" s="1854" t="str" cm="1">
        <f t="array" ref="L1114">_xlfn.IFS(
    I1113=FALSE, "",
    Payment_Frequency="Monthly", EDATE(L1113, 1),
    Payment_Frequency="Weekly", DATE(YEAR(L1113), MONTH(L1113), DAY(L1113) + 7),
    Payment_Frequency="Fortnightly", DATE(YEAR(L1113), MONTH(L1113), DAY(L1113) + 14),
    Payment_Frequency="Quarterly", DATE(YEAR(L1113), MONTH(L1113) + 3, DAY(L1113)),
    Payment_Frequency="Yearly", DATE(YEAR(L1113) + 1, MONTH(L1113), DAY(L1113)),
    TRUE, ""
)</f>
        <v/>
      </c>
      <c r="M1114" s="1853">
        <f>IF(ISERROR(L1114-L1113),0,L1114-L1113)</f>
        <v>0</v>
      </c>
      <c r="N1114" s="1851" cm="1">
        <f t="array" ref="N1114">_xlfn.IFS(
    AND(I1114=TRUE, K1114&lt;=No_Regular_Payments), Repay_Amt,
    AND(I1114=TRUE, K1114=No_Regular_Payments+1), Tm_Balloon_Amt,
   TRUE, 0
)</f>
        <v>0</v>
      </c>
      <c r="O1114" s="1850" cm="1">
        <f t="array" ref="O1114">_xlfn.IFS(
    M1114=0,0,
   ABS(N1114 - S1113 - P1114-Q1114) &lt; 1, N1114 - S1113-Q1114,
    TRUE, P1114
)</f>
        <v>0</v>
      </c>
      <c r="P1114" s="1852">
        <f>IF(M1114=0,0,ROUND(S1113*EXP(Int_Rate/365.25 * M1114)-S1113,2))</f>
        <v>0</v>
      </c>
      <c r="Q1114" s="1851" cm="1">
        <f t="array" ref="Q1114">_xlfn.IFS(
    AND(I1114=TRUE, K1114&lt;=No_Regular_Payments), Periodic_Admin_Charge,
   TRUE, 0
)</f>
        <v>0</v>
      </c>
      <c r="R1114" s="1850">
        <f>N1114-O1114-Q1114</f>
        <v>0</v>
      </c>
      <c r="S1114" s="1850">
        <f>ROUND(S1113-R1114,2)</f>
        <v>0</v>
      </c>
      <c r="T1114" s="1850">
        <f>ROUND(T1113-(N1114-Q1114),2)</f>
        <v>0</v>
      </c>
      <c r="U1114" s="1849"/>
      <c r="W1114" s="1848"/>
      <c r="X1114" s="1848"/>
      <c r="Y1114" s="1848"/>
    </row>
    <row r="1115" spans="2:25" hidden="1">
      <c r="B1115" s="1815" t="b">
        <f>AND(I1115=FALSE,N1114=0,Q1114=0,L1114="")</f>
        <v>1</v>
      </c>
      <c r="C1115" s="1844" t="str" cm="1">
        <f t="array" ref="C1115">_xlfn.IFS(
    L1115="", "",
    MONTH(L1115) &lt;= End_of_Year_Month, YEAR(L1115),
    TRUE, YEAR(L1115) + 1
)</f>
        <v/>
      </c>
      <c r="F1115" s="1857">
        <f>IF(L1115="",0,L1115)</f>
        <v>0</v>
      </c>
      <c r="G1115" s="1856">
        <f>-(N1115-Q1115)</f>
        <v>0</v>
      </c>
      <c r="I1115" s="1815" t="b">
        <f>K1115&lt;=Number_Payments</f>
        <v>0</v>
      </c>
      <c r="J1115" s="1855"/>
      <c r="K1115" s="1351">
        <f>K1114+1</f>
        <v>989</v>
      </c>
      <c r="L1115" s="1854" t="str" cm="1">
        <f t="array" ref="L1115">_xlfn.IFS(
    I1114=FALSE, "",
    Payment_Frequency="Monthly", EDATE(L1114, 1),
    Payment_Frequency="Weekly", DATE(YEAR(L1114), MONTH(L1114), DAY(L1114) + 7),
    Payment_Frequency="Fortnightly", DATE(YEAR(L1114), MONTH(L1114), DAY(L1114) + 14),
    Payment_Frequency="Quarterly", DATE(YEAR(L1114), MONTH(L1114) + 3, DAY(L1114)),
    Payment_Frequency="Yearly", DATE(YEAR(L1114) + 1, MONTH(L1114), DAY(L1114)),
    TRUE, ""
)</f>
        <v/>
      </c>
      <c r="M1115" s="1853">
        <f>IF(ISERROR(L1115-L1114),0,L1115-L1114)</f>
        <v>0</v>
      </c>
      <c r="N1115" s="1851" cm="1">
        <f t="array" ref="N1115">_xlfn.IFS(
    AND(I1115=TRUE, K1115&lt;=No_Regular_Payments), Repay_Amt,
    AND(I1115=TRUE, K1115=No_Regular_Payments+1), Tm_Balloon_Amt,
   TRUE, 0
)</f>
        <v>0</v>
      </c>
      <c r="O1115" s="1850" cm="1">
        <f t="array" ref="O1115">_xlfn.IFS(
    M1115=0,0,
   ABS(N1115 - S1114 - P1115-Q1115) &lt; 1, N1115 - S1114-Q1115,
    TRUE, P1115
)</f>
        <v>0</v>
      </c>
      <c r="P1115" s="1852">
        <f>IF(M1115=0,0,ROUND(S1114*EXP(Int_Rate/365.25 * M1115)-S1114,2))</f>
        <v>0</v>
      </c>
      <c r="Q1115" s="1851" cm="1">
        <f t="array" ref="Q1115">_xlfn.IFS(
    AND(I1115=TRUE, K1115&lt;=No_Regular_Payments), Periodic_Admin_Charge,
   TRUE, 0
)</f>
        <v>0</v>
      </c>
      <c r="R1115" s="1850">
        <f>N1115-O1115-Q1115</f>
        <v>0</v>
      </c>
      <c r="S1115" s="1850">
        <f>ROUND(S1114-R1115,2)</f>
        <v>0</v>
      </c>
      <c r="T1115" s="1850">
        <f>ROUND(T1114-(N1115-Q1115),2)</f>
        <v>0</v>
      </c>
      <c r="U1115" s="1849"/>
      <c r="W1115" s="1848"/>
      <c r="X1115" s="1848"/>
      <c r="Y1115" s="1848"/>
    </row>
    <row r="1116" spans="2:25" hidden="1">
      <c r="B1116" s="1815" t="b">
        <f>AND(I1116=FALSE,N1115=0,Q1115=0,L1115="")</f>
        <v>1</v>
      </c>
      <c r="C1116" s="1844" t="str" cm="1">
        <f t="array" ref="C1116">_xlfn.IFS(
    L1116="", "",
    MONTH(L1116) &lt;= End_of_Year_Month, YEAR(L1116),
    TRUE, YEAR(L1116) + 1
)</f>
        <v/>
      </c>
      <c r="F1116" s="1857">
        <f>IF(L1116="",0,L1116)</f>
        <v>0</v>
      </c>
      <c r="G1116" s="1856">
        <f>-(N1116-Q1116)</f>
        <v>0</v>
      </c>
      <c r="I1116" s="1815" t="b">
        <f>K1116&lt;=Number_Payments</f>
        <v>0</v>
      </c>
      <c r="J1116" s="1855"/>
      <c r="K1116" s="1351">
        <f>K1115+1</f>
        <v>990</v>
      </c>
      <c r="L1116" s="1854" t="str" cm="1">
        <f t="array" ref="L1116">_xlfn.IFS(
    I1115=FALSE, "",
    Payment_Frequency="Monthly", EDATE(L1115, 1),
    Payment_Frequency="Weekly", DATE(YEAR(L1115), MONTH(L1115), DAY(L1115) + 7),
    Payment_Frequency="Fortnightly", DATE(YEAR(L1115), MONTH(L1115), DAY(L1115) + 14),
    Payment_Frequency="Quarterly", DATE(YEAR(L1115), MONTH(L1115) + 3, DAY(L1115)),
    Payment_Frequency="Yearly", DATE(YEAR(L1115) + 1, MONTH(L1115), DAY(L1115)),
    TRUE, ""
)</f>
        <v/>
      </c>
      <c r="M1116" s="1853">
        <f>IF(ISERROR(L1116-L1115),0,L1116-L1115)</f>
        <v>0</v>
      </c>
      <c r="N1116" s="1851" cm="1">
        <f t="array" ref="N1116">_xlfn.IFS(
    AND(I1116=TRUE, K1116&lt;=No_Regular_Payments), Repay_Amt,
    AND(I1116=TRUE, K1116=No_Regular_Payments+1), Tm_Balloon_Amt,
   TRUE, 0
)</f>
        <v>0</v>
      </c>
      <c r="O1116" s="1850" cm="1">
        <f t="array" ref="O1116">_xlfn.IFS(
    M1116=0,0,
   ABS(N1116 - S1115 - P1116-Q1116) &lt; 1, N1116 - S1115-Q1116,
    TRUE, P1116
)</f>
        <v>0</v>
      </c>
      <c r="P1116" s="1852">
        <f>IF(M1116=0,0,ROUND(S1115*EXP(Int_Rate/365.25 * M1116)-S1115,2))</f>
        <v>0</v>
      </c>
      <c r="Q1116" s="1851" cm="1">
        <f t="array" ref="Q1116">_xlfn.IFS(
    AND(I1116=TRUE, K1116&lt;=No_Regular_Payments), Periodic_Admin_Charge,
   TRUE, 0
)</f>
        <v>0</v>
      </c>
      <c r="R1116" s="1850">
        <f>N1116-O1116-Q1116</f>
        <v>0</v>
      </c>
      <c r="S1116" s="1850">
        <f>ROUND(S1115-R1116,2)</f>
        <v>0</v>
      </c>
      <c r="T1116" s="1850">
        <f>ROUND(T1115-(N1116-Q1116),2)</f>
        <v>0</v>
      </c>
      <c r="U1116" s="1849"/>
      <c r="W1116" s="1848"/>
      <c r="X1116" s="1848"/>
      <c r="Y1116" s="1848"/>
    </row>
    <row r="1117" spans="2:25" hidden="1">
      <c r="B1117" s="1815" t="b">
        <f>AND(I1117=FALSE,N1116=0,Q1116=0,L1116="")</f>
        <v>1</v>
      </c>
      <c r="C1117" s="1844" t="str" cm="1">
        <f t="array" ref="C1117">_xlfn.IFS(
    L1117="", "",
    MONTH(L1117) &lt;= End_of_Year_Month, YEAR(L1117),
    TRUE, YEAR(L1117) + 1
)</f>
        <v/>
      </c>
      <c r="F1117" s="1857">
        <f>IF(L1117="",0,L1117)</f>
        <v>0</v>
      </c>
      <c r="G1117" s="1856">
        <f>-(N1117-Q1117)</f>
        <v>0</v>
      </c>
      <c r="I1117" s="1815" t="b">
        <f>K1117&lt;=Number_Payments</f>
        <v>0</v>
      </c>
      <c r="J1117" s="1855"/>
      <c r="K1117" s="1351">
        <f>K1116+1</f>
        <v>991</v>
      </c>
      <c r="L1117" s="1854" t="str" cm="1">
        <f t="array" ref="L1117">_xlfn.IFS(
    I1116=FALSE, "",
    Payment_Frequency="Monthly", EDATE(L1116, 1),
    Payment_Frequency="Weekly", DATE(YEAR(L1116), MONTH(L1116), DAY(L1116) + 7),
    Payment_Frequency="Fortnightly", DATE(YEAR(L1116), MONTH(L1116), DAY(L1116) + 14),
    Payment_Frequency="Quarterly", DATE(YEAR(L1116), MONTH(L1116) + 3, DAY(L1116)),
    Payment_Frequency="Yearly", DATE(YEAR(L1116) + 1, MONTH(L1116), DAY(L1116)),
    TRUE, ""
)</f>
        <v/>
      </c>
      <c r="M1117" s="1853">
        <f>IF(ISERROR(L1117-L1116),0,L1117-L1116)</f>
        <v>0</v>
      </c>
      <c r="N1117" s="1851" cm="1">
        <f t="array" ref="N1117">_xlfn.IFS(
    AND(I1117=TRUE, K1117&lt;=No_Regular_Payments), Repay_Amt,
    AND(I1117=TRUE, K1117=No_Regular_Payments+1), Tm_Balloon_Amt,
   TRUE, 0
)</f>
        <v>0</v>
      </c>
      <c r="O1117" s="1850" cm="1">
        <f t="array" ref="O1117">_xlfn.IFS(
    M1117=0,0,
   ABS(N1117 - S1116 - P1117-Q1117) &lt; 1, N1117 - S1116-Q1117,
    TRUE, P1117
)</f>
        <v>0</v>
      </c>
      <c r="P1117" s="1852">
        <f>IF(M1117=0,0,ROUND(S1116*EXP(Int_Rate/365.25 * M1117)-S1116,2))</f>
        <v>0</v>
      </c>
      <c r="Q1117" s="1851" cm="1">
        <f t="array" ref="Q1117">_xlfn.IFS(
    AND(I1117=TRUE, K1117&lt;=No_Regular_Payments), Periodic_Admin_Charge,
   TRUE, 0
)</f>
        <v>0</v>
      </c>
      <c r="R1117" s="1850">
        <f>N1117-O1117-Q1117</f>
        <v>0</v>
      </c>
      <c r="S1117" s="1850">
        <f>ROUND(S1116-R1117,2)</f>
        <v>0</v>
      </c>
      <c r="T1117" s="1850">
        <f>ROUND(T1116-(N1117-Q1117),2)</f>
        <v>0</v>
      </c>
      <c r="U1117" s="1849"/>
      <c r="W1117" s="1848"/>
      <c r="X1117" s="1848"/>
      <c r="Y1117" s="1848"/>
    </row>
    <row r="1118" spans="2:25" hidden="1">
      <c r="B1118" s="1815" t="b">
        <f>AND(I1118=FALSE,N1117=0,Q1117=0,L1117="")</f>
        <v>1</v>
      </c>
      <c r="C1118" s="1844" t="str" cm="1">
        <f t="array" ref="C1118">_xlfn.IFS(
    L1118="", "",
    MONTH(L1118) &lt;= End_of_Year_Month, YEAR(L1118),
    TRUE, YEAR(L1118) + 1
)</f>
        <v/>
      </c>
      <c r="F1118" s="1857">
        <f>IF(L1118="",0,L1118)</f>
        <v>0</v>
      </c>
      <c r="G1118" s="1856">
        <f>-(N1118-Q1118)</f>
        <v>0</v>
      </c>
      <c r="I1118" s="1815" t="b">
        <f>K1118&lt;=Number_Payments</f>
        <v>0</v>
      </c>
      <c r="J1118" s="1855"/>
      <c r="K1118" s="1351">
        <f>K1117+1</f>
        <v>992</v>
      </c>
      <c r="L1118" s="1854" t="str" cm="1">
        <f t="array" ref="L1118">_xlfn.IFS(
    I1117=FALSE, "",
    Payment_Frequency="Monthly", EDATE(L1117, 1),
    Payment_Frequency="Weekly", DATE(YEAR(L1117), MONTH(L1117), DAY(L1117) + 7),
    Payment_Frequency="Fortnightly", DATE(YEAR(L1117), MONTH(L1117), DAY(L1117) + 14),
    Payment_Frequency="Quarterly", DATE(YEAR(L1117), MONTH(L1117) + 3, DAY(L1117)),
    Payment_Frequency="Yearly", DATE(YEAR(L1117) + 1, MONTH(L1117), DAY(L1117)),
    TRUE, ""
)</f>
        <v/>
      </c>
      <c r="M1118" s="1853">
        <f>IF(ISERROR(L1118-L1117),0,L1118-L1117)</f>
        <v>0</v>
      </c>
      <c r="N1118" s="1851" cm="1">
        <f t="array" ref="N1118">_xlfn.IFS(
    AND(I1118=TRUE, K1118&lt;=No_Regular_Payments), Repay_Amt,
    AND(I1118=TRUE, K1118=No_Regular_Payments+1), Tm_Balloon_Amt,
   TRUE, 0
)</f>
        <v>0</v>
      </c>
      <c r="O1118" s="1850" cm="1">
        <f t="array" ref="O1118">_xlfn.IFS(
    M1118=0,0,
   ABS(N1118 - S1117 - P1118-Q1118) &lt; 1, N1118 - S1117-Q1118,
    TRUE, P1118
)</f>
        <v>0</v>
      </c>
      <c r="P1118" s="1852">
        <f>IF(M1118=0,0,ROUND(S1117*EXP(Int_Rate/365.25 * M1118)-S1117,2))</f>
        <v>0</v>
      </c>
      <c r="Q1118" s="1851" cm="1">
        <f t="array" ref="Q1118">_xlfn.IFS(
    AND(I1118=TRUE, K1118&lt;=No_Regular_Payments), Periodic_Admin_Charge,
   TRUE, 0
)</f>
        <v>0</v>
      </c>
      <c r="R1118" s="1850">
        <f>N1118-O1118-Q1118</f>
        <v>0</v>
      </c>
      <c r="S1118" s="1850">
        <f>ROUND(S1117-R1118,2)</f>
        <v>0</v>
      </c>
      <c r="T1118" s="1850">
        <f>ROUND(T1117-(N1118-Q1118),2)</f>
        <v>0</v>
      </c>
      <c r="U1118" s="1849"/>
      <c r="W1118" s="1848"/>
      <c r="X1118" s="1848"/>
      <c r="Y1118" s="1848"/>
    </row>
    <row r="1119" spans="2:25" hidden="1">
      <c r="B1119" s="1815" t="b">
        <f>AND(I1119=FALSE,N1118=0,Q1118=0,L1118="")</f>
        <v>1</v>
      </c>
      <c r="C1119" s="1844" t="str" cm="1">
        <f t="array" ref="C1119">_xlfn.IFS(
    L1119="", "",
    MONTH(L1119) &lt;= End_of_Year_Month, YEAR(L1119),
    TRUE, YEAR(L1119) + 1
)</f>
        <v/>
      </c>
      <c r="F1119" s="1857">
        <f>IF(L1119="",0,L1119)</f>
        <v>0</v>
      </c>
      <c r="G1119" s="1856">
        <f>-(N1119-Q1119)</f>
        <v>0</v>
      </c>
      <c r="I1119" s="1815" t="b">
        <f>K1119&lt;=Number_Payments</f>
        <v>0</v>
      </c>
      <c r="J1119" s="1855"/>
      <c r="K1119" s="1351">
        <f>K1118+1</f>
        <v>993</v>
      </c>
      <c r="L1119" s="1854" t="str" cm="1">
        <f t="array" ref="L1119">_xlfn.IFS(
    I1118=FALSE, "",
    Payment_Frequency="Monthly", EDATE(L1118, 1),
    Payment_Frequency="Weekly", DATE(YEAR(L1118), MONTH(L1118), DAY(L1118) + 7),
    Payment_Frequency="Fortnightly", DATE(YEAR(L1118), MONTH(L1118), DAY(L1118) + 14),
    Payment_Frequency="Quarterly", DATE(YEAR(L1118), MONTH(L1118) + 3, DAY(L1118)),
    Payment_Frequency="Yearly", DATE(YEAR(L1118) + 1, MONTH(L1118), DAY(L1118)),
    TRUE, ""
)</f>
        <v/>
      </c>
      <c r="M1119" s="1853">
        <f>IF(ISERROR(L1119-L1118),0,L1119-L1118)</f>
        <v>0</v>
      </c>
      <c r="N1119" s="1851" cm="1">
        <f t="array" ref="N1119">_xlfn.IFS(
    AND(I1119=TRUE, K1119&lt;=No_Regular_Payments), Repay_Amt,
    AND(I1119=TRUE, K1119=No_Regular_Payments+1), Tm_Balloon_Amt,
   TRUE, 0
)</f>
        <v>0</v>
      </c>
      <c r="O1119" s="1850" cm="1">
        <f t="array" ref="O1119">_xlfn.IFS(
    M1119=0,0,
   ABS(N1119 - S1118 - P1119-Q1119) &lt; 1, N1119 - S1118-Q1119,
    TRUE, P1119
)</f>
        <v>0</v>
      </c>
      <c r="P1119" s="1852">
        <f>IF(M1119=0,0,ROUND(S1118*EXP(Int_Rate/365.25 * M1119)-S1118,2))</f>
        <v>0</v>
      </c>
      <c r="Q1119" s="1851" cm="1">
        <f t="array" ref="Q1119">_xlfn.IFS(
    AND(I1119=TRUE, K1119&lt;=No_Regular_Payments), Periodic_Admin_Charge,
   TRUE, 0
)</f>
        <v>0</v>
      </c>
      <c r="R1119" s="1850">
        <f>N1119-O1119-Q1119</f>
        <v>0</v>
      </c>
      <c r="S1119" s="1850">
        <f>ROUND(S1118-R1119,2)</f>
        <v>0</v>
      </c>
      <c r="T1119" s="1850">
        <f>ROUND(T1118-(N1119-Q1119),2)</f>
        <v>0</v>
      </c>
      <c r="U1119" s="1849"/>
      <c r="W1119" s="1848"/>
      <c r="X1119" s="1848"/>
      <c r="Y1119" s="1848"/>
    </row>
    <row r="1120" spans="2:25" hidden="1">
      <c r="B1120" s="1815" t="b">
        <f>AND(I1120=FALSE,N1119=0,Q1119=0,L1119="")</f>
        <v>1</v>
      </c>
      <c r="C1120" s="1844" t="str" cm="1">
        <f t="array" ref="C1120">_xlfn.IFS(
    L1120="", "",
    MONTH(L1120) &lt;= End_of_Year_Month, YEAR(L1120),
    TRUE, YEAR(L1120) + 1
)</f>
        <v/>
      </c>
      <c r="F1120" s="1857">
        <f>IF(L1120="",0,L1120)</f>
        <v>0</v>
      </c>
      <c r="G1120" s="1856">
        <f>-(N1120-Q1120)</f>
        <v>0</v>
      </c>
      <c r="I1120" s="1815" t="b">
        <f>K1120&lt;=Number_Payments</f>
        <v>0</v>
      </c>
      <c r="J1120" s="1855"/>
      <c r="K1120" s="1351">
        <f>K1119+1</f>
        <v>994</v>
      </c>
      <c r="L1120" s="1854" t="str" cm="1">
        <f t="array" ref="L1120">_xlfn.IFS(
    I1119=FALSE, "",
    Payment_Frequency="Monthly", EDATE(L1119, 1),
    Payment_Frequency="Weekly", DATE(YEAR(L1119), MONTH(L1119), DAY(L1119) + 7),
    Payment_Frequency="Fortnightly", DATE(YEAR(L1119), MONTH(L1119), DAY(L1119) + 14),
    Payment_Frequency="Quarterly", DATE(YEAR(L1119), MONTH(L1119) + 3, DAY(L1119)),
    Payment_Frequency="Yearly", DATE(YEAR(L1119) + 1, MONTH(L1119), DAY(L1119)),
    TRUE, ""
)</f>
        <v/>
      </c>
      <c r="M1120" s="1853">
        <f>IF(ISERROR(L1120-L1119),0,L1120-L1119)</f>
        <v>0</v>
      </c>
      <c r="N1120" s="1851" cm="1">
        <f t="array" ref="N1120">_xlfn.IFS(
    AND(I1120=TRUE, K1120&lt;=No_Regular_Payments), Repay_Amt,
    AND(I1120=TRUE, K1120=No_Regular_Payments+1), Tm_Balloon_Amt,
   TRUE, 0
)</f>
        <v>0</v>
      </c>
      <c r="O1120" s="1850" cm="1">
        <f t="array" ref="O1120">_xlfn.IFS(
    M1120=0,0,
   ABS(N1120 - S1119 - P1120-Q1120) &lt; 1, N1120 - S1119-Q1120,
    TRUE, P1120
)</f>
        <v>0</v>
      </c>
      <c r="P1120" s="1852">
        <f>IF(M1120=0,0,ROUND(S1119*EXP(Int_Rate/365.25 * M1120)-S1119,2))</f>
        <v>0</v>
      </c>
      <c r="Q1120" s="1851" cm="1">
        <f t="array" ref="Q1120">_xlfn.IFS(
    AND(I1120=TRUE, K1120&lt;=No_Regular_Payments), Periodic_Admin_Charge,
   TRUE, 0
)</f>
        <v>0</v>
      </c>
      <c r="R1120" s="1850">
        <f>N1120-O1120-Q1120</f>
        <v>0</v>
      </c>
      <c r="S1120" s="1850">
        <f>ROUND(S1119-R1120,2)</f>
        <v>0</v>
      </c>
      <c r="T1120" s="1850">
        <f>ROUND(T1119-(N1120-Q1120),2)</f>
        <v>0</v>
      </c>
      <c r="U1120" s="1849"/>
      <c r="W1120" s="1848"/>
      <c r="X1120" s="1848"/>
      <c r="Y1120" s="1848"/>
    </row>
    <row r="1121" spans="2:25" hidden="1">
      <c r="B1121" s="1815" t="b">
        <f>AND(I1121=FALSE,N1120=0,Q1120=0,L1120="")</f>
        <v>1</v>
      </c>
      <c r="C1121" s="1844" t="str" cm="1">
        <f t="array" ref="C1121">_xlfn.IFS(
    L1121="", "",
    MONTH(L1121) &lt;= End_of_Year_Month, YEAR(L1121),
    TRUE, YEAR(L1121) + 1
)</f>
        <v/>
      </c>
      <c r="F1121" s="1857">
        <f>IF(L1121="",0,L1121)</f>
        <v>0</v>
      </c>
      <c r="G1121" s="1856">
        <f>-(N1121-Q1121)</f>
        <v>0</v>
      </c>
      <c r="I1121" s="1815" t="b">
        <f>K1121&lt;=Number_Payments</f>
        <v>0</v>
      </c>
      <c r="J1121" s="1855"/>
      <c r="K1121" s="1351">
        <f>K1120+1</f>
        <v>995</v>
      </c>
      <c r="L1121" s="1854" t="str" cm="1">
        <f t="array" ref="L1121">_xlfn.IFS(
    I1120=FALSE, "",
    Payment_Frequency="Monthly", EDATE(L1120, 1),
    Payment_Frequency="Weekly", DATE(YEAR(L1120), MONTH(L1120), DAY(L1120) + 7),
    Payment_Frequency="Fortnightly", DATE(YEAR(L1120), MONTH(L1120), DAY(L1120) + 14),
    Payment_Frequency="Quarterly", DATE(YEAR(L1120), MONTH(L1120) + 3, DAY(L1120)),
    Payment_Frequency="Yearly", DATE(YEAR(L1120) + 1, MONTH(L1120), DAY(L1120)),
    TRUE, ""
)</f>
        <v/>
      </c>
      <c r="M1121" s="1853">
        <f>IF(ISERROR(L1121-L1120),0,L1121-L1120)</f>
        <v>0</v>
      </c>
      <c r="N1121" s="1851" cm="1">
        <f t="array" ref="N1121">_xlfn.IFS(
    AND(I1121=TRUE, K1121&lt;=No_Regular_Payments), Repay_Amt,
    AND(I1121=TRUE, K1121=No_Regular_Payments+1), Tm_Balloon_Amt,
   TRUE, 0
)</f>
        <v>0</v>
      </c>
      <c r="O1121" s="1850" cm="1">
        <f t="array" ref="O1121">_xlfn.IFS(
    M1121=0,0,
   ABS(N1121 - S1120 - P1121-Q1121) &lt; 1, N1121 - S1120-Q1121,
    TRUE, P1121
)</f>
        <v>0</v>
      </c>
      <c r="P1121" s="1852">
        <f>IF(M1121=0,0,ROUND(S1120*EXP(Int_Rate/365.25 * M1121)-S1120,2))</f>
        <v>0</v>
      </c>
      <c r="Q1121" s="1851" cm="1">
        <f t="array" ref="Q1121">_xlfn.IFS(
    AND(I1121=TRUE, K1121&lt;=No_Regular_Payments), Periodic_Admin_Charge,
   TRUE, 0
)</f>
        <v>0</v>
      </c>
      <c r="R1121" s="1850">
        <f>N1121-O1121-Q1121</f>
        <v>0</v>
      </c>
      <c r="S1121" s="1850">
        <f>ROUND(S1120-R1121,2)</f>
        <v>0</v>
      </c>
      <c r="T1121" s="1850">
        <f>ROUND(T1120-(N1121-Q1121),2)</f>
        <v>0</v>
      </c>
      <c r="U1121" s="1849"/>
      <c r="W1121" s="1848"/>
      <c r="X1121" s="1848"/>
      <c r="Y1121" s="1848"/>
    </row>
    <row r="1122" spans="2:25" hidden="1">
      <c r="B1122" s="1815" t="b">
        <f>AND(I1122=FALSE,N1121=0,Q1121=0,L1121="")</f>
        <v>1</v>
      </c>
      <c r="C1122" s="1844" t="str" cm="1">
        <f t="array" ref="C1122">_xlfn.IFS(
    L1122="", "",
    MONTH(L1122) &lt;= End_of_Year_Month, YEAR(L1122),
    TRUE, YEAR(L1122) + 1
)</f>
        <v/>
      </c>
      <c r="F1122" s="1857">
        <f>IF(L1122="",0,L1122)</f>
        <v>0</v>
      </c>
      <c r="G1122" s="1856">
        <f>-(N1122-Q1122)</f>
        <v>0</v>
      </c>
      <c r="I1122" s="1815" t="b">
        <f>K1122&lt;=Number_Payments</f>
        <v>0</v>
      </c>
      <c r="J1122" s="1855"/>
      <c r="K1122" s="1351">
        <f>K1121+1</f>
        <v>996</v>
      </c>
      <c r="L1122" s="1854" t="str" cm="1">
        <f t="array" ref="L1122">_xlfn.IFS(
    I1121=FALSE, "",
    Payment_Frequency="Monthly", EDATE(L1121, 1),
    Payment_Frequency="Weekly", DATE(YEAR(L1121), MONTH(L1121), DAY(L1121) + 7),
    Payment_Frequency="Fortnightly", DATE(YEAR(L1121), MONTH(L1121), DAY(L1121) + 14),
    Payment_Frequency="Quarterly", DATE(YEAR(L1121), MONTH(L1121) + 3, DAY(L1121)),
    Payment_Frequency="Yearly", DATE(YEAR(L1121) + 1, MONTH(L1121), DAY(L1121)),
    TRUE, ""
)</f>
        <v/>
      </c>
      <c r="M1122" s="1853">
        <f>IF(ISERROR(L1122-L1121),0,L1122-L1121)</f>
        <v>0</v>
      </c>
      <c r="N1122" s="1851" cm="1">
        <f t="array" ref="N1122">_xlfn.IFS(
    AND(I1122=TRUE, K1122&lt;=No_Regular_Payments), Repay_Amt,
    AND(I1122=TRUE, K1122=No_Regular_Payments+1), Tm_Balloon_Amt,
   TRUE, 0
)</f>
        <v>0</v>
      </c>
      <c r="O1122" s="1850" cm="1">
        <f t="array" ref="O1122">_xlfn.IFS(
    M1122=0,0,
   ABS(N1122 - S1121 - P1122-Q1122) &lt; 1, N1122 - S1121-Q1122,
    TRUE, P1122
)</f>
        <v>0</v>
      </c>
      <c r="P1122" s="1852">
        <f>IF(M1122=0,0,ROUND(S1121*EXP(Int_Rate/365.25 * M1122)-S1121,2))</f>
        <v>0</v>
      </c>
      <c r="Q1122" s="1851" cm="1">
        <f t="array" ref="Q1122">_xlfn.IFS(
    AND(I1122=TRUE, K1122&lt;=No_Regular_Payments), Periodic_Admin_Charge,
   TRUE, 0
)</f>
        <v>0</v>
      </c>
      <c r="R1122" s="1850">
        <f>N1122-O1122-Q1122</f>
        <v>0</v>
      </c>
      <c r="S1122" s="1850">
        <f>ROUND(S1121-R1122,2)</f>
        <v>0</v>
      </c>
      <c r="T1122" s="1850">
        <f>ROUND(T1121-(N1122-Q1122),2)</f>
        <v>0</v>
      </c>
      <c r="U1122" s="1849"/>
      <c r="W1122" s="1848"/>
      <c r="X1122" s="1848"/>
      <c r="Y1122" s="1848"/>
    </row>
    <row r="1123" spans="2:25" hidden="1">
      <c r="B1123" s="1815" t="b">
        <f>AND(I1123=FALSE,N1122=0,Q1122=0,L1122="")</f>
        <v>1</v>
      </c>
      <c r="C1123" s="1844" t="str" cm="1">
        <f t="array" ref="C1123">_xlfn.IFS(
    L1123="", "",
    MONTH(L1123) &lt;= End_of_Year_Month, YEAR(L1123),
    TRUE, YEAR(L1123) + 1
)</f>
        <v/>
      </c>
      <c r="F1123" s="1857">
        <f>IF(L1123="",0,L1123)</f>
        <v>0</v>
      </c>
      <c r="G1123" s="1856">
        <f>-(N1123-Q1123)</f>
        <v>0</v>
      </c>
      <c r="I1123" s="1815" t="b">
        <f>K1123&lt;=Number_Payments</f>
        <v>0</v>
      </c>
      <c r="J1123" s="1855"/>
      <c r="K1123" s="1351">
        <f>K1122+1</f>
        <v>997</v>
      </c>
      <c r="L1123" s="1854" t="str" cm="1">
        <f t="array" ref="L1123">_xlfn.IFS(
    I1122=FALSE, "",
    Payment_Frequency="Monthly", EDATE(L1122, 1),
    Payment_Frequency="Weekly", DATE(YEAR(L1122), MONTH(L1122), DAY(L1122) + 7),
    Payment_Frequency="Fortnightly", DATE(YEAR(L1122), MONTH(L1122), DAY(L1122) + 14),
    Payment_Frequency="Quarterly", DATE(YEAR(L1122), MONTH(L1122) + 3, DAY(L1122)),
    Payment_Frequency="Yearly", DATE(YEAR(L1122) + 1, MONTH(L1122), DAY(L1122)),
    TRUE, ""
)</f>
        <v/>
      </c>
      <c r="M1123" s="1853">
        <f>IF(ISERROR(L1123-L1122),0,L1123-L1122)</f>
        <v>0</v>
      </c>
      <c r="N1123" s="1851" cm="1">
        <f t="array" ref="N1123">_xlfn.IFS(
    AND(I1123=TRUE, K1123&lt;=No_Regular_Payments), Repay_Amt,
    AND(I1123=TRUE, K1123=No_Regular_Payments+1), Tm_Balloon_Amt,
   TRUE, 0
)</f>
        <v>0</v>
      </c>
      <c r="O1123" s="1850" cm="1">
        <f t="array" ref="O1123">_xlfn.IFS(
    M1123=0,0,
   ABS(N1123 - S1122 - P1123-Q1123) &lt; 1, N1123 - S1122-Q1123,
    TRUE, P1123
)</f>
        <v>0</v>
      </c>
      <c r="P1123" s="1852">
        <f>IF(M1123=0,0,ROUND(S1122*EXP(Int_Rate/365.25 * M1123)-S1122,2))</f>
        <v>0</v>
      </c>
      <c r="Q1123" s="1851" cm="1">
        <f t="array" ref="Q1123">_xlfn.IFS(
    AND(I1123=TRUE, K1123&lt;=No_Regular_Payments), Periodic_Admin_Charge,
   TRUE, 0
)</f>
        <v>0</v>
      </c>
      <c r="R1123" s="1850">
        <f>N1123-O1123-Q1123</f>
        <v>0</v>
      </c>
      <c r="S1123" s="1850">
        <f>ROUND(S1122-R1123,2)</f>
        <v>0</v>
      </c>
      <c r="T1123" s="1850">
        <f>ROUND(T1122-(N1123-Q1123),2)</f>
        <v>0</v>
      </c>
      <c r="U1123" s="1849"/>
      <c r="W1123" s="1848"/>
      <c r="X1123" s="1848"/>
      <c r="Y1123" s="1848"/>
    </row>
    <row r="1124" spans="2:25" hidden="1">
      <c r="B1124" s="1815" t="b">
        <f>AND(I1124=FALSE,N1123=0,Q1123=0,L1123="")</f>
        <v>1</v>
      </c>
      <c r="C1124" s="1844" t="str" cm="1">
        <f t="array" ref="C1124">_xlfn.IFS(
    L1124="", "",
    MONTH(L1124) &lt;= End_of_Year_Month, YEAR(L1124),
    TRUE, YEAR(L1124) + 1
)</f>
        <v/>
      </c>
      <c r="F1124" s="1857">
        <f>IF(L1124="",0,L1124)</f>
        <v>0</v>
      </c>
      <c r="G1124" s="1856">
        <f>-(N1124-Q1124)</f>
        <v>0</v>
      </c>
      <c r="I1124" s="1815" t="b">
        <f>K1124&lt;=Number_Payments</f>
        <v>0</v>
      </c>
      <c r="J1124" s="1855"/>
      <c r="K1124" s="1351">
        <f>K1123+1</f>
        <v>998</v>
      </c>
      <c r="L1124" s="1854" t="str" cm="1">
        <f t="array" ref="L1124">_xlfn.IFS(
    I1123=FALSE, "",
    Payment_Frequency="Monthly", EDATE(L1123, 1),
    Payment_Frequency="Weekly", DATE(YEAR(L1123), MONTH(L1123), DAY(L1123) + 7),
    Payment_Frequency="Fortnightly", DATE(YEAR(L1123), MONTH(L1123), DAY(L1123) + 14),
    Payment_Frequency="Quarterly", DATE(YEAR(L1123), MONTH(L1123) + 3, DAY(L1123)),
    Payment_Frequency="Yearly", DATE(YEAR(L1123) + 1, MONTH(L1123), DAY(L1123)),
    TRUE, ""
)</f>
        <v/>
      </c>
      <c r="M1124" s="1853">
        <f>IF(ISERROR(L1124-L1123),0,L1124-L1123)</f>
        <v>0</v>
      </c>
      <c r="N1124" s="1851" cm="1">
        <f t="array" ref="N1124">_xlfn.IFS(
    AND(I1124=TRUE, K1124&lt;=No_Regular_Payments), Repay_Amt,
    AND(I1124=TRUE, K1124=No_Regular_Payments+1), Tm_Balloon_Amt,
   TRUE, 0
)</f>
        <v>0</v>
      </c>
      <c r="O1124" s="1850" cm="1">
        <f t="array" ref="O1124">_xlfn.IFS(
    M1124=0,0,
   ABS(N1124 - S1123 - P1124-Q1124) &lt; 1, N1124 - S1123-Q1124,
    TRUE, P1124
)</f>
        <v>0</v>
      </c>
      <c r="P1124" s="1852">
        <f>IF(M1124=0,0,ROUND(S1123*EXP(Int_Rate/365.25 * M1124)-S1123,2))</f>
        <v>0</v>
      </c>
      <c r="Q1124" s="1851" cm="1">
        <f t="array" ref="Q1124">_xlfn.IFS(
    AND(I1124=TRUE, K1124&lt;=No_Regular_Payments), Periodic_Admin_Charge,
   TRUE, 0
)</f>
        <v>0</v>
      </c>
      <c r="R1124" s="1850">
        <f>N1124-O1124-Q1124</f>
        <v>0</v>
      </c>
      <c r="S1124" s="1850">
        <f>ROUND(S1123-R1124,2)</f>
        <v>0</v>
      </c>
      <c r="T1124" s="1850">
        <f>ROUND(T1123-(N1124-Q1124),2)</f>
        <v>0</v>
      </c>
      <c r="U1124" s="1849"/>
      <c r="W1124" s="1848"/>
      <c r="X1124" s="1848"/>
      <c r="Y1124" s="1848"/>
    </row>
    <row r="1125" spans="2:25" hidden="1">
      <c r="B1125" s="1815" t="b">
        <f>AND(I1125=FALSE,N1124=0,Q1124=0,L1124="")</f>
        <v>1</v>
      </c>
      <c r="C1125" s="1844" t="str" cm="1">
        <f t="array" ref="C1125">_xlfn.IFS(
    L1125="", "",
    MONTH(L1125) &lt;= End_of_Year_Month, YEAR(L1125),
    TRUE, YEAR(L1125) + 1
)</f>
        <v/>
      </c>
      <c r="F1125" s="1857">
        <f>IF(L1125="",0,L1125)</f>
        <v>0</v>
      </c>
      <c r="G1125" s="1856">
        <f>-(N1125-Q1125)</f>
        <v>0</v>
      </c>
      <c r="I1125" s="1815" t="b">
        <f>K1125&lt;=Number_Payments</f>
        <v>0</v>
      </c>
      <c r="J1125" s="1855"/>
      <c r="K1125" s="1351">
        <f>K1124+1</f>
        <v>999</v>
      </c>
      <c r="L1125" s="1854" t="str" cm="1">
        <f t="array" ref="L1125">_xlfn.IFS(
    I1124=FALSE, "",
    Payment_Frequency="Monthly", EDATE(L1124, 1),
    Payment_Frequency="Weekly", DATE(YEAR(L1124), MONTH(L1124), DAY(L1124) + 7),
    Payment_Frequency="Fortnightly", DATE(YEAR(L1124), MONTH(L1124), DAY(L1124) + 14),
    Payment_Frequency="Quarterly", DATE(YEAR(L1124), MONTH(L1124) + 3, DAY(L1124)),
    Payment_Frequency="Yearly", DATE(YEAR(L1124) + 1, MONTH(L1124), DAY(L1124)),
    TRUE, ""
)</f>
        <v/>
      </c>
      <c r="M1125" s="1853">
        <f>IF(ISERROR(L1125-L1124),0,L1125-L1124)</f>
        <v>0</v>
      </c>
      <c r="N1125" s="1851" cm="1">
        <f t="array" ref="N1125">_xlfn.IFS(
    AND(I1125=TRUE, K1125&lt;=No_Regular_Payments), Repay_Amt,
    AND(I1125=TRUE, K1125=No_Regular_Payments+1), Tm_Balloon_Amt,
   TRUE, 0
)</f>
        <v>0</v>
      </c>
      <c r="O1125" s="1850" cm="1">
        <f t="array" ref="O1125">_xlfn.IFS(
    M1125=0,0,
   ABS(N1125 - S1124 - P1125-Q1125) &lt; 1, N1125 - S1124-Q1125,
    TRUE, P1125
)</f>
        <v>0</v>
      </c>
      <c r="P1125" s="1852">
        <f>IF(M1125=0,0,ROUND(S1124*EXP(Int_Rate/365.25 * M1125)-S1124,2))</f>
        <v>0</v>
      </c>
      <c r="Q1125" s="1851" cm="1">
        <f t="array" ref="Q1125">_xlfn.IFS(
    AND(I1125=TRUE, K1125&lt;=No_Regular_Payments), Periodic_Admin_Charge,
   TRUE, 0
)</f>
        <v>0</v>
      </c>
      <c r="R1125" s="1850">
        <f>N1125-O1125-Q1125</f>
        <v>0</v>
      </c>
      <c r="S1125" s="1850">
        <f>ROUND(S1124-R1125,2)</f>
        <v>0</v>
      </c>
      <c r="T1125" s="1850">
        <f>ROUND(T1124-(N1125-Q1125),2)</f>
        <v>0</v>
      </c>
      <c r="U1125" s="1849"/>
      <c r="W1125" s="1848"/>
      <c r="X1125" s="1848"/>
      <c r="Y1125" s="1848"/>
    </row>
    <row r="1126" spans="2:25" hidden="1">
      <c r="B1126" s="1815" t="b">
        <f>AND(I1126=FALSE,N1125=0,Q1125=0,L1125="")</f>
        <v>1</v>
      </c>
      <c r="C1126" s="1844" t="str" cm="1">
        <f t="array" ref="C1126">_xlfn.IFS(
    L1126="", "",
    MONTH(L1126) &lt;= End_of_Year_Month, YEAR(L1126),
    TRUE, YEAR(L1126) + 1
)</f>
        <v/>
      </c>
      <c r="F1126" s="1857">
        <f>IF(L1126="",0,L1126)</f>
        <v>0</v>
      </c>
      <c r="G1126" s="1856">
        <f>-(N1126-Q1126)</f>
        <v>0</v>
      </c>
      <c r="I1126" s="1815" t="b">
        <f>K1126&lt;=Number_Payments</f>
        <v>0</v>
      </c>
      <c r="J1126" s="1855"/>
      <c r="K1126" s="1351">
        <f>K1125+1</f>
        <v>1000</v>
      </c>
      <c r="L1126" s="1854" t="str" cm="1">
        <f t="array" ref="L1126">_xlfn.IFS(
    I1125=FALSE, "",
    Payment_Frequency="Monthly", EDATE(L1125, 1),
    Payment_Frequency="Weekly", DATE(YEAR(L1125), MONTH(L1125), DAY(L1125) + 7),
    Payment_Frequency="Fortnightly", DATE(YEAR(L1125), MONTH(L1125), DAY(L1125) + 14),
    Payment_Frequency="Quarterly", DATE(YEAR(L1125), MONTH(L1125) + 3, DAY(L1125)),
    Payment_Frequency="Yearly", DATE(YEAR(L1125) + 1, MONTH(L1125), DAY(L1125)),
    TRUE, ""
)</f>
        <v/>
      </c>
      <c r="M1126" s="1853">
        <f>IF(ISERROR(L1126-L1125),0,L1126-L1125)</f>
        <v>0</v>
      </c>
      <c r="N1126" s="1851" cm="1">
        <f t="array" ref="N1126">_xlfn.IFS(
    AND(I1126=TRUE, K1126&lt;=No_Regular_Payments), Repay_Amt,
    AND(I1126=TRUE, K1126=No_Regular_Payments+1), Tm_Balloon_Amt,
   TRUE, 0
)</f>
        <v>0</v>
      </c>
      <c r="O1126" s="1850" cm="1">
        <f t="array" ref="O1126">_xlfn.IFS(
    M1126=0,0,
   ABS(N1126 - S1125 - P1126-Q1126) &lt; 1, N1126 - S1125-Q1126,
    TRUE, P1126
)</f>
        <v>0</v>
      </c>
      <c r="P1126" s="1852">
        <f>IF(M1126=0,0,ROUND(S1125*EXP(Int_Rate/365.25 * M1126)-S1125,2))</f>
        <v>0</v>
      </c>
      <c r="Q1126" s="1851" cm="1">
        <f t="array" ref="Q1126">_xlfn.IFS(
    AND(I1126=TRUE, K1126&lt;=No_Regular_Payments), Periodic_Admin_Charge,
   TRUE, 0
)</f>
        <v>0</v>
      </c>
      <c r="R1126" s="1850">
        <f>N1126-O1126-Q1126</f>
        <v>0</v>
      </c>
      <c r="S1126" s="1850">
        <f>ROUND(S1125-R1126,2)</f>
        <v>0</v>
      </c>
      <c r="T1126" s="1850">
        <f>ROUND(T1125-(N1126-Q1126),2)</f>
        <v>0</v>
      </c>
      <c r="U1126" s="1849"/>
      <c r="W1126" s="1848"/>
      <c r="X1126" s="1848"/>
      <c r="Y1126" s="1848"/>
    </row>
    <row r="1127" spans="2:25" hidden="1">
      <c r="B1127" s="1815" t="b">
        <f>AND(I1127=FALSE,N1126=0,Q1126=0,L1126="")</f>
        <v>1</v>
      </c>
      <c r="C1127" s="1844" t="str" cm="1">
        <f t="array" ref="C1127">_xlfn.IFS(
    L1127="", "",
    MONTH(L1127) &lt;= End_of_Year_Month, YEAR(L1127),
    TRUE, YEAR(L1127) + 1
)</f>
        <v/>
      </c>
      <c r="F1127" s="1857">
        <f>IF(L1127="",0,L1127)</f>
        <v>0</v>
      </c>
      <c r="G1127" s="1856">
        <f>-(N1127-Q1127)</f>
        <v>0</v>
      </c>
      <c r="I1127" s="1815" t="b">
        <f>K1127&lt;=Number_Payments</f>
        <v>0</v>
      </c>
      <c r="J1127" s="1855"/>
      <c r="K1127" s="1351">
        <f>K1126+1</f>
        <v>1001</v>
      </c>
      <c r="L1127" s="1854" t="str" cm="1">
        <f t="array" ref="L1127">_xlfn.IFS(
    I1126=FALSE, "",
    Payment_Frequency="Monthly", EDATE(L1126, 1),
    Payment_Frequency="Weekly", DATE(YEAR(L1126), MONTH(L1126), DAY(L1126) + 7),
    Payment_Frequency="Fortnightly", DATE(YEAR(L1126), MONTH(L1126), DAY(L1126) + 14),
    Payment_Frequency="Quarterly", DATE(YEAR(L1126), MONTH(L1126) + 3, DAY(L1126)),
    Payment_Frequency="Yearly", DATE(YEAR(L1126) + 1, MONTH(L1126), DAY(L1126)),
    TRUE, ""
)</f>
        <v/>
      </c>
      <c r="M1127" s="1853">
        <f>IF(ISERROR(L1127-L1126),0,L1127-L1126)</f>
        <v>0</v>
      </c>
      <c r="N1127" s="1851" cm="1">
        <f t="array" ref="N1127">_xlfn.IFS(
    AND(I1127=TRUE, K1127&lt;=No_Regular_Payments), Repay_Amt,
    AND(I1127=TRUE, K1127=No_Regular_Payments+1), Tm_Balloon_Amt,
   TRUE, 0
)</f>
        <v>0</v>
      </c>
      <c r="O1127" s="1850" cm="1">
        <f t="array" ref="O1127">_xlfn.IFS(
    M1127=0,0,
   ABS(N1127 - S1126 - P1127-Q1127) &lt; 1, N1127 - S1126-Q1127,
    TRUE, P1127
)</f>
        <v>0</v>
      </c>
      <c r="P1127" s="1852">
        <f>IF(M1127=0,0,ROUND(S1126*EXP(Int_Rate/365.25 * M1127)-S1126,2))</f>
        <v>0</v>
      </c>
      <c r="Q1127" s="1851" cm="1">
        <f t="array" ref="Q1127">_xlfn.IFS(
    AND(I1127=TRUE, K1127&lt;=No_Regular_Payments), Periodic_Admin_Charge,
   TRUE, 0
)</f>
        <v>0</v>
      </c>
      <c r="R1127" s="1850">
        <f>N1127-O1127-Q1127</f>
        <v>0</v>
      </c>
      <c r="S1127" s="1850">
        <f>ROUND(S1126-R1127,2)</f>
        <v>0</v>
      </c>
      <c r="T1127" s="1850">
        <f>ROUND(T1126-(N1127-Q1127),2)</f>
        <v>0</v>
      </c>
      <c r="U1127" s="1849"/>
      <c r="W1127" s="1848"/>
      <c r="X1127" s="1848"/>
      <c r="Y1127" s="1848"/>
    </row>
    <row r="1128" spans="2:25" hidden="1">
      <c r="B1128" s="1815" t="b">
        <f>AND(I1128=FALSE,N1127=0,Q1127=0,L1127="")</f>
        <v>1</v>
      </c>
      <c r="C1128" s="1844" t="str" cm="1">
        <f t="array" ref="C1128">_xlfn.IFS(
    L1128="", "",
    MONTH(L1128) &lt;= End_of_Year_Month, YEAR(L1128),
    TRUE, YEAR(L1128) + 1
)</f>
        <v/>
      </c>
      <c r="F1128" s="1857">
        <f>IF(L1128="",0,L1128)</f>
        <v>0</v>
      </c>
      <c r="G1128" s="1856">
        <f>-(N1128-Q1128)</f>
        <v>0</v>
      </c>
      <c r="I1128" s="1815" t="b">
        <f>K1128&lt;=Number_Payments</f>
        <v>0</v>
      </c>
      <c r="J1128" s="1855"/>
      <c r="K1128" s="1351">
        <f>K1127+1</f>
        <v>1002</v>
      </c>
      <c r="L1128" s="1854" t="str" cm="1">
        <f t="array" ref="L1128">_xlfn.IFS(
    I1127=FALSE, "",
    Payment_Frequency="Monthly", EDATE(L1127, 1),
    Payment_Frequency="Weekly", DATE(YEAR(L1127), MONTH(L1127), DAY(L1127) + 7),
    Payment_Frequency="Fortnightly", DATE(YEAR(L1127), MONTH(L1127), DAY(L1127) + 14),
    Payment_Frequency="Quarterly", DATE(YEAR(L1127), MONTH(L1127) + 3, DAY(L1127)),
    Payment_Frequency="Yearly", DATE(YEAR(L1127) + 1, MONTH(L1127), DAY(L1127)),
    TRUE, ""
)</f>
        <v/>
      </c>
      <c r="M1128" s="1853">
        <f>IF(ISERROR(L1128-L1127),0,L1128-L1127)</f>
        <v>0</v>
      </c>
      <c r="N1128" s="1851" cm="1">
        <f t="array" ref="N1128">_xlfn.IFS(
    AND(I1128=TRUE, K1128&lt;=No_Regular_Payments), Repay_Amt,
    AND(I1128=TRUE, K1128=No_Regular_Payments+1), Tm_Balloon_Amt,
   TRUE, 0
)</f>
        <v>0</v>
      </c>
      <c r="O1128" s="1850" cm="1">
        <f t="array" ref="O1128">_xlfn.IFS(
    M1128=0,0,
   ABS(N1128 - S1127 - P1128-Q1128) &lt; 1, N1128 - S1127-Q1128,
    TRUE, P1128
)</f>
        <v>0</v>
      </c>
      <c r="P1128" s="1852">
        <f>IF(M1128=0,0,ROUND(S1127*EXP(Int_Rate/365.25 * M1128)-S1127,2))</f>
        <v>0</v>
      </c>
      <c r="Q1128" s="1851" cm="1">
        <f t="array" ref="Q1128">_xlfn.IFS(
    AND(I1128=TRUE, K1128&lt;=No_Regular_Payments), Periodic_Admin_Charge,
   TRUE, 0
)</f>
        <v>0</v>
      </c>
      <c r="R1128" s="1850">
        <f>N1128-O1128-Q1128</f>
        <v>0</v>
      </c>
      <c r="S1128" s="1850">
        <f>ROUND(S1127-R1128,2)</f>
        <v>0</v>
      </c>
      <c r="T1128" s="1850">
        <f>ROUND(T1127-(N1128-Q1128),2)</f>
        <v>0</v>
      </c>
      <c r="U1128" s="1849"/>
      <c r="W1128" s="1848"/>
      <c r="X1128" s="1848"/>
      <c r="Y1128" s="1848"/>
    </row>
    <row r="1129" spans="2:25" hidden="1">
      <c r="B1129" s="1815" t="b">
        <f>AND(I1129=FALSE,N1128=0,Q1128=0,L1128="")</f>
        <v>1</v>
      </c>
      <c r="C1129" s="1844" t="str" cm="1">
        <f t="array" ref="C1129">_xlfn.IFS(
    L1129="", "",
    MONTH(L1129) &lt;= End_of_Year_Month, YEAR(L1129),
    TRUE, YEAR(L1129) + 1
)</f>
        <v/>
      </c>
      <c r="F1129" s="1857">
        <f>IF(L1129="",0,L1129)</f>
        <v>0</v>
      </c>
      <c r="G1129" s="1856">
        <f>-(N1129-Q1129)</f>
        <v>0</v>
      </c>
      <c r="I1129" s="1815" t="b">
        <f>K1129&lt;=Number_Payments</f>
        <v>0</v>
      </c>
      <c r="J1129" s="1855"/>
      <c r="K1129" s="1351">
        <f>K1128+1</f>
        <v>1003</v>
      </c>
      <c r="L1129" s="1854" t="str" cm="1">
        <f t="array" ref="L1129">_xlfn.IFS(
    I1128=FALSE, "",
    Payment_Frequency="Monthly", EDATE(L1128, 1),
    Payment_Frequency="Weekly", DATE(YEAR(L1128), MONTH(L1128), DAY(L1128) + 7),
    Payment_Frequency="Fortnightly", DATE(YEAR(L1128), MONTH(L1128), DAY(L1128) + 14),
    Payment_Frequency="Quarterly", DATE(YEAR(L1128), MONTH(L1128) + 3, DAY(L1128)),
    Payment_Frequency="Yearly", DATE(YEAR(L1128) + 1, MONTH(L1128), DAY(L1128)),
    TRUE, ""
)</f>
        <v/>
      </c>
      <c r="M1129" s="1853">
        <f>IF(ISERROR(L1129-L1128),0,L1129-L1128)</f>
        <v>0</v>
      </c>
      <c r="N1129" s="1851" cm="1">
        <f t="array" ref="N1129">_xlfn.IFS(
    AND(I1129=TRUE, K1129&lt;=No_Regular_Payments), Repay_Amt,
    AND(I1129=TRUE, K1129=No_Regular_Payments+1), Tm_Balloon_Amt,
   TRUE, 0
)</f>
        <v>0</v>
      </c>
      <c r="O1129" s="1850" cm="1">
        <f t="array" ref="O1129">_xlfn.IFS(
    M1129=0,0,
   ABS(N1129 - S1128 - P1129-Q1129) &lt; 1, N1129 - S1128-Q1129,
    TRUE, P1129
)</f>
        <v>0</v>
      </c>
      <c r="P1129" s="1852">
        <f>IF(M1129=0,0,ROUND(S1128*EXP(Int_Rate/365.25 * M1129)-S1128,2))</f>
        <v>0</v>
      </c>
      <c r="Q1129" s="1851" cm="1">
        <f t="array" ref="Q1129">_xlfn.IFS(
    AND(I1129=TRUE, K1129&lt;=No_Regular_Payments), Periodic_Admin_Charge,
   TRUE, 0
)</f>
        <v>0</v>
      </c>
      <c r="R1129" s="1850">
        <f>N1129-O1129-Q1129</f>
        <v>0</v>
      </c>
      <c r="S1129" s="1850">
        <f>ROUND(S1128-R1129,2)</f>
        <v>0</v>
      </c>
      <c r="T1129" s="1850">
        <f>ROUND(T1128-(N1129-Q1129),2)</f>
        <v>0</v>
      </c>
      <c r="U1129" s="1849"/>
      <c r="W1129" s="1848"/>
      <c r="X1129" s="1848"/>
      <c r="Y1129" s="1848"/>
    </row>
    <row r="1130" spans="2:25" hidden="1">
      <c r="B1130" s="1815" t="b">
        <f>AND(I1130=FALSE,N1129=0,Q1129=0,L1129="")</f>
        <v>1</v>
      </c>
      <c r="C1130" s="1844" t="str" cm="1">
        <f t="array" ref="C1130">_xlfn.IFS(
    L1130="", "",
    MONTH(L1130) &lt;= End_of_Year_Month, YEAR(L1130),
    TRUE, YEAR(L1130) + 1
)</f>
        <v/>
      </c>
      <c r="F1130" s="1857">
        <f>IF(L1130="",0,L1130)</f>
        <v>0</v>
      </c>
      <c r="G1130" s="1856">
        <f>-(N1130-Q1130)</f>
        <v>0</v>
      </c>
      <c r="I1130" s="1815" t="b">
        <f>K1130&lt;=Number_Payments</f>
        <v>0</v>
      </c>
      <c r="J1130" s="1855"/>
      <c r="K1130" s="1351">
        <f>K1129+1</f>
        <v>1004</v>
      </c>
      <c r="L1130" s="1854" t="str" cm="1">
        <f t="array" ref="L1130">_xlfn.IFS(
    I1129=FALSE, "",
    Payment_Frequency="Monthly", EDATE(L1129, 1),
    Payment_Frequency="Weekly", DATE(YEAR(L1129), MONTH(L1129), DAY(L1129) + 7),
    Payment_Frequency="Fortnightly", DATE(YEAR(L1129), MONTH(L1129), DAY(L1129) + 14),
    Payment_Frequency="Quarterly", DATE(YEAR(L1129), MONTH(L1129) + 3, DAY(L1129)),
    Payment_Frequency="Yearly", DATE(YEAR(L1129) + 1, MONTH(L1129), DAY(L1129)),
    TRUE, ""
)</f>
        <v/>
      </c>
      <c r="M1130" s="1853">
        <f>IF(ISERROR(L1130-L1129),0,L1130-L1129)</f>
        <v>0</v>
      </c>
      <c r="N1130" s="1851" cm="1">
        <f t="array" ref="N1130">_xlfn.IFS(
    AND(I1130=TRUE, K1130&lt;=No_Regular_Payments), Repay_Amt,
    AND(I1130=TRUE, K1130=No_Regular_Payments+1), Tm_Balloon_Amt,
   TRUE, 0
)</f>
        <v>0</v>
      </c>
      <c r="O1130" s="1850" cm="1">
        <f t="array" ref="O1130">_xlfn.IFS(
    M1130=0,0,
   ABS(N1130 - S1129 - P1130-Q1130) &lt; 1, N1130 - S1129-Q1130,
    TRUE, P1130
)</f>
        <v>0</v>
      </c>
      <c r="P1130" s="1852">
        <f>IF(M1130=0,0,ROUND(S1129*EXP(Int_Rate/365.25 * M1130)-S1129,2))</f>
        <v>0</v>
      </c>
      <c r="Q1130" s="1851" cm="1">
        <f t="array" ref="Q1130">_xlfn.IFS(
    AND(I1130=TRUE, K1130&lt;=No_Regular_Payments), Periodic_Admin_Charge,
   TRUE, 0
)</f>
        <v>0</v>
      </c>
      <c r="R1130" s="1850">
        <f>N1130-O1130-Q1130</f>
        <v>0</v>
      </c>
      <c r="S1130" s="1850">
        <f>ROUND(S1129-R1130,2)</f>
        <v>0</v>
      </c>
      <c r="T1130" s="1850">
        <f>ROUND(T1129-(N1130-Q1130),2)</f>
        <v>0</v>
      </c>
      <c r="U1130" s="1849"/>
      <c r="W1130" s="1848"/>
      <c r="X1130" s="1848"/>
      <c r="Y1130" s="1848"/>
    </row>
    <row r="1131" spans="2:25" hidden="1">
      <c r="B1131" s="1815" t="b">
        <f>AND(I1131=FALSE,N1130=0,Q1130=0,L1130="")</f>
        <v>1</v>
      </c>
      <c r="C1131" s="1844" t="str" cm="1">
        <f t="array" ref="C1131">_xlfn.IFS(
    L1131="", "",
    MONTH(L1131) &lt;= End_of_Year_Month, YEAR(L1131),
    TRUE, YEAR(L1131) + 1
)</f>
        <v/>
      </c>
      <c r="F1131" s="1857">
        <f>IF(L1131="",0,L1131)</f>
        <v>0</v>
      </c>
      <c r="G1131" s="1856">
        <f>-(N1131-Q1131)</f>
        <v>0</v>
      </c>
      <c r="I1131" s="1815" t="b">
        <f>K1131&lt;=Number_Payments</f>
        <v>0</v>
      </c>
      <c r="J1131" s="1855"/>
      <c r="K1131" s="1351">
        <f>K1130+1</f>
        <v>1005</v>
      </c>
      <c r="L1131" s="1854" t="str" cm="1">
        <f t="array" ref="L1131">_xlfn.IFS(
    I1130=FALSE, "",
    Payment_Frequency="Monthly", EDATE(L1130, 1),
    Payment_Frequency="Weekly", DATE(YEAR(L1130), MONTH(L1130), DAY(L1130) + 7),
    Payment_Frequency="Fortnightly", DATE(YEAR(L1130), MONTH(L1130), DAY(L1130) + 14),
    Payment_Frequency="Quarterly", DATE(YEAR(L1130), MONTH(L1130) + 3, DAY(L1130)),
    Payment_Frequency="Yearly", DATE(YEAR(L1130) + 1, MONTH(L1130), DAY(L1130)),
    TRUE, ""
)</f>
        <v/>
      </c>
      <c r="M1131" s="1853">
        <f>IF(ISERROR(L1131-L1130),0,L1131-L1130)</f>
        <v>0</v>
      </c>
      <c r="N1131" s="1851" cm="1">
        <f t="array" ref="N1131">_xlfn.IFS(
    AND(I1131=TRUE, K1131&lt;=No_Regular_Payments), Repay_Amt,
    AND(I1131=TRUE, K1131=No_Regular_Payments+1), Tm_Balloon_Amt,
   TRUE, 0
)</f>
        <v>0</v>
      </c>
      <c r="O1131" s="1850" cm="1">
        <f t="array" ref="O1131">_xlfn.IFS(
    M1131=0,0,
   ABS(N1131 - S1130 - P1131-Q1131) &lt; 1, N1131 - S1130-Q1131,
    TRUE, P1131
)</f>
        <v>0</v>
      </c>
      <c r="P1131" s="1852">
        <f>IF(M1131=0,0,ROUND(S1130*EXP(Int_Rate/365.25 * M1131)-S1130,2))</f>
        <v>0</v>
      </c>
      <c r="Q1131" s="1851" cm="1">
        <f t="array" ref="Q1131">_xlfn.IFS(
    AND(I1131=TRUE, K1131&lt;=No_Regular_Payments), Periodic_Admin_Charge,
   TRUE, 0
)</f>
        <v>0</v>
      </c>
      <c r="R1131" s="1850">
        <f>N1131-O1131-Q1131</f>
        <v>0</v>
      </c>
      <c r="S1131" s="1850">
        <f>ROUND(S1130-R1131,2)</f>
        <v>0</v>
      </c>
      <c r="T1131" s="1850">
        <f>ROUND(T1130-(N1131-Q1131),2)</f>
        <v>0</v>
      </c>
      <c r="U1131" s="1849"/>
      <c r="W1131" s="1848"/>
      <c r="X1131" s="1848"/>
      <c r="Y1131" s="1848"/>
    </row>
    <row r="1132" spans="2:25" hidden="1">
      <c r="B1132" s="1815" t="b">
        <f>AND(I1132=FALSE,N1131=0,Q1131=0,L1131="")</f>
        <v>1</v>
      </c>
      <c r="C1132" s="1844" t="str" cm="1">
        <f t="array" ref="C1132">_xlfn.IFS(
    L1132="", "",
    MONTH(L1132) &lt;= End_of_Year_Month, YEAR(L1132),
    TRUE, YEAR(L1132) + 1
)</f>
        <v/>
      </c>
      <c r="F1132" s="1857">
        <f>IF(L1132="",0,L1132)</f>
        <v>0</v>
      </c>
      <c r="G1132" s="1856">
        <f>-(N1132-Q1132)</f>
        <v>0</v>
      </c>
      <c r="I1132" s="1815" t="b">
        <f>K1132&lt;=Number_Payments</f>
        <v>0</v>
      </c>
      <c r="J1132" s="1855"/>
      <c r="K1132" s="1351">
        <f>K1131+1</f>
        <v>1006</v>
      </c>
      <c r="L1132" s="1854" t="str" cm="1">
        <f t="array" ref="L1132">_xlfn.IFS(
    I1131=FALSE, "",
    Payment_Frequency="Monthly", EDATE(L1131, 1),
    Payment_Frequency="Weekly", DATE(YEAR(L1131), MONTH(L1131), DAY(L1131) + 7),
    Payment_Frequency="Fortnightly", DATE(YEAR(L1131), MONTH(L1131), DAY(L1131) + 14),
    Payment_Frequency="Quarterly", DATE(YEAR(L1131), MONTH(L1131) + 3, DAY(L1131)),
    Payment_Frequency="Yearly", DATE(YEAR(L1131) + 1, MONTH(L1131), DAY(L1131)),
    TRUE, ""
)</f>
        <v/>
      </c>
      <c r="M1132" s="1853">
        <f>IF(ISERROR(L1132-L1131),0,L1132-L1131)</f>
        <v>0</v>
      </c>
      <c r="N1132" s="1851" cm="1">
        <f t="array" ref="N1132">_xlfn.IFS(
    AND(I1132=TRUE, K1132&lt;=No_Regular_Payments), Repay_Amt,
    AND(I1132=TRUE, K1132=No_Regular_Payments+1), Tm_Balloon_Amt,
   TRUE, 0
)</f>
        <v>0</v>
      </c>
      <c r="O1132" s="1850" cm="1">
        <f t="array" ref="O1132">_xlfn.IFS(
    M1132=0,0,
   ABS(N1132 - S1131 - P1132-Q1132) &lt; 1, N1132 - S1131-Q1132,
    TRUE, P1132
)</f>
        <v>0</v>
      </c>
      <c r="P1132" s="1852">
        <f>IF(M1132=0,0,ROUND(S1131*EXP(Int_Rate/365.25 * M1132)-S1131,2))</f>
        <v>0</v>
      </c>
      <c r="Q1132" s="1851" cm="1">
        <f t="array" ref="Q1132">_xlfn.IFS(
    AND(I1132=TRUE, K1132&lt;=No_Regular_Payments), Periodic_Admin_Charge,
   TRUE, 0
)</f>
        <v>0</v>
      </c>
      <c r="R1132" s="1850">
        <f>N1132-O1132-Q1132</f>
        <v>0</v>
      </c>
      <c r="S1132" s="1850">
        <f>ROUND(S1131-R1132,2)</f>
        <v>0</v>
      </c>
      <c r="T1132" s="1850">
        <f>ROUND(T1131-(N1132-Q1132),2)</f>
        <v>0</v>
      </c>
      <c r="U1132" s="1849"/>
      <c r="W1132" s="1848"/>
      <c r="X1132" s="1848"/>
      <c r="Y1132" s="1848"/>
    </row>
    <row r="1133" spans="2:25" hidden="1">
      <c r="B1133" s="1815" t="b">
        <f>AND(I1133=FALSE,N1132=0,Q1132=0,L1132="")</f>
        <v>1</v>
      </c>
      <c r="C1133" s="1844" t="str" cm="1">
        <f t="array" ref="C1133">_xlfn.IFS(
    L1133="", "",
    MONTH(L1133) &lt;= End_of_Year_Month, YEAR(L1133),
    TRUE, YEAR(L1133) + 1
)</f>
        <v/>
      </c>
      <c r="F1133" s="1857">
        <f>IF(L1133="",0,L1133)</f>
        <v>0</v>
      </c>
      <c r="G1133" s="1856">
        <f>-(N1133-Q1133)</f>
        <v>0</v>
      </c>
      <c r="I1133" s="1815" t="b">
        <f>K1133&lt;=Number_Payments</f>
        <v>0</v>
      </c>
      <c r="J1133" s="1855"/>
      <c r="K1133" s="1351">
        <f>K1132+1</f>
        <v>1007</v>
      </c>
      <c r="L1133" s="1854" t="str" cm="1">
        <f t="array" ref="L1133">_xlfn.IFS(
    I1132=FALSE, "",
    Payment_Frequency="Monthly", EDATE(L1132, 1),
    Payment_Frequency="Weekly", DATE(YEAR(L1132), MONTH(L1132), DAY(L1132) + 7),
    Payment_Frequency="Fortnightly", DATE(YEAR(L1132), MONTH(L1132), DAY(L1132) + 14),
    Payment_Frequency="Quarterly", DATE(YEAR(L1132), MONTH(L1132) + 3, DAY(L1132)),
    Payment_Frequency="Yearly", DATE(YEAR(L1132) + 1, MONTH(L1132), DAY(L1132)),
    TRUE, ""
)</f>
        <v/>
      </c>
      <c r="M1133" s="1853">
        <f>IF(ISERROR(L1133-L1132),0,L1133-L1132)</f>
        <v>0</v>
      </c>
      <c r="N1133" s="1851" cm="1">
        <f t="array" ref="N1133">_xlfn.IFS(
    AND(I1133=TRUE, K1133&lt;=No_Regular_Payments), Repay_Amt,
    AND(I1133=TRUE, K1133=No_Regular_Payments+1), Tm_Balloon_Amt,
   TRUE, 0
)</f>
        <v>0</v>
      </c>
      <c r="O1133" s="1850" cm="1">
        <f t="array" ref="O1133">_xlfn.IFS(
    M1133=0,0,
   ABS(N1133 - S1132 - P1133-Q1133) &lt; 1, N1133 - S1132-Q1133,
    TRUE, P1133
)</f>
        <v>0</v>
      </c>
      <c r="P1133" s="1852">
        <f>IF(M1133=0,0,ROUND(S1132*EXP(Int_Rate/365.25 * M1133)-S1132,2))</f>
        <v>0</v>
      </c>
      <c r="Q1133" s="1851" cm="1">
        <f t="array" ref="Q1133">_xlfn.IFS(
    AND(I1133=TRUE, K1133&lt;=No_Regular_Payments), Periodic_Admin_Charge,
   TRUE, 0
)</f>
        <v>0</v>
      </c>
      <c r="R1133" s="1850">
        <f>N1133-O1133-Q1133</f>
        <v>0</v>
      </c>
      <c r="S1133" s="1850">
        <f>ROUND(S1132-R1133,2)</f>
        <v>0</v>
      </c>
      <c r="T1133" s="1850">
        <f>ROUND(T1132-(N1133-Q1133),2)</f>
        <v>0</v>
      </c>
      <c r="U1133" s="1849"/>
      <c r="W1133" s="1848"/>
      <c r="X1133" s="1848"/>
      <c r="Y1133" s="1848"/>
    </row>
    <row r="1134" spans="2:25" hidden="1">
      <c r="B1134" s="1815" t="b">
        <f>AND(I1134=FALSE,N1133=0,Q1133=0,L1133="")</f>
        <v>1</v>
      </c>
      <c r="C1134" s="1844" t="str" cm="1">
        <f t="array" ref="C1134">_xlfn.IFS(
    L1134="", "",
    MONTH(L1134) &lt;= End_of_Year_Month, YEAR(L1134),
    TRUE, YEAR(L1134) + 1
)</f>
        <v/>
      </c>
      <c r="F1134" s="1857">
        <f>IF(L1134="",0,L1134)</f>
        <v>0</v>
      </c>
      <c r="G1134" s="1856">
        <f>-(N1134-Q1134)</f>
        <v>0</v>
      </c>
      <c r="I1134" s="1815" t="b">
        <f>K1134&lt;=Number_Payments</f>
        <v>0</v>
      </c>
      <c r="J1134" s="1855"/>
      <c r="K1134" s="1351">
        <f>K1133+1</f>
        <v>1008</v>
      </c>
      <c r="L1134" s="1854" t="str" cm="1">
        <f t="array" ref="L1134">_xlfn.IFS(
    I1133=FALSE, "",
    Payment_Frequency="Monthly", EDATE(L1133, 1),
    Payment_Frequency="Weekly", DATE(YEAR(L1133), MONTH(L1133), DAY(L1133) + 7),
    Payment_Frequency="Fortnightly", DATE(YEAR(L1133), MONTH(L1133), DAY(L1133) + 14),
    Payment_Frequency="Quarterly", DATE(YEAR(L1133), MONTH(L1133) + 3, DAY(L1133)),
    Payment_Frequency="Yearly", DATE(YEAR(L1133) + 1, MONTH(L1133), DAY(L1133)),
    TRUE, ""
)</f>
        <v/>
      </c>
      <c r="M1134" s="1853">
        <f>IF(ISERROR(L1134-L1133),0,L1134-L1133)</f>
        <v>0</v>
      </c>
      <c r="N1134" s="1851" cm="1">
        <f t="array" ref="N1134">_xlfn.IFS(
    AND(I1134=TRUE, K1134&lt;=No_Regular_Payments), Repay_Amt,
    AND(I1134=TRUE, K1134=No_Regular_Payments+1), Tm_Balloon_Amt,
   TRUE, 0
)</f>
        <v>0</v>
      </c>
      <c r="O1134" s="1850" cm="1">
        <f t="array" ref="O1134">_xlfn.IFS(
    M1134=0,0,
   ABS(N1134 - S1133 - P1134-Q1134) &lt; 1, N1134 - S1133-Q1134,
    TRUE, P1134
)</f>
        <v>0</v>
      </c>
      <c r="P1134" s="1852">
        <f>IF(M1134=0,0,ROUND(S1133*EXP(Int_Rate/365.25 * M1134)-S1133,2))</f>
        <v>0</v>
      </c>
      <c r="Q1134" s="1851" cm="1">
        <f t="array" ref="Q1134">_xlfn.IFS(
    AND(I1134=TRUE, K1134&lt;=No_Regular_Payments), Periodic_Admin_Charge,
   TRUE, 0
)</f>
        <v>0</v>
      </c>
      <c r="R1134" s="1850">
        <f>N1134-O1134-Q1134</f>
        <v>0</v>
      </c>
      <c r="S1134" s="1850">
        <f>ROUND(S1133-R1134,2)</f>
        <v>0</v>
      </c>
      <c r="T1134" s="1850">
        <f>ROUND(T1133-(N1134-Q1134),2)</f>
        <v>0</v>
      </c>
      <c r="U1134" s="1849"/>
      <c r="W1134" s="1848"/>
      <c r="X1134" s="1848"/>
      <c r="Y1134" s="1848"/>
    </row>
    <row r="1135" spans="2:25" hidden="1">
      <c r="B1135" s="1815" t="b">
        <f>AND(I1135=FALSE,N1134=0,Q1134=0,L1134="")</f>
        <v>1</v>
      </c>
      <c r="C1135" s="1844" t="str" cm="1">
        <f t="array" ref="C1135">_xlfn.IFS(
    L1135="", "",
    MONTH(L1135) &lt;= End_of_Year_Month, YEAR(L1135),
    TRUE, YEAR(L1135) + 1
)</f>
        <v/>
      </c>
      <c r="F1135" s="1857">
        <f>IF(L1135="",0,L1135)</f>
        <v>0</v>
      </c>
      <c r="G1135" s="1856">
        <f>-(N1135-Q1135)</f>
        <v>0</v>
      </c>
      <c r="I1135" s="1815" t="b">
        <f>K1135&lt;=Number_Payments</f>
        <v>0</v>
      </c>
      <c r="J1135" s="1855"/>
      <c r="K1135" s="1351">
        <f>K1134+1</f>
        <v>1009</v>
      </c>
      <c r="L1135" s="1854" t="str" cm="1">
        <f t="array" ref="L1135">_xlfn.IFS(
    I1134=FALSE, "",
    Payment_Frequency="Monthly", EDATE(L1134, 1),
    Payment_Frequency="Weekly", DATE(YEAR(L1134), MONTH(L1134), DAY(L1134) + 7),
    Payment_Frequency="Fortnightly", DATE(YEAR(L1134), MONTH(L1134), DAY(L1134) + 14),
    Payment_Frequency="Quarterly", DATE(YEAR(L1134), MONTH(L1134) + 3, DAY(L1134)),
    Payment_Frequency="Yearly", DATE(YEAR(L1134) + 1, MONTH(L1134), DAY(L1134)),
    TRUE, ""
)</f>
        <v/>
      </c>
      <c r="M1135" s="1853">
        <f>IF(ISERROR(L1135-L1134),0,L1135-L1134)</f>
        <v>0</v>
      </c>
      <c r="N1135" s="1851" cm="1">
        <f t="array" ref="N1135">_xlfn.IFS(
    AND(I1135=TRUE, K1135&lt;=No_Regular_Payments), Repay_Amt,
    AND(I1135=TRUE, K1135=No_Regular_Payments+1), Tm_Balloon_Amt,
   TRUE, 0
)</f>
        <v>0</v>
      </c>
      <c r="O1135" s="1850" cm="1">
        <f t="array" ref="O1135">_xlfn.IFS(
    M1135=0,0,
   ABS(N1135 - S1134 - P1135-Q1135) &lt; 1, N1135 - S1134-Q1135,
    TRUE, P1135
)</f>
        <v>0</v>
      </c>
      <c r="P1135" s="1852">
        <f>IF(M1135=0,0,ROUND(S1134*EXP(Int_Rate/365.25 * M1135)-S1134,2))</f>
        <v>0</v>
      </c>
      <c r="Q1135" s="1851" cm="1">
        <f t="array" ref="Q1135">_xlfn.IFS(
    AND(I1135=TRUE, K1135&lt;=No_Regular_Payments), Periodic_Admin_Charge,
   TRUE, 0
)</f>
        <v>0</v>
      </c>
      <c r="R1135" s="1850">
        <f>N1135-O1135-Q1135</f>
        <v>0</v>
      </c>
      <c r="S1135" s="1850">
        <f>ROUND(S1134-R1135,2)</f>
        <v>0</v>
      </c>
      <c r="T1135" s="1850">
        <f>ROUND(T1134-(N1135-Q1135),2)</f>
        <v>0</v>
      </c>
      <c r="U1135" s="1849"/>
      <c r="W1135" s="1848"/>
      <c r="X1135" s="1848"/>
      <c r="Y1135" s="1848"/>
    </row>
    <row r="1136" spans="2:25" hidden="1">
      <c r="B1136" s="1815" t="b">
        <f>AND(I1136=FALSE,N1135=0,Q1135=0,L1135="")</f>
        <v>1</v>
      </c>
      <c r="C1136" s="1844" t="str" cm="1">
        <f t="array" ref="C1136">_xlfn.IFS(
    L1136="", "",
    MONTH(L1136) &lt;= End_of_Year_Month, YEAR(L1136),
    TRUE, YEAR(L1136) + 1
)</f>
        <v/>
      </c>
      <c r="F1136" s="1857">
        <f>IF(L1136="",0,L1136)</f>
        <v>0</v>
      </c>
      <c r="G1136" s="1856">
        <f>-(N1136-Q1136)</f>
        <v>0</v>
      </c>
      <c r="I1136" s="1815" t="b">
        <f>K1136&lt;=Number_Payments</f>
        <v>0</v>
      </c>
      <c r="J1136" s="1855"/>
      <c r="K1136" s="1351">
        <f>K1135+1</f>
        <v>1010</v>
      </c>
      <c r="L1136" s="1854" t="str" cm="1">
        <f t="array" ref="L1136">_xlfn.IFS(
    I1135=FALSE, "",
    Payment_Frequency="Monthly", EDATE(L1135, 1),
    Payment_Frequency="Weekly", DATE(YEAR(L1135), MONTH(L1135), DAY(L1135) + 7),
    Payment_Frequency="Fortnightly", DATE(YEAR(L1135), MONTH(L1135), DAY(L1135) + 14),
    Payment_Frequency="Quarterly", DATE(YEAR(L1135), MONTH(L1135) + 3, DAY(L1135)),
    Payment_Frequency="Yearly", DATE(YEAR(L1135) + 1, MONTH(L1135), DAY(L1135)),
    TRUE, ""
)</f>
        <v/>
      </c>
      <c r="M1136" s="1853">
        <f>IF(ISERROR(L1136-L1135),0,L1136-L1135)</f>
        <v>0</v>
      </c>
      <c r="N1136" s="1851" cm="1">
        <f t="array" ref="N1136">_xlfn.IFS(
    AND(I1136=TRUE, K1136&lt;=No_Regular_Payments), Repay_Amt,
    AND(I1136=TRUE, K1136=No_Regular_Payments+1), Tm_Balloon_Amt,
   TRUE, 0
)</f>
        <v>0</v>
      </c>
      <c r="O1136" s="1850" cm="1">
        <f t="array" ref="O1136">_xlfn.IFS(
    M1136=0,0,
   ABS(N1136 - S1135 - P1136-Q1136) &lt; 1, N1136 - S1135-Q1136,
    TRUE, P1136
)</f>
        <v>0</v>
      </c>
      <c r="P1136" s="1852">
        <f>IF(M1136=0,0,ROUND(S1135*EXP(Int_Rate/365.25 * M1136)-S1135,2))</f>
        <v>0</v>
      </c>
      <c r="Q1136" s="1851" cm="1">
        <f t="array" ref="Q1136">_xlfn.IFS(
    AND(I1136=TRUE, K1136&lt;=No_Regular_Payments), Periodic_Admin_Charge,
   TRUE, 0
)</f>
        <v>0</v>
      </c>
      <c r="R1136" s="1850">
        <f>N1136-O1136-Q1136</f>
        <v>0</v>
      </c>
      <c r="S1136" s="1850">
        <f>ROUND(S1135-R1136,2)</f>
        <v>0</v>
      </c>
      <c r="T1136" s="1850">
        <f>ROUND(T1135-(N1136-Q1136),2)</f>
        <v>0</v>
      </c>
      <c r="U1136" s="1849"/>
      <c r="W1136" s="1848"/>
      <c r="X1136" s="1848"/>
      <c r="Y1136" s="1848"/>
    </row>
    <row r="1137" spans="2:25" hidden="1">
      <c r="B1137" s="1815" t="b">
        <f>AND(I1137=FALSE,N1136=0,Q1136=0,L1136="")</f>
        <v>1</v>
      </c>
      <c r="C1137" s="1844" t="str" cm="1">
        <f t="array" ref="C1137">_xlfn.IFS(
    L1137="", "",
    MONTH(L1137) &lt;= End_of_Year_Month, YEAR(L1137),
    TRUE, YEAR(L1137) + 1
)</f>
        <v/>
      </c>
      <c r="F1137" s="1857">
        <f>IF(L1137="",0,L1137)</f>
        <v>0</v>
      </c>
      <c r="G1137" s="1856">
        <f>-(N1137-Q1137)</f>
        <v>0</v>
      </c>
      <c r="I1137" s="1815" t="b">
        <f>K1137&lt;=Number_Payments</f>
        <v>0</v>
      </c>
      <c r="J1137" s="1855"/>
      <c r="K1137" s="1351">
        <f>K1136+1</f>
        <v>1011</v>
      </c>
      <c r="L1137" s="1854" t="str" cm="1">
        <f t="array" ref="L1137">_xlfn.IFS(
    I1136=FALSE, "",
    Payment_Frequency="Monthly", EDATE(L1136, 1),
    Payment_Frequency="Weekly", DATE(YEAR(L1136), MONTH(L1136), DAY(L1136) + 7),
    Payment_Frequency="Fortnightly", DATE(YEAR(L1136), MONTH(L1136), DAY(L1136) + 14),
    Payment_Frequency="Quarterly", DATE(YEAR(L1136), MONTH(L1136) + 3, DAY(L1136)),
    Payment_Frequency="Yearly", DATE(YEAR(L1136) + 1, MONTH(L1136), DAY(L1136)),
    TRUE, ""
)</f>
        <v/>
      </c>
      <c r="M1137" s="1853">
        <f>IF(ISERROR(L1137-L1136),0,L1137-L1136)</f>
        <v>0</v>
      </c>
      <c r="N1137" s="1851" cm="1">
        <f t="array" ref="N1137">_xlfn.IFS(
    AND(I1137=TRUE, K1137&lt;=No_Regular_Payments), Repay_Amt,
    AND(I1137=TRUE, K1137=No_Regular_Payments+1), Tm_Balloon_Amt,
   TRUE, 0
)</f>
        <v>0</v>
      </c>
      <c r="O1137" s="1850" cm="1">
        <f t="array" ref="O1137">_xlfn.IFS(
    M1137=0,0,
   ABS(N1137 - S1136 - P1137-Q1137) &lt; 1, N1137 - S1136-Q1137,
    TRUE, P1137
)</f>
        <v>0</v>
      </c>
      <c r="P1137" s="1852">
        <f>IF(M1137=0,0,ROUND(S1136*EXP(Int_Rate/365.25 * M1137)-S1136,2))</f>
        <v>0</v>
      </c>
      <c r="Q1137" s="1851" cm="1">
        <f t="array" ref="Q1137">_xlfn.IFS(
    AND(I1137=TRUE, K1137&lt;=No_Regular_Payments), Periodic_Admin_Charge,
   TRUE, 0
)</f>
        <v>0</v>
      </c>
      <c r="R1137" s="1850">
        <f>N1137-O1137-Q1137</f>
        <v>0</v>
      </c>
      <c r="S1137" s="1850">
        <f>ROUND(S1136-R1137,2)</f>
        <v>0</v>
      </c>
      <c r="T1137" s="1850">
        <f>ROUND(T1136-(N1137-Q1137),2)</f>
        <v>0</v>
      </c>
      <c r="U1137" s="1849"/>
      <c r="W1137" s="1848"/>
      <c r="X1137" s="1848"/>
      <c r="Y1137" s="1848"/>
    </row>
    <row r="1138" spans="2:25" hidden="1">
      <c r="B1138" s="1815" t="b">
        <f>AND(I1138=FALSE,N1137=0,Q1137=0,L1137="")</f>
        <v>1</v>
      </c>
      <c r="C1138" s="1844" t="str" cm="1">
        <f t="array" ref="C1138">_xlfn.IFS(
    L1138="", "",
    MONTH(L1138) &lt;= End_of_Year_Month, YEAR(L1138),
    TRUE, YEAR(L1138) + 1
)</f>
        <v/>
      </c>
      <c r="F1138" s="1857">
        <f>IF(L1138="",0,L1138)</f>
        <v>0</v>
      </c>
      <c r="G1138" s="1856">
        <f>-(N1138-Q1138)</f>
        <v>0</v>
      </c>
      <c r="I1138" s="1815" t="b">
        <f>K1138&lt;=Number_Payments</f>
        <v>0</v>
      </c>
      <c r="J1138" s="1855"/>
      <c r="K1138" s="1351">
        <f>K1137+1</f>
        <v>1012</v>
      </c>
      <c r="L1138" s="1854" t="str" cm="1">
        <f t="array" ref="L1138">_xlfn.IFS(
    I1137=FALSE, "",
    Payment_Frequency="Monthly", EDATE(L1137, 1),
    Payment_Frequency="Weekly", DATE(YEAR(L1137), MONTH(L1137), DAY(L1137) + 7),
    Payment_Frequency="Fortnightly", DATE(YEAR(L1137), MONTH(L1137), DAY(L1137) + 14),
    Payment_Frequency="Quarterly", DATE(YEAR(L1137), MONTH(L1137) + 3, DAY(L1137)),
    Payment_Frequency="Yearly", DATE(YEAR(L1137) + 1, MONTH(L1137), DAY(L1137)),
    TRUE, ""
)</f>
        <v/>
      </c>
      <c r="M1138" s="1853">
        <f>IF(ISERROR(L1138-L1137),0,L1138-L1137)</f>
        <v>0</v>
      </c>
      <c r="N1138" s="1851" cm="1">
        <f t="array" ref="N1138">_xlfn.IFS(
    AND(I1138=TRUE, K1138&lt;=No_Regular_Payments), Repay_Amt,
    AND(I1138=TRUE, K1138=No_Regular_Payments+1), Tm_Balloon_Amt,
   TRUE, 0
)</f>
        <v>0</v>
      </c>
      <c r="O1138" s="1850" cm="1">
        <f t="array" ref="O1138">_xlfn.IFS(
    M1138=0,0,
   ABS(N1138 - S1137 - P1138-Q1138) &lt; 1, N1138 - S1137-Q1138,
    TRUE, P1138
)</f>
        <v>0</v>
      </c>
      <c r="P1138" s="1852">
        <f>IF(M1138=0,0,ROUND(S1137*EXP(Int_Rate/365.25 * M1138)-S1137,2))</f>
        <v>0</v>
      </c>
      <c r="Q1138" s="1851" cm="1">
        <f t="array" ref="Q1138">_xlfn.IFS(
    AND(I1138=TRUE, K1138&lt;=No_Regular_Payments), Periodic_Admin_Charge,
   TRUE, 0
)</f>
        <v>0</v>
      </c>
      <c r="R1138" s="1850">
        <f>N1138-O1138-Q1138</f>
        <v>0</v>
      </c>
      <c r="S1138" s="1850">
        <f>ROUND(S1137-R1138,2)</f>
        <v>0</v>
      </c>
      <c r="T1138" s="1850">
        <f>ROUND(T1137-(N1138-Q1138),2)</f>
        <v>0</v>
      </c>
      <c r="U1138" s="1849"/>
      <c r="W1138" s="1848"/>
      <c r="X1138" s="1848"/>
      <c r="Y1138" s="1848"/>
    </row>
    <row r="1139" spans="2:25" hidden="1">
      <c r="B1139" s="1815" t="b">
        <f>AND(I1139=FALSE,N1138=0,Q1138=0,L1138="")</f>
        <v>1</v>
      </c>
      <c r="C1139" s="1844" t="str" cm="1">
        <f t="array" ref="C1139">_xlfn.IFS(
    L1139="", "",
    MONTH(L1139) &lt;= End_of_Year_Month, YEAR(L1139),
    TRUE, YEAR(L1139) + 1
)</f>
        <v/>
      </c>
      <c r="F1139" s="1857">
        <f>IF(L1139="",0,L1139)</f>
        <v>0</v>
      </c>
      <c r="G1139" s="1856">
        <f>-(N1139-Q1139)</f>
        <v>0</v>
      </c>
      <c r="I1139" s="1815" t="b">
        <f>K1139&lt;=Number_Payments</f>
        <v>0</v>
      </c>
      <c r="J1139" s="1855"/>
      <c r="K1139" s="1351">
        <f>K1138+1</f>
        <v>1013</v>
      </c>
      <c r="L1139" s="1854" t="str" cm="1">
        <f t="array" ref="L1139">_xlfn.IFS(
    I1138=FALSE, "",
    Payment_Frequency="Monthly", EDATE(L1138, 1),
    Payment_Frequency="Weekly", DATE(YEAR(L1138), MONTH(L1138), DAY(L1138) + 7),
    Payment_Frequency="Fortnightly", DATE(YEAR(L1138), MONTH(L1138), DAY(L1138) + 14),
    Payment_Frequency="Quarterly", DATE(YEAR(L1138), MONTH(L1138) + 3, DAY(L1138)),
    Payment_Frequency="Yearly", DATE(YEAR(L1138) + 1, MONTH(L1138), DAY(L1138)),
    TRUE, ""
)</f>
        <v/>
      </c>
      <c r="M1139" s="1853">
        <f>IF(ISERROR(L1139-L1138),0,L1139-L1138)</f>
        <v>0</v>
      </c>
      <c r="N1139" s="1851" cm="1">
        <f t="array" ref="N1139">_xlfn.IFS(
    AND(I1139=TRUE, K1139&lt;=No_Regular_Payments), Repay_Amt,
    AND(I1139=TRUE, K1139=No_Regular_Payments+1), Tm_Balloon_Amt,
   TRUE, 0
)</f>
        <v>0</v>
      </c>
      <c r="O1139" s="1850" cm="1">
        <f t="array" ref="O1139">_xlfn.IFS(
    M1139=0,0,
   ABS(N1139 - S1138 - P1139-Q1139) &lt; 1, N1139 - S1138-Q1139,
    TRUE, P1139
)</f>
        <v>0</v>
      </c>
      <c r="P1139" s="1852">
        <f>IF(M1139=0,0,ROUND(S1138*EXP(Int_Rate/365.25 * M1139)-S1138,2))</f>
        <v>0</v>
      </c>
      <c r="Q1139" s="1851" cm="1">
        <f t="array" ref="Q1139">_xlfn.IFS(
    AND(I1139=TRUE, K1139&lt;=No_Regular_Payments), Periodic_Admin_Charge,
   TRUE, 0
)</f>
        <v>0</v>
      </c>
      <c r="R1139" s="1850">
        <f>N1139-O1139-Q1139</f>
        <v>0</v>
      </c>
      <c r="S1139" s="1850">
        <f>ROUND(S1138-R1139,2)</f>
        <v>0</v>
      </c>
      <c r="T1139" s="1850">
        <f>ROUND(T1138-(N1139-Q1139),2)</f>
        <v>0</v>
      </c>
      <c r="U1139" s="1849"/>
      <c r="W1139" s="1848"/>
      <c r="X1139" s="1848"/>
      <c r="Y1139" s="1848"/>
    </row>
    <row r="1140" spans="2:25" hidden="1">
      <c r="B1140" s="1815" t="b">
        <f>AND(I1140=FALSE,N1139=0,Q1139=0,L1139="")</f>
        <v>1</v>
      </c>
      <c r="C1140" s="1844" t="str" cm="1">
        <f t="array" ref="C1140">_xlfn.IFS(
    L1140="", "",
    MONTH(L1140) &lt;= End_of_Year_Month, YEAR(L1140),
    TRUE, YEAR(L1140) + 1
)</f>
        <v/>
      </c>
      <c r="F1140" s="1857">
        <f>IF(L1140="",0,L1140)</f>
        <v>0</v>
      </c>
      <c r="G1140" s="1856">
        <f>-(N1140-Q1140)</f>
        <v>0</v>
      </c>
      <c r="I1140" s="1815" t="b">
        <f>K1140&lt;=Number_Payments</f>
        <v>0</v>
      </c>
      <c r="J1140" s="1855"/>
      <c r="K1140" s="1351">
        <f>K1139+1</f>
        <v>1014</v>
      </c>
      <c r="L1140" s="1854" t="str" cm="1">
        <f t="array" ref="L1140">_xlfn.IFS(
    I1139=FALSE, "",
    Payment_Frequency="Monthly", EDATE(L1139, 1),
    Payment_Frequency="Weekly", DATE(YEAR(L1139), MONTH(L1139), DAY(L1139) + 7),
    Payment_Frequency="Fortnightly", DATE(YEAR(L1139), MONTH(L1139), DAY(L1139) + 14),
    Payment_Frequency="Quarterly", DATE(YEAR(L1139), MONTH(L1139) + 3, DAY(L1139)),
    Payment_Frequency="Yearly", DATE(YEAR(L1139) + 1, MONTH(L1139), DAY(L1139)),
    TRUE, ""
)</f>
        <v/>
      </c>
      <c r="M1140" s="1853">
        <f>IF(ISERROR(L1140-L1139),0,L1140-L1139)</f>
        <v>0</v>
      </c>
      <c r="N1140" s="1851" cm="1">
        <f t="array" ref="N1140">_xlfn.IFS(
    AND(I1140=TRUE, K1140&lt;=No_Regular_Payments), Repay_Amt,
    AND(I1140=TRUE, K1140=No_Regular_Payments+1), Tm_Balloon_Amt,
   TRUE, 0
)</f>
        <v>0</v>
      </c>
      <c r="O1140" s="1850" cm="1">
        <f t="array" ref="O1140">_xlfn.IFS(
    M1140=0,0,
   ABS(N1140 - S1139 - P1140-Q1140) &lt; 1, N1140 - S1139-Q1140,
    TRUE, P1140
)</f>
        <v>0</v>
      </c>
      <c r="P1140" s="1852">
        <f>IF(M1140=0,0,ROUND(S1139*EXP(Int_Rate/365.25 * M1140)-S1139,2))</f>
        <v>0</v>
      </c>
      <c r="Q1140" s="1851" cm="1">
        <f t="array" ref="Q1140">_xlfn.IFS(
    AND(I1140=TRUE, K1140&lt;=No_Regular_Payments), Periodic_Admin_Charge,
   TRUE, 0
)</f>
        <v>0</v>
      </c>
      <c r="R1140" s="1850">
        <f>N1140-O1140-Q1140</f>
        <v>0</v>
      </c>
      <c r="S1140" s="1850">
        <f>ROUND(S1139-R1140,2)</f>
        <v>0</v>
      </c>
      <c r="T1140" s="1850">
        <f>ROUND(T1139-(N1140-Q1140),2)</f>
        <v>0</v>
      </c>
      <c r="U1140" s="1849"/>
      <c r="W1140" s="1848"/>
      <c r="X1140" s="1848"/>
      <c r="Y1140" s="1848"/>
    </row>
    <row r="1141" spans="2:25" hidden="1">
      <c r="B1141" s="1815" t="b">
        <f>AND(I1141=FALSE,N1140=0,Q1140=0,L1140="")</f>
        <v>1</v>
      </c>
      <c r="C1141" s="1844" t="str" cm="1">
        <f t="array" ref="C1141">_xlfn.IFS(
    L1141="", "",
    MONTH(L1141) &lt;= End_of_Year_Month, YEAR(L1141),
    TRUE, YEAR(L1141) + 1
)</f>
        <v/>
      </c>
      <c r="F1141" s="1857">
        <f>IF(L1141="",0,L1141)</f>
        <v>0</v>
      </c>
      <c r="G1141" s="1856">
        <f>-(N1141-Q1141)</f>
        <v>0</v>
      </c>
      <c r="I1141" s="1815" t="b">
        <f>K1141&lt;=Number_Payments</f>
        <v>0</v>
      </c>
      <c r="J1141" s="1855"/>
      <c r="K1141" s="1351">
        <f>K1140+1</f>
        <v>1015</v>
      </c>
      <c r="L1141" s="1854" t="str" cm="1">
        <f t="array" ref="L1141">_xlfn.IFS(
    I1140=FALSE, "",
    Payment_Frequency="Monthly", EDATE(L1140, 1),
    Payment_Frequency="Weekly", DATE(YEAR(L1140), MONTH(L1140), DAY(L1140) + 7),
    Payment_Frequency="Fortnightly", DATE(YEAR(L1140), MONTH(L1140), DAY(L1140) + 14),
    Payment_Frequency="Quarterly", DATE(YEAR(L1140), MONTH(L1140) + 3, DAY(L1140)),
    Payment_Frequency="Yearly", DATE(YEAR(L1140) + 1, MONTH(L1140), DAY(L1140)),
    TRUE, ""
)</f>
        <v/>
      </c>
      <c r="M1141" s="1853">
        <f>IF(ISERROR(L1141-L1140),0,L1141-L1140)</f>
        <v>0</v>
      </c>
      <c r="N1141" s="1851" cm="1">
        <f t="array" ref="N1141">_xlfn.IFS(
    AND(I1141=TRUE, K1141&lt;=No_Regular_Payments), Repay_Amt,
    AND(I1141=TRUE, K1141=No_Regular_Payments+1), Tm_Balloon_Amt,
   TRUE, 0
)</f>
        <v>0</v>
      </c>
      <c r="O1141" s="1850" cm="1">
        <f t="array" ref="O1141">_xlfn.IFS(
    M1141=0,0,
   ABS(N1141 - S1140 - P1141-Q1141) &lt; 1, N1141 - S1140-Q1141,
    TRUE, P1141
)</f>
        <v>0</v>
      </c>
      <c r="P1141" s="1852">
        <f>IF(M1141=0,0,ROUND(S1140*EXP(Int_Rate/365.25 * M1141)-S1140,2))</f>
        <v>0</v>
      </c>
      <c r="Q1141" s="1851" cm="1">
        <f t="array" ref="Q1141">_xlfn.IFS(
    AND(I1141=TRUE, K1141&lt;=No_Regular_Payments), Periodic_Admin_Charge,
   TRUE, 0
)</f>
        <v>0</v>
      </c>
      <c r="R1141" s="1850">
        <f>N1141-O1141-Q1141</f>
        <v>0</v>
      </c>
      <c r="S1141" s="1850">
        <f>ROUND(S1140-R1141,2)</f>
        <v>0</v>
      </c>
      <c r="T1141" s="1850">
        <f>ROUND(T1140-(N1141-Q1141),2)</f>
        <v>0</v>
      </c>
      <c r="U1141" s="1849"/>
      <c r="W1141" s="1848"/>
      <c r="X1141" s="1848"/>
      <c r="Y1141" s="1848"/>
    </row>
    <row r="1142" spans="2:25" hidden="1">
      <c r="B1142" s="1815" t="b">
        <f>AND(I1142=FALSE,N1141=0,Q1141=0,L1141="")</f>
        <v>1</v>
      </c>
      <c r="C1142" s="1844" t="str" cm="1">
        <f t="array" ref="C1142">_xlfn.IFS(
    L1142="", "",
    MONTH(L1142) &lt;= End_of_Year_Month, YEAR(L1142),
    TRUE, YEAR(L1142) + 1
)</f>
        <v/>
      </c>
      <c r="F1142" s="1857">
        <f>IF(L1142="",0,L1142)</f>
        <v>0</v>
      </c>
      <c r="G1142" s="1856">
        <f>-(N1142-Q1142)</f>
        <v>0</v>
      </c>
      <c r="I1142" s="1815" t="b">
        <f>K1142&lt;=Number_Payments</f>
        <v>0</v>
      </c>
      <c r="J1142" s="1855"/>
      <c r="K1142" s="1351">
        <f>K1141+1</f>
        <v>1016</v>
      </c>
      <c r="L1142" s="1854" t="str" cm="1">
        <f t="array" ref="L1142">_xlfn.IFS(
    I1141=FALSE, "",
    Payment_Frequency="Monthly", EDATE(L1141, 1),
    Payment_Frequency="Weekly", DATE(YEAR(L1141), MONTH(L1141), DAY(L1141) + 7),
    Payment_Frequency="Fortnightly", DATE(YEAR(L1141), MONTH(L1141), DAY(L1141) + 14),
    Payment_Frequency="Quarterly", DATE(YEAR(L1141), MONTH(L1141) + 3, DAY(L1141)),
    Payment_Frequency="Yearly", DATE(YEAR(L1141) + 1, MONTH(L1141), DAY(L1141)),
    TRUE, ""
)</f>
        <v/>
      </c>
      <c r="M1142" s="1853">
        <f>IF(ISERROR(L1142-L1141),0,L1142-L1141)</f>
        <v>0</v>
      </c>
      <c r="N1142" s="1851" cm="1">
        <f t="array" ref="N1142">_xlfn.IFS(
    AND(I1142=TRUE, K1142&lt;=No_Regular_Payments), Repay_Amt,
    AND(I1142=TRUE, K1142=No_Regular_Payments+1), Tm_Balloon_Amt,
   TRUE, 0
)</f>
        <v>0</v>
      </c>
      <c r="O1142" s="1850" cm="1">
        <f t="array" ref="O1142">_xlfn.IFS(
    M1142=0,0,
   ABS(N1142 - S1141 - P1142-Q1142) &lt; 1, N1142 - S1141-Q1142,
    TRUE, P1142
)</f>
        <v>0</v>
      </c>
      <c r="P1142" s="1852">
        <f>IF(M1142=0,0,ROUND(S1141*EXP(Int_Rate/365.25 * M1142)-S1141,2))</f>
        <v>0</v>
      </c>
      <c r="Q1142" s="1851" cm="1">
        <f t="array" ref="Q1142">_xlfn.IFS(
    AND(I1142=TRUE, K1142&lt;=No_Regular_Payments), Periodic_Admin_Charge,
   TRUE, 0
)</f>
        <v>0</v>
      </c>
      <c r="R1142" s="1850">
        <f>N1142-O1142-Q1142</f>
        <v>0</v>
      </c>
      <c r="S1142" s="1850">
        <f>ROUND(S1141-R1142,2)</f>
        <v>0</v>
      </c>
      <c r="T1142" s="1850">
        <f>ROUND(T1141-(N1142-Q1142),2)</f>
        <v>0</v>
      </c>
      <c r="U1142" s="1849"/>
      <c r="W1142" s="1848"/>
      <c r="X1142" s="1848"/>
      <c r="Y1142" s="1848"/>
    </row>
    <row r="1143" spans="2:25" hidden="1">
      <c r="B1143" s="1815" t="b">
        <f>AND(I1143=FALSE,N1142=0,Q1142=0,L1142="")</f>
        <v>1</v>
      </c>
      <c r="C1143" s="1844" t="str" cm="1">
        <f t="array" ref="C1143">_xlfn.IFS(
    L1143="", "",
    MONTH(L1143) &lt;= End_of_Year_Month, YEAR(L1143),
    TRUE, YEAR(L1143) + 1
)</f>
        <v/>
      </c>
      <c r="F1143" s="1857">
        <f>IF(L1143="",0,L1143)</f>
        <v>0</v>
      </c>
      <c r="G1143" s="1856">
        <f>-(N1143-Q1143)</f>
        <v>0</v>
      </c>
      <c r="I1143" s="1815" t="b">
        <f>K1143&lt;=Number_Payments</f>
        <v>0</v>
      </c>
      <c r="J1143" s="1855"/>
      <c r="K1143" s="1351">
        <f>K1142+1</f>
        <v>1017</v>
      </c>
      <c r="L1143" s="1854" t="str" cm="1">
        <f t="array" ref="L1143">_xlfn.IFS(
    I1142=FALSE, "",
    Payment_Frequency="Monthly", EDATE(L1142, 1),
    Payment_Frequency="Weekly", DATE(YEAR(L1142), MONTH(L1142), DAY(L1142) + 7),
    Payment_Frequency="Fortnightly", DATE(YEAR(L1142), MONTH(L1142), DAY(L1142) + 14),
    Payment_Frequency="Quarterly", DATE(YEAR(L1142), MONTH(L1142) + 3, DAY(L1142)),
    Payment_Frequency="Yearly", DATE(YEAR(L1142) + 1, MONTH(L1142), DAY(L1142)),
    TRUE, ""
)</f>
        <v/>
      </c>
      <c r="M1143" s="1853">
        <f>IF(ISERROR(L1143-L1142),0,L1143-L1142)</f>
        <v>0</v>
      </c>
      <c r="N1143" s="1851" cm="1">
        <f t="array" ref="N1143">_xlfn.IFS(
    AND(I1143=TRUE, K1143&lt;=No_Regular_Payments), Repay_Amt,
    AND(I1143=TRUE, K1143=No_Regular_Payments+1), Tm_Balloon_Amt,
   TRUE, 0
)</f>
        <v>0</v>
      </c>
      <c r="O1143" s="1850" cm="1">
        <f t="array" ref="O1143">_xlfn.IFS(
    M1143=0,0,
   ABS(N1143 - S1142 - P1143-Q1143) &lt; 1, N1143 - S1142-Q1143,
    TRUE, P1143
)</f>
        <v>0</v>
      </c>
      <c r="P1143" s="1852">
        <f>IF(M1143=0,0,ROUND(S1142*EXP(Int_Rate/365.25 * M1143)-S1142,2))</f>
        <v>0</v>
      </c>
      <c r="Q1143" s="1851" cm="1">
        <f t="array" ref="Q1143">_xlfn.IFS(
    AND(I1143=TRUE, K1143&lt;=No_Regular_Payments), Periodic_Admin_Charge,
   TRUE, 0
)</f>
        <v>0</v>
      </c>
      <c r="R1143" s="1850">
        <f>N1143-O1143-Q1143</f>
        <v>0</v>
      </c>
      <c r="S1143" s="1850">
        <f>ROUND(S1142-R1143,2)</f>
        <v>0</v>
      </c>
      <c r="T1143" s="1850">
        <f>ROUND(T1142-(N1143-Q1143),2)</f>
        <v>0</v>
      </c>
      <c r="U1143" s="1849"/>
      <c r="W1143" s="1848"/>
      <c r="X1143" s="1848"/>
      <c r="Y1143" s="1848"/>
    </row>
    <row r="1144" spans="2:25" hidden="1">
      <c r="B1144" s="1815" t="b">
        <f>AND(I1144=FALSE,N1143=0,Q1143=0,L1143="")</f>
        <v>1</v>
      </c>
      <c r="C1144" s="1844" t="str" cm="1">
        <f t="array" ref="C1144">_xlfn.IFS(
    L1144="", "",
    MONTH(L1144) &lt;= End_of_Year_Month, YEAR(L1144),
    TRUE, YEAR(L1144) + 1
)</f>
        <v/>
      </c>
      <c r="F1144" s="1857">
        <f>IF(L1144="",0,L1144)</f>
        <v>0</v>
      </c>
      <c r="G1144" s="1856">
        <f>-(N1144-Q1144)</f>
        <v>0</v>
      </c>
      <c r="I1144" s="1815" t="b">
        <f>K1144&lt;=Number_Payments</f>
        <v>0</v>
      </c>
      <c r="J1144" s="1855"/>
      <c r="K1144" s="1351">
        <f>K1143+1</f>
        <v>1018</v>
      </c>
      <c r="L1144" s="1854" t="str" cm="1">
        <f t="array" ref="L1144">_xlfn.IFS(
    I1143=FALSE, "",
    Payment_Frequency="Monthly", EDATE(L1143, 1),
    Payment_Frequency="Weekly", DATE(YEAR(L1143), MONTH(L1143), DAY(L1143) + 7),
    Payment_Frequency="Fortnightly", DATE(YEAR(L1143), MONTH(L1143), DAY(L1143) + 14),
    Payment_Frequency="Quarterly", DATE(YEAR(L1143), MONTH(L1143) + 3, DAY(L1143)),
    Payment_Frequency="Yearly", DATE(YEAR(L1143) + 1, MONTH(L1143), DAY(L1143)),
    TRUE, ""
)</f>
        <v/>
      </c>
      <c r="M1144" s="1853">
        <f>IF(ISERROR(L1144-L1143),0,L1144-L1143)</f>
        <v>0</v>
      </c>
      <c r="N1144" s="1851" cm="1">
        <f t="array" ref="N1144">_xlfn.IFS(
    AND(I1144=TRUE, K1144&lt;=No_Regular_Payments), Repay_Amt,
    AND(I1144=TRUE, K1144=No_Regular_Payments+1), Tm_Balloon_Amt,
   TRUE, 0
)</f>
        <v>0</v>
      </c>
      <c r="O1144" s="1850" cm="1">
        <f t="array" ref="O1144">_xlfn.IFS(
    M1144=0,0,
   ABS(N1144 - S1143 - P1144-Q1144) &lt; 1, N1144 - S1143-Q1144,
    TRUE, P1144
)</f>
        <v>0</v>
      </c>
      <c r="P1144" s="1852">
        <f>IF(M1144=0,0,ROUND(S1143*EXP(Int_Rate/365.25 * M1144)-S1143,2))</f>
        <v>0</v>
      </c>
      <c r="Q1144" s="1851" cm="1">
        <f t="array" ref="Q1144">_xlfn.IFS(
    AND(I1144=TRUE, K1144&lt;=No_Regular_Payments), Periodic_Admin_Charge,
   TRUE, 0
)</f>
        <v>0</v>
      </c>
      <c r="R1144" s="1850">
        <f>N1144-O1144-Q1144</f>
        <v>0</v>
      </c>
      <c r="S1144" s="1850">
        <f>ROUND(S1143-R1144,2)</f>
        <v>0</v>
      </c>
      <c r="T1144" s="1850">
        <f>ROUND(T1143-(N1144-Q1144),2)</f>
        <v>0</v>
      </c>
      <c r="U1144" s="1849"/>
      <c r="W1144" s="1848"/>
      <c r="X1144" s="1848"/>
      <c r="Y1144" s="1848"/>
    </row>
    <row r="1145" spans="2:25" hidden="1">
      <c r="B1145" s="1815" t="b">
        <f>AND(I1145=FALSE,N1144=0,Q1144=0,L1144="")</f>
        <v>1</v>
      </c>
      <c r="C1145" s="1844" t="str" cm="1">
        <f t="array" ref="C1145">_xlfn.IFS(
    L1145="", "",
    MONTH(L1145) &lt;= End_of_Year_Month, YEAR(L1145),
    TRUE, YEAR(L1145) + 1
)</f>
        <v/>
      </c>
      <c r="F1145" s="1857">
        <f>IF(L1145="",0,L1145)</f>
        <v>0</v>
      </c>
      <c r="G1145" s="1856">
        <f>-(N1145-Q1145)</f>
        <v>0</v>
      </c>
      <c r="I1145" s="1815" t="b">
        <f>K1145&lt;=Number_Payments</f>
        <v>0</v>
      </c>
      <c r="J1145" s="1855"/>
      <c r="K1145" s="1351">
        <f>K1144+1</f>
        <v>1019</v>
      </c>
      <c r="L1145" s="1854" t="str" cm="1">
        <f t="array" ref="L1145">_xlfn.IFS(
    I1144=FALSE, "",
    Payment_Frequency="Monthly", EDATE(L1144, 1),
    Payment_Frequency="Weekly", DATE(YEAR(L1144), MONTH(L1144), DAY(L1144) + 7),
    Payment_Frequency="Fortnightly", DATE(YEAR(L1144), MONTH(L1144), DAY(L1144) + 14),
    Payment_Frequency="Quarterly", DATE(YEAR(L1144), MONTH(L1144) + 3, DAY(L1144)),
    Payment_Frequency="Yearly", DATE(YEAR(L1144) + 1, MONTH(L1144), DAY(L1144)),
    TRUE, ""
)</f>
        <v/>
      </c>
      <c r="M1145" s="1853">
        <f>IF(ISERROR(L1145-L1144),0,L1145-L1144)</f>
        <v>0</v>
      </c>
      <c r="N1145" s="1851" cm="1">
        <f t="array" ref="N1145">_xlfn.IFS(
    AND(I1145=TRUE, K1145&lt;=No_Regular_Payments), Repay_Amt,
    AND(I1145=TRUE, K1145=No_Regular_Payments+1), Tm_Balloon_Amt,
   TRUE, 0
)</f>
        <v>0</v>
      </c>
      <c r="O1145" s="1850" cm="1">
        <f t="array" ref="O1145">_xlfn.IFS(
    M1145=0,0,
   ABS(N1145 - S1144 - P1145-Q1145) &lt; 1, N1145 - S1144-Q1145,
    TRUE, P1145
)</f>
        <v>0</v>
      </c>
      <c r="P1145" s="1852">
        <f>IF(M1145=0,0,ROUND(S1144*EXP(Int_Rate/365.25 * M1145)-S1144,2))</f>
        <v>0</v>
      </c>
      <c r="Q1145" s="1851" cm="1">
        <f t="array" ref="Q1145">_xlfn.IFS(
    AND(I1145=TRUE, K1145&lt;=No_Regular_Payments), Periodic_Admin_Charge,
   TRUE, 0
)</f>
        <v>0</v>
      </c>
      <c r="R1145" s="1850">
        <f>N1145-O1145-Q1145</f>
        <v>0</v>
      </c>
      <c r="S1145" s="1850">
        <f>ROUND(S1144-R1145,2)</f>
        <v>0</v>
      </c>
      <c r="T1145" s="1850">
        <f>ROUND(T1144-(N1145-Q1145),2)</f>
        <v>0</v>
      </c>
      <c r="U1145" s="1849"/>
      <c r="W1145" s="1848"/>
      <c r="X1145" s="1848"/>
      <c r="Y1145" s="1848"/>
    </row>
    <row r="1146" spans="2:25" hidden="1">
      <c r="B1146" s="1815" t="b">
        <f>AND(I1146=FALSE,N1145=0,Q1145=0,L1145="")</f>
        <v>1</v>
      </c>
      <c r="C1146" s="1844" t="str" cm="1">
        <f t="array" ref="C1146">_xlfn.IFS(
    L1146="", "",
    MONTH(L1146) &lt;= End_of_Year_Month, YEAR(L1146),
    TRUE, YEAR(L1146) + 1
)</f>
        <v/>
      </c>
      <c r="F1146" s="1857">
        <f>IF(L1146="",0,L1146)</f>
        <v>0</v>
      </c>
      <c r="G1146" s="1856">
        <f>-(N1146-Q1146)</f>
        <v>0</v>
      </c>
      <c r="I1146" s="1815" t="b">
        <f>K1146&lt;=Number_Payments</f>
        <v>0</v>
      </c>
      <c r="J1146" s="1855"/>
      <c r="K1146" s="1351">
        <f>K1145+1</f>
        <v>1020</v>
      </c>
      <c r="L1146" s="1854" t="str" cm="1">
        <f t="array" ref="L1146">_xlfn.IFS(
    I1145=FALSE, "",
    Payment_Frequency="Monthly", EDATE(L1145, 1),
    Payment_Frequency="Weekly", DATE(YEAR(L1145), MONTH(L1145), DAY(L1145) + 7),
    Payment_Frequency="Fortnightly", DATE(YEAR(L1145), MONTH(L1145), DAY(L1145) + 14),
    Payment_Frequency="Quarterly", DATE(YEAR(L1145), MONTH(L1145) + 3, DAY(L1145)),
    Payment_Frequency="Yearly", DATE(YEAR(L1145) + 1, MONTH(L1145), DAY(L1145)),
    TRUE, ""
)</f>
        <v/>
      </c>
      <c r="M1146" s="1853">
        <f>IF(ISERROR(L1146-L1145),0,L1146-L1145)</f>
        <v>0</v>
      </c>
      <c r="N1146" s="1851" cm="1">
        <f t="array" ref="N1146">_xlfn.IFS(
    AND(I1146=TRUE, K1146&lt;=No_Regular_Payments), Repay_Amt,
    AND(I1146=TRUE, K1146=No_Regular_Payments+1), Tm_Balloon_Amt,
   TRUE, 0
)</f>
        <v>0</v>
      </c>
      <c r="O1146" s="1850" cm="1">
        <f t="array" ref="O1146">_xlfn.IFS(
    M1146=0,0,
   ABS(N1146 - S1145 - P1146-Q1146) &lt; 1, N1146 - S1145-Q1146,
    TRUE, P1146
)</f>
        <v>0</v>
      </c>
      <c r="P1146" s="1852">
        <f>IF(M1146=0,0,ROUND(S1145*EXP(Int_Rate/365.25 * M1146)-S1145,2))</f>
        <v>0</v>
      </c>
      <c r="Q1146" s="1851" cm="1">
        <f t="array" ref="Q1146">_xlfn.IFS(
    AND(I1146=TRUE, K1146&lt;=No_Regular_Payments), Periodic_Admin_Charge,
   TRUE, 0
)</f>
        <v>0</v>
      </c>
      <c r="R1146" s="1850">
        <f>N1146-O1146-Q1146</f>
        <v>0</v>
      </c>
      <c r="S1146" s="1850">
        <f>ROUND(S1145-R1146,2)</f>
        <v>0</v>
      </c>
      <c r="T1146" s="1850">
        <f>ROUND(T1145-(N1146-Q1146),2)</f>
        <v>0</v>
      </c>
      <c r="U1146" s="1849"/>
      <c r="W1146" s="1848"/>
      <c r="X1146" s="1848"/>
      <c r="Y1146" s="1848"/>
    </row>
    <row r="1147" spans="2:25" hidden="1">
      <c r="B1147" s="1815" t="b">
        <f>AND(I1147=FALSE,N1146=0,Q1146=0,L1146="")</f>
        <v>1</v>
      </c>
      <c r="C1147" s="1844" t="str" cm="1">
        <f t="array" ref="C1147">_xlfn.IFS(
    L1147="", "",
    MONTH(L1147) &lt;= End_of_Year_Month, YEAR(L1147),
    TRUE, YEAR(L1147) + 1
)</f>
        <v/>
      </c>
      <c r="F1147" s="1857">
        <f>IF(L1147="",0,L1147)</f>
        <v>0</v>
      </c>
      <c r="G1147" s="1856">
        <f>-(N1147-Q1147)</f>
        <v>0</v>
      </c>
      <c r="I1147" s="1815" t="b">
        <f>K1147&lt;=Number_Payments</f>
        <v>0</v>
      </c>
      <c r="J1147" s="1855"/>
      <c r="K1147" s="1351">
        <f>K1146+1</f>
        <v>1021</v>
      </c>
      <c r="L1147" s="1854" t="str" cm="1">
        <f t="array" ref="L1147">_xlfn.IFS(
    I1146=FALSE, "",
    Payment_Frequency="Monthly", EDATE(L1146, 1),
    Payment_Frequency="Weekly", DATE(YEAR(L1146), MONTH(L1146), DAY(L1146) + 7),
    Payment_Frequency="Fortnightly", DATE(YEAR(L1146), MONTH(L1146), DAY(L1146) + 14),
    Payment_Frequency="Quarterly", DATE(YEAR(L1146), MONTH(L1146) + 3, DAY(L1146)),
    Payment_Frequency="Yearly", DATE(YEAR(L1146) + 1, MONTH(L1146), DAY(L1146)),
    TRUE, ""
)</f>
        <v/>
      </c>
      <c r="M1147" s="1853">
        <f>IF(ISERROR(L1147-L1146),0,L1147-L1146)</f>
        <v>0</v>
      </c>
      <c r="N1147" s="1851" cm="1">
        <f t="array" ref="N1147">_xlfn.IFS(
    AND(I1147=TRUE, K1147&lt;=No_Regular_Payments), Repay_Amt,
    AND(I1147=TRUE, K1147=No_Regular_Payments+1), Tm_Balloon_Amt,
   TRUE, 0
)</f>
        <v>0</v>
      </c>
      <c r="O1147" s="1850" cm="1">
        <f t="array" ref="O1147">_xlfn.IFS(
    M1147=0,0,
   ABS(N1147 - S1146 - P1147-Q1147) &lt; 1, N1147 - S1146-Q1147,
    TRUE, P1147
)</f>
        <v>0</v>
      </c>
      <c r="P1147" s="1852">
        <f>IF(M1147=0,0,ROUND(S1146*EXP(Int_Rate/365.25 * M1147)-S1146,2))</f>
        <v>0</v>
      </c>
      <c r="Q1147" s="1851" cm="1">
        <f t="array" ref="Q1147">_xlfn.IFS(
    AND(I1147=TRUE, K1147&lt;=No_Regular_Payments), Periodic_Admin_Charge,
   TRUE, 0
)</f>
        <v>0</v>
      </c>
      <c r="R1147" s="1850">
        <f>N1147-O1147-Q1147</f>
        <v>0</v>
      </c>
      <c r="S1147" s="1850">
        <f>ROUND(S1146-R1147,2)</f>
        <v>0</v>
      </c>
      <c r="T1147" s="1850">
        <f>ROUND(T1146-(N1147-Q1147),2)</f>
        <v>0</v>
      </c>
      <c r="U1147" s="1849"/>
      <c r="W1147" s="1848"/>
      <c r="X1147" s="1848"/>
      <c r="Y1147" s="1848"/>
    </row>
    <row r="1148" spans="2:25" hidden="1">
      <c r="B1148" s="1815" t="b">
        <f>AND(I1148=FALSE,N1147=0,Q1147=0,L1147="")</f>
        <v>1</v>
      </c>
      <c r="C1148" s="1844" t="str" cm="1">
        <f t="array" ref="C1148">_xlfn.IFS(
    L1148="", "",
    MONTH(L1148) &lt;= End_of_Year_Month, YEAR(L1148),
    TRUE, YEAR(L1148) + 1
)</f>
        <v/>
      </c>
      <c r="F1148" s="1857">
        <f>IF(L1148="",0,L1148)</f>
        <v>0</v>
      </c>
      <c r="G1148" s="1856">
        <f>-(N1148-Q1148)</f>
        <v>0</v>
      </c>
      <c r="I1148" s="1815" t="b">
        <f>K1148&lt;=Number_Payments</f>
        <v>0</v>
      </c>
      <c r="J1148" s="1855"/>
      <c r="K1148" s="1351">
        <f>K1147+1</f>
        <v>1022</v>
      </c>
      <c r="L1148" s="1854" t="str" cm="1">
        <f t="array" ref="L1148">_xlfn.IFS(
    I1147=FALSE, "",
    Payment_Frequency="Monthly", EDATE(L1147, 1),
    Payment_Frequency="Weekly", DATE(YEAR(L1147), MONTH(L1147), DAY(L1147) + 7),
    Payment_Frequency="Fortnightly", DATE(YEAR(L1147), MONTH(L1147), DAY(L1147) + 14),
    Payment_Frequency="Quarterly", DATE(YEAR(L1147), MONTH(L1147) + 3, DAY(L1147)),
    Payment_Frequency="Yearly", DATE(YEAR(L1147) + 1, MONTH(L1147), DAY(L1147)),
    TRUE, ""
)</f>
        <v/>
      </c>
      <c r="M1148" s="1853">
        <f>IF(ISERROR(L1148-L1147),0,L1148-L1147)</f>
        <v>0</v>
      </c>
      <c r="N1148" s="1851" cm="1">
        <f t="array" ref="N1148">_xlfn.IFS(
    AND(I1148=TRUE, K1148&lt;=No_Regular_Payments), Repay_Amt,
    AND(I1148=TRUE, K1148=No_Regular_Payments+1), Tm_Balloon_Amt,
   TRUE, 0
)</f>
        <v>0</v>
      </c>
      <c r="O1148" s="1850" cm="1">
        <f t="array" ref="O1148">_xlfn.IFS(
    M1148=0,0,
   ABS(N1148 - S1147 - P1148-Q1148) &lt; 1, N1148 - S1147-Q1148,
    TRUE, P1148
)</f>
        <v>0</v>
      </c>
      <c r="P1148" s="1852">
        <f>IF(M1148=0,0,ROUND(S1147*EXP(Int_Rate/365.25 * M1148)-S1147,2))</f>
        <v>0</v>
      </c>
      <c r="Q1148" s="1851" cm="1">
        <f t="array" ref="Q1148">_xlfn.IFS(
    AND(I1148=TRUE, K1148&lt;=No_Regular_Payments), Periodic_Admin_Charge,
   TRUE, 0
)</f>
        <v>0</v>
      </c>
      <c r="R1148" s="1850">
        <f>N1148-O1148-Q1148</f>
        <v>0</v>
      </c>
      <c r="S1148" s="1850">
        <f>ROUND(S1147-R1148,2)</f>
        <v>0</v>
      </c>
      <c r="T1148" s="1850">
        <f>ROUND(T1147-(N1148-Q1148),2)</f>
        <v>0</v>
      </c>
      <c r="U1148" s="1849"/>
      <c r="W1148" s="1848"/>
      <c r="X1148" s="1848"/>
      <c r="Y1148" s="1848"/>
    </row>
    <row r="1149" spans="2:25" hidden="1">
      <c r="B1149" s="1815" t="b">
        <f>AND(I1149=FALSE,N1148=0,Q1148=0,L1148="")</f>
        <v>1</v>
      </c>
      <c r="C1149" s="1844" t="str" cm="1">
        <f t="array" ref="C1149">_xlfn.IFS(
    L1149="", "",
    MONTH(L1149) &lt;= End_of_Year_Month, YEAR(L1149),
    TRUE, YEAR(L1149) + 1
)</f>
        <v/>
      </c>
      <c r="F1149" s="1857">
        <f>IF(L1149="",0,L1149)</f>
        <v>0</v>
      </c>
      <c r="G1149" s="1856">
        <f>-(N1149-Q1149)</f>
        <v>0</v>
      </c>
      <c r="I1149" s="1815" t="b">
        <f>K1149&lt;=Number_Payments</f>
        <v>0</v>
      </c>
      <c r="J1149" s="1855"/>
      <c r="K1149" s="1351">
        <f>K1148+1</f>
        <v>1023</v>
      </c>
      <c r="L1149" s="1854" t="str" cm="1">
        <f t="array" ref="L1149">_xlfn.IFS(
    I1148=FALSE, "",
    Payment_Frequency="Monthly", EDATE(L1148, 1),
    Payment_Frequency="Weekly", DATE(YEAR(L1148), MONTH(L1148), DAY(L1148) + 7),
    Payment_Frequency="Fortnightly", DATE(YEAR(L1148), MONTH(L1148), DAY(L1148) + 14),
    Payment_Frequency="Quarterly", DATE(YEAR(L1148), MONTH(L1148) + 3, DAY(L1148)),
    Payment_Frequency="Yearly", DATE(YEAR(L1148) + 1, MONTH(L1148), DAY(L1148)),
    TRUE, ""
)</f>
        <v/>
      </c>
      <c r="M1149" s="1853">
        <f>IF(ISERROR(L1149-L1148),0,L1149-L1148)</f>
        <v>0</v>
      </c>
      <c r="N1149" s="1851" cm="1">
        <f t="array" ref="N1149">_xlfn.IFS(
    AND(I1149=TRUE, K1149&lt;=No_Regular_Payments), Repay_Amt,
    AND(I1149=TRUE, K1149=No_Regular_Payments+1), Tm_Balloon_Amt,
   TRUE, 0
)</f>
        <v>0</v>
      </c>
      <c r="O1149" s="1850" cm="1">
        <f t="array" ref="O1149">_xlfn.IFS(
    M1149=0,0,
   ABS(N1149 - S1148 - P1149-Q1149) &lt; 1, N1149 - S1148-Q1149,
    TRUE, P1149
)</f>
        <v>0</v>
      </c>
      <c r="P1149" s="1852">
        <f>IF(M1149=0,0,ROUND(S1148*EXP(Int_Rate/365.25 * M1149)-S1148,2))</f>
        <v>0</v>
      </c>
      <c r="Q1149" s="1851" cm="1">
        <f t="array" ref="Q1149">_xlfn.IFS(
    AND(I1149=TRUE, K1149&lt;=No_Regular_Payments), Periodic_Admin_Charge,
   TRUE, 0
)</f>
        <v>0</v>
      </c>
      <c r="R1149" s="1850">
        <f>N1149-O1149-Q1149</f>
        <v>0</v>
      </c>
      <c r="S1149" s="1850">
        <f>ROUND(S1148-R1149,2)</f>
        <v>0</v>
      </c>
      <c r="T1149" s="1850">
        <f>ROUND(T1148-(N1149-Q1149),2)</f>
        <v>0</v>
      </c>
      <c r="U1149" s="1849"/>
      <c r="W1149" s="1848"/>
      <c r="X1149" s="1848"/>
      <c r="Y1149" s="1848"/>
    </row>
    <row r="1150" spans="2:25" hidden="1">
      <c r="B1150" s="1815" t="b">
        <f>AND(I1150=FALSE,N1149=0,Q1149=0,L1149="")</f>
        <v>1</v>
      </c>
      <c r="C1150" s="1844" t="str" cm="1">
        <f t="array" ref="C1150">_xlfn.IFS(
    L1150="", "",
    MONTH(L1150) &lt;= End_of_Year_Month, YEAR(L1150),
    TRUE, YEAR(L1150) + 1
)</f>
        <v/>
      </c>
      <c r="F1150" s="1857">
        <f>IF(L1150="",0,L1150)</f>
        <v>0</v>
      </c>
      <c r="G1150" s="1856">
        <f>-(N1150-Q1150)</f>
        <v>0</v>
      </c>
      <c r="I1150" s="1815" t="b">
        <f>K1150&lt;=Number_Payments</f>
        <v>0</v>
      </c>
      <c r="J1150" s="1855"/>
      <c r="K1150" s="1351">
        <f>K1149+1</f>
        <v>1024</v>
      </c>
      <c r="L1150" s="1854" t="str" cm="1">
        <f t="array" ref="L1150">_xlfn.IFS(
    I1149=FALSE, "",
    Payment_Frequency="Monthly", EDATE(L1149, 1),
    Payment_Frequency="Weekly", DATE(YEAR(L1149), MONTH(L1149), DAY(L1149) + 7),
    Payment_Frequency="Fortnightly", DATE(YEAR(L1149), MONTH(L1149), DAY(L1149) + 14),
    Payment_Frequency="Quarterly", DATE(YEAR(L1149), MONTH(L1149) + 3, DAY(L1149)),
    Payment_Frequency="Yearly", DATE(YEAR(L1149) + 1, MONTH(L1149), DAY(L1149)),
    TRUE, ""
)</f>
        <v/>
      </c>
      <c r="M1150" s="1853">
        <f>IF(ISERROR(L1150-L1149),0,L1150-L1149)</f>
        <v>0</v>
      </c>
      <c r="N1150" s="1851" cm="1">
        <f t="array" ref="N1150">_xlfn.IFS(
    AND(I1150=TRUE, K1150&lt;=No_Regular_Payments), Repay_Amt,
    AND(I1150=TRUE, K1150=No_Regular_Payments+1), Tm_Balloon_Amt,
   TRUE, 0
)</f>
        <v>0</v>
      </c>
      <c r="O1150" s="1850" cm="1">
        <f t="array" ref="O1150">_xlfn.IFS(
    M1150=0,0,
   ABS(N1150 - S1149 - P1150-Q1150) &lt; 1, N1150 - S1149-Q1150,
    TRUE, P1150
)</f>
        <v>0</v>
      </c>
      <c r="P1150" s="1852">
        <f>IF(M1150=0,0,ROUND(S1149*EXP(Int_Rate/365.25 * M1150)-S1149,2))</f>
        <v>0</v>
      </c>
      <c r="Q1150" s="1851" cm="1">
        <f t="array" ref="Q1150">_xlfn.IFS(
    AND(I1150=TRUE, K1150&lt;=No_Regular_Payments), Periodic_Admin_Charge,
   TRUE, 0
)</f>
        <v>0</v>
      </c>
      <c r="R1150" s="1850">
        <f>N1150-O1150-Q1150</f>
        <v>0</v>
      </c>
      <c r="S1150" s="1850">
        <f>ROUND(S1149-R1150,2)</f>
        <v>0</v>
      </c>
      <c r="T1150" s="1850">
        <f>ROUND(T1149-(N1150-Q1150),2)</f>
        <v>0</v>
      </c>
      <c r="U1150" s="1849"/>
      <c r="W1150" s="1848"/>
      <c r="X1150" s="1848"/>
      <c r="Y1150" s="1848"/>
    </row>
    <row r="1151" spans="2:25" hidden="1">
      <c r="B1151" s="1815" t="b">
        <f>AND(I1151=FALSE,N1150=0,Q1150=0,L1150="")</f>
        <v>1</v>
      </c>
      <c r="C1151" s="1844" t="str" cm="1">
        <f t="array" ref="C1151">_xlfn.IFS(
    L1151="", "",
    MONTH(L1151) &lt;= End_of_Year_Month, YEAR(L1151),
    TRUE, YEAR(L1151) + 1
)</f>
        <v/>
      </c>
      <c r="F1151" s="1857">
        <f>IF(L1151="",0,L1151)</f>
        <v>0</v>
      </c>
      <c r="G1151" s="1856">
        <f>-(N1151-Q1151)</f>
        <v>0</v>
      </c>
      <c r="I1151" s="1815" t="b">
        <f>K1151&lt;=Number_Payments</f>
        <v>0</v>
      </c>
      <c r="J1151" s="1855"/>
      <c r="K1151" s="1351">
        <f>K1150+1</f>
        <v>1025</v>
      </c>
      <c r="L1151" s="1854" t="str" cm="1">
        <f t="array" ref="L1151">_xlfn.IFS(
    I1150=FALSE, "",
    Payment_Frequency="Monthly", EDATE(L1150, 1),
    Payment_Frequency="Weekly", DATE(YEAR(L1150), MONTH(L1150), DAY(L1150) + 7),
    Payment_Frequency="Fortnightly", DATE(YEAR(L1150), MONTH(L1150), DAY(L1150) + 14),
    Payment_Frequency="Quarterly", DATE(YEAR(L1150), MONTH(L1150) + 3, DAY(L1150)),
    Payment_Frequency="Yearly", DATE(YEAR(L1150) + 1, MONTH(L1150), DAY(L1150)),
    TRUE, ""
)</f>
        <v/>
      </c>
      <c r="M1151" s="1853">
        <f>IF(ISERROR(L1151-L1150),0,L1151-L1150)</f>
        <v>0</v>
      </c>
      <c r="N1151" s="1851" cm="1">
        <f t="array" ref="N1151">_xlfn.IFS(
    AND(I1151=TRUE, K1151&lt;=No_Regular_Payments), Repay_Amt,
    AND(I1151=TRUE, K1151=No_Regular_Payments+1), Tm_Balloon_Amt,
   TRUE, 0
)</f>
        <v>0</v>
      </c>
      <c r="O1151" s="1850" cm="1">
        <f t="array" ref="O1151">_xlfn.IFS(
    M1151=0,0,
   ABS(N1151 - S1150 - P1151-Q1151) &lt; 1, N1151 - S1150-Q1151,
    TRUE, P1151
)</f>
        <v>0</v>
      </c>
      <c r="P1151" s="1852">
        <f>IF(M1151=0,0,ROUND(S1150*EXP(Int_Rate/365.25 * M1151)-S1150,2))</f>
        <v>0</v>
      </c>
      <c r="Q1151" s="1851" cm="1">
        <f t="array" ref="Q1151">_xlfn.IFS(
    AND(I1151=TRUE, K1151&lt;=No_Regular_Payments), Periodic_Admin_Charge,
   TRUE, 0
)</f>
        <v>0</v>
      </c>
      <c r="R1151" s="1850">
        <f>N1151-O1151-Q1151</f>
        <v>0</v>
      </c>
      <c r="S1151" s="1850">
        <f>ROUND(S1150-R1151,2)</f>
        <v>0</v>
      </c>
      <c r="T1151" s="1850">
        <f>ROUND(T1150-(N1151-Q1151),2)</f>
        <v>0</v>
      </c>
      <c r="U1151" s="1849"/>
      <c r="W1151" s="1848"/>
      <c r="X1151" s="1848"/>
      <c r="Y1151" s="1848"/>
    </row>
    <row r="1152" spans="2:25" hidden="1">
      <c r="B1152" s="1815" t="b">
        <f>AND(I1152=FALSE,N1151=0,Q1151=0,L1151="")</f>
        <v>1</v>
      </c>
      <c r="C1152" s="1844" t="str" cm="1">
        <f t="array" ref="C1152">_xlfn.IFS(
    L1152="", "",
    MONTH(L1152) &lt;= End_of_Year_Month, YEAR(L1152),
    TRUE, YEAR(L1152) + 1
)</f>
        <v/>
      </c>
      <c r="F1152" s="1857">
        <f>IF(L1152="",0,L1152)</f>
        <v>0</v>
      </c>
      <c r="G1152" s="1856">
        <f>-(N1152-Q1152)</f>
        <v>0</v>
      </c>
      <c r="I1152" s="1815" t="b">
        <f>K1152&lt;=Number_Payments</f>
        <v>0</v>
      </c>
      <c r="J1152" s="1855"/>
      <c r="K1152" s="1351">
        <f>K1151+1</f>
        <v>1026</v>
      </c>
      <c r="L1152" s="1854" t="str" cm="1">
        <f t="array" ref="L1152">_xlfn.IFS(
    I1151=FALSE, "",
    Payment_Frequency="Monthly", EDATE(L1151, 1),
    Payment_Frequency="Weekly", DATE(YEAR(L1151), MONTH(L1151), DAY(L1151) + 7),
    Payment_Frequency="Fortnightly", DATE(YEAR(L1151), MONTH(L1151), DAY(L1151) + 14),
    Payment_Frequency="Quarterly", DATE(YEAR(L1151), MONTH(L1151) + 3, DAY(L1151)),
    Payment_Frequency="Yearly", DATE(YEAR(L1151) + 1, MONTH(L1151), DAY(L1151)),
    TRUE, ""
)</f>
        <v/>
      </c>
      <c r="M1152" s="1853">
        <f>IF(ISERROR(L1152-L1151),0,L1152-L1151)</f>
        <v>0</v>
      </c>
      <c r="N1152" s="1851" cm="1">
        <f t="array" ref="N1152">_xlfn.IFS(
    AND(I1152=TRUE, K1152&lt;=No_Regular_Payments), Repay_Amt,
    AND(I1152=TRUE, K1152=No_Regular_Payments+1), Tm_Balloon_Amt,
   TRUE, 0
)</f>
        <v>0</v>
      </c>
      <c r="O1152" s="1850" cm="1">
        <f t="array" ref="O1152">_xlfn.IFS(
    M1152=0,0,
   ABS(N1152 - S1151 - P1152-Q1152) &lt; 1, N1152 - S1151-Q1152,
    TRUE, P1152
)</f>
        <v>0</v>
      </c>
      <c r="P1152" s="1852">
        <f>IF(M1152=0,0,ROUND(S1151*EXP(Int_Rate/365.25 * M1152)-S1151,2))</f>
        <v>0</v>
      </c>
      <c r="Q1152" s="1851" cm="1">
        <f t="array" ref="Q1152">_xlfn.IFS(
    AND(I1152=TRUE, K1152&lt;=No_Regular_Payments), Periodic_Admin_Charge,
   TRUE, 0
)</f>
        <v>0</v>
      </c>
      <c r="R1152" s="1850">
        <f>N1152-O1152-Q1152</f>
        <v>0</v>
      </c>
      <c r="S1152" s="1850">
        <f>ROUND(S1151-R1152,2)</f>
        <v>0</v>
      </c>
      <c r="T1152" s="1850">
        <f>ROUND(T1151-(N1152-Q1152),2)</f>
        <v>0</v>
      </c>
      <c r="U1152" s="1849"/>
      <c r="W1152" s="1848"/>
      <c r="X1152" s="1848"/>
      <c r="Y1152" s="1848"/>
    </row>
    <row r="1153" spans="2:25" hidden="1">
      <c r="B1153" s="1815" t="b">
        <f>AND(I1153=FALSE,N1152=0,Q1152=0,L1152="")</f>
        <v>1</v>
      </c>
      <c r="C1153" s="1844" t="str" cm="1">
        <f t="array" ref="C1153">_xlfn.IFS(
    L1153="", "",
    MONTH(L1153) &lt;= End_of_Year_Month, YEAR(L1153),
    TRUE, YEAR(L1153) + 1
)</f>
        <v/>
      </c>
      <c r="F1153" s="1857">
        <f>IF(L1153="",0,L1153)</f>
        <v>0</v>
      </c>
      <c r="G1153" s="1856">
        <f>-(N1153-Q1153)</f>
        <v>0</v>
      </c>
      <c r="I1153" s="1815" t="b">
        <f>K1153&lt;=Number_Payments</f>
        <v>0</v>
      </c>
      <c r="J1153" s="1855"/>
      <c r="K1153" s="1351">
        <f>K1152+1</f>
        <v>1027</v>
      </c>
      <c r="L1153" s="1854" t="str" cm="1">
        <f t="array" ref="L1153">_xlfn.IFS(
    I1152=FALSE, "",
    Payment_Frequency="Monthly", EDATE(L1152, 1),
    Payment_Frequency="Weekly", DATE(YEAR(L1152), MONTH(L1152), DAY(L1152) + 7),
    Payment_Frequency="Fortnightly", DATE(YEAR(L1152), MONTH(L1152), DAY(L1152) + 14),
    Payment_Frequency="Quarterly", DATE(YEAR(L1152), MONTH(L1152) + 3, DAY(L1152)),
    Payment_Frequency="Yearly", DATE(YEAR(L1152) + 1, MONTH(L1152), DAY(L1152)),
    TRUE, ""
)</f>
        <v/>
      </c>
      <c r="M1153" s="1853">
        <f>IF(ISERROR(L1153-L1152),0,L1153-L1152)</f>
        <v>0</v>
      </c>
      <c r="N1153" s="1851" cm="1">
        <f t="array" ref="N1153">_xlfn.IFS(
    AND(I1153=TRUE, K1153&lt;=No_Regular_Payments), Repay_Amt,
    AND(I1153=TRUE, K1153=No_Regular_Payments+1), Tm_Balloon_Amt,
   TRUE, 0
)</f>
        <v>0</v>
      </c>
      <c r="O1153" s="1850" cm="1">
        <f t="array" ref="O1153">_xlfn.IFS(
    M1153=0,0,
   ABS(N1153 - S1152 - P1153-Q1153) &lt; 1, N1153 - S1152-Q1153,
    TRUE, P1153
)</f>
        <v>0</v>
      </c>
      <c r="P1153" s="1852">
        <f>IF(M1153=0,0,ROUND(S1152*EXP(Int_Rate/365.25 * M1153)-S1152,2))</f>
        <v>0</v>
      </c>
      <c r="Q1153" s="1851" cm="1">
        <f t="array" ref="Q1153">_xlfn.IFS(
    AND(I1153=TRUE, K1153&lt;=No_Regular_Payments), Periodic_Admin_Charge,
   TRUE, 0
)</f>
        <v>0</v>
      </c>
      <c r="R1153" s="1850">
        <f>N1153-O1153-Q1153</f>
        <v>0</v>
      </c>
      <c r="S1153" s="1850">
        <f>ROUND(S1152-R1153,2)</f>
        <v>0</v>
      </c>
      <c r="T1153" s="1850">
        <f>ROUND(T1152-(N1153-Q1153),2)</f>
        <v>0</v>
      </c>
      <c r="U1153" s="1849"/>
      <c r="W1153" s="1848"/>
      <c r="X1153" s="1848"/>
      <c r="Y1153" s="1848"/>
    </row>
    <row r="1154" spans="2:25" hidden="1">
      <c r="B1154" s="1815" t="b">
        <f>AND(I1154=FALSE,N1153=0,Q1153=0,L1153="")</f>
        <v>1</v>
      </c>
      <c r="C1154" s="1844" t="str" cm="1">
        <f t="array" ref="C1154">_xlfn.IFS(
    L1154="", "",
    MONTH(L1154) &lt;= End_of_Year_Month, YEAR(L1154),
    TRUE, YEAR(L1154) + 1
)</f>
        <v/>
      </c>
      <c r="F1154" s="1857">
        <f>IF(L1154="",0,L1154)</f>
        <v>0</v>
      </c>
      <c r="G1154" s="1856">
        <f>-(N1154-Q1154)</f>
        <v>0</v>
      </c>
      <c r="I1154" s="1815" t="b">
        <f>K1154&lt;=Number_Payments</f>
        <v>0</v>
      </c>
      <c r="J1154" s="1855"/>
      <c r="K1154" s="1351">
        <f>K1153+1</f>
        <v>1028</v>
      </c>
      <c r="L1154" s="1854" t="str" cm="1">
        <f t="array" ref="L1154">_xlfn.IFS(
    I1153=FALSE, "",
    Payment_Frequency="Monthly", EDATE(L1153, 1),
    Payment_Frequency="Weekly", DATE(YEAR(L1153), MONTH(L1153), DAY(L1153) + 7),
    Payment_Frequency="Fortnightly", DATE(YEAR(L1153), MONTH(L1153), DAY(L1153) + 14),
    Payment_Frequency="Quarterly", DATE(YEAR(L1153), MONTH(L1153) + 3, DAY(L1153)),
    Payment_Frequency="Yearly", DATE(YEAR(L1153) + 1, MONTH(L1153), DAY(L1153)),
    TRUE, ""
)</f>
        <v/>
      </c>
      <c r="M1154" s="1853">
        <f>IF(ISERROR(L1154-L1153),0,L1154-L1153)</f>
        <v>0</v>
      </c>
      <c r="N1154" s="1851" cm="1">
        <f t="array" ref="N1154">_xlfn.IFS(
    AND(I1154=TRUE, K1154&lt;=No_Regular_Payments), Repay_Amt,
    AND(I1154=TRUE, K1154=No_Regular_Payments+1), Tm_Balloon_Amt,
   TRUE, 0
)</f>
        <v>0</v>
      </c>
      <c r="O1154" s="1850" cm="1">
        <f t="array" ref="O1154">_xlfn.IFS(
    M1154=0,0,
   ABS(N1154 - S1153 - P1154-Q1154) &lt; 1, N1154 - S1153-Q1154,
    TRUE, P1154
)</f>
        <v>0</v>
      </c>
      <c r="P1154" s="1852">
        <f>IF(M1154=0,0,ROUND(S1153*EXP(Int_Rate/365.25 * M1154)-S1153,2))</f>
        <v>0</v>
      </c>
      <c r="Q1154" s="1851" cm="1">
        <f t="array" ref="Q1154">_xlfn.IFS(
    AND(I1154=TRUE, K1154&lt;=No_Regular_Payments), Periodic_Admin_Charge,
   TRUE, 0
)</f>
        <v>0</v>
      </c>
      <c r="R1154" s="1850">
        <f>N1154-O1154-Q1154</f>
        <v>0</v>
      </c>
      <c r="S1154" s="1850">
        <f>ROUND(S1153-R1154,2)</f>
        <v>0</v>
      </c>
      <c r="T1154" s="1850">
        <f>ROUND(T1153-(N1154-Q1154),2)</f>
        <v>0</v>
      </c>
      <c r="U1154" s="1849"/>
      <c r="W1154" s="1848"/>
      <c r="X1154" s="1848"/>
      <c r="Y1154" s="1848"/>
    </row>
    <row r="1155" spans="2:25" hidden="1">
      <c r="B1155" s="1815" t="b">
        <f>AND(I1155=FALSE,N1154=0,Q1154=0,L1154="")</f>
        <v>1</v>
      </c>
      <c r="C1155" s="1844" t="str" cm="1">
        <f t="array" ref="C1155">_xlfn.IFS(
    L1155="", "",
    MONTH(L1155) &lt;= End_of_Year_Month, YEAR(L1155),
    TRUE, YEAR(L1155) + 1
)</f>
        <v/>
      </c>
      <c r="F1155" s="1857">
        <f>IF(L1155="",0,L1155)</f>
        <v>0</v>
      </c>
      <c r="G1155" s="1856">
        <f>-(N1155-Q1155)</f>
        <v>0</v>
      </c>
      <c r="I1155" s="1815" t="b">
        <f>K1155&lt;=Number_Payments</f>
        <v>0</v>
      </c>
      <c r="J1155" s="1855"/>
      <c r="K1155" s="1351">
        <f>K1154+1</f>
        <v>1029</v>
      </c>
      <c r="L1155" s="1854" t="str" cm="1">
        <f t="array" ref="L1155">_xlfn.IFS(
    I1154=FALSE, "",
    Payment_Frequency="Monthly", EDATE(L1154, 1),
    Payment_Frequency="Weekly", DATE(YEAR(L1154), MONTH(L1154), DAY(L1154) + 7),
    Payment_Frequency="Fortnightly", DATE(YEAR(L1154), MONTH(L1154), DAY(L1154) + 14),
    Payment_Frequency="Quarterly", DATE(YEAR(L1154), MONTH(L1154) + 3, DAY(L1154)),
    Payment_Frequency="Yearly", DATE(YEAR(L1154) + 1, MONTH(L1154), DAY(L1154)),
    TRUE, ""
)</f>
        <v/>
      </c>
      <c r="M1155" s="1853">
        <f>IF(ISERROR(L1155-L1154),0,L1155-L1154)</f>
        <v>0</v>
      </c>
      <c r="N1155" s="1851" cm="1">
        <f t="array" ref="N1155">_xlfn.IFS(
    AND(I1155=TRUE, K1155&lt;=No_Regular_Payments), Repay_Amt,
    AND(I1155=TRUE, K1155=No_Regular_Payments+1), Tm_Balloon_Amt,
   TRUE, 0
)</f>
        <v>0</v>
      </c>
      <c r="O1155" s="1850" cm="1">
        <f t="array" ref="O1155">_xlfn.IFS(
    M1155=0,0,
   ABS(N1155 - S1154 - P1155-Q1155) &lt; 1, N1155 - S1154-Q1155,
    TRUE, P1155
)</f>
        <v>0</v>
      </c>
      <c r="P1155" s="1852">
        <f>IF(M1155=0,0,ROUND(S1154*EXP(Int_Rate/365.25 * M1155)-S1154,2))</f>
        <v>0</v>
      </c>
      <c r="Q1155" s="1851" cm="1">
        <f t="array" ref="Q1155">_xlfn.IFS(
    AND(I1155=TRUE, K1155&lt;=No_Regular_Payments), Periodic_Admin_Charge,
   TRUE, 0
)</f>
        <v>0</v>
      </c>
      <c r="R1155" s="1850">
        <f>N1155-O1155-Q1155</f>
        <v>0</v>
      </c>
      <c r="S1155" s="1850">
        <f>ROUND(S1154-R1155,2)</f>
        <v>0</v>
      </c>
      <c r="T1155" s="1850">
        <f>ROUND(T1154-(N1155-Q1155),2)</f>
        <v>0</v>
      </c>
      <c r="U1155" s="1849"/>
      <c r="W1155" s="1848"/>
      <c r="X1155" s="1848"/>
      <c r="Y1155" s="1848"/>
    </row>
    <row r="1156" spans="2:25" hidden="1">
      <c r="B1156" s="1815" t="b">
        <f>AND(I1156=FALSE,N1155=0,Q1155=0,L1155="")</f>
        <v>1</v>
      </c>
      <c r="C1156" s="1844" t="str" cm="1">
        <f t="array" ref="C1156">_xlfn.IFS(
    L1156="", "",
    MONTH(L1156) &lt;= End_of_Year_Month, YEAR(L1156),
    TRUE, YEAR(L1156) + 1
)</f>
        <v/>
      </c>
      <c r="F1156" s="1857">
        <f>IF(L1156="",0,L1156)</f>
        <v>0</v>
      </c>
      <c r="G1156" s="1856">
        <f>-(N1156-Q1156)</f>
        <v>0</v>
      </c>
      <c r="I1156" s="1815" t="b">
        <f>K1156&lt;=Number_Payments</f>
        <v>0</v>
      </c>
      <c r="J1156" s="1855"/>
      <c r="K1156" s="1351">
        <f>K1155+1</f>
        <v>1030</v>
      </c>
      <c r="L1156" s="1854" t="str" cm="1">
        <f t="array" ref="L1156">_xlfn.IFS(
    I1155=FALSE, "",
    Payment_Frequency="Monthly", EDATE(L1155, 1),
    Payment_Frequency="Weekly", DATE(YEAR(L1155), MONTH(L1155), DAY(L1155) + 7),
    Payment_Frequency="Fortnightly", DATE(YEAR(L1155), MONTH(L1155), DAY(L1155) + 14),
    Payment_Frequency="Quarterly", DATE(YEAR(L1155), MONTH(L1155) + 3, DAY(L1155)),
    Payment_Frequency="Yearly", DATE(YEAR(L1155) + 1, MONTH(L1155), DAY(L1155)),
    TRUE, ""
)</f>
        <v/>
      </c>
      <c r="M1156" s="1853">
        <f>IF(ISERROR(L1156-L1155),0,L1156-L1155)</f>
        <v>0</v>
      </c>
      <c r="N1156" s="1851" cm="1">
        <f t="array" ref="N1156">_xlfn.IFS(
    AND(I1156=TRUE, K1156&lt;=No_Regular_Payments), Repay_Amt,
    AND(I1156=TRUE, K1156=No_Regular_Payments+1), Tm_Balloon_Amt,
   TRUE, 0
)</f>
        <v>0</v>
      </c>
      <c r="O1156" s="1850" cm="1">
        <f t="array" ref="O1156">_xlfn.IFS(
    M1156=0,0,
   ABS(N1156 - S1155 - P1156-Q1156) &lt; 1, N1156 - S1155-Q1156,
    TRUE, P1156
)</f>
        <v>0</v>
      </c>
      <c r="P1156" s="1852">
        <f>IF(M1156=0,0,ROUND(S1155*EXP(Int_Rate/365.25 * M1156)-S1155,2))</f>
        <v>0</v>
      </c>
      <c r="Q1156" s="1851" cm="1">
        <f t="array" ref="Q1156">_xlfn.IFS(
    AND(I1156=TRUE, K1156&lt;=No_Regular_Payments), Periodic_Admin_Charge,
   TRUE, 0
)</f>
        <v>0</v>
      </c>
      <c r="R1156" s="1850">
        <f>N1156-O1156-Q1156</f>
        <v>0</v>
      </c>
      <c r="S1156" s="1850">
        <f>ROUND(S1155-R1156,2)</f>
        <v>0</v>
      </c>
      <c r="T1156" s="1850">
        <f>ROUND(T1155-(N1156-Q1156),2)</f>
        <v>0</v>
      </c>
      <c r="U1156" s="1849"/>
      <c r="W1156" s="1848"/>
      <c r="X1156" s="1848"/>
      <c r="Y1156" s="1848"/>
    </row>
    <row r="1157" spans="2:25" hidden="1">
      <c r="B1157" s="1815" t="b">
        <f>AND(I1157=FALSE,N1156=0,Q1156=0,L1156="")</f>
        <v>1</v>
      </c>
      <c r="C1157" s="1844" t="str" cm="1">
        <f t="array" ref="C1157">_xlfn.IFS(
    L1157="", "",
    MONTH(L1157) &lt;= End_of_Year_Month, YEAR(L1157),
    TRUE, YEAR(L1157) + 1
)</f>
        <v/>
      </c>
      <c r="F1157" s="1857">
        <f>IF(L1157="",0,L1157)</f>
        <v>0</v>
      </c>
      <c r="G1157" s="1856">
        <f>-(N1157-Q1157)</f>
        <v>0</v>
      </c>
      <c r="I1157" s="1815" t="b">
        <f>K1157&lt;=Number_Payments</f>
        <v>0</v>
      </c>
      <c r="J1157" s="1855"/>
      <c r="K1157" s="1351">
        <f>K1156+1</f>
        <v>1031</v>
      </c>
      <c r="L1157" s="1854" t="str" cm="1">
        <f t="array" ref="L1157">_xlfn.IFS(
    I1156=FALSE, "",
    Payment_Frequency="Monthly", EDATE(L1156, 1),
    Payment_Frequency="Weekly", DATE(YEAR(L1156), MONTH(L1156), DAY(L1156) + 7),
    Payment_Frequency="Fortnightly", DATE(YEAR(L1156), MONTH(L1156), DAY(L1156) + 14),
    Payment_Frequency="Quarterly", DATE(YEAR(L1156), MONTH(L1156) + 3, DAY(L1156)),
    Payment_Frequency="Yearly", DATE(YEAR(L1156) + 1, MONTH(L1156), DAY(L1156)),
    TRUE, ""
)</f>
        <v/>
      </c>
      <c r="M1157" s="1853">
        <f>IF(ISERROR(L1157-L1156),0,L1157-L1156)</f>
        <v>0</v>
      </c>
      <c r="N1157" s="1851" cm="1">
        <f t="array" ref="N1157">_xlfn.IFS(
    AND(I1157=TRUE, K1157&lt;=No_Regular_Payments), Repay_Amt,
    AND(I1157=TRUE, K1157=No_Regular_Payments+1), Tm_Balloon_Amt,
   TRUE, 0
)</f>
        <v>0</v>
      </c>
      <c r="O1157" s="1850" cm="1">
        <f t="array" ref="O1157">_xlfn.IFS(
    M1157=0,0,
   ABS(N1157 - S1156 - P1157-Q1157) &lt; 1, N1157 - S1156-Q1157,
    TRUE, P1157
)</f>
        <v>0</v>
      </c>
      <c r="P1157" s="1852">
        <f>IF(M1157=0,0,ROUND(S1156*EXP(Int_Rate/365.25 * M1157)-S1156,2))</f>
        <v>0</v>
      </c>
      <c r="Q1157" s="1851" cm="1">
        <f t="array" ref="Q1157">_xlfn.IFS(
    AND(I1157=TRUE, K1157&lt;=No_Regular_Payments), Periodic_Admin_Charge,
   TRUE, 0
)</f>
        <v>0</v>
      </c>
      <c r="R1157" s="1850">
        <f>N1157-O1157-Q1157</f>
        <v>0</v>
      </c>
      <c r="S1157" s="1850">
        <f>ROUND(S1156-R1157,2)</f>
        <v>0</v>
      </c>
      <c r="T1157" s="1850">
        <f>ROUND(T1156-(N1157-Q1157),2)</f>
        <v>0</v>
      </c>
      <c r="U1157" s="1849"/>
      <c r="W1157" s="1848"/>
      <c r="X1157" s="1848"/>
      <c r="Y1157" s="1848"/>
    </row>
    <row r="1158" spans="2:25" hidden="1">
      <c r="B1158" s="1815" t="b">
        <f>AND(I1158=FALSE,N1157=0,Q1157=0,L1157="")</f>
        <v>1</v>
      </c>
      <c r="C1158" s="1844" t="str" cm="1">
        <f t="array" ref="C1158">_xlfn.IFS(
    L1158="", "",
    MONTH(L1158) &lt;= End_of_Year_Month, YEAR(L1158),
    TRUE, YEAR(L1158) + 1
)</f>
        <v/>
      </c>
      <c r="F1158" s="1857">
        <f>IF(L1158="",0,L1158)</f>
        <v>0</v>
      </c>
      <c r="G1158" s="1856">
        <f>-(N1158-Q1158)</f>
        <v>0</v>
      </c>
      <c r="I1158" s="1815" t="b">
        <f>K1158&lt;=Number_Payments</f>
        <v>0</v>
      </c>
      <c r="J1158" s="1855"/>
      <c r="K1158" s="1351">
        <f>K1157+1</f>
        <v>1032</v>
      </c>
      <c r="L1158" s="1854" t="str" cm="1">
        <f t="array" ref="L1158">_xlfn.IFS(
    I1157=FALSE, "",
    Payment_Frequency="Monthly", EDATE(L1157, 1),
    Payment_Frequency="Weekly", DATE(YEAR(L1157), MONTH(L1157), DAY(L1157) + 7),
    Payment_Frequency="Fortnightly", DATE(YEAR(L1157), MONTH(L1157), DAY(L1157) + 14),
    Payment_Frequency="Quarterly", DATE(YEAR(L1157), MONTH(L1157) + 3, DAY(L1157)),
    Payment_Frequency="Yearly", DATE(YEAR(L1157) + 1, MONTH(L1157), DAY(L1157)),
    TRUE, ""
)</f>
        <v/>
      </c>
      <c r="M1158" s="1853">
        <f>IF(ISERROR(L1158-L1157),0,L1158-L1157)</f>
        <v>0</v>
      </c>
      <c r="N1158" s="1851" cm="1">
        <f t="array" ref="N1158">_xlfn.IFS(
    AND(I1158=TRUE, K1158&lt;=No_Regular_Payments), Repay_Amt,
    AND(I1158=TRUE, K1158=No_Regular_Payments+1), Tm_Balloon_Amt,
   TRUE, 0
)</f>
        <v>0</v>
      </c>
      <c r="O1158" s="1850" cm="1">
        <f t="array" ref="O1158">_xlfn.IFS(
    M1158=0,0,
   ABS(N1158 - S1157 - P1158-Q1158) &lt; 1, N1158 - S1157-Q1158,
    TRUE, P1158
)</f>
        <v>0</v>
      </c>
      <c r="P1158" s="1852">
        <f>IF(M1158=0,0,ROUND(S1157*EXP(Int_Rate/365.25 * M1158)-S1157,2))</f>
        <v>0</v>
      </c>
      <c r="Q1158" s="1851" cm="1">
        <f t="array" ref="Q1158">_xlfn.IFS(
    AND(I1158=TRUE, K1158&lt;=No_Regular_Payments), Periodic_Admin_Charge,
   TRUE, 0
)</f>
        <v>0</v>
      </c>
      <c r="R1158" s="1850">
        <f>N1158-O1158-Q1158</f>
        <v>0</v>
      </c>
      <c r="S1158" s="1850">
        <f>ROUND(S1157-R1158,2)</f>
        <v>0</v>
      </c>
      <c r="T1158" s="1850">
        <f>ROUND(T1157-(N1158-Q1158),2)</f>
        <v>0</v>
      </c>
      <c r="U1158" s="1849"/>
      <c r="W1158" s="1848"/>
      <c r="X1158" s="1848"/>
      <c r="Y1158" s="1848"/>
    </row>
    <row r="1159" spans="2:25" hidden="1">
      <c r="B1159" s="1815" t="b">
        <f>AND(I1159=FALSE,N1158=0,Q1158=0,L1158="")</f>
        <v>1</v>
      </c>
      <c r="C1159" s="1844" t="str" cm="1">
        <f t="array" ref="C1159">_xlfn.IFS(
    L1159="", "",
    MONTH(L1159) &lt;= End_of_Year_Month, YEAR(L1159),
    TRUE, YEAR(L1159) + 1
)</f>
        <v/>
      </c>
      <c r="F1159" s="1857">
        <f>IF(L1159="",0,L1159)</f>
        <v>0</v>
      </c>
      <c r="G1159" s="1856">
        <f>-(N1159-Q1159)</f>
        <v>0</v>
      </c>
      <c r="I1159" s="1815" t="b">
        <f>K1159&lt;=Number_Payments</f>
        <v>0</v>
      </c>
      <c r="J1159" s="1855"/>
      <c r="K1159" s="1351">
        <f>K1158+1</f>
        <v>1033</v>
      </c>
      <c r="L1159" s="1854" t="str" cm="1">
        <f t="array" ref="L1159">_xlfn.IFS(
    I1158=FALSE, "",
    Payment_Frequency="Monthly", EDATE(L1158, 1),
    Payment_Frequency="Weekly", DATE(YEAR(L1158), MONTH(L1158), DAY(L1158) + 7),
    Payment_Frequency="Fortnightly", DATE(YEAR(L1158), MONTH(L1158), DAY(L1158) + 14),
    Payment_Frequency="Quarterly", DATE(YEAR(L1158), MONTH(L1158) + 3, DAY(L1158)),
    Payment_Frequency="Yearly", DATE(YEAR(L1158) + 1, MONTH(L1158), DAY(L1158)),
    TRUE, ""
)</f>
        <v/>
      </c>
      <c r="M1159" s="1853">
        <f>IF(ISERROR(L1159-L1158),0,L1159-L1158)</f>
        <v>0</v>
      </c>
      <c r="N1159" s="1851" cm="1">
        <f t="array" ref="N1159">_xlfn.IFS(
    AND(I1159=TRUE, K1159&lt;=No_Regular_Payments), Repay_Amt,
    AND(I1159=TRUE, K1159=No_Regular_Payments+1), Tm_Balloon_Amt,
   TRUE, 0
)</f>
        <v>0</v>
      </c>
      <c r="O1159" s="1850" cm="1">
        <f t="array" ref="O1159">_xlfn.IFS(
    M1159=0,0,
   ABS(N1159 - S1158 - P1159-Q1159) &lt; 1, N1159 - S1158-Q1159,
    TRUE, P1159
)</f>
        <v>0</v>
      </c>
      <c r="P1159" s="1852">
        <f>IF(M1159=0,0,ROUND(S1158*EXP(Int_Rate/365.25 * M1159)-S1158,2))</f>
        <v>0</v>
      </c>
      <c r="Q1159" s="1851" cm="1">
        <f t="array" ref="Q1159">_xlfn.IFS(
    AND(I1159=TRUE, K1159&lt;=No_Regular_Payments), Periodic_Admin_Charge,
   TRUE, 0
)</f>
        <v>0</v>
      </c>
      <c r="R1159" s="1850">
        <f>N1159-O1159-Q1159</f>
        <v>0</v>
      </c>
      <c r="S1159" s="1850">
        <f>ROUND(S1158-R1159,2)</f>
        <v>0</v>
      </c>
      <c r="T1159" s="1850">
        <f>ROUND(T1158-(N1159-Q1159),2)</f>
        <v>0</v>
      </c>
      <c r="U1159" s="1849"/>
      <c r="W1159" s="1848"/>
      <c r="X1159" s="1848"/>
      <c r="Y1159" s="1848"/>
    </row>
    <row r="1160" spans="2:25" hidden="1">
      <c r="B1160" s="1815" t="b">
        <f>AND(I1160=FALSE,N1159=0,Q1159=0,L1159="")</f>
        <v>1</v>
      </c>
      <c r="C1160" s="1844" t="str" cm="1">
        <f t="array" ref="C1160">_xlfn.IFS(
    L1160="", "",
    MONTH(L1160) &lt;= End_of_Year_Month, YEAR(L1160),
    TRUE, YEAR(L1160) + 1
)</f>
        <v/>
      </c>
      <c r="F1160" s="1857">
        <f>IF(L1160="",0,L1160)</f>
        <v>0</v>
      </c>
      <c r="G1160" s="1856">
        <f>-(N1160-Q1160)</f>
        <v>0</v>
      </c>
      <c r="I1160" s="1815" t="b">
        <f>K1160&lt;=Number_Payments</f>
        <v>0</v>
      </c>
      <c r="J1160" s="1855"/>
      <c r="K1160" s="1351">
        <f>K1159+1</f>
        <v>1034</v>
      </c>
      <c r="L1160" s="1854" t="str" cm="1">
        <f t="array" ref="L1160">_xlfn.IFS(
    I1159=FALSE, "",
    Payment_Frequency="Monthly", EDATE(L1159, 1),
    Payment_Frequency="Weekly", DATE(YEAR(L1159), MONTH(L1159), DAY(L1159) + 7),
    Payment_Frequency="Fortnightly", DATE(YEAR(L1159), MONTH(L1159), DAY(L1159) + 14),
    Payment_Frequency="Quarterly", DATE(YEAR(L1159), MONTH(L1159) + 3, DAY(L1159)),
    Payment_Frequency="Yearly", DATE(YEAR(L1159) + 1, MONTH(L1159), DAY(L1159)),
    TRUE, ""
)</f>
        <v/>
      </c>
      <c r="M1160" s="1853">
        <f>IF(ISERROR(L1160-L1159),0,L1160-L1159)</f>
        <v>0</v>
      </c>
      <c r="N1160" s="1851" cm="1">
        <f t="array" ref="N1160">_xlfn.IFS(
    AND(I1160=TRUE, K1160&lt;=No_Regular_Payments), Repay_Amt,
    AND(I1160=TRUE, K1160=No_Regular_Payments+1), Tm_Balloon_Amt,
   TRUE, 0
)</f>
        <v>0</v>
      </c>
      <c r="O1160" s="1850" cm="1">
        <f t="array" ref="O1160">_xlfn.IFS(
    M1160=0,0,
   ABS(N1160 - S1159 - P1160-Q1160) &lt; 1, N1160 - S1159-Q1160,
    TRUE, P1160
)</f>
        <v>0</v>
      </c>
      <c r="P1160" s="1852">
        <f>IF(M1160=0,0,ROUND(S1159*EXP(Int_Rate/365.25 * M1160)-S1159,2))</f>
        <v>0</v>
      </c>
      <c r="Q1160" s="1851" cm="1">
        <f t="array" ref="Q1160">_xlfn.IFS(
    AND(I1160=TRUE, K1160&lt;=No_Regular_Payments), Periodic_Admin_Charge,
   TRUE, 0
)</f>
        <v>0</v>
      </c>
      <c r="R1160" s="1850">
        <f>N1160-O1160-Q1160</f>
        <v>0</v>
      </c>
      <c r="S1160" s="1850">
        <f>ROUND(S1159-R1160,2)</f>
        <v>0</v>
      </c>
      <c r="T1160" s="1850">
        <f>ROUND(T1159-(N1160-Q1160),2)</f>
        <v>0</v>
      </c>
      <c r="U1160" s="1849"/>
      <c r="W1160" s="1848"/>
      <c r="X1160" s="1848"/>
      <c r="Y1160" s="1848"/>
    </row>
    <row r="1161" spans="2:25" hidden="1">
      <c r="B1161" s="1815" t="b">
        <f>AND(I1161=FALSE,N1160=0,Q1160=0,L1160="")</f>
        <v>1</v>
      </c>
      <c r="C1161" s="1844" t="str" cm="1">
        <f t="array" ref="C1161">_xlfn.IFS(
    L1161="", "",
    MONTH(L1161) &lt;= End_of_Year_Month, YEAR(L1161),
    TRUE, YEAR(L1161) + 1
)</f>
        <v/>
      </c>
      <c r="F1161" s="1857">
        <f>IF(L1161="",0,L1161)</f>
        <v>0</v>
      </c>
      <c r="G1161" s="1856">
        <f>-(N1161-Q1161)</f>
        <v>0</v>
      </c>
      <c r="I1161" s="1815" t="b">
        <f>K1161&lt;=Number_Payments</f>
        <v>0</v>
      </c>
      <c r="J1161" s="1855"/>
      <c r="K1161" s="1351">
        <f>K1160+1</f>
        <v>1035</v>
      </c>
      <c r="L1161" s="1854" t="str" cm="1">
        <f t="array" ref="L1161">_xlfn.IFS(
    I1160=FALSE, "",
    Payment_Frequency="Monthly", EDATE(L1160, 1),
    Payment_Frequency="Weekly", DATE(YEAR(L1160), MONTH(L1160), DAY(L1160) + 7),
    Payment_Frequency="Fortnightly", DATE(YEAR(L1160), MONTH(L1160), DAY(L1160) + 14),
    Payment_Frequency="Quarterly", DATE(YEAR(L1160), MONTH(L1160) + 3, DAY(L1160)),
    Payment_Frequency="Yearly", DATE(YEAR(L1160) + 1, MONTH(L1160), DAY(L1160)),
    TRUE, ""
)</f>
        <v/>
      </c>
      <c r="M1161" s="1853">
        <f>IF(ISERROR(L1161-L1160),0,L1161-L1160)</f>
        <v>0</v>
      </c>
      <c r="N1161" s="1851" cm="1">
        <f t="array" ref="N1161">_xlfn.IFS(
    AND(I1161=TRUE, K1161&lt;=No_Regular_Payments), Repay_Amt,
    AND(I1161=TRUE, K1161=No_Regular_Payments+1), Tm_Balloon_Amt,
   TRUE, 0
)</f>
        <v>0</v>
      </c>
      <c r="O1161" s="1850" cm="1">
        <f t="array" ref="O1161">_xlfn.IFS(
    M1161=0,0,
   ABS(N1161 - S1160 - P1161-Q1161) &lt; 1, N1161 - S1160-Q1161,
    TRUE, P1161
)</f>
        <v>0</v>
      </c>
      <c r="P1161" s="1852">
        <f>IF(M1161=0,0,ROUND(S1160*EXP(Int_Rate/365.25 * M1161)-S1160,2))</f>
        <v>0</v>
      </c>
      <c r="Q1161" s="1851" cm="1">
        <f t="array" ref="Q1161">_xlfn.IFS(
    AND(I1161=TRUE, K1161&lt;=No_Regular_Payments), Periodic_Admin_Charge,
   TRUE, 0
)</f>
        <v>0</v>
      </c>
      <c r="R1161" s="1850">
        <f>N1161-O1161-Q1161</f>
        <v>0</v>
      </c>
      <c r="S1161" s="1850">
        <f>ROUND(S1160-R1161,2)</f>
        <v>0</v>
      </c>
      <c r="T1161" s="1850">
        <f>ROUND(T1160-(N1161-Q1161),2)</f>
        <v>0</v>
      </c>
      <c r="U1161" s="1849"/>
      <c r="W1161" s="1848"/>
      <c r="X1161" s="1848"/>
      <c r="Y1161" s="1848"/>
    </row>
    <row r="1162" spans="2:25" hidden="1">
      <c r="B1162" s="1815" t="b">
        <f>AND(I1162=FALSE,N1161=0,Q1161=0,L1161="")</f>
        <v>1</v>
      </c>
      <c r="C1162" s="1844" t="str" cm="1">
        <f t="array" ref="C1162">_xlfn.IFS(
    L1162="", "",
    MONTH(L1162) &lt;= End_of_Year_Month, YEAR(L1162),
    TRUE, YEAR(L1162) + 1
)</f>
        <v/>
      </c>
      <c r="F1162" s="1857">
        <f>IF(L1162="",0,L1162)</f>
        <v>0</v>
      </c>
      <c r="G1162" s="1856">
        <f>-(N1162-Q1162)</f>
        <v>0</v>
      </c>
      <c r="I1162" s="1815" t="b">
        <f>K1162&lt;=Number_Payments</f>
        <v>0</v>
      </c>
      <c r="J1162" s="1855"/>
      <c r="K1162" s="1351">
        <f>K1161+1</f>
        <v>1036</v>
      </c>
      <c r="L1162" s="1854" t="str" cm="1">
        <f t="array" ref="L1162">_xlfn.IFS(
    I1161=FALSE, "",
    Payment_Frequency="Monthly", EDATE(L1161, 1),
    Payment_Frequency="Weekly", DATE(YEAR(L1161), MONTH(L1161), DAY(L1161) + 7),
    Payment_Frequency="Fortnightly", DATE(YEAR(L1161), MONTH(L1161), DAY(L1161) + 14),
    Payment_Frequency="Quarterly", DATE(YEAR(L1161), MONTH(L1161) + 3, DAY(L1161)),
    Payment_Frequency="Yearly", DATE(YEAR(L1161) + 1, MONTH(L1161), DAY(L1161)),
    TRUE, ""
)</f>
        <v/>
      </c>
      <c r="M1162" s="1853">
        <f>IF(ISERROR(L1162-L1161),0,L1162-L1161)</f>
        <v>0</v>
      </c>
      <c r="N1162" s="1851" cm="1">
        <f t="array" ref="N1162">_xlfn.IFS(
    AND(I1162=TRUE, K1162&lt;=No_Regular_Payments), Repay_Amt,
    AND(I1162=TRUE, K1162=No_Regular_Payments+1), Tm_Balloon_Amt,
   TRUE, 0
)</f>
        <v>0</v>
      </c>
      <c r="O1162" s="1850" cm="1">
        <f t="array" ref="O1162">_xlfn.IFS(
    M1162=0,0,
   ABS(N1162 - S1161 - P1162-Q1162) &lt; 1, N1162 - S1161-Q1162,
    TRUE, P1162
)</f>
        <v>0</v>
      </c>
      <c r="P1162" s="1852">
        <f>IF(M1162=0,0,ROUND(S1161*EXP(Int_Rate/365.25 * M1162)-S1161,2))</f>
        <v>0</v>
      </c>
      <c r="Q1162" s="1851" cm="1">
        <f t="array" ref="Q1162">_xlfn.IFS(
    AND(I1162=TRUE, K1162&lt;=No_Regular_Payments), Periodic_Admin_Charge,
   TRUE, 0
)</f>
        <v>0</v>
      </c>
      <c r="R1162" s="1850">
        <f>N1162-O1162-Q1162</f>
        <v>0</v>
      </c>
      <c r="S1162" s="1850">
        <f>ROUND(S1161-R1162,2)</f>
        <v>0</v>
      </c>
      <c r="T1162" s="1850">
        <f>ROUND(T1161-(N1162-Q1162),2)</f>
        <v>0</v>
      </c>
      <c r="U1162" s="1849"/>
      <c r="W1162" s="1848"/>
      <c r="X1162" s="1848"/>
      <c r="Y1162" s="1848"/>
    </row>
    <row r="1163" spans="2:25" hidden="1">
      <c r="B1163" s="1815" t="b">
        <f>AND(I1163=FALSE,N1162=0,Q1162=0,L1162="")</f>
        <v>1</v>
      </c>
      <c r="C1163" s="1844" t="str" cm="1">
        <f t="array" ref="C1163">_xlfn.IFS(
    L1163="", "",
    MONTH(L1163) &lt;= End_of_Year_Month, YEAR(L1163),
    TRUE, YEAR(L1163) + 1
)</f>
        <v/>
      </c>
      <c r="F1163" s="1857">
        <f>IF(L1163="",0,L1163)</f>
        <v>0</v>
      </c>
      <c r="G1163" s="1856">
        <f>-(N1163-Q1163)</f>
        <v>0</v>
      </c>
      <c r="I1163" s="1815" t="b">
        <f>K1163&lt;=Number_Payments</f>
        <v>0</v>
      </c>
      <c r="J1163" s="1855"/>
      <c r="K1163" s="1351">
        <f>K1162+1</f>
        <v>1037</v>
      </c>
      <c r="L1163" s="1854" t="str" cm="1">
        <f t="array" ref="L1163">_xlfn.IFS(
    I1162=FALSE, "",
    Payment_Frequency="Monthly", EDATE(L1162, 1),
    Payment_Frequency="Weekly", DATE(YEAR(L1162), MONTH(L1162), DAY(L1162) + 7),
    Payment_Frequency="Fortnightly", DATE(YEAR(L1162), MONTH(L1162), DAY(L1162) + 14),
    Payment_Frequency="Quarterly", DATE(YEAR(L1162), MONTH(L1162) + 3, DAY(L1162)),
    Payment_Frequency="Yearly", DATE(YEAR(L1162) + 1, MONTH(L1162), DAY(L1162)),
    TRUE, ""
)</f>
        <v/>
      </c>
      <c r="M1163" s="1853">
        <f>IF(ISERROR(L1163-L1162),0,L1163-L1162)</f>
        <v>0</v>
      </c>
      <c r="N1163" s="1851" cm="1">
        <f t="array" ref="N1163">_xlfn.IFS(
    AND(I1163=TRUE, K1163&lt;=No_Regular_Payments), Repay_Amt,
    AND(I1163=TRUE, K1163=No_Regular_Payments+1), Tm_Balloon_Amt,
   TRUE, 0
)</f>
        <v>0</v>
      </c>
      <c r="O1163" s="1850" cm="1">
        <f t="array" ref="O1163">_xlfn.IFS(
    M1163=0,0,
   ABS(N1163 - S1162 - P1163-Q1163) &lt; 1, N1163 - S1162-Q1163,
    TRUE, P1163
)</f>
        <v>0</v>
      </c>
      <c r="P1163" s="1852">
        <f>IF(M1163=0,0,ROUND(S1162*EXP(Int_Rate/365.25 * M1163)-S1162,2))</f>
        <v>0</v>
      </c>
      <c r="Q1163" s="1851" cm="1">
        <f t="array" ref="Q1163">_xlfn.IFS(
    AND(I1163=TRUE, K1163&lt;=No_Regular_Payments), Periodic_Admin_Charge,
   TRUE, 0
)</f>
        <v>0</v>
      </c>
      <c r="R1163" s="1850">
        <f>N1163-O1163-Q1163</f>
        <v>0</v>
      </c>
      <c r="S1163" s="1850">
        <f>ROUND(S1162-R1163,2)</f>
        <v>0</v>
      </c>
      <c r="T1163" s="1850">
        <f>ROUND(T1162-(N1163-Q1163),2)</f>
        <v>0</v>
      </c>
      <c r="U1163" s="1849"/>
      <c r="W1163" s="1848"/>
      <c r="X1163" s="1848"/>
      <c r="Y1163" s="1848"/>
    </row>
    <row r="1164" spans="2:25" hidden="1">
      <c r="B1164" s="1815" t="b">
        <f>AND(I1164=FALSE,N1163=0,Q1163=0,L1163="")</f>
        <v>1</v>
      </c>
      <c r="C1164" s="1844" t="str" cm="1">
        <f t="array" ref="C1164">_xlfn.IFS(
    L1164="", "",
    MONTH(L1164) &lt;= End_of_Year_Month, YEAR(L1164),
    TRUE, YEAR(L1164) + 1
)</f>
        <v/>
      </c>
      <c r="F1164" s="1857">
        <f>IF(L1164="",0,L1164)</f>
        <v>0</v>
      </c>
      <c r="G1164" s="1856">
        <f>-(N1164-Q1164)</f>
        <v>0</v>
      </c>
      <c r="I1164" s="1815" t="b">
        <f>K1164&lt;=Number_Payments</f>
        <v>0</v>
      </c>
      <c r="J1164" s="1855"/>
      <c r="K1164" s="1351">
        <f>K1163+1</f>
        <v>1038</v>
      </c>
      <c r="L1164" s="1854" t="str" cm="1">
        <f t="array" ref="L1164">_xlfn.IFS(
    I1163=FALSE, "",
    Payment_Frequency="Monthly", EDATE(L1163, 1),
    Payment_Frequency="Weekly", DATE(YEAR(L1163), MONTH(L1163), DAY(L1163) + 7),
    Payment_Frequency="Fortnightly", DATE(YEAR(L1163), MONTH(L1163), DAY(L1163) + 14),
    Payment_Frequency="Quarterly", DATE(YEAR(L1163), MONTH(L1163) + 3, DAY(L1163)),
    Payment_Frequency="Yearly", DATE(YEAR(L1163) + 1, MONTH(L1163), DAY(L1163)),
    TRUE, ""
)</f>
        <v/>
      </c>
      <c r="M1164" s="1853">
        <f>IF(ISERROR(L1164-L1163),0,L1164-L1163)</f>
        <v>0</v>
      </c>
      <c r="N1164" s="1851" cm="1">
        <f t="array" ref="N1164">_xlfn.IFS(
    AND(I1164=TRUE, K1164&lt;=No_Regular_Payments), Repay_Amt,
    AND(I1164=TRUE, K1164=No_Regular_Payments+1), Tm_Balloon_Amt,
   TRUE, 0
)</f>
        <v>0</v>
      </c>
      <c r="O1164" s="1850" cm="1">
        <f t="array" ref="O1164">_xlfn.IFS(
    M1164=0,0,
   ABS(N1164 - S1163 - P1164-Q1164) &lt; 1, N1164 - S1163-Q1164,
    TRUE, P1164
)</f>
        <v>0</v>
      </c>
      <c r="P1164" s="1852">
        <f>IF(M1164=0,0,ROUND(S1163*EXP(Int_Rate/365.25 * M1164)-S1163,2))</f>
        <v>0</v>
      </c>
      <c r="Q1164" s="1851" cm="1">
        <f t="array" ref="Q1164">_xlfn.IFS(
    AND(I1164=TRUE, K1164&lt;=No_Regular_Payments), Periodic_Admin_Charge,
   TRUE, 0
)</f>
        <v>0</v>
      </c>
      <c r="R1164" s="1850">
        <f>N1164-O1164-Q1164</f>
        <v>0</v>
      </c>
      <c r="S1164" s="1850">
        <f>ROUND(S1163-R1164,2)</f>
        <v>0</v>
      </c>
      <c r="T1164" s="1850">
        <f>ROUND(T1163-(N1164-Q1164),2)</f>
        <v>0</v>
      </c>
      <c r="U1164" s="1849"/>
      <c r="W1164" s="1848"/>
      <c r="X1164" s="1848"/>
      <c r="Y1164" s="1848"/>
    </row>
    <row r="1165" spans="2:25" hidden="1">
      <c r="B1165" s="1815" t="b">
        <f>AND(I1165=FALSE,N1164=0,Q1164=0,L1164="")</f>
        <v>1</v>
      </c>
      <c r="C1165" s="1844" t="str" cm="1">
        <f t="array" ref="C1165">_xlfn.IFS(
    L1165="", "",
    MONTH(L1165) &lt;= End_of_Year_Month, YEAR(L1165),
    TRUE, YEAR(L1165) + 1
)</f>
        <v/>
      </c>
      <c r="F1165" s="1857">
        <f>IF(L1165="",0,L1165)</f>
        <v>0</v>
      </c>
      <c r="G1165" s="1856">
        <f>-(N1165-Q1165)</f>
        <v>0</v>
      </c>
      <c r="I1165" s="1815" t="b">
        <f>K1165&lt;=Number_Payments</f>
        <v>0</v>
      </c>
      <c r="J1165" s="1855"/>
      <c r="K1165" s="1351">
        <f>K1164+1</f>
        <v>1039</v>
      </c>
      <c r="L1165" s="1854" t="str" cm="1">
        <f t="array" ref="L1165">_xlfn.IFS(
    I1164=FALSE, "",
    Payment_Frequency="Monthly", EDATE(L1164, 1),
    Payment_Frequency="Weekly", DATE(YEAR(L1164), MONTH(L1164), DAY(L1164) + 7),
    Payment_Frequency="Fortnightly", DATE(YEAR(L1164), MONTH(L1164), DAY(L1164) + 14),
    Payment_Frequency="Quarterly", DATE(YEAR(L1164), MONTH(L1164) + 3, DAY(L1164)),
    Payment_Frequency="Yearly", DATE(YEAR(L1164) + 1, MONTH(L1164), DAY(L1164)),
    TRUE, ""
)</f>
        <v/>
      </c>
      <c r="M1165" s="1853">
        <f>IF(ISERROR(L1165-L1164),0,L1165-L1164)</f>
        <v>0</v>
      </c>
      <c r="N1165" s="1851" cm="1">
        <f t="array" ref="N1165">_xlfn.IFS(
    AND(I1165=TRUE, K1165&lt;=No_Regular_Payments), Repay_Amt,
    AND(I1165=TRUE, K1165=No_Regular_Payments+1), Tm_Balloon_Amt,
   TRUE, 0
)</f>
        <v>0</v>
      </c>
      <c r="O1165" s="1850" cm="1">
        <f t="array" ref="O1165">_xlfn.IFS(
    M1165=0,0,
   ABS(N1165 - S1164 - P1165-Q1165) &lt; 1, N1165 - S1164-Q1165,
    TRUE, P1165
)</f>
        <v>0</v>
      </c>
      <c r="P1165" s="1852">
        <f>IF(M1165=0,0,ROUND(S1164*EXP(Int_Rate/365.25 * M1165)-S1164,2))</f>
        <v>0</v>
      </c>
      <c r="Q1165" s="1851" cm="1">
        <f t="array" ref="Q1165">_xlfn.IFS(
    AND(I1165=TRUE, K1165&lt;=No_Regular_Payments), Periodic_Admin_Charge,
   TRUE, 0
)</f>
        <v>0</v>
      </c>
      <c r="R1165" s="1850">
        <f>N1165-O1165-Q1165</f>
        <v>0</v>
      </c>
      <c r="S1165" s="1850">
        <f>ROUND(S1164-R1165,2)</f>
        <v>0</v>
      </c>
      <c r="T1165" s="1850">
        <f>ROUND(T1164-(N1165-Q1165),2)</f>
        <v>0</v>
      </c>
      <c r="U1165" s="1849"/>
      <c r="W1165" s="1848"/>
      <c r="X1165" s="1848"/>
      <c r="Y1165" s="1848"/>
    </row>
    <row r="1166" spans="2:25" hidden="1">
      <c r="B1166" s="1815" t="b">
        <f>AND(I1166=FALSE,N1165=0,Q1165=0,L1165="")</f>
        <v>1</v>
      </c>
      <c r="C1166" s="1844" t="str" cm="1">
        <f t="array" ref="C1166">_xlfn.IFS(
    L1166="", "",
    MONTH(L1166) &lt;= End_of_Year_Month, YEAR(L1166),
    TRUE, YEAR(L1166) + 1
)</f>
        <v/>
      </c>
      <c r="F1166" s="1857">
        <f>IF(L1166="",0,L1166)</f>
        <v>0</v>
      </c>
      <c r="G1166" s="1856">
        <f>-(N1166-Q1166)</f>
        <v>0</v>
      </c>
      <c r="I1166" s="1815" t="b">
        <f>K1166&lt;=Number_Payments</f>
        <v>0</v>
      </c>
      <c r="J1166" s="1855"/>
      <c r="K1166" s="1351">
        <f>K1165+1</f>
        <v>1040</v>
      </c>
      <c r="L1166" s="1854" t="str" cm="1">
        <f t="array" ref="L1166">_xlfn.IFS(
    I1165=FALSE, "",
    Payment_Frequency="Monthly", EDATE(L1165, 1),
    Payment_Frequency="Weekly", DATE(YEAR(L1165), MONTH(L1165), DAY(L1165) + 7),
    Payment_Frequency="Fortnightly", DATE(YEAR(L1165), MONTH(L1165), DAY(L1165) + 14),
    Payment_Frequency="Quarterly", DATE(YEAR(L1165), MONTH(L1165) + 3, DAY(L1165)),
    Payment_Frequency="Yearly", DATE(YEAR(L1165) + 1, MONTH(L1165), DAY(L1165)),
    TRUE, ""
)</f>
        <v/>
      </c>
      <c r="M1166" s="1853">
        <f>IF(ISERROR(L1166-L1165),0,L1166-L1165)</f>
        <v>0</v>
      </c>
      <c r="N1166" s="1851" cm="1">
        <f t="array" ref="N1166">_xlfn.IFS(
    AND(I1166=TRUE, K1166&lt;=No_Regular_Payments), Repay_Amt,
    AND(I1166=TRUE, K1166=No_Regular_Payments+1), Tm_Balloon_Amt,
   TRUE, 0
)</f>
        <v>0</v>
      </c>
      <c r="O1166" s="1850" cm="1">
        <f t="array" ref="O1166">_xlfn.IFS(
    M1166=0,0,
   ABS(N1166 - S1165 - P1166-Q1166) &lt; 1, N1166 - S1165-Q1166,
    TRUE, P1166
)</f>
        <v>0</v>
      </c>
      <c r="P1166" s="1852">
        <f>IF(M1166=0,0,ROUND(S1165*EXP(Int_Rate/365.25 * M1166)-S1165,2))</f>
        <v>0</v>
      </c>
      <c r="Q1166" s="1851" cm="1">
        <f t="array" ref="Q1166">_xlfn.IFS(
    AND(I1166=TRUE, K1166&lt;=No_Regular_Payments), Periodic_Admin_Charge,
   TRUE, 0
)</f>
        <v>0</v>
      </c>
      <c r="R1166" s="1850">
        <f>N1166-O1166-Q1166</f>
        <v>0</v>
      </c>
      <c r="S1166" s="1850">
        <f>ROUND(S1165-R1166,2)</f>
        <v>0</v>
      </c>
      <c r="T1166" s="1850">
        <f>ROUND(T1165-(N1166-Q1166),2)</f>
        <v>0</v>
      </c>
      <c r="U1166" s="1849"/>
      <c r="W1166" s="1848"/>
      <c r="X1166" s="1848"/>
      <c r="Y1166" s="1848"/>
    </row>
    <row r="1167" spans="2:25" hidden="1">
      <c r="B1167" s="1815" t="b">
        <f>AND(I1167=FALSE,N1166=0,Q1166=0,L1166="")</f>
        <v>1</v>
      </c>
      <c r="C1167" s="1844" t="str" cm="1">
        <f t="array" ref="C1167">_xlfn.IFS(
    L1167="", "",
    MONTH(L1167) &lt;= End_of_Year_Month, YEAR(L1167),
    TRUE, YEAR(L1167) + 1
)</f>
        <v/>
      </c>
      <c r="F1167" s="1857">
        <f>IF(L1167="",0,L1167)</f>
        <v>0</v>
      </c>
      <c r="G1167" s="1856">
        <f>-(N1167-Q1167)</f>
        <v>0</v>
      </c>
      <c r="I1167" s="1815" t="b">
        <f>K1167&lt;=Number_Payments</f>
        <v>0</v>
      </c>
      <c r="J1167" s="1855"/>
      <c r="K1167" s="1351">
        <f>K1166+1</f>
        <v>1041</v>
      </c>
      <c r="L1167" s="1854" t="str" cm="1">
        <f t="array" ref="L1167">_xlfn.IFS(
    I1166=FALSE, "",
    Payment_Frequency="Monthly", EDATE(L1166, 1),
    Payment_Frequency="Weekly", DATE(YEAR(L1166), MONTH(L1166), DAY(L1166) + 7),
    Payment_Frequency="Fortnightly", DATE(YEAR(L1166), MONTH(L1166), DAY(L1166) + 14),
    Payment_Frequency="Quarterly", DATE(YEAR(L1166), MONTH(L1166) + 3, DAY(L1166)),
    Payment_Frequency="Yearly", DATE(YEAR(L1166) + 1, MONTH(L1166), DAY(L1166)),
    TRUE, ""
)</f>
        <v/>
      </c>
      <c r="M1167" s="1853">
        <f>IF(ISERROR(L1167-L1166),0,L1167-L1166)</f>
        <v>0</v>
      </c>
      <c r="N1167" s="1851" cm="1">
        <f t="array" ref="N1167">_xlfn.IFS(
    AND(I1167=TRUE, K1167&lt;=No_Regular_Payments), Repay_Amt,
    AND(I1167=TRUE, K1167=No_Regular_Payments+1), Tm_Balloon_Amt,
   TRUE, 0
)</f>
        <v>0</v>
      </c>
      <c r="O1167" s="1850" cm="1">
        <f t="array" ref="O1167">_xlfn.IFS(
    M1167=0,0,
   ABS(N1167 - S1166 - P1167-Q1167) &lt; 1, N1167 - S1166-Q1167,
    TRUE, P1167
)</f>
        <v>0</v>
      </c>
      <c r="P1167" s="1852">
        <f>IF(M1167=0,0,ROUND(S1166*EXP(Int_Rate/365.25 * M1167)-S1166,2))</f>
        <v>0</v>
      </c>
      <c r="Q1167" s="1851" cm="1">
        <f t="array" ref="Q1167">_xlfn.IFS(
    AND(I1167=TRUE, K1167&lt;=No_Regular_Payments), Periodic_Admin_Charge,
   TRUE, 0
)</f>
        <v>0</v>
      </c>
      <c r="R1167" s="1850">
        <f>N1167-O1167-Q1167</f>
        <v>0</v>
      </c>
      <c r="S1167" s="1850">
        <f>ROUND(S1166-R1167,2)</f>
        <v>0</v>
      </c>
      <c r="T1167" s="1850">
        <f>ROUND(T1166-(N1167-Q1167),2)</f>
        <v>0</v>
      </c>
      <c r="U1167" s="1849"/>
      <c r="W1167" s="1848"/>
      <c r="X1167" s="1848"/>
      <c r="Y1167" s="1848"/>
    </row>
    <row r="1168" spans="2:25" hidden="1">
      <c r="B1168" s="1815" t="b">
        <f>AND(I1168=FALSE,N1167=0,Q1167=0,L1167="")</f>
        <v>1</v>
      </c>
      <c r="C1168" s="1844" t="str" cm="1">
        <f t="array" ref="C1168">_xlfn.IFS(
    L1168="", "",
    MONTH(L1168) &lt;= End_of_Year_Month, YEAR(L1168),
    TRUE, YEAR(L1168) + 1
)</f>
        <v/>
      </c>
      <c r="F1168" s="1857">
        <f>IF(L1168="",0,L1168)</f>
        <v>0</v>
      </c>
      <c r="G1168" s="1856">
        <f>-(N1168-Q1168)</f>
        <v>0</v>
      </c>
      <c r="I1168" s="1815" t="b">
        <f>K1168&lt;=Number_Payments</f>
        <v>0</v>
      </c>
      <c r="J1168" s="1855"/>
      <c r="K1168" s="1351">
        <f>K1167+1</f>
        <v>1042</v>
      </c>
      <c r="L1168" s="1854" t="str" cm="1">
        <f t="array" ref="L1168">_xlfn.IFS(
    I1167=FALSE, "",
    Payment_Frequency="Monthly", EDATE(L1167, 1),
    Payment_Frequency="Weekly", DATE(YEAR(L1167), MONTH(L1167), DAY(L1167) + 7),
    Payment_Frequency="Fortnightly", DATE(YEAR(L1167), MONTH(L1167), DAY(L1167) + 14),
    Payment_Frequency="Quarterly", DATE(YEAR(L1167), MONTH(L1167) + 3, DAY(L1167)),
    Payment_Frequency="Yearly", DATE(YEAR(L1167) + 1, MONTH(L1167), DAY(L1167)),
    TRUE, ""
)</f>
        <v/>
      </c>
      <c r="M1168" s="1853">
        <f>IF(ISERROR(L1168-L1167),0,L1168-L1167)</f>
        <v>0</v>
      </c>
      <c r="N1168" s="1851" cm="1">
        <f t="array" ref="N1168">_xlfn.IFS(
    AND(I1168=TRUE, K1168&lt;=No_Regular_Payments), Repay_Amt,
    AND(I1168=TRUE, K1168=No_Regular_Payments+1), Tm_Balloon_Amt,
   TRUE, 0
)</f>
        <v>0</v>
      </c>
      <c r="O1168" s="1850" cm="1">
        <f t="array" ref="O1168">_xlfn.IFS(
    M1168=0,0,
   ABS(N1168 - S1167 - P1168-Q1168) &lt; 1, N1168 - S1167-Q1168,
    TRUE, P1168
)</f>
        <v>0</v>
      </c>
      <c r="P1168" s="1852">
        <f>IF(M1168=0,0,ROUND(S1167*EXP(Int_Rate/365.25 * M1168)-S1167,2))</f>
        <v>0</v>
      </c>
      <c r="Q1168" s="1851" cm="1">
        <f t="array" ref="Q1168">_xlfn.IFS(
    AND(I1168=TRUE, K1168&lt;=No_Regular_Payments), Periodic_Admin_Charge,
   TRUE, 0
)</f>
        <v>0</v>
      </c>
      <c r="R1168" s="1850">
        <f>N1168-O1168-Q1168</f>
        <v>0</v>
      </c>
      <c r="S1168" s="1850">
        <f>ROUND(S1167-R1168,2)</f>
        <v>0</v>
      </c>
      <c r="T1168" s="1850">
        <f>ROUND(T1167-(N1168-Q1168),2)</f>
        <v>0</v>
      </c>
      <c r="U1168" s="1849"/>
      <c r="W1168" s="1848"/>
      <c r="X1168" s="1848"/>
      <c r="Y1168" s="1848"/>
    </row>
    <row r="1169" spans="2:25" hidden="1">
      <c r="B1169" s="1815" t="b">
        <f>AND(I1169=FALSE,N1168=0,Q1168=0,L1168="")</f>
        <v>1</v>
      </c>
      <c r="C1169" s="1844" t="str" cm="1">
        <f t="array" ref="C1169">_xlfn.IFS(
    L1169="", "",
    MONTH(L1169) &lt;= End_of_Year_Month, YEAR(L1169),
    TRUE, YEAR(L1169) + 1
)</f>
        <v/>
      </c>
      <c r="F1169" s="1857">
        <f>IF(L1169="",0,L1169)</f>
        <v>0</v>
      </c>
      <c r="G1169" s="1856">
        <f>-(N1169-Q1169)</f>
        <v>0</v>
      </c>
      <c r="I1169" s="1815" t="b">
        <f>K1169&lt;=Number_Payments</f>
        <v>0</v>
      </c>
      <c r="J1169" s="1855"/>
      <c r="K1169" s="1351">
        <f>K1168+1</f>
        <v>1043</v>
      </c>
      <c r="L1169" s="1854" t="str" cm="1">
        <f t="array" ref="L1169">_xlfn.IFS(
    I1168=FALSE, "",
    Payment_Frequency="Monthly", EDATE(L1168, 1),
    Payment_Frequency="Weekly", DATE(YEAR(L1168), MONTH(L1168), DAY(L1168) + 7),
    Payment_Frequency="Fortnightly", DATE(YEAR(L1168), MONTH(L1168), DAY(L1168) + 14),
    Payment_Frequency="Quarterly", DATE(YEAR(L1168), MONTH(L1168) + 3, DAY(L1168)),
    Payment_Frequency="Yearly", DATE(YEAR(L1168) + 1, MONTH(L1168), DAY(L1168)),
    TRUE, ""
)</f>
        <v/>
      </c>
      <c r="M1169" s="1853">
        <f>IF(ISERROR(L1169-L1168),0,L1169-L1168)</f>
        <v>0</v>
      </c>
      <c r="N1169" s="1851" cm="1">
        <f t="array" ref="N1169">_xlfn.IFS(
    AND(I1169=TRUE, K1169&lt;=No_Regular_Payments), Repay_Amt,
    AND(I1169=TRUE, K1169=No_Regular_Payments+1), Tm_Balloon_Amt,
   TRUE, 0
)</f>
        <v>0</v>
      </c>
      <c r="O1169" s="1850" cm="1">
        <f t="array" ref="O1169">_xlfn.IFS(
    M1169=0,0,
   ABS(N1169 - S1168 - P1169-Q1169) &lt; 1, N1169 - S1168-Q1169,
    TRUE, P1169
)</f>
        <v>0</v>
      </c>
      <c r="P1169" s="1852">
        <f>IF(M1169=0,0,ROUND(S1168*EXP(Int_Rate/365.25 * M1169)-S1168,2))</f>
        <v>0</v>
      </c>
      <c r="Q1169" s="1851" cm="1">
        <f t="array" ref="Q1169">_xlfn.IFS(
    AND(I1169=TRUE, K1169&lt;=No_Regular_Payments), Periodic_Admin_Charge,
   TRUE, 0
)</f>
        <v>0</v>
      </c>
      <c r="R1169" s="1850">
        <f>N1169-O1169-Q1169</f>
        <v>0</v>
      </c>
      <c r="S1169" s="1850">
        <f>ROUND(S1168-R1169,2)</f>
        <v>0</v>
      </c>
      <c r="T1169" s="1850">
        <f>ROUND(T1168-(N1169-Q1169),2)</f>
        <v>0</v>
      </c>
      <c r="U1169" s="1849"/>
      <c r="W1169" s="1848"/>
      <c r="X1169" s="1848"/>
      <c r="Y1169" s="1848"/>
    </row>
    <row r="1170" spans="2:25" hidden="1">
      <c r="B1170" s="1815" t="b">
        <f>AND(I1170=FALSE,N1169=0,Q1169=0,L1169="")</f>
        <v>1</v>
      </c>
      <c r="C1170" s="1844" t="str" cm="1">
        <f t="array" ref="C1170">_xlfn.IFS(
    L1170="", "",
    MONTH(L1170) &lt;= End_of_Year_Month, YEAR(L1170),
    TRUE, YEAR(L1170) + 1
)</f>
        <v/>
      </c>
      <c r="F1170" s="1857">
        <f>IF(L1170="",0,L1170)</f>
        <v>0</v>
      </c>
      <c r="G1170" s="1856">
        <f>-(N1170-Q1170)</f>
        <v>0</v>
      </c>
      <c r="I1170" s="1815" t="b">
        <f>K1170&lt;=Number_Payments</f>
        <v>0</v>
      </c>
      <c r="J1170" s="1855"/>
      <c r="K1170" s="1351">
        <f>K1169+1</f>
        <v>1044</v>
      </c>
      <c r="L1170" s="1854" t="str" cm="1">
        <f t="array" ref="L1170">_xlfn.IFS(
    I1169=FALSE, "",
    Payment_Frequency="Monthly", EDATE(L1169, 1),
    Payment_Frequency="Weekly", DATE(YEAR(L1169), MONTH(L1169), DAY(L1169) + 7),
    Payment_Frequency="Fortnightly", DATE(YEAR(L1169), MONTH(L1169), DAY(L1169) + 14),
    Payment_Frequency="Quarterly", DATE(YEAR(L1169), MONTH(L1169) + 3, DAY(L1169)),
    Payment_Frequency="Yearly", DATE(YEAR(L1169) + 1, MONTH(L1169), DAY(L1169)),
    TRUE, ""
)</f>
        <v/>
      </c>
      <c r="M1170" s="1853">
        <f>IF(ISERROR(L1170-L1169),0,L1170-L1169)</f>
        <v>0</v>
      </c>
      <c r="N1170" s="1851" cm="1">
        <f t="array" ref="N1170">_xlfn.IFS(
    AND(I1170=TRUE, K1170&lt;=No_Regular_Payments), Repay_Amt,
    AND(I1170=TRUE, K1170=No_Regular_Payments+1), Tm_Balloon_Amt,
   TRUE, 0
)</f>
        <v>0</v>
      </c>
      <c r="O1170" s="1850" cm="1">
        <f t="array" ref="O1170">_xlfn.IFS(
    M1170=0,0,
   ABS(N1170 - S1169 - P1170-Q1170) &lt; 1, N1170 - S1169-Q1170,
    TRUE, P1170
)</f>
        <v>0</v>
      </c>
      <c r="P1170" s="1852">
        <f>IF(M1170=0,0,ROUND(S1169*EXP(Int_Rate/365.25 * M1170)-S1169,2))</f>
        <v>0</v>
      </c>
      <c r="Q1170" s="1851" cm="1">
        <f t="array" ref="Q1170">_xlfn.IFS(
    AND(I1170=TRUE, K1170&lt;=No_Regular_Payments), Periodic_Admin_Charge,
   TRUE, 0
)</f>
        <v>0</v>
      </c>
      <c r="R1170" s="1850">
        <f>N1170-O1170-Q1170</f>
        <v>0</v>
      </c>
      <c r="S1170" s="1850">
        <f>ROUND(S1169-R1170,2)</f>
        <v>0</v>
      </c>
      <c r="T1170" s="1850">
        <f>ROUND(T1169-(N1170-Q1170),2)</f>
        <v>0</v>
      </c>
      <c r="U1170" s="1849"/>
      <c r="W1170" s="1848"/>
      <c r="X1170" s="1848"/>
      <c r="Y1170" s="1848"/>
    </row>
    <row r="1171" spans="2:25" hidden="1">
      <c r="B1171" s="1815" t="b">
        <f>AND(I1171=FALSE,N1170=0,Q1170=0,L1170="")</f>
        <v>1</v>
      </c>
      <c r="C1171" s="1844" t="str" cm="1">
        <f t="array" ref="C1171">_xlfn.IFS(
    L1171="", "",
    MONTH(L1171) &lt;= End_of_Year_Month, YEAR(L1171),
    TRUE, YEAR(L1171) + 1
)</f>
        <v/>
      </c>
      <c r="F1171" s="1857">
        <f>IF(L1171="",0,L1171)</f>
        <v>0</v>
      </c>
      <c r="G1171" s="1856">
        <f>-(N1171-Q1171)</f>
        <v>0</v>
      </c>
      <c r="I1171" s="1815" t="b">
        <f>K1171&lt;=Number_Payments</f>
        <v>0</v>
      </c>
      <c r="J1171" s="1855"/>
      <c r="K1171" s="1351">
        <f>K1170+1</f>
        <v>1045</v>
      </c>
      <c r="L1171" s="1854" t="str" cm="1">
        <f t="array" ref="L1171">_xlfn.IFS(
    I1170=FALSE, "",
    Payment_Frequency="Monthly", EDATE(L1170, 1),
    Payment_Frequency="Weekly", DATE(YEAR(L1170), MONTH(L1170), DAY(L1170) + 7),
    Payment_Frequency="Fortnightly", DATE(YEAR(L1170), MONTH(L1170), DAY(L1170) + 14),
    Payment_Frequency="Quarterly", DATE(YEAR(L1170), MONTH(L1170) + 3, DAY(L1170)),
    Payment_Frequency="Yearly", DATE(YEAR(L1170) + 1, MONTH(L1170), DAY(L1170)),
    TRUE, ""
)</f>
        <v/>
      </c>
      <c r="M1171" s="1853">
        <f>IF(ISERROR(L1171-L1170),0,L1171-L1170)</f>
        <v>0</v>
      </c>
      <c r="N1171" s="1851" cm="1">
        <f t="array" ref="N1171">_xlfn.IFS(
    AND(I1171=TRUE, K1171&lt;=No_Regular_Payments), Repay_Amt,
    AND(I1171=TRUE, K1171=No_Regular_Payments+1), Tm_Balloon_Amt,
   TRUE, 0
)</f>
        <v>0</v>
      </c>
      <c r="O1171" s="1850" cm="1">
        <f t="array" ref="O1171">_xlfn.IFS(
    M1171=0,0,
   ABS(N1171 - S1170 - P1171-Q1171) &lt; 1, N1171 - S1170-Q1171,
    TRUE, P1171
)</f>
        <v>0</v>
      </c>
      <c r="P1171" s="1852">
        <f>IF(M1171=0,0,ROUND(S1170*EXP(Int_Rate/365.25 * M1171)-S1170,2))</f>
        <v>0</v>
      </c>
      <c r="Q1171" s="1851" cm="1">
        <f t="array" ref="Q1171">_xlfn.IFS(
    AND(I1171=TRUE, K1171&lt;=No_Regular_Payments), Periodic_Admin_Charge,
   TRUE, 0
)</f>
        <v>0</v>
      </c>
      <c r="R1171" s="1850">
        <f>N1171-O1171-Q1171</f>
        <v>0</v>
      </c>
      <c r="S1171" s="1850">
        <f>ROUND(S1170-R1171,2)</f>
        <v>0</v>
      </c>
      <c r="T1171" s="1850">
        <f>ROUND(T1170-(N1171-Q1171),2)</f>
        <v>0</v>
      </c>
      <c r="U1171" s="1849"/>
      <c r="W1171" s="1848"/>
      <c r="X1171" s="1848"/>
      <c r="Y1171" s="1848"/>
    </row>
    <row r="1172" spans="2:25" hidden="1">
      <c r="B1172" s="1815" t="b">
        <f>AND(I1172=FALSE,N1171=0,Q1171=0,L1171="")</f>
        <v>1</v>
      </c>
      <c r="C1172" s="1844" t="str" cm="1">
        <f t="array" ref="C1172">_xlfn.IFS(
    L1172="", "",
    MONTH(L1172) &lt;= End_of_Year_Month, YEAR(L1172),
    TRUE, YEAR(L1172) + 1
)</f>
        <v/>
      </c>
      <c r="F1172" s="1857">
        <f>IF(L1172="",0,L1172)</f>
        <v>0</v>
      </c>
      <c r="G1172" s="1856">
        <f>-(N1172-Q1172)</f>
        <v>0</v>
      </c>
      <c r="I1172" s="1815" t="b">
        <f>K1172&lt;=Number_Payments</f>
        <v>0</v>
      </c>
      <c r="J1172" s="1855"/>
      <c r="K1172" s="1351">
        <f>K1171+1</f>
        <v>1046</v>
      </c>
      <c r="L1172" s="1854" t="str" cm="1">
        <f t="array" ref="L1172">_xlfn.IFS(
    I1171=FALSE, "",
    Payment_Frequency="Monthly", EDATE(L1171, 1),
    Payment_Frequency="Weekly", DATE(YEAR(L1171), MONTH(L1171), DAY(L1171) + 7),
    Payment_Frequency="Fortnightly", DATE(YEAR(L1171), MONTH(L1171), DAY(L1171) + 14),
    Payment_Frequency="Quarterly", DATE(YEAR(L1171), MONTH(L1171) + 3, DAY(L1171)),
    Payment_Frequency="Yearly", DATE(YEAR(L1171) + 1, MONTH(L1171), DAY(L1171)),
    TRUE, ""
)</f>
        <v/>
      </c>
      <c r="M1172" s="1853">
        <f>IF(ISERROR(L1172-L1171),0,L1172-L1171)</f>
        <v>0</v>
      </c>
      <c r="N1172" s="1851" cm="1">
        <f t="array" ref="N1172">_xlfn.IFS(
    AND(I1172=TRUE, K1172&lt;=No_Regular_Payments), Repay_Amt,
    AND(I1172=TRUE, K1172=No_Regular_Payments+1), Tm_Balloon_Amt,
   TRUE, 0
)</f>
        <v>0</v>
      </c>
      <c r="O1172" s="1850" cm="1">
        <f t="array" ref="O1172">_xlfn.IFS(
    M1172=0,0,
   ABS(N1172 - S1171 - P1172-Q1172) &lt; 1, N1172 - S1171-Q1172,
    TRUE, P1172
)</f>
        <v>0</v>
      </c>
      <c r="P1172" s="1852">
        <f>IF(M1172=0,0,ROUND(S1171*EXP(Int_Rate/365.25 * M1172)-S1171,2))</f>
        <v>0</v>
      </c>
      <c r="Q1172" s="1851" cm="1">
        <f t="array" ref="Q1172">_xlfn.IFS(
    AND(I1172=TRUE, K1172&lt;=No_Regular_Payments), Periodic_Admin_Charge,
   TRUE, 0
)</f>
        <v>0</v>
      </c>
      <c r="R1172" s="1850">
        <f>N1172-O1172-Q1172</f>
        <v>0</v>
      </c>
      <c r="S1172" s="1850">
        <f>ROUND(S1171-R1172,2)</f>
        <v>0</v>
      </c>
      <c r="T1172" s="1850">
        <f>ROUND(T1171-(N1172-Q1172),2)</f>
        <v>0</v>
      </c>
      <c r="U1172" s="1849"/>
      <c r="W1172" s="1848"/>
      <c r="X1172" s="1848"/>
      <c r="Y1172" s="1848"/>
    </row>
    <row r="1173" spans="2:25" hidden="1">
      <c r="B1173" s="1815" t="b">
        <f>AND(I1173=FALSE,N1172=0,Q1172=0,L1172="")</f>
        <v>1</v>
      </c>
      <c r="C1173" s="1844" t="str" cm="1">
        <f t="array" ref="C1173">_xlfn.IFS(
    L1173="", "",
    MONTH(L1173) &lt;= End_of_Year_Month, YEAR(L1173),
    TRUE, YEAR(L1173) + 1
)</f>
        <v/>
      </c>
      <c r="F1173" s="1857">
        <f>IF(L1173="",0,L1173)</f>
        <v>0</v>
      </c>
      <c r="G1173" s="1856">
        <f>-(N1173-Q1173)</f>
        <v>0</v>
      </c>
      <c r="I1173" s="1815" t="b">
        <f>K1173&lt;=Number_Payments</f>
        <v>0</v>
      </c>
      <c r="J1173" s="1855"/>
      <c r="K1173" s="1351">
        <f>K1172+1</f>
        <v>1047</v>
      </c>
      <c r="L1173" s="1854" t="str" cm="1">
        <f t="array" ref="L1173">_xlfn.IFS(
    I1172=FALSE, "",
    Payment_Frequency="Monthly", EDATE(L1172, 1),
    Payment_Frequency="Weekly", DATE(YEAR(L1172), MONTH(L1172), DAY(L1172) + 7),
    Payment_Frequency="Fortnightly", DATE(YEAR(L1172), MONTH(L1172), DAY(L1172) + 14),
    Payment_Frequency="Quarterly", DATE(YEAR(L1172), MONTH(L1172) + 3, DAY(L1172)),
    Payment_Frequency="Yearly", DATE(YEAR(L1172) + 1, MONTH(L1172), DAY(L1172)),
    TRUE, ""
)</f>
        <v/>
      </c>
      <c r="M1173" s="1853">
        <f>IF(ISERROR(L1173-L1172),0,L1173-L1172)</f>
        <v>0</v>
      </c>
      <c r="N1173" s="1851" cm="1">
        <f t="array" ref="N1173">_xlfn.IFS(
    AND(I1173=TRUE, K1173&lt;=No_Regular_Payments), Repay_Amt,
    AND(I1173=TRUE, K1173=No_Regular_Payments+1), Tm_Balloon_Amt,
   TRUE, 0
)</f>
        <v>0</v>
      </c>
      <c r="O1173" s="1850" cm="1">
        <f t="array" ref="O1173">_xlfn.IFS(
    M1173=0,0,
   ABS(N1173 - S1172 - P1173-Q1173) &lt; 1, N1173 - S1172-Q1173,
    TRUE, P1173
)</f>
        <v>0</v>
      </c>
      <c r="P1173" s="1852">
        <f>IF(M1173=0,0,ROUND(S1172*EXP(Int_Rate/365.25 * M1173)-S1172,2))</f>
        <v>0</v>
      </c>
      <c r="Q1173" s="1851" cm="1">
        <f t="array" ref="Q1173">_xlfn.IFS(
    AND(I1173=TRUE, K1173&lt;=No_Regular_Payments), Periodic_Admin_Charge,
   TRUE, 0
)</f>
        <v>0</v>
      </c>
      <c r="R1173" s="1850">
        <f>N1173-O1173-Q1173</f>
        <v>0</v>
      </c>
      <c r="S1173" s="1850">
        <f>ROUND(S1172-R1173,2)</f>
        <v>0</v>
      </c>
      <c r="T1173" s="1850">
        <f>ROUND(T1172-(N1173-Q1173),2)</f>
        <v>0</v>
      </c>
      <c r="U1173" s="1849"/>
      <c r="W1173" s="1848"/>
      <c r="X1173" s="1848"/>
      <c r="Y1173" s="1848"/>
    </row>
    <row r="1174" spans="2:25" hidden="1">
      <c r="B1174" s="1815" t="b">
        <f>AND(I1174=FALSE,N1173=0,Q1173=0,L1173="")</f>
        <v>1</v>
      </c>
      <c r="C1174" s="1844" t="str" cm="1">
        <f t="array" ref="C1174">_xlfn.IFS(
    L1174="", "",
    MONTH(L1174) &lt;= End_of_Year_Month, YEAR(L1174),
    TRUE, YEAR(L1174) + 1
)</f>
        <v/>
      </c>
      <c r="F1174" s="1857">
        <f>IF(L1174="",0,L1174)</f>
        <v>0</v>
      </c>
      <c r="G1174" s="1856">
        <f>-(N1174-Q1174)</f>
        <v>0</v>
      </c>
      <c r="I1174" s="1815" t="b">
        <f>K1174&lt;=Number_Payments</f>
        <v>0</v>
      </c>
      <c r="J1174" s="1855"/>
      <c r="K1174" s="1351">
        <f>K1173+1</f>
        <v>1048</v>
      </c>
      <c r="L1174" s="1854" t="str" cm="1">
        <f t="array" ref="L1174">_xlfn.IFS(
    I1173=FALSE, "",
    Payment_Frequency="Monthly", EDATE(L1173, 1),
    Payment_Frequency="Weekly", DATE(YEAR(L1173), MONTH(L1173), DAY(L1173) + 7),
    Payment_Frequency="Fortnightly", DATE(YEAR(L1173), MONTH(L1173), DAY(L1173) + 14),
    Payment_Frequency="Quarterly", DATE(YEAR(L1173), MONTH(L1173) + 3, DAY(L1173)),
    Payment_Frequency="Yearly", DATE(YEAR(L1173) + 1, MONTH(L1173), DAY(L1173)),
    TRUE, ""
)</f>
        <v/>
      </c>
      <c r="M1174" s="1853">
        <f>IF(ISERROR(L1174-L1173),0,L1174-L1173)</f>
        <v>0</v>
      </c>
      <c r="N1174" s="1851" cm="1">
        <f t="array" ref="N1174">_xlfn.IFS(
    AND(I1174=TRUE, K1174&lt;=No_Regular_Payments), Repay_Amt,
    AND(I1174=TRUE, K1174=No_Regular_Payments+1), Tm_Balloon_Amt,
   TRUE, 0
)</f>
        <v>0</v>
      </c>
      <c r="O1174" s="1850" cm="1">
        <f t="array" ref="O1174">_xlfn.IFS(
    M1174=0,0,
   ABS(N1174 - S1173 - P1174-Q1174) &lt; 1, N1174 - S1173-Q1174,
    TRUE, P1174
)</f>
        <v>0</v>
      </c>
      <c r="P1174" s="1852">
        <f>IF(M1174=0,0,ROUND(S1173*EXP(Int_Rate/365.25 * M1174)-S1173,2))</f>
        <v>0</v>
      </c>
      <c r="Q1174" s="1851" cm="1">
        <f t="array" ref="Q1174">_xlfn.IFS(
    AND(I1174=TRUE, K1174&lt;=No_Regular_Payments), Periodic_Admin_Charge,
   TRUE, 0
)</f>
        <v>0</v>
      </c>
      <c r="R1174" s="1850">
        <f>N1174-O1174-Q1174</f>
        <v>0</v>
      </c>
      <c r="S1174" s="1850">
        <f>ROUND(S1173-R1174,2)</f>
        <v>0</v>
      </c>
      <c r="T1174" s="1850">
        <f>ROUND(T1173-(N1174-Q1174),2)</f>
        <v>0</v>
      </c>
      <c r="U1174" s="1849"/>
      <c r="W1174" s="1848"/>
      <c r="X1174" s="1848"/>
      <c r="Y1174" s="1848"/>
    </row>
    <row r="1175" spans="2:25" hidden="1">
      <c r="B1175" s="1815" t="b">
        <f>AND(I1175=FALSE,N1174=0,Q1174=0,L1174="")</f>
        <v>1</v>
      </c>
      <c r="C1175" s="1844" t="str" cm="1">
        <f t="array" ref="C1175">_xlfn.IFS(
    L1175="", "",
    MONTH(L1175) &lt;= End_of_Year_Month, YEAR(L1175),
    TRUE, YEAR(L1175) + 1
)</f>
        <v/>
      </c>
      <c r="F1175" s="1857">
        <f>IF(L1175="",0,L1175)</f>
        <v>0</v>
      </c>
      <c r="G1175" s="1856">
        <f>-(N1175-Q1175)</f>
        <v>0</v>
      </c>
      <c r="I1175" s="1815" t="b">
        <f>K1175&lt;=Number_Payments</f>
        <v>0</v>
      </c>
      <c r="J1175" s="1855"/>
      <c r="K1175" s="1351">
        <f>K1174+1</f>
        <v>1049</v>
      </c>
      <c r="L1175" s="1854" t="str" cm="1">
        <f t="array" ref="L1175">_xlfn.IFS(
    I1174=FALSE, "",
    Payment_Frequency="Monthly", EDATE(L1174, 1),
    Payment_Frequency="Weekly", DATE(YEAR(L1174), MONTH(L1174), DAY(L1174) + 7),
    Payment_Frequency="Fortnightly", DATE(YEAR(L1174), MONTH(L1174), DAY(L1174) + 14),
    Payment_Frequency="Quarterly", DATE(YEAR(L1174), MONTH(L1174) + 3, DAY(L1174)),
    Payment_Frequency="Yearly", DATE(YEAR(L1174) + 1, MONTH(L1174), DAY(L1174)),
    TRUE, ""
)</f>
        <v/>
      </c>
      <c r="M1175" s="1853">
        <f>IF(ISERROR(L1175-L1174),0,L1175-L1174)</f>
        <v>0</v>
      </c>
      <c r="N1175" s="1851" cm="1">
        <f t="array" ref="N1175">_xlfn.IFS(
    AND(I1175=TRUE, K1175&lt;=No_Regular_Payments), Repay_Amt,
    AND(I1175=TRUE, K1175=No_Regular_Payments+1), Tm_Balloon_Amt,
   TRUE, 0
)</f>
        <v>0</v>
      </c>
      <c r="O1175" s="1850" cm="1">
        <f t="array" ref="O1175">_xlfn.IFS(
    M1175=0,0,
   ABS(N1175 - S1174 - P1175-Q1175) &lt; 1, N1175 - S1174-Q1175,
    TRUE, P1175
)</f>
        <v>0</v>
      </c>
      <c r="P1175" s="1852">
        <f>IF(M1175=0,0,ROUND(S1174*EXP(Int_Rate/365.25 * M1175)-S1174,2))</f>
        <v>0</v>
      </c>
      <c r="Q1175" s="1851" cm="1">
        <f t="array" ref="Q1175">_xlfn.IFS(
    AND(I1175=TRUE, K1175&lt;=No_Regular_Payments), Periodic_Admin_Charge,
   TRUE, 0
)</f>
        <v>0</v>
      </c>
      <c r="R1175" s="1850">
        <f>N1175-O1175-Q1175</f>
        <v>0</v>
      </c>
      <c r="S1175" s="1850">
        <f>ROUND(S1174-R1175,2)</f>
        <v>0</v>
      </c>
      <c r="T1175" s="1850">
        <f>ROUND(T1174-(N1175-Q1175),2)</f>
        <v>0</v>
      </c>
      <c r="U1175" s="1849"/>
      <c r="W1175" s="1848"/>
      <c r="X1175" s="1848"/>
      <c r="Y1175" s="1848"/>
    </row>
    <row r="1176" spans="2:25" hidden="1">
      <c r="B1176" s="1815" t="b">
        <f>AND(I1176=FALSE,N1175=0,Q1175=0,L1175="")</f>
        <v>1</v>
      </c>
      <c r="C1176" s="1844" t="str" cm="1">
        <f t="array" ref="C1176">_xlfn.IFS(
    L1176="", "",
    MONTH(L1176) &lt;= End_of_Year_Month, YEAR(L1176),
    TRUE, YEAR(L1176) + 1
)</f>
        <v/>
      </c>
      <c r="F1176" s="1857">
        <f>IF(L1176="",0,L1176)</f>
        <v>0</v>
      </c>
      <c r="G1176" s="1856">
        <f>-(N1176-Q1176)</f>
        <v>0</v>
      </c>
      <c r="I1176" s="1815" t="b">
        <f>K1176&lt;=Number_Payments</f>
        <v>0</v>
      </c>
      <c r="J1176" s="1855"/>
      <c r="K1176" s="1351">
        <f>K1175+1</f>
        <v>1050</v>
      </c>
      <c r="L1176" s="1854" t="str" cm="1">
        <f t="array" ref="L1176">_xlfn.IFS(
    I1175=FALSE, "",
    Payment_Frequency="Monthly", EDATE(L1175, 1),
    Payment_Frequency="Weekly", DATE(YEAR(L1175), MONTH(L1175), DAY(L1175) + 7),
    Payment_Frequency="Fortnightly", DATE(YEAR(L1175), MONTH(L1175), DAY(L1175) + 14),
    Payment_Frequency="Quarterly", DATE(YEAR(L1175), MONTH(L1175) + 3, DAY(L1175)),
    Payment_Frequency="Yearly", DATE(YEAR(L1175) + 1, MONTH(L1175), DAY(L1175)),
    TRUE, ""
)</f>
        <v/>
      </c>
      <c r="M1176" s="1853">
        <f>IF(ISERROR(L1176-L1175),0,L1176-L1175)</f>
        <v>0</v>
      </c>
      <c r="N1176" s="1851" cm="1">
        <f t="array" ref="N1176">_xlfn.IFS(
    AND(I1176=TRUE, K1176&lt;=No_Regular_Payments), Repay_Amt,
    AND(I1176=TRUE, K1176=No_Regular_Payments+1), Tm_Balloon_Amt,
   TRUE, 0
)</f>
        <v>0</v>
      </c>
      <c r="O1176" s="1850" cm="1">
        <f t="array" ref="O1176">_xlfn.IFS(
    M1176=0,0,
   ABS(N1176 - S1175 - P1176-Q1176) &lt; 1, N1176 - S1175-Q1176,
    TRUE, P1176
)</f>
        <v>0</v>
      </c>
      <c r="P1176" s="1852">
        <f>IF(M1176=0,0,ROUND(S1175*EXP(Int_Rate/365.25 * M1176)-S1175,2))</f>
        <v>0</v>
      </c>
      <c r="Q1176" s="1851" cm="1">
        <f t="array" ref="Q1176">_xlfn.IFS(
    AND(I1176=TRUE, K1176&lt;=No_Regular_Payments), Periodic_Admin_Charge,
   TRUE, 0
)</f>
        <v>0</v>
      </c>
      <c r="R1176" s="1850">
        <f>N1176-O1176-Q1176</f>
        <v>0</v>
      </c>
      <c r="S1176" s="1850">
        <f>ROUND(S1175-R1176,2)</f>
        <v>0</v>
      </c>
      <c r="T1176" s="1850">
        <f>ROUND(T1175-(N1176-Q1176),2)</f>
        <v>0</v>
      </c>
      <c r="U1176" s="1849"/>
      <c r="W1176" s="1848"/>
      <c r="X1176" s="1848"/>
      <c r="Y1176" s="1848"/>
    </row>
    <row r="1177" spans="2:25" hidden="1">
      <c r="B1177" s="1815" t="b">
        <f>AND(I1177=FALSE,N1176=0,Q1176=0,L1176="")</f>
        <v>1</v>
      </c>
      <c r="C1177" s="1844" t="str" cm="1">
        <f t="array" ref="C1177">_xlfn.IFS(
    L1177="", "",
    MONTH(L1177) &lt;= End_of_Year_Month, YEAR(L1177),
    TRUE, YEAR(L1177) + 1
)</f>
        <v/>
      </c>
      <c r="F1177" s="1857">
        <f>IF(L1177="",0,L1177)</f>
        <v>0</v>
      </c>
      <c r="G1177" s="1856">
        <f>-(N1177-Q1177)</f>
        <v>0</v>
      </c>
      <c r="I1177" s="1815" t="b">
        <f>K1177&lt;=Number_Payments</f>
        <v>0</v>
      </c>
      <c r="J1177" s="1855"/>
      <c r="K1177" s="1351">
        <f>K1176+1</f>
        <v>1051</v>
      </c>
      <c r="L1177" s="1854" t="str" cm="1">
        <f t="array" ref="L1177">_xlfn.IFS(
    I1176=FALSE, "",
    Payment_Frequency="Monthly", EDATE(L1176, 1),
    Payment_Frequency="Weekly", DATE(YEAR(L1176), MONTH(L1176), DAY(L1176) + 7),
    Payment_Frequency="Fortnightly", DATE(YEAR(L1176), MONTH(L1176), DAY(L1176) + 14),
    Payment_Frequency="Quarterly", DATE(YEAR(L1176), MONTH(L1176) + 3, DAY(L1176)),
    Payment_Frequency="Yearly", DATE(YEAR(L1176) + 1, MONTH(L1176), DAY(L1176)),
    TRUE, ""
)</f>
        <v/>
      </c>
      <c r="M1177" s="1853">
        <f>IF(ISERROR(L1177-L1176),0,L1177-L1176)</f>
        <v>0</v>
      </c>
      <c r="N1177" s="1851" cm="1">
        <f t="array" ref="N1177">_xlfn.IFS(
    AND(I1177=TRUE, K1177&lt;=No_Regular_Payments), Repay_Amt,
    AND(I1177=TRUE, K1177=No_Regular_Payments+1), Tm_Balloon_Amt,
   TRUE, 0
)</f>
        <v>0</v>
      </c>
      <c r="O1177" s="1850" cm="1">
        <f t="array" ref="O1177">_xlfn.IFS(
    M1177=0,0,
   ABS(N1177 - S1176 - P1177-Q1177) &lt; 1, N1177 - S1176-Q1177,
    TRUE, P1177
)</f>
        <v>0</v>
      </c>
      <c r="P1177" s="1852">
        <f>IF(M1177=0,0,ROUND(S1176*EXP(Int_Rate/365.25 * M1177)-S1176,2))</f>
        <v>0</v>
      </c>
      <c r="Q1177" s="1851" cm="1">
        <f t="array" ref="Q1177">_xlfn.IFS(
    AND(I1177=TRUE, K1177&lt;=No_Regular_Payments), Periodic_Admin_Charge,
   TRUE, 0
)</f>
        <v>0</v>
      </c>
      <c r="R1177" s="1850">
        <f>N1177-O1177-Q1177</f>
        <v>0</v>
      </c>
      <c r="S1177" s="1850">
        <f>ROUND(S1176-R1177,2)</f>
        <v>0</v>
      </c>
      <c r="T1177" s="1850">
        <f>ROUND(T1176-(N1177-Q1177),2)</f>
        <v>0</v>
      </c>
      <c r="U1177" s="1849"/>
      <c r="W1177" s="1848"/>
      <c r="X1177" s="1848"/>
      <c r="Y1177" s="1848"/>
    </row>
    <row r="1178" spans="2:25" hidden="1">
      <c r="B1178" s="1815" t="b">
        <f>AND(I1178=FALSE,N1177=0,Q1177=0,L1177="")</f>
        <v>1</v>
      </c>
      <c r="C1178" s="1844" t="str" cm="1">
        <f t="array" ref="C1178">_xlfn.IFS(
    L1178="", "",
    MONTH(L1178) &lt;= End_of_Year_Month, YEAR(L1178),
    TRUE, YEAR(L1178) + 1
)</f>
        <v/>
      </c>
      <c r="F1178" s="1857">
        <f>IF(L1178="",0,L1178)</f>
        <v>0</v>
      </c>
      <c r="G1178" s="1856">
        <f>-(N1178-Q1178)</f>
        <v>0</v>
      </c>
      <c r="I1178" s="1815" t="b">
        <f>K1178&lt;=Number_Payments</f>
        <v>0</v>
      </c>
      <c r="J1178" s="1855"/>
      <c r="K1178" s="1351">
        <f>K1177+1</f>
        <v>1052</v>
      </c>
      <c r="L1178" s="1854" t="str" cm="1">
        <f t="array" ref="L1178">_xlfn.IFS(
    I1177=FALSE, "",
    Payment_Frequency="Monthly", EDATE(L1177, 1),
    Payment_Frequency="Weekly", DATE(YEAR(L1177), MONTH(L1177), DAY(L1177) + 7),
    Payment_Frequency="Fortnightly", DATE(YEAR(L1177), MONTH(L1177), DAY(L1177) + 14),
    Payment_Frequency="Quarterly", DATE(YEAR(L1177), MONTH(L1177) + 3, DAY(L1177)),
    Payment_Frequency="Yearly", DATE(YEAR(L1177) + 1, MONTH(L1177), DAY(L1177)),
    TRUE, ""
)</f>
        <v/>
      </c>
      <c r="M1178" s="1853">
        <f>IF(ISERROR(L1178-L1177),0,L1178-L1177)</f>
        <v>0</v>
      </c>
      <c r="N1178" s="1851" cm="1">
        <f t="array" ref="N1178">_xlfn.IFS(
    AND(I1178=TRUE, K1178&lt;=No_Regular_Payments), Repay_Amt,
    AND(I1178=TRUE, K1178=No_Regular_Payments+1), Tm_Balloon_Amt,
   TRUE, 0
)</f>
        <v>0</v>
      </c>
      <c r="O1178" s="1850" cm="1">
        <f t="array" ref="O1178">_xlfn.IFS(
    M1178=0,0,
   ABS(N1178 - S1177 - P1178-Q1178) &lt; 1, N1178 - S1177-Q1178,
    TRUE, P1178
)</f>
        <v>0</v>
      </c>
      <c r="P1178" s="1852">
        <f>IF(M1178=0,0,ROUND(S1177*EXP(Int_Rate/365.25 * M1178)-S1177,2))</f>
        <v>0</v>
      </c>
      <c r="Q1178" s="1851" cm="1">
        <f t="array" ref="Q1178">_xlfn.IFS(
    AND(I1178=TRUE, K1178&lt;=No_Regular_Payments), Periodic_Admin_Charge,
   TRUE, 0
)</f>
        <v>0</v>
      </c>
      <c r="R1178" s="1850">
        <f>N1178-O1178-Q1178</f>
        <v>0</v>
      </c>
      <c r="S1178" s="1850">
        <f>ROUND(S1177-R1178,2)</f>
        <v>0</v>
      </c>
      <c r="T1178" s="1850">
        <f>ROUND(T1177-(N1178-Q1178),2)</f>
        <v>0</v>
      </c>
      <c r="U1178" s="1849"/>
      <c r="W1178" s="1848"/>
      <c r="X1178" s="1848"/>
      <c r="Y1178" s="1848"/>
    </row>
    <row r="1179" spans="2:25" hidden="1">
      <c r="B1179" s="1815" t="b">
        <f>AND(I1179=FALSE,N1178=0,Q1178=0,L1178="")</f>
        <v>1</v>
      </c>
      <c r="C1179" s="1844" t="str" cm="1">
        <f t="array" ref="C1179">_xlfn.IFS(
    L1179="", "",
    MONTH(L1179) &lt;= End_of_Year_Month, YEAR(L1179),
    TRUE, YEAR(L1179) + 1
)</f>
        <v/>
      </c>
      <c r="F1179" s="1857">
        <f>IF(L1179="",0,L1179)</f>
        <v>0</v>
      </c>
      <c r="G1179" s="1856">
        <f>-(N1179-Q1179)</f>
        <v>0</v>
      </c>
      <c r="I1179" s="1815" t="b">
        <f>K1179&lt;=Number_Payments</f>
        <v>0</v>
      </c>
      <c r="J1179" s="1855"/>
      <c r="K1179" s="1351">
        <f>K1178+1</f>
        <v>1053</v>
      </c>
      <c r="L1179" s="1854" t="str" cm="1">
        <f t="array" ref="L1179">_xlfn.IFS(
    I1178=FALSE, "",
    Payment_Frequency="Monthly", EDATE(L1178, 1),
    Payment_Frequency="Weekly", DATE(YEAR(L1178), MONTH(L1178), DAY(L1178) + 7),
    Payment_Frequency="Fortnightly", DATE(YEAR(L1178), MONTH(L1178), DAY(L1178) + 14),
    Payment_Frequency="Quarterly", DATE(YEAR(L1178), MONTH(L1178) + 3, DAY(L1178)),
    Payment_Frequency="Yearly", DATE(YEAR(L1178) + 1, MONTH(L1178), DAY(L1178)),
    TRUE, ""
)</f>
        <v/>
      </c>
      <c r="M1179" s="1853">
        <f>IF(ISERROR(L1179-L1178),0,L1179-L1178)</f>
        <v>0</v>
      </c>
      <c r="N1179" s="1851" cm="1">
        <f t="array" ref="N1179">_xlfn.IFS(
    AND(I1179=TRUE, K1179&lt;=No_Regular_Payments), Repay_Amt,
    AND(I1179=TRUE, K1179=No_Regular_Payments+1), Tm_Balloon_Amt,
   TRUE, 0
)</f>
        <v>0</v>
      </c>
      <c r="O1179" s="1850" cm="1">
        <f t="array" ref="O1179">_xlfn.IFS(
    M1179=0,0,
   ABS(N1179 - S1178 - P1179-Q1179) &lt; 1, N1179 - S1178-Q1179,
    TRUE, P1179
)</f>
        <v>0</v>
      </c>
      <c r="P1179" s="1852">
        <f>IF(M1179=0,0,ROUND(S1178*EXP(Int_Rate/365.25 * M1179)-S1178,2))</f>
        <v>0</v>
      </c>
      <c r="Q1179" s="1851" cm="1">
        <f t="array" ref="Q1179">_xlfn.IFS(
    AND(I1179=TRUE, K1179&lt;=No_Regular_Payments), Periodic_Admin_Charge,
   TRUE, 0
)</f>
        <v>0</v>
      </c>
      <c r="R1179" s="1850">
        <f>N1179-O1179-Q1179</f>
        <v>0</v>
      </c>
      <c r="S1179" s="1850">
        <f>ROUND(S1178-R1179,2)</f>
        <v>0</v>
      </c>
      <c r="T1179" s="1850">
        <f>ROUND(T1178-(N1179-Q1179),2)</f>
        <v>0</v>
      </c>
      <c r="U1179" s="1849"/>
      <c r="W1179" s="1848"/>
      <c r="X1179" s="1848"/>
      <c r="Y1179" s="1848"/>
    </row>
    <row r="1180" spans="2:25" hidden="1">
      <c r="B1180" s="1815" t="b">
        <f>AND(I1180=FALSE,N1179=0,Q1179=0,L1179="")</f>
        <v>1</v>
      </c>
      <c r="C1180" s="1844" t="str" cm="1">
        <f t="array" ref="C1180">_xlfn.IFS(
    L1180="", "",
    MONTH(L1180) &lt;= End_of_Year_Month, YEAR(L1180),
    TRUE, YEAR(L1180) + 1
)</f>
        <v/>
      </c>
      <c r="F1180" s="1857">
        <f>IF(L1180="",0,L1180)</f>
        <v>0</v>
      </c>
      <c r="G1180" s="1856">
        <f>-(N1180-Q1180)</f>
        <v>0</v>
      </c>
      <c r="I1180" s="1815" t="b">
        <f>K1180&lt;=Number_Payments</f>
        <v>0</v>
      </c>
      <c r="J1180" s="1855"/>
      <c r="K1180" s="1351">
        <f>K1179+1</f>
        <v>1054</v>
      </c>
      <c r="L1180" s="1854" t="str" cm="1">
        <f t="array" ref="L1180">_xlfn.IFS(
    I1179=FALSE, "",
    Payment_Frequency="Monthly", EDATE(L1179, 1),
    Payment_Frequency="Weekly", DATE(YEAR(L1179), MONTH(L1179), DAY(L1179) + 7),
    Payment_Frequency="Fortnightly", DATE(YEAR(L1179), MONTH(L1179), DAY(L1179) + 14),
    Payment_Frequency="Quarterly", DATE(YEAR(L1179), MONTH(L1179) + 3, DAY(L1179)),
    Payment_Frequency="Yearly", DATE(YEAR(L1179) + 1, MONTH(L1179), DAY(L1179)),
    TRUE, ""
)</f>
        <v/>
      </c>
      <c r="M1180" s="1853">
        <f>IF(ISERROR(L1180-L1179),0,L1180-L1179)</f>
        <v>0</v>
      </c>
      <c r="N1180" s="1851" cm="1">
        <f t="array" ref="N1180">_xlfn.IFS(
    AND(I1180=TRUE, K1180&lt;=No_Regular_Payments), Repay_Amt,
    AND(I1180=TRUE, K1180=No_Regular_Payments+1), Tm_Balloon_Amt,
   TRUE, 0
)</f>
        <v>0</v>
      </c>
      <c r="O1180" s="1850" cm="1">
        <f t="array" ref="O1180">_xlfn.IFS(
    M1180=0,0,
   ABS(N1180 - S1179 - P1180-Q1180) &lt; 1, N1180 - S1179-Q1180,
    TRUE, P1180
)</f>
        <v>0</v>
      </c>
      <c r="P1180" s="1852">
        <f>IF(M1180=0,0,ROUND(S1179*EXP(Int_Rate/365.25 * M1180)-S1179,2))</f>
        <v>0</v>
      </c>
      <c r="Q1180" s="1851" cm="1">
        <f t="array" ref="Q1180">_xlfn.IFS(
    AND(I1180=TRUE, K1180&lt;=No_Regular_Payments), Periodic_Admin_Charge,
   TRUE, 0
)</f>
        <v>0</v>
      </c>
      <c r="R1180" s="1850">
        <f>N1180-O1180-Q1180</f>
        <v>0</v>
      </c>
      <c r="S1180" s="1850">
        <f>ROUND(S1179-R1180,2)</f>
        <v>0</v>
      </c>
      <c r="T1180" s="1850">
        <f>ROUND(T1179-(N1180-Q1180),2)</f>
        <v>0</v>
      </c>
      <c r="U1180" s="1849"/>
      <c r="W1180" s="1848"/>
      <c r="X1180" s="1848"/>
      <c r="Y1180" s="1848"/>
    </row>
    <row r="1181" spans="2:25" hidden="1">
      <c r="B1181" s="1815" t="b">
        <f>AND(I1181=FALSE,N1180=0,Q1180=0,L1180="")</f>
        <v>1</v>
      </c>
      <c r="C1181" s="1844" t="str" cm="1">
        <f t="array" ref="C1181">_xlfn.IFS(
    L1181="", "",
    MONTH(L1181) &lt;= End_of_Year_Month, YEAR(L1181),
    TRUE, YEAR(L1181) + 1
)</f>
        <v/>
      </c>
      <c r="F1181" s="1857">
        <f>IF(L1181="",0,L1181)</f>
        <v>0</v>
      </c>
      <c r="G1181" s="1856">
        <f>-(N1181-Q1181)</f>
        <v>0</v>
      </c>
      <c r="I1181" s="1815" t="b">
        <f>K1181&lt;=Number_Payments</f>
        <v>0</v>
      </c>
      <c r="J1181" s="1855"/>
      <c r="K1181" s="1351">
        <f>K1180+1</f>
        <v>1055</v>
      </c>
      <c r="L1181" s="1854" t="str" cm="1">
        <f t="array" ref="L1181">_xlfn.IFS(
    I1180=FALSE, "",
    Payment_Frequency="Monthly", EDATE(L1180, 1),
    Payment_Frequency="Weekly", DATE(YEAR(L1180), MONTH(L1180), DAY(L1180) + 7),
    Payment_Frequency="Fortnightly", DATE(YEAR(L1180), MONTH(L1180), DAY(L1180) + 14),
    Payment_Frequency="Quarterly", DATE(YEAR(L1180), MONTH(L1180) + 3, DAY(L1180)),
    Payment_Frequency="Yearly", DATE(YEAR(L1180) + 1, MONTH(L1180), DAY(L1180)),
    TRUE, ""
)</f>
        <v/>
      </c>
      <c r="M1181" s="1853">
        <f>IF(ISERROR(L1181-L1180),0,L1181-L1180)</f>
        <v>0</v>
      </c>
      <c r="N1181" s="1851" cm="1">
        <f t="array" ref="N1181">_xlfn.IFS(
    AND(I1181=TRUE, K1181&lt;=No_Regular_Payments), Repay_Amt,
    AND(I1181=TRUE, K1181=No_Regular_Payments+1), Tm_Balloon_Amt,
   TRUE, 0
)</f>
        <v>0</v>
      </c>
      <c r="O1181" s="1850" cm="1">
        <f t="array" ref="O1181">_xlfn.IFS(
    M1181=0,0,
   ABS(N1181 - S1180 - P1181-Q1181) &lt; 1, N1181 - S1180-Q1181,
    TRUE, P1181
)</f>
        <v>0</v>
      </c>
      <c r="P1181" s="1852">
        <f>IF(M1181=0,0,ROUND(S1180*EXP(Int_Rate/365.25 * M1181)-S1180,2))</f>
        <v>0</v>
      </c>
      <c r="Q1181" s="1851" cm="1">
        <f t="array" ref="Q1181">_xlfn.IFS(
    AND(I1181=TRUE, K1181&lt;=No_Regular_Payments), Periodic_Admin_Charge,
   TRUE, 0
)</f>
        <v>0</v>
      </c>
      <c r="R1181" s="1850">
        <f>N1181-O1181-Q1181</f>
        <v>0</v>
      </c>
      <c r="S1181" s="1850">
        <f>ROUND(S1180-R1181,2)</f>
        <v>0</v>
      </c>
      <c r="T1181" s="1850">
        <f>ROUND(T1180-(N1181-Q1181),2)</f>
        <v>0</v>
      </c>
      <c r="U1181" s="1849"/>
      <c r="W1181" s="1848"/>
      <c r="X1181" s="1848"/>
      <c r="Y1181" s="1848"/>
    </row>
    <row r="1182" spans="2:25" hidden="1">
      <c r="B1182" s="1815" t="b">
        <f>AND(I1182=FALSE,N1181=0,Q1181=0,L1181="")</f>
        <v>1</v>
      </c>
      <c r="C1182" s="1844" t="str" cm="1">
        <f t="array" ref="C1182">_xlfn.IFS(
    L1182="", "",
    MONTH(L1182) &lt;= End_of_Year_Month, YEAR(L1182),
    TRUE, YEAR(L1182) + 1
)</f>
        <v/>
      </c>
      <c r="F1182" s="1857">
        <f>IF(L1182="",0,L1182)</f>
        <v>0</v>
      </c>
      <c r="G1182" s="1856">
        <f>-(N1182-Q1182)</f>
        <v>0</v>
      </c>
      <c r="I1182" s="1815" t="b">
        <f>K1182&lt;=Number_Payments</f>
        <v>0</v>
      </c>
      <c r="J1182" s="1855"/>
      <c r="K1182" s="1351">
        <f>K1181+1</f>
        <v>1056</v>
      </c>
      <c r="L1182" s="1854" t="str" cm="1">
        <f t="array" ref="L1182">_xlfn.IFS(
    I1181=FALSE, "",
    Payment_Frequency="Monthly", EDATE(L1181, 1),
    Payment_Frequency="Weekly", DATE(YEAR(L1181), MONTH(L1181), DAY(L1181) + 7),
    Payment_Frequency="Fortnightly", DATE(YEAR(L1181), MONTH(L1181), DAY(L1181) + 14),
    Payment_Frequency="Quarterly", DATE(YEAR(L1181), MONTH(L1181) + 3, DAY(L1181)),
    Payment_Frequency="Yearly", DATE(YEAR(L1181) + 1, MONTH(L1181), DAY(L1181)),
    TRUE, ""
)</f>
        <v/>
      </c>
      <c r="M1182" s="1853">
        <f>IF(ISERROR(L1182-L1181),0,L1182-L1181)</f>
        <v>0</v>
      </c>
      <c r="N1182" s="1851" cm="1">
        <f t="array" ref="N1182">_xlfn.IFS(
    AND(I1182=TRUE, K1182&lt;=No_Regular_Payments), Repay_Amt,
    AND(I1182=TRUE, K1182=No_Regular_Payments+1), Tm_Balloon_Amt,
   TRUE, 0
)</f>
        <v>0</v>
      </c>
      <c r="O1182" s="1850" cm="1">
        <f t="array" ref="O1182">_xlfn.IFS(
    M1182=0,0,
   ABS(N1182 - S1181 - P1182-Q1182) &lt; 1, N1182 - S1181-Q1182,
    TRUE, P1182
)</f>
        <v>0</v>
      </c>
      <c r="P1182" s="1852">
        <f>IF(M1182=0,0,ROUND(S1181*EXP(Int_Rate/365.25 * M1182)-S1181,2))</f>
        <v>0</v>
      </c>
      <c r="Q1182" s="1851" cm="1">
        <f t="array" ref="Q1182">_xlfn.IFS(
    AND(I1182=TRUE, K1182&lt;=No_Regular_Payments), Periodic_Admin_Charge,
   TRUE, 0
)</f>
        <v>0</v>
      </c>
      <c r="R1182" s="1850">
        <f>N1182-O1182-Q1182</f>
        <v>0</v>
      </c>
      <c r="S1182" s="1850">
        <f>ROUND(S1181-R1182,2)</f>
        <v>0</v>
      </c>
      <c r="T1182" s="1850">
        <f>ROUND(T1181-(N1182-Q1182),2)</f>
        <v>0</v>
      </c>
      <c r="U1182" s="1849"/>
      <c r="W1182" s="1848"/>
      <c r="X1182" s="1848"/>
      <c r="Y1182" s="1848"/>
    </row>
    <row r="1183" spans="2:25" hidden="1">
      <c r="B1183" s="1815" t="b">
        <f>AND(I1183=FALSE,N1182=0,Q1182=0,L1182="")</f>
        <v>1</v>
      </c>
      <c r="C1183" s="1844" t="str" cm="1">
        <f t="array" ref="C1183">_xlfn.IFS(
    L1183="", "",
    MONTH(L1183) &lt;= End_of_Year_Month, YEAR(L1183),
    TRUE, YEAR(L1183) + 1
)</f>
        <v/>
      </c>
      <c r="F1183" s="1857">
        <f>IF(L1183="",0,L1183)</f>
        <v>0</v>
      </c>
      <c r="G1183" s="1856">
        <f>-(N1183-Q1183)</f>
        <v>0</v>
      </c>
      <c r="I1183" s="1815" t="b">
        <f>K1183&lt;=Number_Payments</f>
        <v>0</v>
      </c>
      <c r="J1183" s="1855"/>
      <c r="K1183" s="1351">
        <f>K1182+1</f>
        <v>1057</v>
      </c>
      <c r="L1183" s="1854" t="str" cm="1">
        <f t="array" ref="L1183">_xlfn.IFS(
    I1182=FALSE, "",
    Payment_Frequency="Monthly", EDATE(L1182, 1),
    Payment_Frequency="Weekly", DATE(YEAR(L1182), MONTH(L1182), DAY(L1182) + 7),
    Payment_Frequency="Fortnightly", DATE(YEAR(L1182), MONTH(L1182), DAY(L1182) + 14),
    Payment_Frequency="Quarterly", DATE(YEAR(L1182), MONTH(L1182) + 3, DAY(L1182)),
    Payment_Frequency="Yearly", DATE(YEAR(L1182) + 1, MONTH(L1182), DAY(L1182)),
    TRUE, ""
)</f>
        <v/>
      </c>
      <c r="M1183" s="1853">
        <f>IF(ISERROR(L1183-L1182),0,L1183-L1182)</f>
        <v>0</v>
      </c>
      <c r="N1183" s="1851" cm="1">
        <f t="array" ref="N1183">_xlfn.IFS(
    AND(I1183=TRUE, K1183&lt;=No_Regular_Payments), Repay_Amt,
    AND(I1183=TRUE, K1183=No_Regular_Payments+1), Tm_Balloon_Amt,
   TRUE, 0
)</f>
        <v>0</v>
      </c>
      <c r="O1183" s="1850" cm="1">
        <f t="array" ref="O1183">_xlfn.IFS(
    M1183=0,0,
   ABS(N1183 - S1182 - P1183-Q1183) &lt; 1, N1183 - S1182-Q1183,
    TRUE, P1183
)</f>
        <v>0</v>
      </c>
      <c r="P1183" s="1852">
        <f>IF(M1183=0,0,ROUND(S1182*EXP(Int_Rate/365.25 * M1183)-S1182,2))</f>
        <v>0</v>
      </c>
      <c r="Q1183" s="1851" cm="1">
        <f t="array" ref="Q1183">_xlfn.IFS(
    AND(I1183=TRUE, K1183&lt;=No_Regular_Payments), Periodic_Admin_Charge,
   TRUE, 0
)</f>
        <v>0</v>
      </c>
      <c r="R1183" s="1850">
        <f>N1183-O1183-Q1183</f>
        <v>0</v>
      </c>
      <c r="S1183" s="1850">
        <f>ROUND(S1182-R1183,2)</f>
        <v>0</v>
      </c>
      <c r="T1183" s="1850">
        <f>ROUND(T1182-(N1183-Q1183),2)</f>
        <v>0</v>
      </c>
      <c r="U1183" s="1849"/>
      <c r="W1183" s="1848"/>
      <c r="X1183" s="1848"/>
      <c r="Y1183" s="1848"/>
    </row>
    <row r="1184" spans="2:25" hidden="1">
      <c r="B1184" s="1815" t="b">
        <f>AND(I1184=FALSE,N1183=0,Q1183=0,L1183="")</f>
        <v>1</v>
      </c>
      <c r="C1184" s="1844" t="str" cm="1">
        <f t="array" ref="C1184">_xlfn.IFS(
    L1184="", "",
    MONTH(L1184) &lt;= End_of_Year_Month, YEAR(L1184),
    TRUE, YEAR(L1184) + 1
)</f>
        <v/>
      </c>
      <c r="F1184" s="1857">
        <f>IF(L1184="",0,L1184)</f>
        <v>0</v>
      </c>
      <c r="G1184" s="1856">
        <f>-(N1184-Q1184)</f>
        <v>0</v>
      </c>
      <c r="I1184" s="1815" t="b">
        <f>K1184&lt;=Number_Payments</f>
        <v>0</v>
      </c>
      <c r="J1184" s="1855"/>
      <c r="K1184" s="1351">
        <f>K1183+1</f>
        <v>1058</v>
      </c>
      <c r="L1184" s="1854" t="str" cm="1">
        <f t="array" ref="L1184">_xlfn.IFS(
    I1183=FALSE, "",
    Payment_Frequency="Monthly", EDATE(L1183, 1),
    Payment_Frequency="Weekly", DATE(YEAR(L1183), MONTH(L1183), DAY(L1183) + 7),
    Payment_Frequency="Fortnightly", DATE(YEAR(L1183), MONTH(L1183), DAY(L1183) + 14),
    Payment_Frequency="Quarterly", DATE(YEAR(L1183), MONTH(L1183) + 3, DAY(L1183)),
    Payment_Frequency="Yearly", DATE(YEAR(L1183) + 1, MONTH(L1183), DAY(L1183)),
    TRUE, ""
)</f>
        <v/>
      </c>
      <c r="M1184" s="1853">
        <f>IF(ISERROR(L1184-L1183),0,L1184-L1183)</f>
        <v>0</v>
      </c>
      <c r="N1184" s="1851" cm="1">
        <f t="array" ref="N1184">_xlfn.IFS(
    AND(I1184=TRUE, K1184&lt;=No_Regular_Payments), Repay_Amt,
    AND(I1184=TRUE, K1184=No_Regular_Payments+1), Tm_Balloon_Amt,
   TRUE, 0
)</f>
        <v>0</v>
      </c>
      <c r="O1184" s="1850" cm="1">
        <f t="array" ref="O1184">_xlfn.IFS(
    M1184=0,0,
   ABS(N1184 - S1183 - P1184-Q1184) &lt; 1, N1184 - S1183-Q1184,
    TRUE, P1184
)</f>
        <v>0</v>
      </c>
      <c r="P1184" s="1852">
        <f>IF(M1184=0,0,ROUND(S1183*EXP(Int_Rate/365.25 * M1184)-S1183,2))</f>
        <v>0</v>
      </c>
      <c r="Q1184" s="1851" cm="1">
        <f t="array" ref="Q1184">_xlfn.IFS(
    AND(I1184=TRUE, K1184&lt;=No_Regular_Payments), Periodic_Admin_Charge,
   TRUE, 0
)</f>
        <v>0</v>
      </c>
      <c r="R1184" s="1850">
        <f>N1184-O1184-Q1184</f>
        <v>0</v>
      </c>
      <c r="S1184" s="1850">
        <f>ROUND(S1183-R1184,2)</f>
        <v>0</v>
      </c>
      <c r="T1184" s="1850">
        <f>ROUND(T1183-(N1184-Q1184),2)</f>
        <v>0</v>
      </c>
      <c r="U1184" s="1849"/>
      <c r="W1184" s="1848"/>
      <c r="X1184" s="1848"/>
      <c r="Y1184" s="1848"/>
    </row>
    <row r="1185" spans="2:25" hidden="1">
      <c r="B1185" s="1815" t="b">
        <f>AND(I1185=FALSE,N1184=0,Q1184=0,L1184="")</f>
        <v>1</v>
      </c>
      <c r="C1185" s="1844" t="str" cm="1">
        <f t="array" ref="C1185">_xlfn.IFS(
    L1185="", "",
    MONTH(L1185) &lt;= End_of_Year_Month, YEAR(L1185),
    TRUE, YEAR(L1185) + 1
)</f>
        <v/>
      </c>
      <c r="F1185" s="1857">
        <f>IF(L1185="",0,L1185)</f>
        <v>0</v>
      </c>
      <c r="G1185" s="1856">
        <f>-(N1185-Q1185)</f>
        <v>0</v>
      </c>
      <c r="I1185" s="1815" t="b">
        <f>K1185&lt;=Number_Payments</f>
        <v>0</v>
      </c>
      <c r="J1185" s="1855"/>
      <c r="K1185" s="1351">
        <f>K1184+1</f>
        <v>1059</v>
      </c>
      <c r="L1185" s="1854" t="str" cm="1">
        <f t="array" ref="L1185">_xlfn.IFS(
    I1184=FALSE, "",
    Payment_Frequency="Monthly", EDATE(L1184, 1),
    Payment_Frequency="Weekly", DATE(YEAR(L1184), MONTH(L1184), DAY(L1184) + 7),
    Payment_Frequency="Fortnightly", DATE(YEAR(L1184), MONTH(L1184), DAY(L1184) + 14),
    Payment_Frequency="Quarterly", DATE(YEAR(L1184), MONTH(L1184) + 3, DAY(L1184)),
    Payment_Frequency="Yearly", DATE(YEAR(L1184) + 1, MONTH(L1184), DAY(L1184)),
    TRUE, ""
)</f>
        <v/>
      </c>
      <c r="M1185" s="1853">
        <f>IF(ISERROR(L1185-L1184),0,L1185-L1184)</f>
        <v>0</v>
      </c>
      <c r="N1185" s="1851" cm="1">
        <f t="array" ref="N1185">_xlfn.IFS(
    AND(I1185=TRUE, K1185&lt;=No_Regular_Payments), Repay_Amt,
    AND(I1185=TRUE, K1185=No_Regular_Payments+1), Tm_Balloon_Amt,
   TRUE, 0
)</f>
        <v>0</v>
      </c>
      <c r="O1185" s="1850" cm="1">
        <f t="array" ref="O1185">_xlfn.IFS(
    M1185=0,0,
   ABS(N1185 - S1184 - P1185-Q1185) &lt; 1, N1185 - S1184-Q1185,
    TRUE, P1185
)</f>
        <v>0</v>
      </c>
      <c r="P1185" s="1852">
        <f>IF(M1185=0,0,ROUND(S1184*EXP(Int_Rate/365.25 * M1185)-S1184,2))</f>
        <v>0</v>
      </c>
      <c r="Q1185" s="1851" cm="1">
        <f t="array" ref="Q1185">_xlfn.IFS(
    AND(I1185=TRUE, K1185&lt;=No_Regular_Payments), Periodic_Admin_Charge,
   TRUE, 0
)</f>
        <v>0</v>
      </c>
      <c r="R1185" s="1850">
        <f>N1185-O1185-Q1185</f>
        <v>0</v>
      </c>
      <c r="S1185" s="1850">
        <f>ROUND(S1184-R1185,2)</f>
        <v>0</v>
      </c>
      <c r="T1185" s="1850">
        <f>ROUND(T1184-(N1185-Q1185),2)</f>
        <v>0</v>
      </c>
      <c r="U1185" s="1849"/>
      <c r="W1185" s="1848"/>
      <c r="X1185" s="1848"/>
      <c r="Y1185" s="1848"/>
    </row>
    <row r="1186" spans="2:25" hidden="1">
      <c r="B1186" s="1815" t="b">
        <f>AND(I1186=FALSE,N1185=0,Q1185=0,L1185="")</f>
        <v>1</v>
      </c>
      <c r="C1186" s="1844" t="str" cm="1">
        <f t="array" ref="C1186">_xlfn.IFS(
    L1186="", "",
    MONTH(L1186) &lt;= End_of_Year_Month, YEAR(L1186),
    TRUE, YEAR(L1186) + 1
)</f>
        <v/>
      </c>
      <c r="F1186" s="1857">
        <f>IF(L1186="",0,L1186)</f>
        <v>0</v>
      </c>
      <c r="G1186" s="1856">
        <f>-(N1186-Q1186)</f>
        <v>0</v>
      </c>
      <c r="I1186" s="1815" t="b">
        <f>K1186&lt;=Number_Payments</f>
        <v>0</v>
      </c>
      <c r="J1186" s="1855"/>
      <c r="K1186" s="1351">
        <f>K1185+1</f>
        <v>1060</v>
      </c>
      <c r="L1186" s="1854" t="str" cm="1">
        <f t="array" ref="L1186">_xlfn.IFS(
    I1185=FALSE, "",
    Payment_Frequency="Monthly", EDATE(L1185, 1),
    Payment_Frequency="Weekly", DATE(YEAR(L1185), MONTH(L1185), DAY(L1185) + 7),
    Payment_Frequency="Fortnightly", DATE(YEAR(L1185), MONTH(L1185), DAY(L1185) + 14),
    Payment_Frequency="Quarterly", DATE(YEAR(L1185), MONTH(L1185) + 3, DAY(L1185)),
    Payment_Frequency="Yearly", DATE(YEAR(L1185) + 1, MONTH(L1185), DAY(L1185)),
    TRUE, ""
)</f>
        <v/>
      </c>
      <c r="M1186" s="1853">
        <f>IF(ISERROR(L1186-L1185),0,L1186-L1185)</f>
        <v>0</v>
      </c>
      <c r="N1186" s="1851" cm="1">
        <f t="array" ref="N1186">_xlfn.IFS(
    AND(I1186=TRUE, K1186&lt;=No_Regular_Payments), Repay_Amt,
    AND(I1186=TRUE, K1186=No_Regular_Payments+1), Tm_Balloon_Amt,
   TRUE, 0
)</f>
        <v>0</v>
      </c>
      <c r="O1186" s="1850" cm="1">
        <f t="array" ref="O1186">_xlfn.IFS(
    M1186=0,0,
   ABS(N1186 - S1185 - P1186-Q1186) &lt; 1, N1186 - S1185-Q1186,
    TRUE, P1186
)</f>
        <v>0</v>
      </c>
      <c r="P1186" s="1852">
        <f>IF(M1186=0,0,ROUND(S1185*EXP(Int_Rate/365.25 * M1186)-S1185,2))</f>
        <v>0</v>
      </c>
      <c r="Q1186" s="1851" cm="1">
        <f t="array" ref="Q1186">_xlfn.IFS(
    AND(I1186=TRUE, K1186&lt;=No_Regular_Payments), Periodic_Admin_Charge,
   TRUE, 0
)</f>
        <v>0</v>
      </c>
      <c r="R1186" s="1850">
        <f>N1186-O1186-Q1186</f>
        <v>0</v>
      </c>
      <c r="S1186" s="1850">
        <f>ROUND(S1185-R1186,2)</f>
        <v>0</v>
      </c>
      <c r="T1186" s="1850">
        <f>ROUND(T1185-(N1186-Q1186),2)</f>
        <v>0</v>
      </c>
      <c r="U1186" s="1849"/>
      <c r="W1186" s="1848"/>
      <c r="X1186" s="1848"/>
      <c r="Y1186" s="1848"/>
    </row>
    <row r="1187" spans="2:25" hidden="1">
      <c r="B1187" s="1815" t="b">
        <f>AND(I1187=FALSE,N1186=0,Q1186=0,L1186="")</f>
        <v>1</v>
      </c>
      <c r="C1187" s="1844" t="str" cm="1">
        <f t="array" ref="C1187">_xlfn.IFS(
    L1187="", "",
    MONTH(L1187) &lt;= End_of_Year_Month, YEAR(L1187),
    TRUE, YEAR(L1187) + 1
)</f>
        <v/>
      </c>
      <c r="F1187" s="1857">
        <f>IF(L1187="",0,L1187)</f>
        <v>0</v>
      </c>
      <c r="G1187" s="1856">
        <f>-(N1187-Q1187)</f>
        <v>0</v>
      </c>
      <c r="I1187" s="1815" t="b">
        <f>K1187&lt;=Number_Payments</f>
        <v>0</v>
      </c>
      <c r="J1187" s="1855"/>
      <c r="K1187" s="1351">
        <f>K1186+1</f>
        <v>1061</v>
      </c>
      <c r="L1187" s="1854" t="str" cm="1">
        <f t="array" ref="L1187">_xlfn.IFS(
    I1186=FALSE, "",
    Payment_Frequency="Monthly", EDATE(L1186, 1),
    Payment_Frequency="Weekly", DATE(YEAR(L1186), MONTH(L1186), DAY(L1186) + 7),
    Payment_Frequency="Fortnightly", DATE(YEAR(L1186), MONTH(L1186), DAY(L1186) + 14),
    Payment_Frequency="Quarterly", DATE(YEAR(L1186), MONTH(L1186) + 3, DAY(L1186)),
    Payment_Frequency="Yearly", DATE(YEAR(L1186) + 1, MONTH(L1186), DAY(L1186)),
    TRUE, ""
)</f>
        <v/>
      </c>
      <c r="M1187" s="1853">
        <f>IF(ISERROR(L1187-L1186),0,L1187-L1186)</f>
        <v>0</v>
      </c>
      <c r="N1187" s="1851" cm="1">
        <f t="array" ref="N1187">_xlfn.IFS(
    AND(I1187=TRUE, K1187&lt;=No_Regular_Payments), Repay_Amt,
    AND(I1187=TRUE, K1187=No_Regular_Payments+1), Tm_Balloon_Amt,
   TRUE, 0
)</f>
        <v>0</v>
      </c>
      <c r="O1187" s="1850" cm="1">
        <f t="array" ref="O1187">_xlfn.IFS(
    M1187=0,0,
   ABS(N1187 - S1186 - P1187-Q1187) &lt; 1, N1187 - S1186-Q1187,
    TRUE, P1187
)</f>
        <v>0</v>
      </c>
      <c r="P1187" s="1852">
        <f>IF(M1187=0,0,ROUND(S1186*EXP(Int_Rate/365.25 * M1187)-S1186,2))</f>
        <v>0</v>
      </c>
      <c r="Q1187" s="1851" cm="1">
        <f t="array" ref="Q1187">_xlfn.IFS(
    AND(I1187=TRUE, K1187&lt;=No_Regular_Payments), Periodic_Admin_Charge,
   TRUE, 0
)</f>
        <v>0</v>
      </c>
      <c r="R1187" s="1850">
        <f>N1187-O1187-Q1187</f>
        <v>0</v>
      </c>
      <c r="S1187" s="1850">
        <f>ROUND(S1186-R1187,2)</f>
        <v>0</v>
      </c>
      <c r="T1187" s="1850">
        <f>ROUND(T1186-(N1187-Q1187),2)</f>
        <v>0</v>
      </c>
      <c r="U1187" s="1849"/>
      <c r="W1187" s="1848"/>
      <c r="X1187" s="1848"/>
      <c r="Y1187" s="1848"/>
    </row>
    <row r="1188" spans="2:25" hidden="1">
      <c r="B1188" s="1815" t="b">
        <f>AND(I1188=FALSE,N1187=0,Q1187=0,L1187="")</f>
        <v>1</v>
      </c>
      <c r="C1188" s="1844" t="str" cm="1">
        <f t="array" ref="C1188">_xlfn.IFS(
    L1188="", "",
    MONTH(L1188) &lt;= End_of_Year_Month, YEAR(L1188),
    TRUE, YEAR(L1188) + 1
)</f>
        <v/>
      </c>
      <c r="F1188" s="1857">
        <f>IF(L1188="",0,L1188)</f>
        <v>0</v>
      </c>
      <c r="G1188" s="1856">
        <f>-(N1188-Q1188)</f>
        <v>0</v>
      </c>
      <c r="I1188" s="1815" t="b">
        <f>K1188&lt;=Number_Payments</f>
        <v>0</v>
      </c>
      <c r="J1188" s="1855"/>
      <c r="K1188" s="1351">
        <f>K1187+1</f>
        <v>1062</v>
      </c>
      <c r="L1188" s="1854" t="str" cm="1">
        <f t="array" ref="L1188">_xlfn.IFS(
    I1187=FALSE, "",
    Payment_Frequency="Monthly", EDATE(L1187, 1),
    Payment_Frequency="Weekly", DATE(YEAR(L1187), MONTH(L1187), DAY(L1187) + 7),
    Payment_Frequency="Fortnightly", DATE(YEAR(L1187), MONTH(L1187), DAY(L1187) + 14),
    Payment_Frequency="Quarterly", DATE(YEAR(L1187), MONTH(L1187) + 3, DAY(L1187)),
    Payment_Frequency="Yearly", DATE(YEAR(L1187) + 1, MONTH(L1187), DAY(L1187)),
    TRUE, ""
)</f>
        <v/>
      </c>
      <c r="M1188" s="1853">
        <f>IF(ISERROR(L1188-L1187),0,L1188-L1187)</f>
        <v>0</v>
      </c>
      <c r="N1188" s="1851" cm="1">
        <f t="array" ref="N1188">_xlfn.IFS(
    AND(I1188=TRUE, K1188&lt;=No_Regular_Payments), Repay_Amt,
    AND(I1188=TRUE, K1188=No_Regular_Payments+1), Tm_Balloon_Amt,
   TRUE, 0
)</f>
        <v>0</v>
      </c>
      <c r="O1188" s="1850" cm="1">
        <f t="array" ref="O1188">_xlfn.IFS(
    M1188=0,0,
   ABS(N1188 - S1187 - P1188-Q1188) &lt; 1, N1188 - S1187-Q1188,
    TRUE, P1188
)</f>
        <v>0</v>
      </c>
      <c r="P1188" s="1852">
        <f>IF(M1188=0,0,ROUND(S1187*EXP(Int_Rate/365.25 * M1188)-S1187,2))</f>
        <v>0</v>
      </c>
      <c r="Q1188" s="1851" cm="1">
        <f t="array" ref="Q1188">_xlfn.IFS(
    AND(I1188=TRUE, K1188&lt;=No_Regular_Payments), Periodic_Admin_Charge,
   TRUE, 0
)</f>
        <v>0</v>
      </c>
      <c r="R1188" s="1850">
        <f>N1188-O1188-Q1188</f>
        <v>0</v>
      </c>
      <c r="S1188" s="1850">
        <f>ROUND(S1187-R1188,2)</f>
        <v>0</v>
      </c>
      <c r="T1188" s="1850">
        <f>ROUND(T1187-(N1188-Q1188),2)</f>
        <v>0</v>
      </c>
      <c r="U1188" s="1849"/>
      <c r="W1188" s="1848"/>
      <c r="X1188" s="1848"/>
      <c r="Y1188" s="1848"/>
    </row>
    <row r="1189" spans="2:25" hidden="1">
      <c r="B1189" s="1815" t="b">
        <f>AND(I1189=FALSE,N1188=0,Q1188=0,L1188="")</f>
        <v>1</v>
      </c>
      <c r="C1189" s="1844" t="str" cm="1">
        <f t="array" ref="C1189">_xlfn.IFS(
    L1189="", "",
    MONTH(L1189) &lt;= End_of_Year_Month, YEAR(L1189),
    TRUE, YEAR(L1189) + 1
)</f>
        <v/>
      </c>
      <c r="F1189" s="1857">
        <f>IF(L1189="",0,L1189)</f>
        <v>0</v>
      </c>
      <c r="G1189" s="1856">
        <f>-(N1189-Q1189)</f>
        <v>0</v>
      </c>
      <c r="I1189" s="1815" t="b">
        <f>K1189&lt;=Number_Payments</f>
        <v>0</v>
      </c>
      <c r="J1189" s="1855"/>
      <c r="K1189" s="1351">
        <f>K1188+1</f>
        <v>1063</v>
      </c>
      <c r="L1189" s="1854" t="str" cm="1">
        <f t="array" ref="L1189">_xlfn.IFS(
    I1188=FALSE, "",
    Payment_Frequency="Monthly", EDATE(L1188, 1),
    Payment_Frequency="Weekly", DATE(YEAR(L1188), MONTH(L1188), DAY(L1188) + 7),
    Payment_Frequency="Fortnightly", DATE(YEAR(L1188), MONTH(L1188), DAY(L1188) + 14),
    Payment_Frequency="Quarterly", DATE(YEAR(L1188), MONTH(L1188) + 3, DAY(L1188)),
    Payment_Frequency="Yearly", DATE(YEAR(L1188) + 1, MONTH(L1188), DAY(L1188)),
    TRUE, ""
)</f>
        <v/>
      </c>
      <c r="M1189" s="1853">
        <f>IF(ISERROR(L1189-L1188),0,L1189-L1188)</f>
        <v>0</v>
      </c>
      <c r="N1189" s="1851" cm="1">
        <f t="array" ref="N1189">_xlfn.IFS(
    AND(I1189=TRUE, K1189&lt;=No_Regular_Payments), Repay_Amt,
    AND(I1189=TRUE, K1189=No_Regular_Payments+1), Tm_Balloon_Amt,
   TRUE, 0
)</f>
        <v>0</v>
      </c>
      <c r="O1189" s="1850" cm="1">
        <f t="array" ref="O1189">_xlfn.IFS(
    M1189=0,0,
   ABS(N1189 - S1188 - P1189-Q1189) &lt; 1, N1189 - S1188-Q1189,
    TRUE, P1189
)</f>
        <v>0</v>
      </c>
      <c r="P1189" s="1852">
        <f>IF(M1189=0,0,ROUND(S1188*EXP(Int_Rate/365.25 * M1189)-S1188,2))</f>
        <v>0</v>
      </c>
      <c r="Q1189" s="1851" cm="1">
        <f t="array" ref="Q1189">_xlfn.IFS(
    AND(I1189=TRUE, K1189&lt;=No_Regular_Payments), Periodic_Admin_Charge,
   TRUE, 0
)</f>
        <v>0</v>
      </c>
      <c r="R1189" s="1850">
        <f>N1189-O1189-Q1189</f>
        <v>0</v>
      </c>
      <c r="S1189" s="1850">
        <f>ROUND(S1188-R1189,2)</f>
        <v>0</v>
      </c>
      <c r="T1189" s="1850">
        <f>ROUND(T1188-(N1189-Q1189),2)</f>
        <v>0</v>
      </c>
      <c r="U1189" s="1849"/>
      <c r="W1189" s="1848"/>
      <c r="X1189" s="1848"/>
      <c r="Y1189" s="1848"/>
    </row>
    <row r="1190" spans="2:25" hidden="1">
      <c r="B1190" s="1815" t="b">
        <f>AND(I1190=FALSE,N1189=0,Q1189=0,L1189="")</f>
        <v>1</v>
      </c>
      <c r="C1190" s="1844" t="str" cm="1">
        <f t="array" ref="C1190">_xlfn.IFS(
    L1190="", "",
    MONTH(L1190) &lt;= End_of_Year_Month, YEAR(L1190),
    TRUE, YEAR(L1190) + 1
)</f>
        <v/>
      </c>
      <c r="F1190" s="1857">
        <f>IF(L1190="",0,L1190)</f>
        <v>0</v>
      </c>
      <c r="G1190" s="1856">
        <f>-(N1190-Q1190)</f>
        <v>0</v>
      </c>
      <c r="I1190" s="1815" t="b">
        <f>K1190&lt;=Number_Payments</f>
        <v>0</v>
      </c>
      <c r="J1190" s="1855"/>
      <c r="K1190" s="1351">
        <f>K1189+1</f>
        <v>1064</v>
      </c>
      <c r="L1190" s="1854" t="str" cm="1">
        <f t="array" ref="L1190">_xlfn.IFS(
    I1189=FALSE, "",
    Payment_Frequency="Monthly", EDATE(L1189, 1),
    Payment_Frequency="Weekly", DATE(YEAR(L1189), MONTH(L1189), DAY(L1189) + 7),
    Payment_Frequency="Fortnightly", DATE(YEAR(L1189), MONTH(L1189), DAY(L1189) + 14),
    Payment_Frequency="Quarterly", DATE(YEAR(L1189), MONTH(L1189) + 3, DAY(L1189)),
    Payment_Frequency="Yearly", DATE(YEAR(L1189) + 1, MONTH(L1189), DAY(L1189)),
    TRUE, ""
)</f>
        <v/>
      </c>
      <c r="M1190" s="1853">
        <f>IF(ISERROR(L1190-L1189),0,L1190-L1189)</f>
        <v>0</v>
      </c>
      <c r="N1190" s="1851" cm="1">
        <f t="array" ref="N1190">_xlfn.IFS(
    AND(I1190=TRUE, K1190&lt;=No_Regular_Payments), Repay_Amt,
    AND(I1190=TRUE, K1190=No_Regular_Payments+1), Tm_Balloon_Amt,
   TRUE, 0
)</f>
        <v>0</v>
      </c>
      <c r="O1190" s="1850" cm="1">
        <f t="array" ref="O1190">_xlfn.IFS(
    M1190=0,0,
   ABS(N1190 - S1189 - P1190-Q1190) &lt; 1, N1190 - S1189-Q1190,
    TRUE, P1190
)</f>
        <v>0</v>
      </c>
      <c r="P1190" s="1852">
        <f>IF(M1190=0,0,ROUND(S1189*EXP(Int_Rate/365.25 * M1190)-S1189,2))</f>
        <v>0</v>
      </c>
      <c r="Q1190" s="1851" cm="1">
        <f t="array" ref="Q1190">_xlfn.IFS(
    AND(I1190=TRUE, K1190&lt;=No_Regular_Payments), Periodic_Admin_Charge,
   TRUE, 0
)</f>
        <v>0</v>
      </c>
      <c r="R1190" s="1850">
        <f>N1190-O1190-Q1190</f>
        <v>0</v>
      </c>
      <c r="S1190" s="1850">
        <f>ROUND(S1189-R1190,2)</f>
        <v>0</v>
      </c>
      <c r="T1190" s="1850">
        <f>ROUND(T1189-(N1190-Q1190),2)</f>
        <v>0</v>
      </c>
      <c r="U1190" s="1849"/>
      <c r="W1190" s="1848"/>
      <c r="X1190" s="1848"/>
      <c r="Y1190" s="1848"/>
    </row>
    <row r="1191" spans="2:25" hidden="1">
      <c r="B1191" s="1815" t="b">
        <f>AND(I1191=FALSE,N1190=0,Q1190=0,L1190="")</f>
        <v>1</v>
      </c>
      <c r="C1191" s="1844" t="str" cm="1">
        <f t="array" ref="C1191">_xlfn.IFS(
    L1191="", "",
    MONTH(L1191) &lt;= End_of_Year_Month, YEAR(L1191),
    TRUE, YEAR(L1191) + 1
)</f>
        <v/>
      </c>
      <c r="F1191" s="1857">
        <f>IF(L1191="",0,L1191)</f>
        <v>0</v>
      </c>
      <c r="G1191" s="1856">
        <f>-(N1191-Q1191)</f>
        <v>0</v>
      </c>
      <c r="I1191" s="1815" t="b">
        <f>K1191&lt;=Number_Payments</f>
        <v>0</v>
      </c>
      <c r="J1191" s="1855"/>
      <c r="K1191" s="1351">
        <f>K1190+1</f>
        <v>1065</v>
      </c>
      <c r="L1191" s="1854" t="str" cm="1">
        <f t="array" ref="L1191">_xlfn.IFS(
    I1190=FALSE, "",
    Payment_Frequency="Monthly", EDATE(L1190, 1),
    Payment_Frequency="Weekly", DATE(YEAR(L1190), MONTH(L1190), DAY(L1190) + 7),
    Payment_Frequency="Fortnightly", DATE(YEAR(L1190), MONTH(L1190), DAY(L1190) + 14),
    Payment_Frequency="Quarterly", DATE(YEAR(L1190), MONTH(L1190) + 3, DAY(L1190)),
    Payment_Frequency="Yearly", DATE(YEAR(L1190) + 1, MONTH(L1190), DAY(L1190)),
    TRUE, ""
)</f>
        <v/>
      </c>
      <c r="M1191" s="1853">
        <f>IF(ISERROR(L1191-L1190),0,L1191-L1190)</f>
        <v>0</v>
      </c>
      <c r="N1191" s="1851" cm="1">
        <f t="array" ref="N1191">_xlfn.IFS(
    AND(I1191=TRUE, K1191&lt;=No_Regular_Payments), Repay_Amt,
    AND(I1191=TRUE, K1191=No_Regular_Payments+1), Tm_Balloon_Amt,
   TRUE, 0
)</f>
        <v>0</v>
      </c>
      <c r="O1191" s="1850" cm="1">
        <f t="array" ref="O1191">_xlfn.IFS(
    M1191=0,0,
   ABS(N1191 - S1190 - P1191-Q1191) &lt; 1, N1191 - S1190-Q1191,
    TRUE, P1191
)</f>
        <v>0</v>
      </c>
      <c r="P1191" s="1852">
        <f>IF(M1191=0,0,ROUND(S1190*EXP(Int_Rate/365.25 * M1191)-S1190,2))</f>
        <v>0</v>
      </c>
      <c r="Q1191" s="1851" cm="1">
        <f t="array" ref="Q1191">_xlfn.IFS(
    AND(I1191=TRUE, K1191&lt;=No_Regular_Payments), Periodic_Admin_Charge,
   TRUE, 0
)</f>
        <v>0</v>
      </c>
      <c r="R1191" s="1850">
        <f>N1191-O1191-Q1191</f>
        <v>0</v>
      </c>
      <c r="S1191" s="1850">
        <f>ROUND(S1190-R1191,2)</f>
        <v>0</v>
      </c>
      <c r="T1191" s="1850">
        <f>ROUND(T1190-(N1191-Q1191),2)</f>
        <v>0</v>
      </c>
      <c r="U1191" s="1849"/>
      <c r="W1191" s="1848"/>
      <c r="X1191" s="1848"/>
      <c r="Y1191" s="1848"/>
    </row>
    <row r="1192" spans="2:25" hidden="1">
      <c r="B1192" s="1815" t="b">
        <f>AND(I1192=FALSE,N1191=0,Q1191=0,L1191="")</f>
        <v>1</v>
      </c>
      <c r="C1192" s="1844" t="str" cm="1">
        <f t="array" ref="C1192">_xlfn.IFS(
    L1192="", "",
    MONTH(L1192) &lt;= End_of_Year_Month, YEAR(L1192),
    TRUE, YEAR(L1192) + 1
)</f>
        <v/>
      </c>
      <c r="F1192" s="1857">
        <f>IF(L1192="",0,L1192)</f>
        <v>0</v>
      </c>
      <c r="G1192" s="1856">
        <f>-(N1192-Q1192)</f>
        <v>0</v>
      </c>
      <c r="I1192" s="1815" t="b">
        <f>K1192&lt;=Number_Payments</f>
        <v>0</v>
      </c>
      <c r="J1192" s="1855"/>
      <c r="K1192" s="1351">
        <f>K1191+1</f>
        <v>1066</v>
      </c>
      <c r="L1192" s="1854" t="str" cm="1">
        <f t="array" ref="L1192">_xlfn.IFS(
    I1191=FALSE, "",
    Payment_Frequency="Monthly", EDATE(L1191, 1),
    Payment_Frequency="Weekly", DATE(YEAR(L1191), MONTH(L1191), DAY(L1191) + 7),
    Payment_Frequency="Fortnightly", DATE(YEAR(L1191), MONTH(L1191), DAY(L1191) + 14),
    Payment_Frequency="Quarterly", DATE(YEAR(L1191), MONTH(L1191) + 3, DAY(L1191)),
    Payment_Frequency="Yearly", DATE(YEAR(L1191) + 1, MONTH(L1191), DAY(L1191)),
    TRUE, ""
)</f>
        <v/>
      </c>
      <c r="M1192" s="1853">
        <f>IF(ISERROR(L1192-L1191),0,L1192-L1191)</f>
        <v>0</v>
      </c>
      <c r="N1192" s="1851" cm="1">
        <f t="array" ref="N1192">_xlfn.IFS(
    AND(I1192=TRUE, K1192&lt;=No_Regular_Payments), Repay_Amt,
    AND(I1192=TRUE, K1192=No_Regular_Payments+1), Tm_Balloon_Amt,
   TRUE, 0
)</f>
        <v>0</v>
      </c>
      <c r="O1192" s="1850" cm="1">
        <f t="array" ref="O1192">_xlfn.IFS(
    M1192=0,0,
   ABS(N1192 - S1191 - P1192-Q1192) &lt; 1, N1192 - S1191-Q1192,
    TRUE, P1192
)</f>
        <v>0</v>
      </c>
      <c r="P1192" s="1852">
        <f>IF(M1192=0,0,ROUND(S1191*EXP(Int_Rate/365.25 * M1192)-S1191,2))</f>
        <v>0</v>
      </c>
      <c r="Q1192" s="1851" cm="1">
        <f t="array" ref="Q1192">_xlfn.IFS(
    AND(I1192=TRUE, K1192&lt;=No_Regular_Payments), Periodic_Admin_Charge,
   TRUE, 0
)</f>
        <v>0</v>
      </c>
      <c r="R1192" s="1850">
        <f>N1192-O1192-Q1192</f>
        <v>0</v>
      </c>
      <c r="S1192" s="1850">
        <f>ROUND(S1191-R1192,2)</f>
        <v>0</v>
      </c>
      <c r="T1192" s="1850">
        <f>ROUND(T1191-(N1192-Q1192),2)</f>
        <v>0</v>
      </c>
      <c r="U1192" s="1849"/>
      <c r="W1192" s="1848"/>
      <c r="X1192" s="1848"/>
      <c r="Y1192" s="1848"/>
    </row>
    <row r="1193" spans="2:25" hidden="1">
      <c r="B1193" s="1815" t="b">
        <f>AND(I1193=FALSE,N1192=0,Q1192=0,L1192="")</f>
        <v>1</v>
      </c>
      <c r="C1193" s="1844" t="str" cm="1">
        <f t="array" ref="C1193">_xlfn.IFS(
    L1193="", "",
    MONTH(L1193) &lt;= End_of_Year_Month, YEAR(L1193),
    TRUE, YEAR(L1193) + 1
)</f>
        <v/>
      </c>
      <c r="F1193" s="1857">
        <f>IF(L1193="",0,L1193)</f>
        <v>0</v>
      </c>
      <c r="G1193" s="1856">
        <f>-(N1193-Q1193)</f>
        <v>0</v>
      </c>
      <c r="I1193" s="1815" t="b">
        <f>K1193&lt;=Number_Payments</f>
        <v>0</v>
      </c>
      <c r="J1193" s="1855"/>
      <c r="K1193" s="1351">
        <f>K1192+1</f>
        <v>1067</v>
      </c>
      <c r="L1193" s="1854" t="str" cm="1">
        <f t="array" ref="L1193">_xlfn.IFS(
    I1192=FALSE, "",
    Payment_Frequency="Monthly", EDATE(L1192, 1),
    Payment_Frequency="Weekly", DATE(YEAR(L1192), MONTH(L1192), DAY(L1192) + 7),
    Payment_Frequency="Fortnightly", DATE(YEAR(L1192), MONTH(L1192), DAY(L1192) + 14),
    Payment_Frequency="Quarterly", DATE(YEAR(L1192), MONTH(L1192) + 3, DAY(L1192)),
    Payment_Frequency="Yearly", DATE(YEAR(L1192) + 1, MONTH(L1192), DAY(L1192)),
    TRUE, ""
)</f>
        <v/>
      </c>
      <c r="M1193" s="1853">
        <f>IF(ISERROR(L1193-L1192),0,L1193-L1192)</f>
        <v>0</v>
      </c>
      <c r="N1193" s="1851" cm="1">
        <f t="array" ref="N1193">_xlfn.IFS(
    AND(I1193=TRUE, K1193&lt;=No_Regular_Payments), Repay_Amt,
    AND(I1193=TRUE, K1193=No_Regular_Payments+1), Tm_Balloon_Amt,
   TRUE, 0
)</f>
        <v>0</v>
      </c>
      <c r="O1193" s="1850" cm="1">
        <f t="array" ref="O1193">_xlfn.IFS(
    M1193=0,0,
   ABS(N1193 - S1192 - P1193-Q1193) &lt; 1, N1193 - S1192-Q1193,
    TRUE, P1193
)</f>
        <v>0</v>
      </c>
      <c r="P1193" s="1852">
        <f>IF(M1193=0,0,ROUND(S1192*EXP(Int_Rate/365.25 * M1193)-S1192,2))</f>
        <v>0</v>
      </c>
      <c r="Q1193" s="1851" cm="1">
        <f t="array" ref="Q1193">_xlfn.IFS(
    AND(I1193=TRUE, K1193&lt;=No_Regular_Payments), Periodic_Admin_Charge,
   TRUE, 0
)</f>
        <v>0</v>
      </c>
      <c r="R1193" s="1850">
        <f>N1193-O1193-Q1193</f>
        <v>0</v>
      </c>
      <c r="S1193" s="1850">
        <f>ROUND(S1192-R1193,2)</f>
        <v>0</v>
      </c>
      <c r="T1193" s="1850">
        <f>ROUND(T1192-(N1193-Q1193),2)</f>
        <v>0</v>
      </c>
      <c r="U1193" s="1849"/>
      <c r="W1193" s="1848"/>
      <c r="X1193" s="1848"/>
      <c r="Y1193" s="1848"/>
    </row>
    <row r="1194" spans="2:25" hidden="1">
      <c r="B1194" s="1815" t="b">
        <f>AND(I1194=FALSE,N1193=0,Q1193=0,L1193="")</f>
        <v>1</v>
      </c>
      <c r="C1194" s="1844" t="str" cm="1">
        <f t="array" ref="C1194">_xlfn.IFS(
    L1194="", "",
    MONTH(L1194) &lt;= End_of_Year_Month, YEAR(L1194),
    TRUE, YEAR(L1194) + 1
)</f>
        <v/>
      </c>
      <c r="F1194" s="1857">
        <f>IF(L1194="",0,L1194)</f>
        <v>0</v>
      </c>
      <c r="G1194" s="1856">
        <f>-(N1194-Q1194)</f>
        <v>0</v>
      </c>
      <c r="I1194" s="1815" t="b">
        <f>K1194&lt;=Number_Payments</f>
        <v>0</v>
      </c>
      <c r="J1194" s="1855"/>
      <c r="K1194" s="1351">
        <f>K1193+1</f>
        <v>1068</v>
      </c>
      <c r="L1194" s="1854" t="str" cm="1">
        <f t="array" ref="L1194">_xlfn.IFS(
    I1193=FALSE, "",
    Payment_Frequency="Monthly", EDATE(L1193, 1),
    Payment_Frequency="Weekly", DATE(YEAR(L1193), MONTH(L1193), DAY(L1193) + 7),
    Payment_Frequency="Fortnightly", DATE(YEAR(L1193), MONTH(L1193), DAY(L1193) + 14),
    Payment_Frequency="Quarterly", DATE(YEAR(L1193), MONTH(L1193) + 3, DAY(L1193)),
    Payment_Frequency="Yearly", DATE(YEAR(L1193) + 1, MONTH(L1193), DAY(L1193)),
    TRUE, ""
)</f>
        <v/>
      </c>
      <c r="M1194" s="1853">
        <f>IF(ISERROR(L1194-L1193),0,L1194-L1193)</f>
        <v>0</v>
      </c>
      <c r="N1194" s="1851" cm="1">
        <f t="array" ref="N1194">_xlfn.IFS(
    AND(I1194=TRUE, K1194&lt;=No_Regular_Payments), Repay_Amt,
    AND(I1194=TRUE, K1194=No_Regular_Payments+1), Tm_Balloon_Amt,
   TRUE, 0
)</f>
        <v>0</v>
      </c>
      <c r="O1194" s="1850" cm="1">
        <f t="array" ref="O1194">_xlfn.IFS(
    M1194=0,0,
   ABS(N1194 - S1193 - P1194-Q1194) &lt; 1, N1194 - S1193-Q1194,
    TRUE, P1194
)</f>
        <v>0</v>
      </c>
      <c r="P1194" s="1852">
        <f>IF(M1194=0,0,ROUND(S1193*EXP(Int_Rate/365.25 * M1194)-S1193,2))</f>
        <v>0</v>
      </c>
      <c r="Q1194" s="1851" cm="1">
        <f t="array" ref="Q1194">_xlfn.IFS(
    AND(I1194=TRUE, K1194&lt;=No_Regular_Payments), Periodic_Admin_Charge,
   TRUE, 0
)</f>
        <v>0</v>
      </c>
      <c r="R1194" s="1850">
        <f>N1194-O1194-Q1194</f>
        <v>0</v>
      </c>
      <c r="S1194" s="1850">
        <f>ROUND(S1193-R1194,2)</f>
        <v>0</v>
      </c>
      <c r="T1194" s="1850">
        <f>ROUND(T1193-(N1194-Q1194),2)</f>
        <v>0</v>
      </c>
      <c r="U1194" s="1849"/>
      <c r="W1194" s="1848"/>
      <c r="X1194" s="1848"/>
      <c r="Y1194" s="1848"/>
    </row>
    <row r="1195" spans="2:25" hidden="1">
      <c r="B1195" s="1815" t="b">
        <f>AND(I1195=FALSE,N1194=0,Q1194=0,L1194="")</f>
        <v>1</v>
      </c>
      <c r="C1195" s="1844" t="str" cm="1">
        <f t="array" ref="C1195">_xlfn.IFS(
    L1195="", "",
    MONTH(L1195) &lt;= End_of_Year_Month, YEAR(L1195),
    TRUE, YEAR(L1195) + 1
)</f>
        <v/>
      </c>
      <c r="F1195" s="1857">
        <f>IF(L1195="",0,L1195)</f>
        <v>0</v>
      </c>
      <c r="G1195" s="1856">
        <f>-(N1195-Q1195)</f>
        <v>0</v>
      </c>
      <c r="I1195" s="1815" t="b">
        <f>K1195&lt;=Number_Payments</f>
        <v>0</v>
      </c>
      <c r="J1195" s="1855"/>
      <c r="K1195" s="1351">
        <f>K1194+1</f>
        <v>1069</v>
      </c>
      <c r="L1195" s="1854" t="str" cm="1">
        <f t="array" ref="L1195">_xlfn.IFS(
    I1194=FALSE, "",
    Payment_Frequency="Monthly", EDATE(L1194, 1),
    Payment_Frequency="Weekly", DATE(YEAR(L1194), MONTH(L1194), DAY(L1194) + 7),
    Payment_Frequency="Fortnightly", DATE(YEAR(L1194), MONTH(L1194), DAY(L1194) + 14),
    Payment_Frequency="Quarterly", DATE(YEAR(L1194), MONTH(L1194) + 3, DAY(L1194)),
    Payment_Frequency="Yearly", DATE(YEAR(L1194) + 1, MONTH(L1194), DAY(L1194)),
    TRUE, ""
)</f>
        <v/>
      </c>
      <c r="M1195" s="1853">
        <f>IF(ISERROR(L1195-L1194),0,L1195-L1194)</f>
        <v>0</v>
      </c>
      <c r="N1195" s="1851" cm="1">
        <f t="array" ref="N1195">_xlfn.IFS(
    AND(I1195=TRUE, K1195&lt;=No_Regular_Payments), Repay_Amt,
    AND(I1195=TRUE, K1195=No_Regular_Payments+1), Tm_Balloon_Amt,
   TRUE, 0
)</f>
        <v>0</v>
      </c>
      <c r="O1195" s="1850" cm="1">
        <f t="array" ref="O1195">_xlfn.IFS(
    M1195=0,0,
   ABS(N1195 - S1194 - P1195-Q1195) &lt; 1, N1195 - S1194-Q1195,
    TRUE, P1195
)</f>
        <v>0</v>
      </c>
      <c r="P1195" s="1852">
        <f>IF(M1195=0,0,ROUND(S1194*EXP(Int_Rate/365.25 * M1195)-S1194,2))</f>
        <v>0</v>
      </c>
      <c r="Q1195" s="1851" cm="1">
        <f t="array" ref="Q1195">_xlfn.IFS(
    AND(I1195=TRUE, K1195&lt;=No_Regular_Payments), Periodic_Admin_Charge,
   TRUE, 0
)</f>
        <v>0</v>
      </c>
      <c r="R1195" s="1850">
        <f>N1195-O1195-Q1195</f>
        <v>0</v>
      </c>
      <c r="S1195" s="1850">
        <f>ROUND(S1194-R1195,2)</f>
        <v>0</v>
      </c>
      <c r="T1195" s="1850">
        <f>ROUND(T1194-(N1195-Q1195),2)</f>
        <v>0</v>
      </c>
      <c r="U1195" s="1849"/>
      <c r="W1195" s="1848"/>
      <c r="X1195" s="1848"/>
      <c r="Y1195" s="1848"/>
    </row>
    <row r="1196" spans="2:25" hidden="1">
      <c r="B1196" s="1815" t="b">
        <f>AND(I1196=FALSE,N1195=0,Q1195=0,L1195="")</f>
        <v>1</v>
      </c>
      <c r="C1196" s="1844" t="str" cm="1">
        <f t="array" ref="C1196">_xlfn.IFS(
    L1196="", "",
    MONTH(L1196) &lt;= End_of_Year_Month, YEAR(L1196),
    TRUE, YEAR(L1196) + 1
)</f>
        <v/>
      </c>
      <c r="F1196" s="1857">
        <f>IF(L1196="",0,L1196)</f>
        <v>0</v>
      </c>
      <c r="G1196" s="1856">
        <f>-(N1196-Q1196)</f>
        <v>0</v>
      </c>
      <c r="I1196" s="1815" t="b">
        <f>K1196&lt;=Number_Payments</f>
        <v>0</v>
      </c>
      <c r="J1196" s="1855"/>
      <c r="K1196" s="1351">
        <f>K1195+1</f>
        <v>1070</v>
      </c>
      <c r="L1196" s="1854" t="str" cm="1">
        <f t="array" ref="L1196">_xlfn.IFS(
    I1195=FALSE, "",
    Payment_Frequency="Monthly", EDATE(L1195, 1),
    Payment_Frequency="Weekly", DATE(YEAR(L1195), MONTH(L1195), DAY(L1195) + 7),
    Payment_Frequency="Fortnightly", DATE(YEAR(L1195), MONTH(L1195), DAY(L1195) + 14),
    Payment_Frequency="Quarterly", DATE(YEAR(L1195), MONTH(L1195) + 3, DAY(L1195)),
    Payment_Frequency="Yearly", DATE(YEAR(L1195) + 1, MONTH(L1195), DAY(L1195)),
    TRUE, ""
)</f>
        <v/>
      </c>
      <c r="M1196" s="1853">
        <f>IF(ISERROR(L1196-L1195),0,L1196-L1195)</f>
        <v>0</v>
      </c>
      <c r="N1196" s="1851" cm="1">
        <f t="array" ref="N1196">_xlfn.IFS(
    AND(I1196=TRUE, K1196&lt;=No_Regular_Payments), Repay_Amt,
    AND(I1196=TRUE, K1196=No_Regular_Payments+1), Tm_Balloon_Amt,
   TRUE, 0
)</f>
        <v>0</v>
      </c>
      <c r="O1196" s="1850" cm="1">
        <f t="array" ref="O1196">_xlfn.IFS(
    M1196=0,0,
   ABS(N1196 - S1195 - P1196-Q1196) &lt; 1, N1196 - S1195-Q1196,
    TRUE, P1196
)</f>
        <v>0</v>
      </c>
      <c r="P1196" s="1852">
        <f>IF(M1196=0,0,ROUND(S1195*EXP(Int_Rate/365.25 * M1196)-S1195,2))</f>
        <v>0</v>
      </c>
      <c r="Q1196" s="1851" cm="1">
        <f t="array" ref="Q1196">_xlfn.IFS(
    AND(I1196=TRUE, K1196&lt;=No_Regular_Payments), Periodic_Admin_Charge,
   TRUE, 0
)</f>
        <v>0</v>
      </c>
      <c r="R1196" s="1850">
        <f>N1196-O1196-Q1196</f>
        <v>0</v>
      </c>
      <c r="S1196" s="1850">
        <f>ROUND(S1195-R1196,2)</f>
        <v>0</v>
      </c>
      <c r="T1196" s="1850">
        <f>ROUND(T1195-(N1196-Q1196),2)</f>
        <v>0</v>
      </c>
      <c r="U1196" s="1849"/>
      <c r="W1196" s="1848"/>
      <c r="X1196" s="1848"/>
      <c r="Y1196" s="1848"/>
    </row>
    <row r="1197" spans="2:25" hidden="1">
      <c r="B1197" s="1815" t="b">
        <f>AND(I1197=FALSE,N1196=0,Q1196=0,L1196="")</f>
        <v>1</v>
      </c>
      <c r="C1197" s="1844" t="str" cm="1">
        <f t="array" ref="C1197">_xlfn.IFS(
    L1197="", "",
    MONTH(L1197) &lt;= End_of_Year_Month, YEAR(L1197),
    TRUE, YEAR(L1197) + 1
)</f>
        <v/>
      </c>
      <c r="F1197" s="1857">
        <f>IF(L1197="",0,L1197)</f>
        <v>0</v>
      </c>
      <c r="G1197" s="1856">
        <f>-(N1197-Q1197)</f>
        <v>0</v>
      </c>
      <c r="I1197" s="1815" t="b">
        <f>K1197&lt;=Number_Payments</f>
        <v>0</v>
      </c>
      <c r="J1197" s="1855"/>
      <c r="K1197" s="1351">
        <f>K1196+1</f>
        <v>1071</v>
      </c>
      <c r="L1197" s="1854" t="str" cm="1">
        <f t="array" ref="L1197">_xlfn.IFS(
    I1196=FALSE, "",
    Payment_Frequency="Monthly", EDATE(L1196, 1),
    Payment_Frequency="Weekly", DATE(YEAR(L1196), MONTH(L1196), DAY(L1196) + 7),
    Payment_Frequency="Fortnightly", DATE(YEAR(L1196), MONTH(L1196), DAY(L1196) + 14),
    Payment_Frequency="Quarterly", DATE(YEAR(L1196), MONTH(L1196) + 3, DAY(L1196)),
    Payment_Frequency="Yearly", DATE(YEAR(L1196) + 1, MONTH(L1196), DAY(L1196)),
    TRUE, ""
)</f>
        <v/>
      </c>
      <c r="M1197" s="1853">
        <f>IF(ISERROR(L1197-L1196),0,L1197-L1196)</f>
        <v>0</v>
      </c>
      <c r="N1197" s="1851" cm="1">
        <f t="array" ref="N1197">_xlfn.IFS(
    AND(I1197=TRUE, K1197&lt;=No_Regular_Payments), Repay_Amt,
    AND(I1197=TRUE, K1197=No_Regular_Payments+1), Tm_Balloon_Amt,
   TRUE, 0
)</f>
        <v>0</v>
      </c>
      <c r="O1197" s="1850" cm="1">
        <f t="array" ref="O1197">_xlfn.IFS(
    M1197=0,0,
   ABS(N1197 - S1196 - P1197-Q1197) &lt; 1, N1197 - S1196-Q1197,
    TRUE, P1197
)</f>
        <v>0</v>
      </c>
      <c r="P1197" s="1852">
        <f>IF(M1197=0,0,ROUND(S1196*EXP(Int_Rate/365.25 * M1197)-S1196,2))</f>
        <v>0</v>
      </c>
      <c r="Q1197" s="1851" cm="1">
        <f t="array" ref="Q1197">_xlfn.IFS(
    AND(I1197=TRUE, K1197&lt;=No_Regular_Payments), Periodic_Admin_Charge,
   TRUE, 0
)</f>
        <v>0</v>
      </c>
      <c r="R1197" s="1850">
        <f>N1197-O1197-Q1197</f>
        <v>0</v>
      </c>
      <c r="S1197" s="1850">
        <f>ROUND(S1196-R1197,2)</f>
        <v>0</v>
      </c>
      <c r="T1197" s="1850">
        <f>ROUND(T1196-(N1197-Q1197),2)</f>
        <v>0</v>
      </c>
      <c r="U1197" s="1849"/>
      <c r="W1197" s="1848"/>
      <c r="X1197" s="1848"/>
      <c r="Y1197" s="1848"/>
    </row>
    <row r="1198" spans="2:25" hidden="1">
      <c r="B1198" s="1815" t="b">
        <f>AND(I1198=FALSE,N1197=0,Q1197=0,L1197="")</f>
        <v>1</v>
      </c>
      <c r="C1198" s="1844" t="str" cm="1">
        <f t="array" ref="C1198">_xlfn.IFS(
    L1198="", "",
    MONTH(L1198) &lt;= End_of_Year_Month, YEAR(L1198),
    TRUE, YEAR(L1198) + 1
)</f>
        <v/>
      </c>
      <c r="F1198" s="1857">
        <f>IF(L1198="",0,L1198)</f>
        <v>0</v>
      </c>
      <c r="G1198" s="1856">
        <f>-(N1198-Q1198)</f>
        <v>0</v>
      </c>
      <c r="I1198" s="1815" t="b">
        <f>K1198&lt;=Number_Payments</f>
        <v>0</v>
      </c>
      <c r="J1198" s="1855"/>
      <c r="K1198" s="1351">
        <f>K1197+1</f>
        <v>1072</v>
      </c>
      <c r="L1198" s="1854" t="str" cm="1">
        <f t="array" ref="L1198">_xlfn.IFS(
    I1197=FALSE, "",
    Payment_Frequency="Monthly", EDATE(L1197, 1),
    Payment_Frequency="Weekly", DATE(YEAR(L1197), MONTH(L1197), DAY(L1197) + 7),
    Payment_Frequency="Fortnightly", DATE(YEAR(L1197), MONTH(L1197), DAY(L1197) + 14),
    Payment_Frequency="Quarterly", DATE(YEAR(L1197), MONTH(L1197) + 3, DAY(L1197)),
    Payment_Frequency="Yearly", DATE(YEAR(L1197) + 1, MONTH(L1197), DAY(L1197)),
    TRUE, ""
)</f>
        <v/>
      </c>
      <c r="M1198" s="1853">
        <f>IF(ISERROR(L1198-L1197),0,L1198-L1197)</f>
        <v>0</v>
      </c>
      <c r="N1198" s="1851" cm="1">
        <f t="array" ref="N1198">_xlfn.IFS(
    AND(I1198=TRUE, K1198&lt;=No_Regular_Payments), Repay_Amt,
    AND(I1198=TRUE, K1198=No_Regular_Payments+1), Tm_Balloon_Amt,
   TRUE, 0
)</f>
        <v>0</v>
      </c>
      <c r="O1198" s="1850" cm="1">
        <f t="array" ref="O1198">_xlfn.IFS(
    M1198=0,0,
   ABS(N1198 - S1197 - P1198-Q1198) &lt; 1, N1198 - S1197-Q1198,
    TRUE, P1198
)</f>
        <v>0</v>
      </c>
      <c r="P1198" s="1852">
        <f>IF(M1198=0,0,ROUND(S1197*EXP(Int_Rate/365.25 * M1198)-S1197,2))</f>
        <v>0</v>
      </c>
      <c r="Q1198" s="1851" cm="1">
        <f t="array" ref="Q1198">_xlfn.IFS(
    AND(I1198=TRUE, K1198&lt;=No_Regular_Payments), Periodic_Admin_Charge,
   TRUE, 0
)</f>
        <v>0</v>
      </c>
      <c r="R1198" s="1850">
        <f>N1198-O1198-Q1198</f>
        <v>0</v>
      </c>
      <c r="S1198" s="1850">
        <f>ROUND(S1197-R1198,2)</f>
        <v>0</v>
      </c>
      <c r="T1198" s="1850">
        <f>ROUND(T1197-(N1198-Q1198),2)</f>
        <v>0</v>
      </c>
      <c r="U1198" s="1849"/>
      <c r="W1198" s="1848"/>
      <c r="X1198" s="1848"/>
      <c r="Y1198" s="1848"/>
    </row>
    <row r="1199" spans="2:25" hidden="1">
      <c r="B1199" s="1815" t="b">
        <f>AND(I1199=FALSE,N1198=0,Q1198=0,L1198="")</f>
        <v>1</v>
      </c>
      <c r="C1199" s="1844" t="str" cm="1">
        <f t="array" ref="C1199">_xlfn.IFS(
    L1199="", "",
    MONTH(L1199) &lt;= End_of_Year_Month, YEAR(L1199),
    TRUE, YEAR(L1199) + 1
)</f>
        <v/>
      </c>
      <c r="F1199" s="1857">
        <f>IF(L1199="",0,L1199)</f>
        <v>0</v>
      </c>
      <c r="G1199" s="1856">
        <f>-(N1199-Q1199)</f>
        <v>0</v>
      </c>
      <c r="I1199" s="1815" t="b">
        <f>K1199&lt;=Number_Payments</f>
        <v>0</v>
      </c>
      <c r="J1199" s="1855"/>
      <c r="K1199" s="1351">
        <f>K1198+1</f>
        <v>1073</v>
      </c>
      <c r="L1199" s="1854" t="str" cm="1">
        <f t="array" ref="L1199">_xlfn.IFS(
    I1198=FALSE, "",
    Payment_Frequency="Monthly", EDATE(L1198, 1),
    Payment_Frequency="Weekly", DATE(YEAR(L1198), MONTH(L1198), DAY(L1198) + 7),
    Payment_Frequency="Fortnightly", DATE(YEAR(L1198), MONTH(L1198), DAY(L1198) + 14),
    Payment_Frequency="Quarterly", DATE(YEAR(L1198), MONTH(L1198) + 3, DAY(L1198)),
    Payment_Frequency="Yearly", DATE(YEAR(L1198) + 1, MONTH(L1198), DAY(L1198)),
    TRUE, ""
)</f>
        <v/>
      </c>
      <c r="M1199" s="1853">
        <f>IF(ISERROR(L1199-L1198),0,L1199-L1198)</f>
        <v>0</v>
      </c>
      <c r="N1199" s="1851" cm="1">
        <f t="array" ref="N1199">_xlfn.IFS(
    AND(I1199=TRUE, K1199&lt;=No_Regular_Payments), Repay_Amt,
    AND(I1199=TRUE, K1199=No_Regular_Payments+1), Tm_Balloon_Amt,
   TRUE, 0
)</f>
        <v>0</v>
      </c>
      <c r="O1199" s="1850" cm="1">
        <f t="array" ref="O1199">_xlfn.IFS(
    M1199=0,0,
   ABS(N1199 - S1198 - P1199-Q1199) &lt; 1, N1199 - S1198-Q1199,
    TRUE, P1199
)</f>
        <v>0</v>
      </c>
      <c r="P1199" s="1852">
        <f>IF(M1199=0,0,ROUND(S1198*EXP(Int_Rate/365.25 * M1199)-S1198,2))</f>
        <v>0</v>
      </c>
      <c r="Q1199" s="1851" cm="1">
        <f t="array" ref="Q1199">_xlfn.IFS(
    AND(I1199=TRUE, K1199&lt;=No_Regular_Payments), Periodic_Admin_Charge,
   TRUE, 0
)</f>
        <v>0</v>
      </c>
      <c r="R1199" s="1850">
        <f>N1199-O1199-Q1199</f>
        <v>0</v>
      </c>
      <c r="S1199" s="1850">
        <f>ROUND(S1198-R1199,2)</f>
        <v>0</v>
      </c>
      <c r="T1199" s="1850">
        <f>ROUND(T1198-(N1199-Q1199),2)</f>
        <v>0</v>
      </c>
      <c r="U1199" s="1849"/>
      <c r="W1199" s="1848"/>
      <c r="X1199" s="1848"/>
      <c r="Y1199" s="1848"/>
    </row>
    <row r="1200" spans="2:25" hidden="1">
      <c r="B1200" s="1815" t="b">
        <f>AND(I1200=FALSE,N1199=0,Q1199=0,L1199="")</f>
        <v>1</v>
      </c>
      <c r="C1200" s="1844" t="str" cm="1">
        <f t="array" ref="C1200">_xlfn.IFS(
    L1200="", "",
    MONTH(L1200) &lt;= End_of_Year_Month, YEAR(L1200),
    TRUE, YEAR(L1200) + 1
)</f>
        <v/>
      </c>
      <c r="F1200" s="1857">
        <f>IF(L1200="",0,L1200)</f>
        <v>0</v>
      </c>
      <c r="G1200" s="1856">
        <f>-(N1200-Q1200)</f>
        <v>0</v>
      </c>
      <c r="I1200" s="1815" t="b">
        <f>K1200&lt;=Number_Payments</f>
        <v>0</v>
      </c>
      <c r="J1200" s="1855"/>
      <c r="K1200" s="1351">
        <f>K1199+1</f>
        <v>1074</v>
      </c>
      <c r="L1200" s="1854" t="str" cm="1">
        <f t="array" ref="L1200">_xlfn.IFS(
    I1199=FALSE, "",
    Payment_Frequency="Monthly", EDATE(L1199, 1),
    Payment_Frequency="Weekly", DATE(YEAR(L1199), MONTH(L1199), DAY(L1199) + 7),
    Payment_Frequency="Fortnightly", DATE(YEAR(L1199), MONTH(L1199), DAY(L1199) + 14),
    Payment_Frequency="Quarterly", DATE(YEAR(L1199), MONTH(L1199) + 3, DAY(L1199)),
    Payment_Frequency="Yearly", DATE(YEAR(L1199) + 1, MONTH(L1199), DAY(L1199)),
    TRUE, ""
)</f>
        <v/>
      </c>
      <c r="M1200" s="1853">
        <f>IF(ISERROR(L1200-L1199),0,L1200-L1199)</f>
        <v>0</v>
      </c>
      <c r="N1200" s="1851" cm="1">
        <f t="array" ref="N1200">_xlfn.IFS(
    AND(I1200=TRUE, K1200&lt;=No_Regular_Payments), Repay_Amt,
    AND(I1200=TRUE, K1200=No_Regular_Payments+1), Tm_Balloon_Amt,
   TRUE, 0
)</f>
        <v>0</v>
      </c>
      <c r="O1200" s="1850" cm="1">
        <f t="array" ref="O1200">_xlfn.IFS(
    M1200=0,0,
   ABS(N1200 - S1199 - P1200-Q1200) &lt; 1, N1200 - S1199-Q1200,
    TRUE, P1200
)</f>
        <v>0</v>
      </c>
      <c r="P1200" s="1852">
        <f>IF(M1200=0,0,ROUND(S1199*EXP(Int_Rate/365.25 * M1200)-S1199,2))</f>
        <v>0</v>
      </c>
      <c r="Q1200" s="1851" cm="1">
        <f t="array" ref="Q1200">_xlfn.IFS(
    AND(I1200=TRUE, K1200&lt;=No_Regular_Payments), Periodic_Admin_Charge,
   TRUE, 0
)</f>
        <v>0</v>
      </c>
      <c r="R1200" s="1850">
        <f>N1200-O1200-Q1200</f>
        <v>0</v>
      </c>
      <c r="S1200" s="1850">
        <f>ROUND(S1199-R1200,2)</f>
        <v>0</v>
      </c>
      <c r="T1200" s="1850">
        <f>ROUND(T1199-(N1200-Q1200),2)</f>
        <v>0</v>
      </c>
      <c r="U1200" s="1849"/>
      <c r="W1200" s="1848"/>
      <c r="X1200" s="1848"/>
      <c r="Y1200" s="1848"/>
    </row>
    <row r="1201" spans="2:25" hidden="1">
      <c r="B1201" s="1815" t="b">
        <f>AND(I1201=FALSE,N1200=0,Q1200=0,L1200="")</f>
        <v>1</v>
      </c>
      <c r="C1201" s="1844" t="str" cm="1">
        <f t="array" ref="C1201">_xlfn.IFS(
    L1201="", "",
    MONTH(L1201) &lt;= End_of_Year_Month, YEAR(L1201),
    TRUE, YEAR(L1201) + 1
)</f>
        <v/>
      </c>
      <c r="F1201" s="1857">
        <f>IF(L1201="",0,L1201)</f>
        <v>0</v>
      </c>
      <c r="G1201" s="1856">
        <f>-(N1201-Q1201)</f>
        <v>0</v>
      </c>
      <c r="I1201" s="1815" t="b">
        <f>K1201&lt;=Number_Payments</f>
        <v>0</v>
      </c>
      <c r="J1201" s="1855"/>
      <c r="K1201" s="1351">
        <f>K1200+1</f>
        <v>1075</v>
      </c>
      <c r="L1201" s="1854" t="str" cm="1">
        <f t="array" ref="L1201">_xlfn.IFS(
    I1200=FALSE, "",
    Payment_Frequency="Monthly", EDATE(L1200, 1),
    Payment_Frequency="Weekly", DATE(YEAR(L1200), MONTH(L1200), DAY(L1200) + 7),
    Payment_Frequency="Fortnightly", DATE(YEAR(L1200), MONTH(L1200), DAY(L1200) + 14),
    Payment_Frequency="Quarterly", DATE(YEAR(L1200), MONTH(L1200) + 3, DAY(L1200)),
    Payment_Frequency="Yearly", DATE(YEAR(L1200) + 1, MONTH(L1200), DAY(L1200)),
    TRUE, ""
)</f>
        <v/>
      </c>
      <c r="M1201" s="1853">
        <f>IF(ISERROR(L1201-L1200),0,L1201-L1200)</f>
        <v>0</v>
      </c>
      <c r="N1201" s="1851" cm="1">
        <f t="array" ref="N1201">_xlfn.IFS(
    AND(I1201=TRUE, K1201&lt;=No_Regular_Payments), Repay_Amt,
    AND(I1201=TRUE, K1201=No_Regular_Payments+1), Tm_Balloon_Amt,
   TRUE, 0
)</f>
        <v>0</v>
      </c>
      <c r="O1201" s="1850" cm="1">
        <f t="array" ref="O1201">_xlfn.IFS(
    M1201=0,0,
   ABS(N1201 - S1200 - P1201-Q1201) &lt; 1, N1201 - S1200-Q1201,
    TRUE, P1201
)</f>
        <v>0</v>
      </c>
      <c r="P1201" s="1852">
        <f>IF(M1201=0,0,ROUND(S1200*EXP(Int_Rate/365.25 * M1201)-S1200,2))</f>
        <v>0</v>
      </c>
      <c r="Q1201" s="1851" cm="1">
        <f t="array" ref="Q1201">_xlfn.IFS(
    AND(I1201=TRUE, K1201&lt;=No_Regular_Payments), Periodic_Admin_Charge,
   TRUE, 0
)</f>
        <v>0</v>
      </c>
      <c r="R1201" s="1850">
        <f>N1201-O1201-Q1201</f>
        <v>0</v>
      </c>
      <c r="S1201" s="1850">
        <f>ROUND(S1200-R1201,2)</f>
        <v>0</v>
      </c>
      <c r="T1201" s="1850">
        <f>ROUND(T1200-(N1201-Q1201),2)</f>
        <v>0</v>
      </c>
      <c r="U1201" s="1849"/>
      <c r="W1201" s="1848"/>
      <c r="X1201" s="1848"/>
      <c r="Y1201" s="1848"/>
    </row>
    <row r="1202" spans="2:25" hidden="1">
      <c r="B1202" s="1815" t="b">
        <f>AND(I1202=FALSE,N1201=0,Q1201=0,L1201="")</f>
        <v>1</v>
      </c>
      <c r="C1202" s="1844" t="str" cm="1">
        <f t="array" ref="C1202">_xlfn.IFS(
    L1202="", "",
    MONTH(L1202) &lt;= End_of_Year_Month, YEAR(L1202),
    TRUE, YEAR(L1202) + 1
)</f>
        <v/>
      </c>
      <c r="F1202" s="1857">
        <f>IF(L1202="",0,L1202)</f>
        <v>0</v>
      </c>
      <c r="G1202" s="1856">
        <f>-(N1202-Q1202)</f>
        <v>0</v>
      </c>
      <c r="I1202" s="1815" t="b">
        <f>K1202&lt;=Number_Payments</f>
        <v>0</v>
      </c>
      <c r="J1202" s="1855"/>
      <c r="K1202" s="1351">
        <f>K1201+1</f>
        <v>1076</v>
      </c>
      <c r="L1202" s="1854" t="str" cm="1">
        <f t="array" ref="L1202">_xlfn.IFS(
    I1201=FALSE, "",
    Payment_Frequency="Monthly", EDATE(L1201, 1),
    Payment_Frequency="Weekly", DATE(YEAR(L1201), MONTH(L1201), DAY(L1201) + 7),
    Payment_Frequency="Fortnightly", DATE(YEAR(L1201), MONTH(L1201), DAY(L1201) + 14),
    Payment_Frequency="Quarterly", DATE(YEAR(L1201), MONTH(L1201) + 3, DAY(L1201)),
    Payment_Frequency="Yearly", DATE(YEAR(L1201) + 1, MONTH(L1201), DAY(L1201)),
    TRUE, ""
)</f>
        <v/>
      </c>
      <c r="M1202" s="1853">
        <f>IF(ISERROR(L1202-L1201),0,L1202-L1201)</f>
        <v>0</v>
      </c>
      <c r="N1202" s="1851" cm="1">
        <f t="array" ref="N1202">_xlfn.IFS(
    AND(I1202=TRUE, K1202&lt;=No_Regular_Payments), Repay_Amt,
    AND(I1202=TRUE, K1202=No_Regular_Payments+1), Tm_Balloon_Amt,
   TRUE, 0
)</f>
        <v>0</v>
      </c>
      <c r="O1202" s="1850" cm="1">
        <f t="array" ref="O1202">_xlfn.IFS(
    M1202=0,0,
   ABS(N1202 - S1201 - P1202-Q1202) &lt; 1, N1202 - S1201-Q1202,
    TRUE, P1202
)</f>
        <v>0</v>
      </c>
      <c r="P1202" s="1852">
        <f>IF(M1202=0,0,ROUND(S1201*EXP(Int_Rate/365.25 * M1202)-S1201,2))</f>
        <v>0</v>
      </c>
      <c r="Q1202" s="1851" cm="1">
        <f t="array" ref="Q1202">_xlfn.IFS(
    AND(I1202=TRUE, K1202&lt;=No_Regular_Payments), Periodic_Admin_Charge,
   TRUE, 0
)</f>
        <v>0</v>
      </c>
      <c r="R1202" s="1850">
        <f>N1202-O1202-Q1202</f>
        <v>0</v>
      </c>
      <c r="S1202" s="1850">
        <f>ROUND(S1201-R1202,2)</f>
        <v>0</v>
      </c>
      <c r="T1202" s="1850">
        <f>ROUND(T1201-(N1202-Q1202),2)</f>
        <v>0</v>
      </c>
      <c r="U1202" s="1849"/>
      <c r="W1202" s="1848"/>
      <c r="X1202" s="1848"/>
      <c r="Y1202" s="1848"/>
    </row>
    <row r="1203" spans="2:25" hidden="1">
      <c r="B1203" s="1815" t="b">
        <f>AND(I1203=FALSE,N1202=0,Q1202=0,L1202="")</f>
        <v>1</v>
      </c>
      <c r="C1203" s="1844" t="str" cm="1">
        <f t="array" ref="C1203">_xlfn.IFS(
    L1203="", "",
    MONTH(L1203) &lt;= End_of_Year_Month, YEAR(L1203),
    TRUE, YEAR(L1203) + 1
)</f>
        <v/>
      </c>
      <c r="F1203" s="1857">
        <f>IF(L1203="",0,L1203)</f>
        <v>0</v>
      </c>
      <c r="G1203" s="1856">
        <f>-(N1203-Q1203)</f>
        <v>0</v>
      </c>
      <c r="I1203" s="1815" t="b">
        <f>K1203&lt;=Number_Payments</f>
        <v>0</v>
      </c>
      <c r="J1203" s="1855"/>
      <c r="K1203" s="1351">
        <f>K1202+1</f>
        <v>1077</v>
      </c>
      <c r="L1203" s="1854" t="str" cm="1">
        <f t="array" ref="L1203">_xlfn.IFS(
    I1202=FALSE, "",
    Payment_Frequency="Monthly", EDATE(L1202, 1),
    Payment_Frequency="Weekly", DATE(YEAR(L1202), MONTH(L1202), DAY(L1202) + 7),
    Payment_Frequency="Fortnightly", DATE(YEAR(L1202), MONTH(L1202), DAY(L1202) + 14),
    Payment_Frequency="Quarterly", DATE(YEAR(L1202), MONTH(L1202) + 3, DAY(L1202)),
    Payment_Frequency="Yearly", DATE(YEAR(L1202) + 1, MONTH(L1202), DAY(L1202)),
    TRUE, ""
)</f>
        <v/>
      </c>
      <c r="M1203" s="1853">
        <f>IF(ISERROR(L1203-L1202),0,L1203-L1202)</f>
        <v>0</v>
      </c>
      <c r="N1203" s="1851" cm="1">
        <f t="array" ref="N1203">_xlfn.IFS(
    AND(I1203=TRUE, K1203&lt;=No_Regular_Payments), Repay_Amt,
    AND(I1203=TRUE, K1203=No_Regular_Payments+1), Tm_Balloon_Amt,
   TRUE, 0
)</f>
        <v>0</v>
      </c>
      <c r="O1203" s="1850" cm="1">
        <f t="array" ref="O1203">_xlfn.IFS(
    M1203=0,0,
   ABS(N1203 - S1202 - P1203-Q1203) &lt; 1, N1203 - S1202-Q1203,
    TRUE, P1203
)</f>
        <v>0</v>
      </c>
      <c r="P1203" s="1852">
        <f>IF(M1203=0,0,ROUND(S1202*EXP(Int_Rate/365.25 * M1203)-S1202,2))</f>
        <v>0</v>
      </c>
      <c r="Q1203" s="1851" cm="1">
        <f t="array" ref="Q1203">_xlfn.IFS(
    AND(I1203=TRUE, K1203&lt;=No_Regular_Payments), Periodic_Admin_Charge,
   TRUE, 0
)</f>
        <v>0</v>
      </c>
      <c r="R1203" s="1850">
        <f>N1203-O1203-Q1203</f>
        <v>0</v>
      </c>
      <c r="S1203" s="1850">
        <f>ROUND(S1202-R1203,2)</f>
        <v>0</v>
      </c>
      <c r="T1203" s="1850">
        <f>ROUND(T1202-(N1203-Q1203),2)</f>
        <v>0</v>
      </c>
      <c r="U1203" s="1849"/>
      <c r="W1203" s="1848"/>
      <c r="X1203" s="1848"/>
      <c r="Y1203" s="1848"/>
    </row>
    <row r="1204" spans="2:25" hidden="1">
      <c r="B1204" s="1815" t="b">
        <f>AND(I1204=FALSE,N1203=0,Q1203=0,L1203="")</f>
        <v>1</v>
      </c>
      <c r="C1204" s="1844" t="str" cm="1">
        <f t="array" ref="C1204">_xlfn.IFS(
    L1204="", "",
    MONTH(L1204) &lt;= End_of_Year_Month, YEAR(L1204),
    TRUE, YEAR(L1204) + 1
)</f>
        <v/>
      </c>
      <c r="F1204" s="1857">
        <f>IF(L1204="",0,L1204)</f>
        <v>0</v>
      </c>
      <c r="G1204" s="1856">
        <f>-(N1204-Q1204)</f>
        <v>0</v>
      </c>
      <c r="I1204" s="1815" t="b">
        <f>K1204&lt;=Number_Payments</f>
        <v>0</v>
      </c>
      <c r="J1204" s="1855"/>
      <c r="K1204" s="1351">
        <f>K1203+1</f>
        <v>1078</v>
      </c>
      <c r="L1204" s="1854" t="str" cm="1">
        <f t="array" ref="L1204">_xlfn.IFS(
    I1203=FALSE, "",
    Payment_Frequency="Monthly", EDATE(L1203, 1),
    Payment_Frequency="Weekly", DATE(YEAR(L1203), MONTH(L1203), DAY(L1203) + 7),
    Payment_Frequency="Fortnightly", DATE(YEAR(L1203), MONTH(L1203), DAY(L1203) + 14),
    Payment_Frequency="Quarterly", DATE(YEAR(L1203), MONTH(L1203) + 3, DAY(L1203)),
    Payment_Frequency="Yearly", DATE(YEAR(L1203) + 1, MONTH(L1203), DAY(L1203)),
    TRUE, ""
)</f>
        <v/>
      </c>
      <c r="M1204" s="1853">
        <f>IF(ISERROR(L1204-L1203),0,L1204-L1203)</f>
        <v>0</v>
      </c>
      <c r="N1204" s="1851" cm="1">
        <f t="array" ref="N1204">_xlfn.IFS(
    AND(I1204=TRUE, K1204&lt;=No_Regular_Payments), Repay_Amt,
    AND(I1204=TRUE, K1204=No_Regular_Payments+1), Tm_Balloon_Amt,
   TRUE, 0
)</f>
        <v>0</v>
      </c>
      <c r="O1204" s="1850" cm="1">
        <f t="array" ref="O1204">_xlfn.IFS(
    M1204=0,0,
   ABS(N1204 - S1203 - P1204-Q1204) &lt; 1, N1204 - S1203-Q1204,
    TRUE, P1204
)</f>
        <v>0</v>
      </c>
      <c r="P1204" s="1852">
        <f>IF(M1204=0,0,ROUND(S1203*EXP(Int_Rate/365.25 * M1204)-S1203,2))</f>
        <v>0</v>
      </c>
      <c r="Q1204" s="1851" cm="1">
        <f t="array" ref="Q1204">_xlfn.IFS(
    AND(I1204=TRUE, K1204&lt;=No_Regular_Payments), Periodic_Admin_Charge,
   TRUE, 0
)</f>
        <v>0</v>
      </c>
      <c r="R1204" s="1850">
        <f>N1204-O1204-Q1204</f>
        <v>0</v>
      </c>
      <c r="S1204" s="1850">
        <f>ROUND(S1203-R1204,2)</f>
        <v>0</v>
      </c>
      <c r="T1204" s="1850">
        <f>ROUND(T1203-(N1204-Q1204),2)</f>
        <v>0</v>
      </c>
      <c r="U1204" s="1849"/>
      <c r="W1204" s="1848"/>
      <c r="X1204" s="1848"/>
      <c r="Y1204" s="1848"/>
    </row>
    <row r="1205" spans="2:25" hidden="1">
      <c r="B1205" s="1815" t="b">
        <f>AND(I1205=FALSE,N1204=0,Q1204=0,L1204="")</f>
        <v>1</v>
      </c>
      <c r="C1205" s="1844" t="str" cm="1">
        <f t="array" ref="C1205">_xlfn.IFS(
    L1205="", "",
    MONTH(L1205) &lt;= End_of_Year_Month, YEAR(L1205),
    TRUE, YEAR(L1205) + 1
)</f>
        <v/>
      </c>
      <c r="F1205" s="1857">
        <f>IF(L1205="",0,L1205)</f>
        <v>0</v>
      </c>
      <c r="G1205" s="1856">
        <f>-(N1205-Q1205)</f>
        <v>0</v>
      </c>
      <c r="I1205" s="1815" t="b">
        <f>K1205&lt;=Number_Payments</f>
        <v>0</v>
      </c>
      <c r="J1205" s="1855"/>
      <c r="K1205" s="1351">
        <f>K1204+1</f>
        <v>1079</v>
      </c>
      <c r="L1205" s="1854" t="str" cm="1">
        <f t="array" ref="L1205">_xlfn.IFS(
    I1204=FALSE, "",
    Payment_Frequency="Monthly", EDATE(L1204, 1),
    Payment_Frequency="Weekly", DATE(YEAR(L1204), MONTH(L1204), DAY(L1204) + 7),
    Payment_Frequency="Fortnightly", DATE(YEAR(L1204), MONTH(L1204), DAY(L1204) + 14),
    Payment_Frequency="Quarterly", DATE(YEAR(L1204), MONTH(L1204) + 3, DAY(L1204)),
    Payment_Frequency="Yearly", DATE(YEAR(L1204) + 1, MONTH(L1204), DAY(L1204)),
    TRUE, ""
)</f>
        <v/>
      </c>
      <c r="M1205" s="1853">
        <f>IF(ISERROR(L1205-L1204),0,L1205-L1204)</f>
        <v>0</v>
      </c>
      <c r="N1205" s="1851" cm="1">
        <f t="array" ref="N1205">_xlfn.IFS(
    AND(I1205=TRUE, K1205&lt;=No_Regular_Payments), Repay_Amt,
    AND(I1205=TRUE, K1205=No_Regular_Payments+1), Tm_Balloon_Amt,
   TRUE, 0
)</f>
        <v>0</v>
      </c>
      <c r="O1205" s="1850" cm="1">
        <f t="array" ref="O1205">_xlfn.IFS(
    M1205=0,0,
   ABS(N1205 - S1204 - P1205-Q1205) &lt; 1, N1205 - S1204-Q1205,
    TRUE, P1205
)</f>
        <v>0</v>
      </c>
      <c r="P1205" s="1852">
        <f>IF(M1205=0,0,ROUND(S1204*EXP(Int_Rate/365.25 * M1205)-S1204,2))</f>
        <v>0</v>
      </c>
      <c r="Q1205" s="1851" cm="1">
        <f t="array" ref="Q1205">_xlfn.IFS(
    AND(I1205=TRUE, K1205&lt;=No_Regular_Payments), Periodic_Admin_Charge,
   TRUE, 0
)</f>
        <v>0</v>
      </c>
      <c r="R1205" s="1850">
        <f>N1205-O1205-Q1205</f>
        <v>0</v>
      </c>
      <c r="S1205" s="1850">
        <f>ROUND(S1204-R1205,2)</f>
        <v>0</v>
      </c>
      <c r="T1205" s="1850">
        <f>ROUND(T1204-(N1205-Q1205),2)</f>
        <v>0</v>
      </c>
      <c r="U1205" s="1849"/>
      <c r="W1205" s="1848"/>
      <c r="X1205" s="1848"/>
      <c r="Y1205" s="1848"/>
    </row>
    <row r="1206" spans="2:25" hidden="1">
      <c r="B1206" s="1815" t="b">
        <f>AND(I1206=FALSE,N1205=0,Q1205=0,L1205="")</f>
        <v>1</v>
      </c>
      <c r="C1206" s="1844" t="str" cm="1">
        <f t="array" ref="C1206">_xlfn.IFS(
    L1206="", "",
    MONTH(L1206) &lt;= End_of_Year_Month, YEAR(L1206),
    TRUE, YEAR(L1206) + 1
)</f>
        <v/>
      </c>
      <c r="F1206" s="1857">
        <f>IF(L1206="",0,L1206)</f>
        <v>0</v>
      </c>
      <c r="G1206" s="1856">
        <f>-(N1206-Q1206)</f>
        <v>0</v>
      </c>
      <c r="I1206" s="1815" t="b">
        <f>K1206&lt;=Number_Payments</f>
        <v>0</v>
      </c>
      <c r="J1206" s="1855"/>
      <c r="K1206" s="1351">
        <f>K1205+1</f>
        <v>1080</v>
      </c>
      <c r="L1206" s="1854" t="str" cm="1">
        <f t="array" ref="L1206">_xlfn.IFS(
    I1205=FALSE, "",
    Payment_Frequency="Monthly", EDATE(L1205, 1),
    Payment_Frequency="Weekly", DATE(YEAR(L1205), MONTH(L1205), DAY(L1205) + 7),
    Payment_Frequency="Fortnightly", DATE(YEAR(L1205), MONTH(L1205), DAY(L1205) + 14),
    Payment_Frequency="Quarterly", DATE(YEAR(L1205), MONTH(L1205) + 3, DAY(L1205)),
    Payment_Frequency="Yearly", DATE(YEAR(L1205) + 1, MONTH(L1205), DAY(L1205)),
    TRUE, ""
)</f>
        <v/>
      </c>
      <c r="M1206" s="1853">
        <f>IF(ISERROR(L1206-L1205),0,L1206-L1205)</f>
        <v>0</v>
      </c>
      <c r="N1206" s="1851" cm="1">
        <f t="array" ref="N1206">_xlfn.IFS(
    AND(I1206=TRUE, K1206&lt;=No_Regular_Payments), Repay_Amt,
    AND(I1206=TRUE, K1206=No_Regular_Payments+1), Tm_Balloon_Amt,
   TRUE, 0
)</f>
        <v>0</v>
      </c>
      <c r="O1206" s="1850" cm="1">
        <f t="array" ref="O1206">_xlfn.IFS(
    M1206=0,0,
   ABS(N1206 - S1205 - P1206-Q1206) &lt; 1, N1206 - S1205-Q1206,
    TRUE, P1206
)</f>
        <v>0</v>
      </c>
      <c r="P1206" s="1852">
        <f>IF(M1206=0,0,ROUND(S1205*EXP(Int_Rate/365.25 * M1206)-S1205,2))</f>
        <v>0</v>
      </c>
      <c r="Q1206" s="1851" cm="1">
        <f t="array" ref="Q1206">_xlfn.IFS(
    AND(I1206=TRUE, K1206&lt;=No_Regular_Payments), Periodic_Admin_Charge,
   TRUE, 0
)</f>
        <v>0</v>
      </c>
      <c r="R1206" s="1850">
        <f>N1206-O1206-Q1206</f>
        <v>0</v>
      </c>
      <c r="S1206" s="1850">
        <f>ROUND(S1205-R1206,2)</f>
        <v>0</v>
      </c>
      <c r="T1206" s="1850">
        <f>ROUND(T1205-(N1206-Q1206),2)</f>
        <v>0</v>
      </c>
      <c r="U1206" s="1849"/>
      <c r="W1206" s="1848"/>
      <c r="X1206" s="1848"/>
      <c r="Y1206" s="1848"/>
    </row>
    <row r="1207" spans="2:25" hidden="1">
      <c r="B1207" s="1815" t="b">
        <f>AND(I1207=FALSE,N1206=0,Q1206=0,L1206="")</f>
        <v>1</v>
      </c>
      <c r="C1207" s="1844" t="str" cm="1">
        <f t="array" ref="C1207">_xlfn.IFS(
    L1207="", "",
    MONTH(L1207) &lt;= End_of_Year_Month, YEAR(L1207),
    TRUE, YEAR(L1207) + 1
)</f>
        <v/>
      </c>
      <c r="F1207" s="1857">
        <f>IF(L1207="",0,L1207)</f>
        <v>0</v>
      </c>
      <c r="G1207" s="1856">
        <f>-(N1207-Q1207)</f>
        <v>0</v>
      </c>
      <c r="I1207" s="1815" t="b">
        <f>K1207&lt;=Number_Payments</f>
        <v>0</v>
      </c>
      <c r="J1207" s="1855"/>
      <c r="K1207" s="1351">
        <f>K1206+1</f>
        <v>1081</v>
      </c>
      <c r="L1207" s="1854" t="str" cm="1">
        <f t="array" ref="L1207">_xlfn.IFS(
    I1206=FALSE, "",
    Payment_Frequency="Monthly", EDATE(L1206, 1),
    Payment_Frequency="Weekly", DATE(YEAR(L1206), MONTH(L1206), DAY(L1206) + 7),
    Payment_Frequency="Fortnightly", DATE(YEAR(L1206), MONTH(L1206), DAY(L1206) + 14),
    Payment_Frequency="Quarterly", DATE(YEAR(L1206), MONTH(L1206) + 3, DAY(L1206)),
    Payment_Frequency="Yearly", DATE(YEAR(L1206) + 1, MONTH(L1206), DAY(L1206)),
    TRUE, ""
)</f>
        <v/>
      </c>
      <c r="M1207" s="1853">
        <f>IF(ISERROR(L1207-L1206),0,L1207-L1206)</f>
        <v>0</v>
      </c>
      <c r="N1207" s="1851" cm="1">
        <f t="array" ref="N1207">_xlfn.IFS(
    AND(I1207=TRUE, K1207&lt;=No_Regular_Payments), Repay_Amt,
    AND(I1207=TRUE, K1207=No_Regular_Payments+1), Tm_Balloon_Amt,
   TRUE, 0
)</f>
        <v>0</v>
      </c>
      <c r="O1207" s="1850" cm="1">
        <f t="array" ref="O1207">_xlfn.IFS(
    M1207=0,0,
   ABS(N1207 - S1206 - P1207-Q1207) &lt; 1, N1207 - S1206-Q1207,
    TRUE, P1207
)</f>
        <v>0</v>
      </c>
      <c r="P1207" s="1852">
        <f>IF(M1207=0,0,ROUND(S1206*EXP(Int_Rate/365.25 * M1207)-S1206,2))</f>
        <v>0</v>
      </c>
      <c r="Q1207" s="1851" cm="1">
        <f t="array" ref="Q1207">_xlfn.IFS(
    AND(I1207=TRUE, K1207&lt;=No_Regular_Payments), Periodic_Admin_Charge,
   TRUE, 0
)</f>
        <v>0</v>
      </c>
      <c r="R1207" s="1850">
        <f>N1207-O1207-Q1207</f>
        <v>0</v>
      </c>
      <c r="S1207" s="1850">
        <f>ROUND(S1206-R1207,2)</f>
        <v>0</v>
      </c>
      <c r="T1207" s="1850">
        <f>ROUND(T1206-(N1207-Q1207),2)</f>
        <v>0</v>
      </c>
      <c r="U1207" s="1849"/>
      <c r="W1207" s="1848"/>
      <c r="X1207" s="1848"/>
      <c r="Y1207" s="1848"/>
    </row>
    <row r="1208" spans="2:25" hidden="1">
      <c r="B1208" s="1815" t="b">
        <f>AND(I1208=FALSE,N1207=0,Q1207=0,L1207="")</f>
        <v>1</v>
      </c>
      <c r="C1208" s="1844" t="str" cm="1">
        <f t="array" ref="C1208">_xlfn.IFS(
    L1208="", "",
    MONTH(L1208) &lt;= End_of_Year_Month, YEAR(L1208),
    TRUE, YEAR(L1208) + 1
)</f>
        <v/>
      </c>
      <c r="F1208" s="1857">
        <f>IF(L1208="",0,L1208)</f>
        <v>0</v>
      </c>
      <c r="G1208" s="1856">
        <f>-(N1208-Q1208)</f>
        <v>0</v>
      </c>
      <c r="I1208" s="1815" t="b">
        <f>K1208&lt;=Number_Payments</f>
        <v>0</v>
      </c>
      <c r="J1208" s="1855"/>
      <c r="K1208" s="1351">
        <f>K1207+1</f>
        <v>1082</v>
      </c>
      <c r="L1208" s="1854" t="str" cm="1">
        <f t="array" ref="L1208">_xlfn.IFS(
    I1207=FALSE, "",
    Payment_Frequency="Monthly", EDATE(L1207, 1),
    Payment_Frequency="Weekly", DATE(YEAR(L1207), MONTH(L1207), DAY(L1207) + 7),
    Payment_Frequency="Fortnightly", DATE(YEAR(L1207), MONTH(L1207), DAY(L1207) + 14),
    Payment_Frequency="Quarterly", DATE(YEAR(L1207), MONTH(L1207) + 3, DAY(L1207)),
    Payment_Frequency="Yearly", DATE(YEAR(L1207) + 1, MONTH(L1207), DAY(L1207)),
    TRUE, ""
)</f>
        <v/>
      </c>
      <c r="M1208" s="1853">
        <f>IF(ISERROR(L1208-L1207),0,L1208-L1207)</f>
        <v>0</v>
      </c>
      <c r="N1208" s="1851" cm="1">
        <f t="array" ref="N1208">_xlfn.IFS(
    AND(I1208=TRUE, K1208&lt;=No_Regular_Payments), Repay_Amt,
    AND(I1208=TRUE, K1208=No_Regular_Payments+1), Tm_Balloon_Amt,
   TRUE, 0
)</f>
        <v>0</v>
      </c>
      <c r="O1208" s="1850" cm="1">
        <f t="array" ref="O1208">_xlfn.IFS(
    M1208=0,0,
   ABS(N1208 - S1207 - P1208-Q1208) &lt; 1, N1208 - S1207-Q1208,
    TRUE, P1208
)</f>
        <v>0</v>
      </c>
      <c r="P1208" s="1852">
        <f>IF(M1208=0,0,ROUND(S1207*EXP(Int_Rate/365.25 * M1208)-S1207,2))</f>
        <v>0</v>
      </c>
      <c r="Q1208" s="1851" cm="1">
        <f t="array" ref="Q1208">_xlfn.IFS(
    AND(I1208=TRUE, K1208&lt;=No_Regular_Payments), Periodic_Admin_Charge,
   TRUE, 0
)</f>
        <v>0</v>
      </c>
      <c r="R1208" s="1850">
        <f>N1208-O1208-Q1208</f>
        <v>0</v>
      </c>
      <c r="S1208" s="1850">
        <f>ROUND(S1207-R1208,2)</f>
        <v>0</v>
      </c>
      <c r="T1208" s="1850">
        <f>ROUND(T1207-(N1208-Q1208),2)</f>
        <v>0</v>
      </c>
      <c r="U1208" s="1849"/>
      <c r="W1208" s="1848"/>
      <c r="X1208" s="1848"/>
      <c r="Y1208" s="1848"/>
    </row>
    <row r="1209" spans="2:25" hidden="1">
      <c r="B1209" s="1815" t="b">
        <f>AND(I1209=FALSE,N1208=0,Q1208=0,L1208="")</f>
        <v>1</v>
      </c>
      <c r="C1209" s="1844" t="str" cm="1">
        <f t="array" ref="C1209">_xlfn.IFS(
    L1209="", "",
    MONTH(L1209) &lt;= End_of_Year_Month, YEAR(L1209),
    TRUE, YEAR(L1209) + 1
)</f>
        <v/>
      </c>
      <c r="F1209" s="1857">
        <f>IF(L1209="",0,L1209)</f>
        <v>0</v>
      </c>
      <c r="G1209" s="1856">
        <f>-(N1209-Q1209)</f>
        <v>0</v>
      </c>
      <c r="I1209" s="1815" t="b">
        <f>K1209&lt;=Number_Payments</f>
        <v>0</v>
      </c>
      <c r="J1209" s="1855"/>
      <c r="K1209" s="1351">
        <f>K1208+1</f>
        <v>1083</v>
      </c>
      <c r="L1209" s="1854" t="str" cm="1">
        <f t="array" ref="L1209">_xlfn.IFS(
    I1208=FALSE, "",
    Payment_Frequency="Monthly", EDATE(L1208, 1),
    Payment_Frequency="Weekly", DATE(YEAR(L1208), MONTH(L1208), DAY(L1208) + 7),
    Payment_Frequency="Fortnightly", DATE(YEAR(L1208), MONTH(L1208), DAY(L1208) + 14),
    Payment_Frequency="Quarterly", DATE(YEAR(L1208), MONTH(L1208) + 3, DAY(L1208)),
    Payment_Frequency="Yearly", DATE(YEAR(L1208) + 1, MONTH(L1208), DAY(L1208)),
    TRUE, ""
)</f>
        <v/>
      </c>
      <c r="M1209" s="1853">
        <f>IF(ISERROR(L1209-L1208),0,L1209-L1208)</f>
        <v>0</v>
      </c>
      <c r="N1209" s="1851" cm="1">
        <f t="array" ref="N1209">_xlfn.IFS(
    AND(I1209=TRUE, K1209&lt;=No_Regular_Payments), Repay_Amt,
    AND(I1209=TRUE, K1209=No_Regular_Payments+1), Tm_Balloon_Amt,
   TRUE, 0
)</f>
        <v>0</v>
      </c>
      <c r="O1209" s="1850" cm="1">
        <f t="array" ref="O1209">_xlfn.IFS(
    M1209=0,0,
   ABS(N1209 - S1208 - P1209-Q1209) &lt; 1, N1209 - S1208-Q1209,
    TRUE, P1209
)</f>
        <v>0</v>
      </c>
      <c r="P1209" s="1852">
        <f>IF(M1209=0,0,ROUND(S1208*EXP(Int_Rate/365.25 * M1209)-S1208,2))</f>
        <v>0</v>
      </c>
      <c r="Q1209" s="1851" cm="1">
        <f t="array" ref="Q1209">_xlfn.IFS(
    AND(I1209=TRUE, K1209&lt;=No_Regular_Payments), Periodic_Admin_Charge,
   TRUE, 0
)</f>
        <v>0</v>
      </c>
      <c r="R1209" s="1850">
        <f>N1209-O1209-Q1209</f>
        <v>0</v>
      </c>
      <c r="S1209" s="1850">
        <f>ROUND(S1208-R1209,2)</f>
        <v>0</v>
      </c>
      <c r="T1209" s="1850">
        <f>ROUND(T1208-(N1209-Q1209),2)</f>
        <v>0</v>
      </c>
      <c r="U1209" s="1849"/>
      <c r="W1209" s="1848"/>
      <c r="X1209" s="1848"/>
      <c r="Y1209" s="1848"/>
    </row>
    <row r="1210" spans="2:25" hidden="1">
      <c r="B1210" s="1815" t="b">
        <f>AND(I1210=FALSE,N1209=0,Q1209=0,L1209="")</f>
        <v>1</v>
      </c>
      <c r="C1210" s="1844" t="str" cm="1">
        <f t="array" ref="C1210">_xlfn.IFS(
    L1210="", "",
    MONTH(L1210) &lt;= End_of_Year_Month, YEAR(L1210),
    TRUE, YEAR(L1210) + 1
)</f>
        <v/>
      </c>
      <c r="F1210" s="1857">
        <f>IF(L1210="",0,L1210)</f>
        <v>0</v>
      </c>
      <c r="G1210" s="1856">
        <f>-(N1210-Q1210)</f>
        <v>0</v>
      </c>
      <c r="I1210" s="1815" t="b">
        <f>K1210&lt;=Number_Payments</f>
        <v>0</v>
      </c>
      <c r="J1210" s="1855"/>
      <c r="K1210" s="1351">
        <f>K1209+1</f>
        <v>1084</v>
      </c>
      <c r="L1210" s="1854" t="str" cm="1">
        <f t="array" ref="L1210">_xlfn.IFS(
    I1209=FALSE, "",
    Payment_Frequency="Monthly", EDATE(L1209, 1),
    Payment_Frequency="Weekly", DATE(YEAR(L1209), MONTH(L1209), DAY(L1209) + 7),
    Payment_Frequency="Fortnightly", DATE(YEAR(L1209), MONTH(L1209), DAY(L1209) + 14),
    Payment_Frequency="Quarterly", DATE(YEAR(L1209), MONTH(L1209) + 3, DAY(L1209)),
    Payment_Frequency="Yearly", DATE(YEAR(L1209) + 1, MONTH(L1209), DAY(L1209)),
    TRUE, ""
)</f>
        <v/>
      </c>
      <c r="M1210" s="1853">
        <f>IF(ISERROR(L1210-L1209),0,L1210-L1209)</f>
        <v>0</v>
      </c>
      <c r="N1210" s="1851" cm="1">
        <f t="array" ref="N1210">_xlfn.IFS(
    AND(I1210=TRUE, K1210&lt;=No_Regular_Payments), Repay_Amt,
    AND(I1210=TRUE, K1210=No_Regular_Payments+1), Tm_Balloon_Amt,
   TRUE, 0
)</f>
        <v>0</v>
      </c>
      <c r="O1210" s="1850" cm="1">
        <f t="array" ref="O1210">_xlfn.IFS(
    M1210=0,0,
   ABS(N1210 - S1209 - P1210-Q1210) &lt; 1, N1210 - S1209-Q1210,
    TRUE, P1210
)</f>
        <v>0</v>
      </c>
      <c r="P1210" s="1852">
        <f>IF(M1210=0,0,ROUND(S1209*EXP(Int_Rate/365.25 * M1210)-S1209,2))</f>
        <v>0</v>
      </c>
      <c r="Q1210" s="1851" cm="1">
        <f t="array" ref="Q1210">_xlfn.IFS(
    AND(I1210=TRUE, K1210&lt;=No_Regular_Payments), Periodic_Admin_Charge,
   TRUE, 0
)</f>
        <v>0</v>
      </c>
      <c r="R1210" s="1850">
        <f>N1210-O1210-Q1210</f>
        <v>0</v>
      </c>
      <c r="S1210" s="1850">
        <f>ROUND(S1209-R1210,2)</f>
        <v>0</v>
      </c>
      <c r="T1210" s="1850">
        <f>ROUND(T1209-(N1210-Q1210),2)</f>
        <v>0</v>
      </c>
      <c r="U1210" s="1849"/>
      <c r="W1210" s="1848"/>
      <c r="X1210" s="1848"/>
      <c r="Y1210" s="1848"/>
    </row>
    <row r="1211" spans="2:25" hidden="1">
      <c r="B1211" s="1815" t="b">
        <f>AND(I1211=FALSE,N1210=0,Q1210=0,L1210="")</f>
        <v>1</v>
      </c>
      <c r="C1211" s="1844" t="str" cm="1">
        <f t="array" ref="C1211">_xlfn.IFS(
    L1211="", "",
    MONTH(L1211) &lt;= End_of_Year_Month, YEAR(L1211),
    TRUE, YEAR(L1211) + 1
)</f>
        <v/>
      </c>
      <c r="F1211" s="1857">
        <f>IF(L1211="",0,L1211)</f>
        <v>0</v>
      </c>
      <c r="G1211" s="1856">
        <f>-(N1211-Q1211)</f>
        <v>0</v>
      </c>
      <c r="I1211" s="1815" t="b">
        <f>K1211&lt;=Number_Payments</f>
        <v>0</v>
      </c>
      <c r="J1211" s="1855"/>
      <c r="K1211" s="1351">
        <f>K1210+1</f>
        <v>1085</v>
      </c>
      <c r="L1211" s="1854" t="str" cm="1">
        <f t="array" ref="L1211">_xlfn.IFS(
    I1210=FALSE, "",
    Payment_Frequency="Monthly", EDATE(L1210, 1),
    Payment_Frequency="Weekly", DATE(YEAR(L1210), MONTH(L1210), DAY(L1210) + 7),
    Payment_Frequency="Fortnightly", DATE(YEAR(L1210), MONTH(L1210), DAY(L1210) + 14),
    Payment_Frequency="Quarterly", DATE(YEAR(L1210), MONTH(L1210) + 3, DAY(L1210)),
    Payment_Frequency="Yearly", DATE(YEAR(L1210) + 1, MONTH(L1210), DAY(L1210)),
    TRUE, ""
)</f>
        <v/>
      </c>
      <c r="M1211" s="1853">
        <f>IF(ISERROR(L1211-L1210),0,L1211-L1210)</f>
        <v>0</v>
      </c>
      <c r="N1211" s="1851" cm="1">
        <f t="array" ref="N1211">_xlfn.IFS(
    AND(I1211=TRUE, K1211&lt;=No_Regular_Payments), Repay_Amt,
    AND(I1211=TRUE, K1211=No_Regular_Payments+1), Tm_Balloon_Amt,
   TRUE, 0
)</f>
        <v>0</v>
      </c>
      <c r="O1211" s="1850" cm="1">
        <f t="array" ref="O1211">_xlfn.IFS(
    M1211=0,0,
   ABS(N1211 - S1210 - P1211-Q1211) &lt; 1, N1211 - S1210-Q1211,
    TRUE, P1211
)</f>
        <v>0</v>
      </c>
      <c r="P1211" s="1852">
        <f>IF(M1211=0,0,ROUND(S1210*EXP(Int_Rate/365.25 * M1211)-S1210,2))</f>
        <v>0</v>
      </c>
      <c r="Q1211" s="1851" cm="1">
        <f t="array" ref="Q1211">_xlfn.IFS(
    AND(I1211=TRUE, K1211&lt;=No_Regular_Payments), Periodic_Admin_Charge,
   TRUE, 0
)</f>
        <v>0</v>
      </c>
      <c r="R1211" s="1850">
        <f>N1211-O1211-Q1211</f>
        <v>0</v>
      </c>
      <c r="S1211" s="1850">
        <f>ROUND(S1210-R1211,2)</f>
        <v>0</v>
      </c>
      <c r="T1211" s="1850">
        <f>ROUND(T1210-(N1211-Q1211),2)</f>
        <v>0</v>
      </c>
      <c r="U1211" s="1849"/>
      <c r="W1211" s="1848"/>
      <c r="X1211" s="1848"/>
      <c r="Y1211" s="1848"/>
    </row>
    <row r="1212" spans="2:25" hidden="1">
      <c r="B1212" s="1815" t="b">
        <f>AND(I1212=FALSE,N1211=0,Q1211=0,L1211="")</f>
        <v>1</v>
      </c>
      <c r="C1212" s="1844" t="str" cm="1">
        <f t="array" ref="C1212">_xlfn.IFS(
    L1212="", "",
    MONTH(L1212) &lt;= End_of_Year_Month, YEAR(L1212),
    TRUE, YEAR(L1212) + 1
)</f>
        <v/>
      </c>
      <c r="F1212" s="1857">
        <f>IF(L1212="",0,L1212)</f>
        <v>0</v>
      </c>
      <c r="G1212" s="1856">
        <f>-(N1212-Q1212)</f>
        <v>0</v>
      </c>
      <c r="I1212" s="1815" t="b">
        <f>K1212&lt;=Number_Payments</f>
        <v>0</v>
      </c>
      <c r="J1212" s="1855"/>
      <c r="K1212" s="1351">
        <f>K1211+1</f>
        <v>1086</v>
      </c>
      <c r="L1212" s="1854" t="str" cm="1">
        <f t="array" ref="L1212">_xlfn.IFS(
    I1211=FALSE, "",
    Payment_Frequency="Monthly", EDATE(L1211, 1),
    Payment_Frequency="Weekly", DATE(YEAR(L1211), MONTH(L1211), DAY(L1211) + 7),
    Payment_Frequency="Fortnightly", DATE(YEAR(L1211), MONTH(L1211), DAY(L1211) + 14),
    Payment_Frequency="Quarterly", DATE(YEAR(L1211), MONTH(L1211) + 3, DAY(L1211)),
    Payment_Frequency="Yearly", DATE(YEAR(L1211) + 1, MONTH(L1211), DAY(L1211)),
    TRUE, ""
)</f>
        <v/>
      </c>
      <c r="M1212" s="1853">
        <f>IF(ISERROR(L1212-L1211),0,L1212-L1211)</f>
        <v>0</v>
      </c>
      <c r="N1212" s="1851" cm="1">
        <f t="array" ref="N1212">_xlfn.IFS(
    AND(I1212=TRUE, K1212&lt;=No_Regular_Payments), Repay_Amt,
    AND(I1212=TRUE, K1212=No_Regular_Payments+1), Tm_Balloon_Amt,
   TRUE, 0
)</f>
        <v>0</v>
      </c>
      <c r="O1212" s="1850" cm="1">
        <f t="array" ref="O1212">_xlfn.IFS(
    M1212=0,0,
   ABS(N1212 - S1211 - P1212-Q1212) &lt; 1, N1212 - S1211-Q1212,
    TRUE, P1212
)</f>
        <v>0</v>
      </c>
      <c r="P1212" s="1852">
        <f>IF(M1212=0,0,ROUND(S1211*EXP(Int_Rate/365.25 * M1212)-S1211,2))</f>
        <v>0</v>
      </c>
      <c r="Q1212" s="1851" cm="1">
        <f t="array" ref="Q1212">_xlfn.IFS(
    AND(I1212=TRUE, K1212&lt;=No_Regular_Payments), Periodic_Admin_Charge,
   TRUE, 0
)</f>
        <v>0</v>
      </c>
      <c r="R1212" s="1850">
        <f>N1212-O1212-Q1212</f>
        <v>0</v>
      </c>
      <c r="S1212" s="1850">
        <f>ROUND(S1211-R1212,2)</f>
        <v>0</v>
      </c>
      <c r="T1212" s="1850">
        <f>ROUND(T1211-(N1212-Q1212),2)</f>
        <v>0</v>
      </c>
      <c r="U1212" s="1849"/>
      <c r="W1212" s="1848"/>
      <c r="X1212" s="1848"/>
      <c r="Y1212" s="1848"/>
    </row>
    <row r="1213" spans="2:25" hidden="1">
      <c r="B1213" s="1815" t="b">
        <f>AND(I1213=FALSE,N1212=0,Q1212=0,L1212="")</f>
        <v>1</v>
      </c>
      <c r="C1213" s="1844" t="str" cm="1">
        <f t="array" ref="C1213">_xlfn.IFS(
    L1213="", "",
    MONTH(L1213) &lt;= End_of_Year_Month, YEAR(L1213),
    TRUE, YEAR(L1213) + 1
)</f>
        <v/>
      </c>
      <c r="F1213" s="1857">
        <f>IF(L1213="",0,L1213)</f>
        <v>0</v>
      </c>
      <c r="G1213" s="1856">
        <f>-(N1213-Q1213)</f>
        <v>0</v>
      </c>
      <c r="I1213" s="1815" t="b">
        <f>K1213&lt;=Number_Payments</f>
        <v>0</v>
      </c>
      <c r="J1213" s="1855"/>
      <c r="K1213" s="1351">
        <f>K1212+1</f>
        <v>1087</v>
      </c>
      <c r="L1213" s="1854" t="str" cm="1">
        <f t="array" ref="L1213">_xlfn.IFS(
    I1212=FALSE, "",
    Payment_Frequency="Monthly", EDATE(L1212, 1),
    Payment_Frequency="Weekly", DATE(YEAR(L1212), MONTH(L1212), DAY(L1212) + 7),
    Payment_Frequency="Fortnightly", DATE(YEAR(L1212), MONTH(L1212), DAY(L1212) + 14),
    Payment_Frequency="Quarterly", DATE(YEAR(L1212), MONTH(L1212) + 3, DAY(L1212)),
    Payment_Frequency="Yearly", DATE(YEAR(L1212) + 1, MONTH(L1212), DAY(L1212)),
    TRUE, ""
)</f>
        <v/>
      </c>
      <c r="M1213" s="1853">
        <f>IF(ISERROR(L1213-L1212),0,L1213-L1212)</f>
        <v>0</v>
      </c>
      <c r="N1213" s="1851" cm="1">
        <f t="array" ref="N1213">_xlfn.IFS(
    AND(I1213=TRUE, K1213&lt;=No_Regular_Payments), Repay_Amt,
    AND(I1213=TRUE, K1213=No_Regular_Payments+1), Tm_Balloon_Amt,
   TRUE, 0
)</f>
        <v>0</v>
      </c>
      <c r="O1213" s="1850" cm="1">
        <f t="array" ref="O1213">_xlfn.IFS(
    M1213=0,0,
   ABS(N1213 - S1212 - P1213-Q1213) &lt; 1, N1213 - S1212-Q1213,
    TRUE, P1213
)</f>
        <v>0</v>
      </c>
      <c r="P1213" s="1852">
        <f>IF(M1213=0,0,ROUND(S1212*EXP(Int_Rate/365.25 * M1213)-S1212,2))</f>
        <v>0</v>
      </c>
      <c r="Q1213" s="1851" cm="1">
        <f t="array" ref="Q1213">_xlfn.IFS(
    AND(I1213=TRUE, K1213&lt;=No_Regular_Payments), Periodic_Admin_Charge,
   TRUE, 0
)</f>
        <v>0</v>
      </c>
      <c r="R1213" s="1850">
        <f>N1213-O1213-Q1213</f>
        <v>0</v>
      </c>
      <c r="S1213" s="1850">
        <f>ROUND(S1212-R1213,2)</f>
        <v>0</v>
      </c>
      <c r="T1213" s="1850">
        <f>ROUND(T1212-(N1213-Q1213),2)</f>
        <v>0</v>
      </c>
      <c r="U1213" s="1849"/>
      <c r="W1213" s="1848"/>
      <c r="X1213" s="1848"/>
      <c r="Y1213" s="1848"/>
    </row>
    <row r="1214" spans="2:25" hidden="1">
      <c r="B1214" s="1815" t="b">
        <f>AND(I1214=FALSE,N1213=0,Q1213=0,L1213="")</f>
        <v>1</v>
      </c>
      <c r="C1214" s="1844" t="str" cm="1">
        <f t="array" ref="C1214">_xlfn.IFS(
    L1214="", "",
    MONTH(L1214) &lt;= End_of_Year_Month, YEAR(L1214),
    TRUE, YEAR(L1214) + 1
)</f>
        <v/>
      </c>
      <c r="F1214" s="1857">
        <f>IF(L1214="",0,L1214)</f>
        <v>0</v>
      </c>
      <c r="G1214" s="1856">
        <f>-(N1214-Q1214)</f>
        <v>0</v>
      </c>
      <c r="I1214" s="1815" t="b">
        <f>K1214&lt;=Number_Payments</f>
        <v>0</v>
      </c>
      <c r="J1214" s="1855"/>
      <c r="K1214" s="1351">
        <f>K1213+1</f>
        <v>1088</v>
      </c>
      <c r="L1214" s="1854" t="str" cm="1">
        <f t="array" ref="L1214">_xlfn.IFS(
    I1213=FALSE, "",
    Payment_Frequency="Monthly", EDATE(L1213, 1),
    Payment_Frequency="Weekly", DATE(YEAR(L1213), MONTH(L1213), DAY(L1213) + 7),
    Payment_Frequency="Fortnightly", DATE(YEAR(L1213), MONTH(L1213), DAY(L1213) + 14),
    Payment_Frequency="Quarterly", DATE(YEAR(L1213), MONTH(L1213) + 3, DAY(L1213)),
    Payment_Frequency="Yearly", DATE(YEAR(L1213) + 1, MONTH(L1213), DAY(L1213)),
    TRUE, ""
)</f>
        <v/>
      </c>
      <c r="M1214" s="1853">
        <f>IF(ISERROR(L1214-L1213),0,L1214-L1213)</f>
        <v>0</v>
      </c>
      <c r="N1214" s="1851" cm="1">
        <f t="array" ref="N1214">_xlfn.IFS(
    AND(I1214=TRUE, K1214&lt;=No_Regular_Payments), Repay_Amt,
    AND(I1214=TRUE, K1214=No_Regular_Payments+1), Tm_Balloon_Amt,
   TRUE, 0
)</f>
        <v>0</v>
      </c>
      <c r="O1214" s="1850" cm="1">
        <f t="array" ref="O1214">_xlfn.IFS(
    M1214=0,0,
   ABS(N1214 - S1213 - P1214-Q1214) &lt; 1, N1214 - S1213-Q1214,
    TRUE, P1214
)</f>
        <v>0</v>
      </c>
      <c r="P1214" s="1852">
        <f>IF(M1214=0,0,ROUND(S1213*EXP(Int_Rate/365.25 * M1214)-S1213,2))</f>
        <v>0</v>
      </c>
      <c r="Q1214" s="1851" cm="1">
        <f t="array" ref="Q1214">_xlfn.IFS(
    AND(I1214=TRUE, K1214&lt;=No_Regular_Payments), Periodic_Admin_Charge,
   TRUE, 0
)</f>
        <v>0</v>
      </c>
      <c r="R1214" s="1850">
        <f>N1214-O1214-Q1214</f>
        <v>0</v>
      </c>
      <c r="S1214" s="1850">
        <f>ROUND(S1213-R1214,2)</f>
        <v>0</v>
      </c>
      <c r="T1214" s="1850">
        <f>ROUND(T1213-(N1214-Q1214),2)</f>
        <v>0</v>
      </c>
      <c r="U1214" s="1849"/>
      <c r="W1214" s="1848"/>
      <c r="X1214" s="1848"/>
      <c r="Y1214" s="1848"/>
    </row>
    <row r="1215" spans="2:25" hidden="1">
      <c r="B1215" s="1815" t="b">
        <f>AND(I1215=FALSE,N1214=0,Q1214=0,L1214="")</f>
        <v>1</v>
      </c>
      <c r="C1215" s="1844" t="str" cm="1">
        <f t="array" ref="C1215">_xlfn.IFS(
    L1215="", "",
    MONTH(L1215) &lt;= End_of_Year_Month, YEAR(L1215),
    TRUE, YEAR(L1215) + 1
)</f>
        <v/>
      </c>
      <c r="F1215" s="1857">
        <f>IF(L1215="",0,L1215)</f>
        <v>0</v>
      </c>
      <c r="G1215" s="1856">
        <f>-(N1215-Q1215)</f>
        <v>0</v>
      </c>
      <c r="I1215" s="1815" t="b">
        <f>K1215&lt;=Number_Payments</f>
        <v>0</v>
      </c>
      <c r="J1215" s="1855"/>
      <c r="K1215" s="1351">
        <f>K1214+1</f>
        <v>1089</v>
      </c>
      <c r="L1215" s="1854" t="str" cm="1">
        <f t="array" ref="L1215">_xlfn.IFS(
    I1214=FALSE, "",
    Payment_Frequency="Monthly", EDATE(L1214, 1),
    Payment_Frequency="Weekly", DATE(YEAR(L1214), MONTH(L1214), DAY(L1214) + 7),
    Payment_Frequency="Fortnightly", DATE(YEAR(L1214), MONTH(L1214), DAY(L1214) + 14),
    Payment_Frequency="Quarterly", DATE(YEAR(L1214), MONTH(L1214) + 3, DAY(L1214)),
    Payment_Frequency="Yearly", DATE(YEAR(L1214) + 1, MONTH(L1214), DAY(L1214)),
    TRUE, ""
)</f>
        <v/>
      </c>
      <c r="M1215" s="1853">
        <f>IF(ISERROR(L1215-L1214),0,L1215-L1214)</f>
        <v>0</v>
      </c>
      <c r="N1215" s="1851" cm="1">
        <f t="array" ref="N1215">_xlfn.IFS(
    AND(I1215=TRUE, K1215&lt;=No_Regular_Payments), Repay_Amt,
    AND(I1215=TRUE, K1215=No_Regular_Payments+1), Tm_Balloon_Amt,
   TRUE, 0
)</f>
        <v>0</v>
      </c>
      <c r="O1215" s="1850" cm="1">
        <f t="array" ref="O1215">_xlfn.IFS(
    M1215=0,0,
   ABS(N1215 - S1214 - P1215-Q1215) &lt; 1, N1215 - S1214-Q1215,
    TRUE, P1215
)</f>
        <v>0</v>
      </c>
      <c r="P1215" s="1852">
        <f>IF(M1215=0,0,ROUND(S1214*EXP(Int_Rate/365.25 * M1215)-S1214,2))</f>
        <v>0</v>
      </c>
      <c r="Q1215" s="1851" cm="1">
        <f t="array" ref="Q1215">_xlfn.IFS(
    AND(I1215=TRUE, K1215&lt;=No_Regular_Payments), Periodic_Admin_Charge,
   TRUE, 0
)</f>
        <v>0</v>
      </c>
      <c r="R1215" s="1850">
        <f>N1215-O1215-Q1215</f>
        <v>0</v>
      </c>
      <c r="S1215" s="1850">
        <f>ROUND(S1214-R1215,2)</f>
        <v>0</v>
      </c>
      <c r="T1215" s="1850">
        <f>ROUND(T1214-(N1215-Q1215),2)</f>
        <v>0</v>
      </c>
      <c r="U1215" s="1849"/>
      <c r="W1215" s="1848"/>
      <c r="X1215" s="1848"/>
      <c r="Y1215" s="1848"/>
    </row>
    <row r="1216" spans="2:25" hidden="1">
      <c r="B1216" s="1815" t="b">
        <f>AND(I1216=FALSE,N1215=0,Q1215=0,L1215="")</f>
        <v>1</v>
      </c>
      <c r="C1216" s="1844" t="str" cm="1">
        <f t="array" ref="C1216">_xlfn.IFS(
    L1216="", "",
    MONTH(L1216) &lt;= End_of_Year_Month, YEAR(L1216),
    TRUE, YEAR(L1216) + 1
)</f>
        <v/>
      </c>
      <c r="F1216" s="1857">
        <f>IF(L1216="",0,L1216)</f>
        <v>0</v>
      </c>
      <c r="G1216" s="1856">
        <f>-(N1216-Q1216)</f>
        <v>0</v>
      </c>
      <c r="I1216" s="1815" t="b">
        <f>K1216&lt;=Number_Payments</f>
        <v>0</v>
      </c>
      <c r="J1216" s="1855"/>
      <c r="K1216" s="1351">
        <f>K1215+1</f>
        <v>1090</v>
      </c>
      <c r="L1216" s="1854" t="str" cm="1">
        <f t="array" ref="L1216">_xlfn.IFS(
    I1215=FALSE, "",
    Payment_Frequency="Monthly", EDATE(L1215, 1),
    Payment_Frequency="Weekly", DATE(YEAR(L1215), MONTH(L1215), DAY(L1215) + 7),
    Payment_Frequency="Fortnightly", DATE(YEAR(L1215), MONTH(L1215), DAY(L1215) + 14),
    Payment_Frequency="Quarterly", DATE(YEAR(L1215), MONTH(L1215) + 3, DAY(L1215)),
    Payment_Frequency="Yearly", DATE(YEAR(L1215) + 1, MONTH(L1215), DAY(L1215)),
    TRUE, ""
)</f>
        <v/>
      </c>
      <c r="M1216" s="1853">
        <f>IF(ISERROR(L1216-L1215),0,L1216-L1215)</f>
        <v>0</v>
      </c>
      <c r="N1216" s="1851" cm="1">
        <f t="array" ref="N1216">_xlfn.IFS(
    AND(I1216=TRUE, K1216&lt;=No_Regular_Payments), Repay_Amt,
    AND(I1216=TRUE, K1216=No_Regular_Payments+1), Tm_Balloon_Amt,
   TRUE, 0
)</f>
        <v>0</v>
      </c>
      <c r="O1216" s="1850" cm="1">
        <f t="array" ref="O1216">_xlfn.IFS(
    M1216=0,0,
   ABS(N1216 - S1215 - P1216-Q1216) &lt; 1, N1216 - S1215-Q1216,
    TRUE, P1216
)</f>
        <v>0</v>
      </c>
      <c r="P1216" s="1852">
        <f>IF(M1216=0,0,ROUND(S1215*EXP(Int_Rate/365.25 * M1216)-S1215,2))</f>
        <v>0</v>
      </c>
      <c r="Q1216" s="1851" cm="1">
        <f t="array" ref="Q1216">_xlfn.IFS(
    AND(I1216=TRUE, K1216&lt;=No_Regular_Payments), Periodic_Admin_Charge,
   TRUE, 0
)</f>
        <v>0</v>
      </c>
      <c r="R1216" s="1850">
        <f>N1216-O1216-Q1216</f>
        <v>0</v>
      </c>
      <c r="S1216" s="1850">
        <f>ROUND(S1215-R1216,2)</f>
        <v>0</v>
      </c>
      <c r="T1216" s="1850">
        <f>ROUND(T1215-(N1216-Q1216),2)</f>
        <v>0</v>
      </c>
      <c r="U1216" s="1849"/>
      <c r="W1216" s="1848"/>
      <c r="X1216" s="1848"/>
      <c r="Y1216" s="1848"/>
    </row>
    <row r="1217" spans="2:25" hidden="1">
      <c r="B1217" s="1815" t="b">
        <f>AND(I1217=FALSE,N1216=0,Q1216=0,L1216="")</f>
        <v>1</v>
      </c>
      <c r="C1217" s="1844" t="str" cm="1">
        <f t="array" ref="C1217">_xlfn.IFS(
    L1217="", "",
    MONTH(L1217) &lt;= End_of_Year_Month, YEAR(L1217),
    TRUE, YEAR(L1217) + 1
)</f>
        <v/>
      </c>
      <c r="F1217" s="1857">
        <f>IF(L1217="",0,L1217)</f>
        <v>0</v>
      </c>
      <c r="G1217" s="1856">
        <f>-(N1217-Q1217)</f>
        <v>0</v>
      </c>
      <c r="I1217" s="1815" t="b">
        <f>K1217&lt;=Number_Payments</f>
        <v>0</v>
      </c>
      <c r="J1217" s="1855"/>
      <c r="K1217" s="1351">
        <f>K1216+1</f>
        <v>1091</v>
      </c>
      <c r="L1217" s="1854" t="str" cm="1">
        <f t="array" ref="L1217">_xlfn.IFS(
    I1216=FALSE, "",
    Payment_Frequency="Monthly", EDATE(L1216, 1),
    Payment_Frequency="Weekly", DATE(YEAR(L1216), MONTH(L1216), DAY(L1216) + 7),
    Payment_Frequency="Fortnightly", DATE(YEAR(L1216), MONTH(L1216), DAY(L1216) + 14),
    Payment_Frequency="Quarterly", DATE(YEAR(L1216), MONTH(L1216) + 3, DAY(L1216)),
    Payment_Frequency="Yearly", DATE(YEAR(L1216) + 1, MONTH(L1216), DAY(L1216)),
    TRUE, ""
)</f>
        <v/>
      </c>
      <c r="M1217" s="1853">
        <f>IF(ISERROR(L1217-L1216),0,L1217-L1216)</f>
        <v>0</v>
      </c>
      <c r="N1217" s="1851" cm="1">
        <f t="array" ref="N1217">_xlfn.IFS(
    AND(I1217=TRUE, K1217&lt;=No_Regular_Payments), Repay_Amt,
    AND(I1217=TRUE, K1217=No_Regular_Payments+1), Tm_Balloon_Amt,
   TRUE, 0
)</f>
        <v>0</v>
      </c>
      <c r="O1217" s="1850" cm="1">
        <f t="array" ref="O1217">_xlfn.IFS(
    M1217=0,0,
   ABS(N1217 - S1216 - P1217-Q1217) &lt; 1, N1217 - S1216-Q1217,
    TRUE, P1217
)</f>
        <v>0</v>
      </c>
      <c r="P1217" s="1852">
        <f>IF(M1217=0,0,ROUND(S1216*EXP(Int_Rate/365.25 * M1217)-S1216,2))</f>
        <v>0</v>
      </c>
      <c r="Q1217" s="1851" cm="1">
        <f t="array" ref="Q1217">_xlfn.IFS(
    AND(I1217=TRUE, K1217&lt;=No_Regular_Payments), Periodic_Admin_Charge,
   TRUE, 0
)</f>
        <v>0</v>
      </c>
      <c r="R1217" s="1850">
        <f>N1217-O1217-Q1217</f>
        <v>0</v>
      </c>
      <c r="S1217" s="1850">
        <f>ROUND(S1216-R1217,2)</f>
        <v>0</v>
      </c>
      <c r="T1217" s="1850">
        <f>ROUND(T1216-(N1217-Q1217),2)</f>
        <v>0</v>
      </c>
      <c r="U1217" s="1849"/>
      <c r="W1217" s="1848"/>
      <c r="X1217" s="1848"/>
      <c r="Y1217" s="1848"/>
    </row>
    <row r="1218" spans="2:25" hidden="1">
      <c r="B1218" s="1815" t="b">
        <f>AND(I1218=FALSE,N1217=0,Q1217=0,L1217="")</f>
        <v>1</v>
      </c>
      <c r="C1218" s="1844" t="str" cm="1">
        <f t="array" ref="C1218">_xlfn.IFS(
    L1218="", "",
    MONTH(L1218) &lt;= End_of_Year_Month, YEAR(L1218),
    TRUE, YEAR(L1218) + 1
)</f>
        <v/>
      </c>
      <c r="F1218" s="1857">
        <f>IF(L1218="",0,L1218)</f>
        <v>0</v>
      </c>
      <c r="G1218" s="1856">
        <f>-(N1218-Q1218)</f>
        <v>0</v>
      </c>
      <c r="I1218" s="1815" t="b">
        <f>K1218&lt;=Number_Payments</f>
        <v>0</v>
      </c>
      <c r="J1218" s="1855"/>
      <c r="K1218" s="1351">
        <f>K1217+1</f>
        <v>1092</v>
      </c>
      <c r="L1218" s="1854" t="str" cm="1">
        <f t="array" ref="L1218">_xlfn.IFS(
    I1217=FALSE, "",
    Payment_Frequency="Monthly", EDATE(L1217, 1),
    Payment_Frequency="Weekly", DATE(YEAR(L1217), MONTH(L1217), DAY(L1217) + 7),
    Payment_Frequency="Fortnightly", DATE(YEAR(L1217), MONTH(L1217), DAY(L1217) + 14),
    Payment_Frequency="Quarterly", DATE(YEAR(L1217), MONTH(L1217) + 3, DAY(L1217)),
    Payment_Frequency="Yearly", DATE(YEAR(L1217) + 1, MONTH(L1217), DAY(L1217)),
    TRUE, ""
)</f>
        <v/>
      </c>
      <c r="M1218" s="1853">
        <f>IF(ISERROR(L1218-L1217),0,L1218-L1217)</f>
        <v>0</v>
      </c>
      <c r="N1218" s="1851" cm="1">
        <f t="array" ref="N1218">_xlfn.IFS(
    AND(I1218=TRUE, K1218&lt;=No_Regular_Payments), Repay_Amt,
    AND(I1218=TRUE, K1218=No_Regular_Payments+1), Tm_Balloon_Amt,
   TRUE, 0
)</f>
        <v>0</v>
      </c>
      <c r="O1218" s="1850" cm="1">
        <f t="array" ref="O1218">_xlfn.IFS(
    M1218=0,0,
   ABS(N1218 - S1217 - P1218-Q1218) &lt; 1, N1218 - S1217-Q1218,
    TRUE, P1218
)</f>
        <v>0</v>
      </c>
      <c r="P1218" s="1852">
        <f>IF(M1218=0,0,ROUND(S1217*EXP(Int_Rate/365.25 * M1218)-S1217,2))</f>
        <v>0</v>
      </c>
      <c r="Q1218" s="1851" cm="1">
        <f t="array" ref="Q1218">_xlfn.IFS(
    AND(I1218=TRUE, K1218&lt;=No_Regular_Payments), Periodic_Admin_Charge,
   TRUE, 0
)</f>
        <v>0</v>
      </c>
      <c r="R1218" s="1850">
        <f>N1218-O1218-Q1218</f>
        <v>0</v>
      </c>
      <c r="S1218" s="1850">
        <f>ROUND(S1217-R1218,2)</f>
        <v>0</v>
      </c>
      <c r="T1218" s="1850">
        <f>ROUND(T1217-(N1218-Q1218),2)</f>
        <v>0</v>
      </c>
      <c r="U1218" s="1849"/>
      <c r="W1218" s="1848"/>
      <c r="X1218" s="1848"/>
      <c r="Y1218" s="1848"/>
    </row>
    <row r="1219" spans="2:25" hidden="1">
      <c r="B1219" s="1815" t="b">
        <f>AND(I1219=FALSE,N1218=0,Q1218=0,L1218="")</f>
        <v>1</v>
      </c>
      <c r="C1219" s="1844" t="str" cm="1">
        <f t="array" ref="C1219">_xlfn.IFS(
    L1219="", "",
    MONTH(L1219) &lt;= End_of_Year_Month, YEAR(L1219),
    TRUE, YEAR(L1219) + 1
)</f>
        <v/>
      </c>
      <c r="F1219" s="1857">
        <f>IF(L1219="",0,L1219)</f>
        <v>0</v>
      </c>
      <c r="G1219" s="1856">
        <f>-(N1219-Q1219)</f>
        <v>0</v>
      </c>
      <c r="I1219" s="1815" t="b">
        <f>K1219&lt;=Number_Payments</f>
        <v>0</v>
      </c>
      <c r="J1219" s="1855"/>
      <c r="K1219" s="1351">
        <f>K1218+1</f>
        <v>1093</v>
      </c>
      <c r="L1219" s="1854" t="str" cm="1">
        <f t="array" ref="L1219">_xlfn.IFS(
    I1218=FALSE, "",
    Payment_Frequency="Monthly", EDATE(L1218, 1),
    Payment_Frequency="Weekly", DATE(YEAR(L1218), MONTH(L1218), DAY(L1218) + 7),
    Payment_Frequency="Fortnightly", DATE(YEAR(L1218), MONTH(L1218), DAY(L1218) + 14),
    Payment_Frequency="Quarterly", DATE(YEAR(L1218), MONTH(L1218) + 3, DAY(L1218)),
    Payment_Frequency="Yearly", DATE(YEAR(L1218) + 1, MONTH(L1218), DAY(L1218)),
    TRUE, ""
)</f>
        <v/>
      </c>
      <c r="M1219" s="1853">
        <f>IF(ISERROR(L1219-L1218),0,L1219-L1218)</f>
        <v>0</v>
      </c>
      <c r="N1219" s="1851" cm="1">
        <f t="array" ref="N1219">_xlfn.IFS(
    AND(I1219=TRUE, K1219&lt;=No_Regular_Payments), Repay_Amt,
    AND(I1219=TRUE, K1219=No_Regular_Payments+1), Tm_Balloon_Amt,
   TRUE, 0
)</f>
        <v>0</v>
      </c>
      <c r="O1219" s="1850" cm="1">
        <f t="array" ref="O1219">_xlfn.IFS(
    M1219=0,0,
   ABS(N1219 - S1218 - P1219-Q1219) &lt; 1, N1219 - S1218-Q1219,
    TRUE, P1219
)</f>
        <v>0</v>
      </c>
      <c r="P1219" s="1852">
        <f>IF(M1219=0,0,ROUND(S1218*EXP(Int_Rate/365.25 * M1219)-S1218,2))</f>
        <v>0</v>
      </c>
      <c r="Q1219" s="1851" cm="1">
        <f t="array" ref="Q1219">_xlfn.IFS(
    AND(I1219=TRUE, K1219&lt;=No_Regular_Payments), Periodic_Admin_Charge,
   TRUE, 0
)</f>
        <v>0</v>
      </c>
      <c r="R1219" s="1850">
        <f>N1219-O1219-Q1219</f>
        <v>0</v>
      </c>
      <c r="S1219" s="1850">
        <f>ROUND(S1218-R1219,2)</f>
        <v>0</v>
      </c>
      <c r="T1219" s="1850">
        <f>ROUND(T1218-(N1219-Q1219),2)</f>
        <v>0</v>
      </c>
      <c r="U1219" s="1849"/>
      <c r="W1219" s="1848"/>
      <c r="X1219" s="1848"/>
      <c r="Y1219" s="1848"/>
    </row>
    <row r="1220" spans="2:25" hidden="1">
      <c r="B1220" s="1815" t="b">
        <f>AND(I1220=FALSE,N1219=0,Q1219=0,L1219="")</f>
        <v>1</v>
      </c>
      <c r="C1220" s="1844" t="str" cm="1">
        <f t="array" ref="C1220">_xlfn.IFS(
    L1220="", "",
    MONTH(L1220) &lt;= End_of_Year_Month, YEAR(L1220),
    TRUE, YEAR(L1220) + 1
)</f>
        <v/>
      </c>
      <c r="F1220" s="1857">
        <f>IF(L1220="",0,L1220)</f>
        <v>0</v>
      </c>
      <c r="G1220" s="1856">
        <f>-(N1220-Q1220)</f>
        <v>0</v>
      </c>
      <c r="I1220" s="1815" t="b">
        <f>K1220&lt;=Number_Payments</f>
        <v>0</v>
      </c>
      <c r="J1220" s="1855"/>
      <c r="K1220" s="1351">
        <f>K1219+1</f>
        <v>1094</v>
      </c>
      <c r="L1220" s="1854" t="str" cm="1">
        <f t="array" ref="L1220">_xlfn.IFS(
    I1219=FALSE, "",
    Payment_Frequency="Monthly", EDATE(L1219, 1),
    Payment_Frequency="Weekly", DATE(YEAR(L1219), MONTH(L1219), DAY(L1219) + 7),
    Payment_Frequency="Fortnightly", DATE(YEAR(L1219), MONTH(L1219), DAY(L1219) + 14),
    Payment_Frequency="Quarterly", DATE(YEAR(L1219), MONTH(L1219) + 3, DAY(L1219)),
    Payment_Frequency="Yearly", DATE(YEAR(L1219) + 1, MONTH(L1219), DAY(L1219)),
    TRUE, ""
)</f>
        <v/>
      </c>
      <c r="M1220" s="1853">
        <f>IF(ISERROR(L1220-L1219),0,L1220-L1219)</f>
        <v>0</v>
      </c>
      <c r="N1220" s="1851" cm="1">
        <f t="array" ref="N1220">_xlfn.IFS(
    AND(I1220=TRUE, K1220&lt;=No_Regular_Payments), Repay_Amt,
    AND(I1220=TRUE, K1220=No_Regular_Payments+1), Tm_Balloon_Amt,
   TRUE, 0
)</f>
        <v>0</v>
      </c>
      <c r="O1220" s="1850" cm="1">
        <f t="array" ref="O1220">_xlfn.IFS(
    M1220=0,0,
   ABS(N1220 - S1219 - P1220-Q1220) &lt; 1, N1220 - S1219-Q1220,
    TRUE, P1220
)</f>
        <v>0</v>
      </c>
      <c r="P1220" s="1852">
        <f>IF(M1220=0,0,ROUND(S1219*EXP(Int_Rate/365.25 * M1220)-S1219,2))</f>
        <v>0</v>
      </c>
      <c r="Q1220" s="1851" cm="1">
        <f t="array" ref="Q1220">_xlfn.IFS(
    AND(I1220=TRUE, K1220&lt;=No_Regular_Payments), Periodic_Admin_Charge,
   TRUE, 0
)</f>
        <v>0</v>
      </c>
      <c r="R1220" s="1850">
        <f>N1220-O1220-Q1220</f>
        <v>0</v>
      </c>
      <c r="S1220" s="1850">
        <f>ROUND(S1219-R1220,2)</f>
        <v>0</v>
      </c>
      <c r="T1220" s="1850">
        <f>ROUND(T1219-(N1220-Q1220),2)</f>
        <v>0</v>
      </c>
      <c r="U1220" s="1849"/>
      <c r="W1220" s="1848"/>
      <c r="X1220" s="1848"/>
      <c r="Y1220" s="1848"/>
    </row>
    <row r="1221" spans="2:25" hidden="1">
      <c r="B1221" s="1815" t="b">
        <f>AND(I1221=FALSE,N1220=0,Q1220=0,L1220="")</f>
        <v>1</v>
      </c>
      <c r="C1221" s="1844" t="str" cm="1">
        <f t="array" ref="C1221">_xlfn.IFS(
    L1221="", "",
    MONTH(L1221) &lt;= End_of_Year_Month, YEAR(L1221),
    TRUE, YEAR(L1221) + 1
)</f>
        <v/>
      </c>
      <c r="F1221" s="1857">
        <f>IF(L1221="",0,L1221)</f>
        <v>0</v>
      </c>
      <c r="G1221" s="1856">
        <f>-(N1221-Q1221)</f>
        <v>0</v>
      </c>
      <c r="I1221" s="1815" t="b">
        <f>K1221&lt;=Number_Payments</f>
        <v>0</v>
      </c>
      <c r="J1221" s="1855"/>
      <c r="K1221" s="1351">
        <f>K1220+1</f>
        <v>1095</v>
      </c>
      <c r="L1221" s="1854" t="str" cm="1">
        <f t="array" ref="L1221">_xlfn.IFS(
    I1220=FALSE, "",
    Payment_Frequency="Monthly", EDATE(L1220, 1),
    Payment_Frequency="Weekly", DATE(YEAR(L1220), MONTH(L1220), DAY(L1220) + 7),
    Payment_Frequency="Fortnightly", DATE(YEAR(L1220), MONTH(L1220), DAY(L1220) + 14),
    Payment_Frequency="Quarterly", DATE(YEAR(L1220), MONTH(L1220) + 3, DAY(L1220)),
    Payment_Frequency="Yearly", DATE(YEAR(L1220) + 1, MONTH(L1220), DAY(L1220)),
    TRUE, ""
)</f>
        <v/>
      </c>
      <c r="M1221" s="1853">
        <f>IF(ISERROR(L1221-L1220),0,L1221-L1220)</f>
        <v>0</v>
      </c>
      <c r="N1221" s="1851" cm="1">
        <f t="array" ref="N1221">_xlfn.IFS(
    AND(I1221=TRUE, K1221&lt;=No_Regular_Payments), Repay_Amt,
    AND(I1221=TRUE, K1221=No_Regular_Payments+1), Tm_Balloon_Amt,
   TRUE, 0
)</f>
        <v>0</v>
      </c>
      <c r="O1221" s="1850" cm="1">
        <f t="array" ref="O1221">_xlfn.IFS(
    M1221=0,0,
   ABS(N1221 - S1220 - P1221-Q1221) &lt; 1, N1221 - S1220-Q1221,
    TRUE, P1221
)</f>
        <v>0</v>
      </c>
      <c r="P1221" s="1852">
        <f>IF(M1221=0,0,ROUND(S1220*EXP(Int_Rate/365.25 * M1221)-S1220,2))</f>
        <v>0</v>
      </c>
      <c r="Q1221" s="1851" cm="1">
        <f t="array" ref="Q1221">_xlfn.IFS(
    AND(I1221=TRUE, K1221&lt;=No_Regular_Payments), Periodic_Admin_Charge,
   TRUE, 0
)</f>
        <v>0</v>
      </c>
      <c r="R1221" s="1850">
        <f>N1221-O1221-Q1221</f>
        <v>0</v>
      </c>
      <c r="S1221" s="1850">
        <f>ROUND(S1220-R1221,2)</f>
        <v>0</v>
      </c>
      <c r="T1221" s="1850">
        <f>ROUND(T1220-(N1221-Q1221),2)</f>
        <v>0</v>
      </c>
      <c r="U1221" s="1849"/>
      <c r="W1221" s="1848"/>
      <c r="X1221" s="1848"/>
      <c r="Y1221" s="1848"/>
    </row>
    <row r="1222" spans="2:25" hidden="1">
      <c r="B1222" s="1815" t="b">
        <f>AND(I1222=FALSE,N1221=0,Q1221=0,L1221="")</f>
        <v>1</v>
      </c>
      <c r="C1222" s="1844" t="str" cm="1">
        <f t="array" ref="C1222">_xlfn.IFS(
    L1222="", "",
    MONTH(L1222) &lt;= End_of_Year_Month, YEAR(L1222),
    TRUE, YEAR(L1222) + 1
)</f>
        <v/>
      </c>
      <c r="F1222" s="1857">
        <f>IF(L1222="",0,L1222)</f>
        <v>0</v>
      </c>
      <c r="G1222" s="1856">
        <f>-(N1222-Q1222)</f>
        <v>0</v>
      </c>
      <c r="I1222" s="1815" t="b">
        <f>K1222&lt;=Number_Payments</f>
        <v>0</v>
      </c>
      <c r="J1222" s="1855"/>
      <c r="K1222" s="1351">
        <f>K1221+1</f>
        <v>1096</v>
      </c>
      <c r="L1222" s="1854" t="str" cm="1">
        <f t="array" ref="L1222">_xlfn.IFS(
    I1221=FALSE, "",
    Payment_Frequency="Monthly", EDATE(L1221, 1),
    Payment_Frequency="Weekly", DATE(YEAR(L1221), MONTH(L1221), DAY(L1221) + 7),
    Payment_Frequency="Fortnightly", DATE(YEAR(L1221), MONTH(L1221), DAY(L1221) + 14),
    Payment_Frequency="Quarterly", DATE(YEAR(L1221), MONTH(L1221) + 3, DAY(L1221)),
    Payment_Frequency="Yearly", DATE(YEAR(L1221) + 1, MONTH(L1221), DAY(L1221)),
    TRUE, ""
)</f>
        <v/>
      </c>
      <c r="M1222" s="1853">
        <f>IF(ISERROR(L1222-L1221),0,L1222-L1221)</f>
        <v>0</v>
      </c>
      <c r="N1222" s="1851" cm="1">
        <f t="array" ref="N1222">_xlfn.IFS(
    AND(I1222=TRUE, K1222&lt;=No_Regular_Payments), Repay_Amt,
    AND(I1222=TRUE, K1222=No_Regular_Payments+1), Tm_Balloon_Amt,
   TRUE, 0
)</f>
        <v>0</v>
      </c>
      <c r="O1222" s="1850" cm="1">
        <f t="array" ref="O1222">_xlfn.IFS(
    M1222=0,0,
   ABS(N1222 - S1221 - P1222-Q1222) &lt; 1, N1222 - S1221-Q1222,
    TRUE, P1222
)</f>
        <v>0</v>
      </c>
      <c r="P1222" s="1852">
        <f>IF(M1222=0,0,ROUND(S1221*EXP(Int_Rate/365.25 * M1222)-S1221,2))</f>
        <v>0</v>
      </c>
      <c r="Q1222" s="1851" cm="1">
        <f t="array" ref="Q1222">_xlfn.IFS(
    AND(I1222=TRUE, K1222&lt;=No_Regular_Payments), Periodic_Admin_Charge,
   TRUE, 0
)</f>
        <v>0</v>
      </c>
      <c r="R1222" s="1850">
        <f>N1222-O1222-Q1222</f>
        <v>0</v>
      </c>
      <c r="S1222" s="1850">
        <f>ROUND(S1221-R1222,2)</f>
        <v>0</v>
      </c>
      <c r="T1222" s="1850">
        <f>ROUND(T1221-(N1222-Q1222),2)</f>
        <v>0</v>
      </c>
      <c r="U1222" s="1849"/>
      <c r="W1222" s="1848"/>
      <c r="X1222" s="1848"/>
      <c r="Y1222" s="1848"/>
    </row>
    <row r="1223" spans="2:25" hidden="1">
      <c r="B1223" s="1815" t="b">
        <f>AND(I1223=FALSE,N1222=0,Q1222=0,L1222="")</f>
        <v>1</v>
      </c>
      <c r="C1223" s="1844" t="str" cm="1">
        <f t="array" ref="C1223">_xlfn.IFS(
    L1223="", "",
    MONTH(L1223) &lt;= End_of_Year_Month, YEAR(L1223),
    TRUE, YEAR(L1223) + 1
)</f>
        <v/>
      </c>
      <c r="F1223" s="1857">
        <f>IF(L1223="",0,L1223)</f>
        <v>0</v>
      </c>
      <c r="G1223" s="1856">
        <f>-(N1223-Q1223)</f>
        <v>0</v>
      </c>
      <c r="I1223" s="1815" t="b">
        <f>K1223&lt;=Number_Payments</f>
        <v>0</v>
      </c>
      <c r="J1223" s="1855"/>
      <c r="K1223" s="1351">
        <f>K1222+1</f>
        <v>1097</v>
      </c>
      <c r="L1223" s="1854" t="str" cm="1">
        <f t="array" ref="L1223">_xlfn.IFS(
    I1222=FALSE, "",
    Payment_Frequency="Monthly", EDATE(L1222, 1),
    Payment_Frequency="Weekly", DATE(YEAR(L1222), MONTH(L1222), DAY(L1222) + 7),
    Payment_Frequency="Fortnightly", DATE(YEAR(L1222), MONTH(L1222), DAY(L1222) + 14),
    Payment_Frequency="Quarterly", DATE(YEAR(L1222), MONTH(L1222) + 3, DAY(L1222)),
    Payment_Frequency="Yearly", DATE(YEAR(L1222) + 1, MONTH(L1222), DAY(L1222)),
    TRUE, ""
)</f>
        <v/>
      </c>
      <c r="M1223" s="1853">
        <f>IF(ISERROR(L1223-L1222),0,L1223-L1222)</f>
        <v>0</v>
      </c>
      <c r="N1223" s="1851" cm="1">
        <f t="array" ref="N1223">_xlfn.IFS(
    AND(I1223=TRUE, K1223&lt;=No_Regular_Payments), Repay_Amt,
    AND(I1223=TRUE, K1223=No_Regular_Payments+1), Tm_Balloon_Amt,
   TRUE, 0
)</f>
        <v>0</v>
      </c>
      <c r="O1223" s="1850" cm="1">
        <f t="array" ref="O1223">_xlfn.IFS(
    M1223=0,0,
   ABS(N1223 - S1222 - P1223-Q1223) &lt; 1, N1223 - S1222-Q1223,
    TRUE, P1223
)</f>
        <v>0</v>
      </c>
      <c r="P1223" s="1852">
        <f>IF(M1223=0,0,ROUND(S1222*EXP(Int_Rate/365.25 * M1223)-S1222,2))</f>
        <v>0</v>
      </c>
      <c r="Q1223" s="1851" cm="1">
        <f t="array" ref="Q1223">_xlfn.IFS(
    AND(I1223=TRUE, K1223&lt;=No_Regular_Payments), Periodic_Admin_Charge,
   TRUE, 0
)</f>
        <v>0</v>
      </c>
      <c r="R1223" s="1850">
        <f>N1223-O1223-Q1223</f>
        <v>0</v>
      </c>
      <c r="S1223" s="1850">
        <f>ROUND(S1222-R1223,2)</f>
        <v>0</v>
      </c>
      <c r="T1223" s="1850">
        <f>ROUND(T1222-(N1223-Q1223),2)</f>
        <v>0</v>
      </c>
      <c r="U1223" s="1849"/>
      <c r="W1223" s="1848"/>
      <c r="X1223" s="1848"/>
      <c r="Y1223" s="1848"/>
    </row>
    <row r="1224" spans="2:25" hidden="1">
      <c r="B1224" s="1815" t="b">
        <f>AND(I1224=FALSE,N1223=0,Q1223=0,L1223="")</f>
        <v>1</v>
      </c>
      <c r="C1224" s="1844" t="str" cm="1">
        <f t="array" ref="C1224">_xlfn.IFS(
    L1224="", "",
    MONTH(L1224) &lt;= End_of_Year_Month, YEAR(L1224),
    TRUE, YEAR(L1224) + 1
)</f>
        <v/>
      </c>
      <c r="F1224" s="1857">
        <f>IF(L1224="",0,L1224)</f>
        <v>0</v>
      </c>
      <c r="G1224" s="1856">
        <f>-(N1224-Q1224)</f>
        <v>0</v>
      </c>
      <c r="I1224" s="1815" t="b">
        <f>K1224&lt;=Number_Payments</f>
        <v>0</v>
      </c>
      <c r="J1224" s="1855"/>
      <c r="K1224" s="1351">
        <f>K1223+1</f>
        <v>1098</v>
      </c>
      <c r="L1224" s="1854" t="str" cm="1">
        <f t="array" ref="L1224">_xlfn.IFS(
    I1223=FALSE, "",
    Payment_Frequency="Monthly", EDATE(L1223, 1),
    Payment_Frequency="Weekly", DATE(YEAR(L1223), MONTH(L1223), DAY(L1223) + 7),
    Payment_Frequency="Fortnightly", DATE(YEAR(L1223), MONTH(L1223), DAY(L1223) + 14),
    Payment_Frequency="Quarterly", DATE(YEAR(L1223), MONTH(L1223) + 3, DAY(L1223)),
    Payment_Frequency="Yearly", DATE(YEAR(L1223) + 1, MONTH(L1223), DAY(L1223)),
    TRUE, ""
)</f>
        <v/>
      </c>
      <c r="M1224" s="1853">
        <f>IF(ISERROR(L1224-L1223),0,L1224-L1223)</f>
        <v>0</v>
      </c>
      <c r="N1224" s="1851" cm="1">
        <f t="array" ref="N1224">_xlfn.IFS(
    AND(I1224=TRUE, K1224&lt;=No_Regular_Payments), Repay_Amt,
    AND(I1224=TRUE, K1224=No_Regular_Payments+1), Tm_Balloon_Amt,
   TRUE, 0
)</f>
        <v>0</v>
      </c>
      <c r="O1224" s="1850" cm="1">
        <f t="array" ref="O1224">_xlfn.IFS(
    M1224=0,0,
   ABS(N1224 - S1223 - P1224-Q1224) &lt; 1, N1224 - S1223-Q1224,
    TRUE, P1224
)</f>
        <v>0</v>
      </c>
      <c r="P1224" s="1852">
        <f>IF(M1224=0,0,ROUND(S1223*EXP(Int_Rate/365.25 * M1224)-S1223,2))</f>
        <v>0</v>
      </c>
      <c r="Q1224" s="1851" cm="1">
        <f t="array" ref="Q1224">_xlfn.IFS(
    AND(I1224=TRUE, K1224&lt;=No_Regular_Payments), Periodic_Admin_Charge,
   TRUE, 0
)</f>
        <v>0</v>
      </c>
      <c r="R1224" s="1850">
        <f>N1224-O1224-Q1224</f>
        <v>0</v>
      </c>
      <c r="S1224" s="1850">
        <f>ROUND(S1223-R1224,2)</f>
        <v>0</v>
      </c>
      <c r="T1224" s="1850">
        <f>ROUND(T1223-(N1224-Q1224),2)</f>
        <v>0</v>
      </c>
      <c r="U1224" s="1849"/>
      <c r="W1224" s="1848"/>
      <c r="X1224" s="1848"/>
      <c r="Y1224" s="1848"/>
    </row>
    <row r="1225" spans="2:25" hidden="1">
      <c r="B1225" s="1815" t="b">
        <f>AND(I1225=FALSE,N1224=0,Q1224=0,L1224="")</f>
        <v>1</v>
      </c>
      <c r="C1225" s="1844" t="str" cm="1">
        <f t="array" ref="C1225">_xlfn.IFS(
    L1225="", "",
    MONTH(L1225) &lt;= End_of_Year_Month, YEAR(L1225),
    TRUE, YEAR(L1225) + 1
)</f>
        <v/>
      </c>
      <c r="F1225" s="1857">
        <f>IF(L1225="",0,L1225)</f>
        <v>0</v>
      </c>
      <c r="G1225" s="1856">
        <f>-(N1225-Q1225)</f>
        <v>0</v>
      </c>
      <c r="I1225" s="1815" t="b">
        <f>K1225&lt;=Number_Payments</f>
        <v>0</v>
      </c>
      <c r="J1225" s="1855"/>
      <c r="K1225" s="1351">
        <f>K1224+1</f>
        <v>1099</v>
      </c>
      <c r="L1225" s="1854" t="str" cm="1">
        <f t="array" ref="L1225">_xlfn.IFS(
    I1224=FALSE, "",
    Payment_Frequency="Monthly", EDATE(L1224, 1),
    Payment_Frequency="Weekly", DATE(YEAR(L1224), MONTH(L1224), DAY(L1224) + 7),
    Payment_Frequency="Fortnightly", DATE(YEAR(L1224), MONTH(L1224), DAY(L1224) + 14),
    Payment_Frequency="Quarterly", DATE(YEAR(L1224), MONTH(L1224) + 3, DAY(L1224)),
    Payment_Frequency="Yearly", DATE(YEAR(L1224) + 1, MONTH(L1224), DAY(L1224)),
    TRUE, ""
)</f>
        <v/>
      </c>
      <c r="M1225" s="1853">
        <f>IF(ISERROR(L1225-L1224),0,L1225-L1224)</f>
        <v>0</v>
      </c>
      <c r="N1225" s="1851" cm="1">
        <f t="array" ref="N1225">_xlfn.IFS(
    AND(I1225=TRUE, K1225&lt;=No_Regular_Payments), Repay_Amt,
    AND(I1225=TRUE, K1225=No_Regular_Payments+1), Tm_Balloon_Amt,
   TRUE, 0
)</f>
        <v>0</v>
      </c>
      <c r="O1225" s="1850" cm="1">
        <f t="array" ref="O1225">_xlfn.IFS(
    M1225=0,0,
   ABS(N1225 - S1224 - P1225-Q1225) &lt; 1, N1225 - S1224-Q1225,
    TRUE, P1225
)</f>
        <v>0</v>
      </c>
      <c r="P1225" s="1852">
        <f>IF(M1225=0,0,ROUND(S1224*EXP(Int_Rate/365.25 * M1225)-S1224,2))</f>
        <v>0</v>
      </c>
      <c r="Q1225" s="1851" cm="1">
        <f t="array" ref="Q1225">_xlfn.IFS(
    AND(I1225=TRUE, K1225&lt;=No_Regular_Payments), Periodic_Admin_Charge,
   TRUE, 0
)</f>
        <v>0</v>
      </c>
      <c r="R1225" s="1850">
        <f>N1225-O1225-Q1225</f>
        <v>0</v>
      </c>
      <c r="S1225" s="1850">
        <f>ROUND(S1224-R1225,2)</f>
        <v>0</v>
      </c>
      <c r="T1225" s="1850">
        <f>ROUND(T1224-(N1225-Q1225),2)</f>
        <v>0</v>
      </c>
      <c r="U1225" s="1849"/>
      <c r="W1225" s="1848"/>
      <c r="X1225" s="1848"/>
      <c r="Y1225" s="1848"/>
    </row>
    <row r="1226" spans="2:25" hidden="1">
      <c r="B1226" s="1815" t="b">
        <f>AND(I1226=FALSE,N1225=0,Q1225=0,L1225="")</f>
        <v>1</v>
      </c>
      <c r="C1226" s="1844" t="str" cm="1">
        <f t="array" ref="C1226">_xlfn.IFS(
    L1226="", "",
    MONTH(L1226) &lt;= End_of_Year_Month, YEAR(L1226),
    TRUE, YEAR(L1226) + 1
)</f>
        <v/>
      </c>
      <c r="F1226" s="1857">
        <f>IF(L1226="",0,L1226)</f>
        <v>0</v>
      </c>
      <c r="G1226" s="1856">
        <f>-(N1226-Q1226)</f>
        <v>0</v>
      </c>
      <c r="I1226" s="1815" t="b">
        <f>K1226&lt;=Number_Payments</f>
        <v>0</v>
      </c>
      <c r="J1226" s="1855"/>
      <c r="K1226" s="1351">
        <f>K1225+1</f>
        <v>1100</v>
      </c>
      <c r="L1226" s="1854" t="str" cm="1">
        <f t="array" ref="L1226">_xlfn.IFS(
    I1225=FALSE, "",
    Payment_Frequency="Monthly", EDATE(L1225, 1),
    Payment_Frequency="Weekly", DATE(YEAR(L1225), MONTH(L1225), DAY(L1225) + 7),
    Payment_Frequency="Fortnightly", DATE(YEAR(L1225), MONTH(L1225), DAY(L1225) + 14),
    Payment_Frequency="Quarterly", DATE(YEAR(L1225), MONTH(L1225) + 3, DAY(L1225)),
    Payment_Frequency="Yearly", DATE(YEAR(L1225) + 1, MONTH(L1225), DAY(L1225)),
    TRUE, ""
)</f>
        <v/>
      </c>
      <c r="M1226" s="1853">
        <f>IF(ISERROR(L1226-L1225),0,L1226-L1225)</f>
        <v>0</v>
      </c>
      <c r="N1226" s="1851" cm="1">
        <f t="array" ref="N1226">_xlfn.IFS(
    AND(I1226=TRUE, K1226&lt;=No_Regular_Payments), Repay_Amt,
    AND(I1226=TRUE, K1226=No_Regular_Payments+1), Tm_Balloon_Amt,
   TRUE, 0
)</f>
        <v>0</v>
      </c>
      <c r="O1226" s="1850" cm="1">
        <f t="array" ref="O1226">_xlfn.IFS(
    M1226=0,0,
   ABS(N1226 - S1225 - P1226-Q1226) &lt; 1, N1226 - S1225-Q1226,
    TRUE, P1226
)</f>
        <v>0</v>
      </c>
      <c r="P1226" s="1852">
        <f>IF(M1226=0,0,ROUND(S1225*EXP(Int_Rate/365.25 * M1226)-S1225,2))</f>
        <v>0</v>
      </c>
      <c r="Q1226" s="1851" cm="1">
        <f t="array" ref="Q1226">_xlfn.IFS(
    AND(I1226=TRUE, K1226&lt;=No_Regular_Payments), Periodic_Admin_Charge,
   TRUE, 0
)</f>
        <v>0</v>
      </c>
      <c r="R1226" s="1850">
        <f>N1226-O1226-Q1226</f>
        <v>0</v>
      </c>
      <c r="S1226" s="1850">
        <f>ROUND(S1225-R1226,2)</f>
        <v>0</v>
      </c>
      <c r="T1226" s="1850">
        <f>ROUND(T1225-(N1226-Q1226),2)</f>
        <v>0</v>
      </c>
      <c r="U1226" s="1849"/>
      <c r="W1226" s="1848"/>
      <c r="X1226" s="1848"/>
      <c r="Y1226" s="1848"/>
    </row>
    <row r="1227" spans="2:25" hidden="1">
      <c r="B1227" s="1815" t="b">
        <f>AND(I1227=FALSE,N1226=0,Q1226=0,L1226="")</f>
        <v>1</v>
      </c>
      <c r="C1227" s="1844" t="str" cm="1">
        <f t="array" ref="C1227">_xlfn.IFS(
    L1227="", "",
    MONTH(L1227) &lt;= End_of_Year_Month, YEAR(L1227),
    TRUE, YEAR(L1227) + 1
)</f>
        <v/>
      </c>
      <c r="F1227" s="1857">
        <f>IF(L1227="",0,L1227)</f>
        <v>0</v>
      </c>
      <c r="G1227" s="1856">
        <f>-(N1227-Q1227)</f>
        <v>0</v>
      </c>
      <c r="I1227" s="1815" t="b">
        <f>K1227&lt;=Number_Payments</f>
        <v>0</v>
      </c>
      <c r="J1227" s="1855"/>
      <c r="K1227" s="1351">
        <f>K1226+1</f>
        <v>1101</v>
      </c>
      <c r="L1227" s="1854" t="str" cm="1">
        <f t="array" ref="L1227">_xlfn.IFS(
    I1226=FALSE, "",
    Payment_Frequency="Monthly", EDATE(L1226, 1),
    Payment_Frequency="Weekly", DATE(YEAR(L1226), MONTH(L1226), DAY(L1226) + 7),
    Payment_Frequency="Fortnightly", DATE(YEAR(L1226), MONTH(L1226), DAY(L1226) + 14),
    Payment_Frequency="Quarterly", DATE(YEAR(L1226), MONTH(L1226) + 3, DAY(L1226)),
    Payment_Frequency="Yearly", DATE(YEAR(L1226) + 1, MONTH(L1226), DAY(L1226)),
    TRUE, ""
)</f>
        <v/>
      </c>
      <c r="M1227" s="1853">
        <f>IF(ISERROR(L1227-L1226),0,L1227-L1226)</f>
        <v>0</v>
      </c>
      <c r="N1227" s="1851" cm="1">
        <f t="array" ref="N1227">_xlfn.IFS(
    AND(I1227=TRUE, K1227&lt;=No_Regular_Payments), Repay_Amt,
    AND(I1227=TRUE, K1227=No_Regular_Payments+1), Tm_Balloon_Amt,
   TRUE, 0
)</f>
        <v>0</v>
      </c>
      <c r="O1227" s="1850" cm="1">
        <f t="array" ref="O1227">_xlfn.IFS(
    M1227=0,0,
   ABS(N1227 - S1226 - P1227-Q1227) &lt; 1, N1227 - S1226-Q1227,
    TRUE, P1227
)</f>
        <v>0</v>
      </c>
      <c r="P1227" s="1852">
        <f>IF(M1227=0,0,ROUND(S1226*EXP(Int_Rate/365.25 * M1227)-S1226,2))</f>
        <v>0</v>
      </c>
      <c r="Q1227" s="1851" cm="1">
        <f t="array" ref="Q1227">_xlfn.IFS(
    AND(I1227=TRUE, K1227&lt;=No_Regular_Payments), Periodic_Admin_Charge,
   TRUE, 0
)</f>
        <v>0</v>
      </c>
      <c r="R1227" s="1850">
        <f>N1227-O1227-Q1227</f>
        <v>0</v>
      </c>
      <c r="S1227" s="1850">
        <f>ROUND(S1226-R1227,2)</f>
        <v>0</v>
      </c>
      <c r="T1227" s="1850">
        <f>ROUND(T1226-(N1227-Q1227),2)</f>
        <v>0</v>
      </c>
      <c r="U1227" s="1849"/>
      <c r="W1227" s="1848"/>
      <c r="X1227" s="1848"/>
      <c r="Y1227" s="1848"/>
    </row>
    <row r="1228" spans="2:25" hidden="1">
      <c r="B1228" s="1815" t="b">
        <f>AND(I1228=FALSE,N1227=0,Q1227=0,L1227="")</f>
        <v>1</v>
      </c>
      <c r="C1228" s="1844" t="str" cm="1">
        <f t="array" ref="C1228">_xlfn.IFS(
    L1228="", "",
    MONTH(L1228) &lt;= End_of_Year_Month, YEAR(L1228),
    TRUE, YEAR(L1228) + 1
)</f>
        <v/>
      </c>
      <c r="F1228" s="1857">
        <f>IF(L1228="",0,L1228)</f>
        <v>0</v>
      </c>
      <c r="G1228" s="1856">
        <f>-(N1228-Q1228)</f>
        <v>0</v>
      </c>
      <c r="I1228" s="1815" t="b">
        <f>K1228&lt;=Number_Payments</f>
        <v>0</v>
      </c>
      <c r="J1228" s="1855"/>
      <c r="K1228" s="1351">
        <f>K1227+1</f>
        <v>1102</v>
      </c>
      <c r="L1228" s="1854" t="str" cm="1">
        <f t="array" ref="L1228">_xlfn.IFS(
    I1227=FALSE, "",
    Payment_Frequency="Monthly", EDATE(L1227, 1),
    Payment_Frequency="Weekly", DATE(YEAR(L1227), MONTH(L1227), DAY(L1227) + 7),
    Payment_Frequency="Fortnightly", DATE(YEAR(L1227), MONTH(L1227), DAY(L1227) + 14),
    Payment_Frequency="Quarterly", DATE(YEAR(L1227), MONTH(L1227) + 3, DAY(L1227)),
    Payment_Frequency="Yearly", DATE(YEAR(L1227) + 1, MONTH(L1227), DAY(L1227)),
    TRUE, ""
)</f>
        <v/>
      </c>
      <c r="M1228" s="1853">
        <f>IF(ISERROR(L1228-L1227),0,L1228-L1227)</f>
        <v>0</v>
      </c>
      <c r="N1228" s="1851" cm="1">
        <f t="array" ref="N1228">_xlfn.IFS(
    AND(I1228=TRUE, K1228&lt;=No_Regular_Payments), Repay_Amt,
    AND(I1228=TRUE, K1228=No_Regular_Payments+1), Tm_Balloon_Amt,
   TRUE, 0
)</f>
        <v>0</v>
      </c>
      <c r="O1228" s="1850" cm="1">
        <f t="array" ref="O1228">_xlfn.IFS(
    M1228=0,0,
   ABS(N1228 - S1227 - P1228-Q1228) &lt; 1, N1228 - S1227-Q1228,
    TRUE, P1228
)</f>
        <v>0</v>
      </c>
      <c r="P1228" s="1852">
        <f>IF(M1228=0,0,ROUND(S1227*EXP(Int_Rate/365.25 * M1228)-S1227,2))</f>
        <v>0</v>
      </c>
      <c r="Q1228" s="1851" cm="1">
        <f t="array" ref="Q1228">_xlfn.IFS(
    AND(I1228=TRUE, K1228&lt;=No_Regular_Payments), Periodic_Admin_Charge,
   TRUE, 0
)</f>
        <v>0</v>
      </c>
      <c r="R1228" s="1850">
        <f>N1228-O1228-Q1228</f>
        <v>0</v>
      </c>
      <c r="S1228" s="1850">
        <f>ROUND(S1227-R1228,2)</f>
        <v>0</v>
      </c>
      <c r="T1228" s="1850">
        <f>ROUND(T1227-(N1228-Q1228),2)</f>
        <v>0</v>
      </c>
      <c r="U1228" s="1849"/>
      <c r="W1228" s="1848"/>
      <c r="X1228" s="1848"/>
      <c r="Y1228" s="1848"/>
    </row>
    <row r="1229" spans="2:25" hidden="1">
      <c r="B1229" s="1815" t="b">
        <f>AND(I1229=FALSE,N1228=0,Q1228=0,L1228="")</f>
        <v>1</v>
      </c>
      <c r="C1229" s="1844" t="str" cm="1">
        <f t="array" ref="C1229">_xlfn.IFS(
    L1229="", "",
    MONTH(L1229) &lt;= End_of_Year_Month, YEAR(L1229),
    TRUE, YEAR(L1229) + 1
)</f>
        <v/>
      </c>
      <c r="F1229" s="1857">
        <f>IF(L1229="",0,L1229)</f>
        <v>0</v>
      </c>
      <c r="G1229" s="1856">
        <f>-(N1229-Q1229)</f>
        <v>0</v>
      </c>
      <c r="I1229" s="1815" t="b">
        <f>K1229&lt;=Number_Payments</f>
        <v>0</v>
      </c>
      <c r="J1229" s="1855"/>
      <c r="K1229" s="1351">
        <f>K1228+1</f>
        <v>1103</v>
      </c>
      <c r="L1229" s="1854" t="str" cm="1">
        <f t="array" ref="L1229">_xlfn.IFS(
    I1228=FALSE, "",
    Payment_Frequency="Monthly", EDATE(L1228, 1),
    Payment_Frequency="Weekly", DATE(YEAR(L1228), MONTH(L1228), DAY(L1228) + 7),
    Payment_Frequency="Fortnightly", DATE(YEAR(L1228), MONTH(L1228), DAY(L1228) + 14),
    Payment_Frequency="Quarterly", DATE(YEAR(L1228), MONTH(L1228) + 3, DAY(L1228)),
    Payment_Frequency="Yearly", DATE(YEAR(L1228) + 1, MONTH(L1228), DAY(L1228)),
    TRUE, ""
)</f>
        <v/>
      </c>
      <c r="M1229" s="1853">
        <f>IF(ISERROR(L1229-L1228),0,L1229-L1228)</f>
        <v>0</v>
      </c>
      <c r="N1229" s="1851" cm="1">
        <f t="array" ref="N1229">_xlfn.IFS(
    AND(I1229=TRUE, K1229&lt;=No_Regular_Payments), Repay_Amt,
    AND(I1229=TRUE, K1229=No_Regular_Payments+1), Tm_Balloon_Amt,
   TRUE, 0
)</f>
        <v>0</v>
      </c>
      <c r="O1229" s="1850" cm="1">
        <f t="array" ref="O1229">_xlfn.IFS(
    M1229=0,0,
   ABS(N1229 - S1228 - P1229-Q1229) &lt; 1, N1229 - S1228-Q1229,
    TRUE, P1229
)</f>
        <v>0</v>
      </c>
      <c r="P1229" s="1852">
        <f>IF(M1229=0,0,ROUND(S1228*EXP(Int_Rate/365.25 * M1229)-S1228,2))</f>
        <v>0</v>
      </c>
      <c r="Q1229" s="1851" cm="1">
        <f t="array" ref="Q1229">_xlfn.IFS(
    AND(I1229=TRUE, K1229&lt;=No_Regular_Payments), Periodic_Admin_Charge,
   TRUE, 0
)</f>
        <v>0</v>
      </c>
      <c r="R1229" s="1850">
        <f>N1229-O1229-Q1229</f>
        <v>0</v>
      </c>
      <c r="S1229" s="1850">
        <f>ROUND(S1228-R1229,2)</f>
        <v>0</v>
      </c>
      <c r="T1229" s="1850">
        <f>ROUND(T1228-(N1229-Q1229),2)</f>
        <v>0</v>
      </c>
      <c r="U1229" s="1849"/>
      <c r="W1229" s="1848"/>
      <c r="X1229" s="1848"/>
      <c r="Y1229" s="1848"/>
    </row>
    <row r="1230" spans="2:25" hidden="1">
      <c r="B1230" s="1815" t="b">
        <f>AND(I1230=FALSE,N1229=0,Q1229=0,L1229="")</f>
        <v>1</v>
      </c>
      <c r="C1230" s="1844" t="str" cm="1">
        <f t="array" ref="C1230">_xlfn.IFS(
    L1230="", "",
    MONTH(L1230) &lt;= End_of_Year_Month, YEAR(L1230),
    TRUE, YEAR(L1230) + 1
)</f>
        <v/>
      </c>
      <c r="F1230" s="1857">
        <f>IF(L1230="",0,L1230)</f>
        <v>0</v>
      </c>
      <c r="G1230" s="1856">
        <f>-(N1230-Q1230)</f>
        <v>0</v>
      </c>
      <c r="I1230" s="1815" t="b">
        <f>K1230&lt;=Number_Payments</f>
        <v>0</v>
      </c>
      <c r="J1230" s="1855"/>
      <c r="K1230" s="1351">
        <f>K1229+1</f>
        <v>1104</v>
      </c>
      <c r="L1230" s="1854" t="str" cm="1">
        <f t="array" ref="L1230">_xlfn.IFS(
    I1229=FALSE, "",
    Payment_Frequency="Monthly", EDATE(L1229, 1),
    Payment_Frequency="Weekly", DATE(YEAR(L1229), MONTH(L1229), DAY(L1229) + 7),
    Payment_Frequency="Fortnightly", DATE(YEAR(L1229), MONTH(L1229), DAY(L1229) + 14),
    Payment_Frequency="Quarterly", DATE(YEAR(L1229), MONTH(L1229) + 3, DAY(L1229)),
    Payment_Frequency="Yearly", DATE(YEAR(L1229) + 1, MONTH(L1229), DAY(L1229)),
    TRUE, ""
)</f>
        <v/>
      </c>
      <c r="M1230" s="1853">
        <f>IF(ISERROR(L1230-L1229),0,L1230-L1229)</f>
        <v>0</v>
      </c>
      <c r="N1230" s="1851" cm="1">
        <f t="array" ref="N1230">_xlfn.IFS(
    AND(I1230=TRUE, K1230&lt;=No_Regular_Payments), Repay_Amt,
    AND(I1230=TRUE, K1230=No_Regular_Payments+1), Tm_Balloon_Amt,
   TRUE, 0
)</f>
        <v>0</v>
      </c>
      <c r="O1230" s="1850" cm="1">
        <f t="array" ref="O1230">_xlfn.IFS(
    M1230=0,0,
   ABS(N1230 - S1229 - P1230-Q1230) &lt; 1, N1230 - S1229-Q1230,
    TRUE, P1230
)</f>
        <v>0</v>
      </c>
      <c r="P1230" s="1852">
        <f>IF(M1230=0,0,ROUND(S1229*EXP(Int_Rate/365.25 * M1230)-S1229,2))</f>
        <v>0</v>
      </c>
      <c r="Q1230" s="1851" cm="1">
        <f t="array" ref="Q1230">_xlfn.IFS(
    AND(I1230=TRUE, K1230&lt;=No_Regular_Payments), Periodic_Admin_Charge,
   TRUE, 0
)</f>
        <v>0</v>
      </c>
      <c r="R1230" s="1850">
        <f>N1230-O1230-Q1230</f>
        <v>0</v>
      </c>
      <c r="S1230" s="1850">
        <f>ROUND(S1229-R1230,2)</f>
        <v>0</v>
      </c>
      <c r="T1230" s="1850">
        <f>ROUND(T1229-(N1230-Q1230),2)</f>
        <v>0</v>
      </c>
      <c r="U1230" s="1849"/>
      <c r="W1230" s="1848"/>
      <c r="X1230" s="1848"/>
      <c r="Y1230" s="1848"/>
    </row>
    <row r="1231" spans="2:25" hidden="1">
      <c r="B1231" s="1815" t="b">
        <f>AND(I1231=FALSE,N1230=0,Q1230=0,L1230="")</f>
        <v>1</v>
      </c>
      <c r="C1231" s="1844" t="str" cm="1">
        <f t="array" ref="C1231">_xlfn.IFS(
    L1231="", "",
    MONTH(L1231) &lt;= End_of_Year_Month, YEAR(L1231),
    TRUE, YEAR(L1231) + 1
)</f>
        <v/>
      </c>
      <c r="F1231" s="1857">
        <f>IF(L1231="",0,L1231)</f>
        <v>0</v>
      </c>
      <c r="G1231" s="1856">
        <f>-(N1231-Q1231)</f>
        <v>0</v>
      </c>
      <c r="I1231" s="1815" t="b">
        <f>K1231&lt;=Number_Payments</f>
        <v>0</v>
      </c>
      <c r="J1231" s="1855"/>
      <c r="K1231" s="1351">
        <f>K1230+1</f>
        <v>1105</v>
      </c>
      <c r="L1231" s="1854" t="str" cm="1">
        <f t="array" ref="L1231">_xlfn.IFS(
    I1230=FALSE, "",
    Payment_Frequency="Monthly", EDATE(L1230, 1),
    Payment_Frequency="Weekly", DATE(YEAR(L1230), MONTH(L1230), DAY(L1230) + 7),
    Payment_Frequency="Fortnightly", DATE(YEAR(L1230), MONTH(L1230), DAY(L1230) + 14),
    Payment_Frequency="Quarterly", DATE(YEAR(L1230), MONTH(L1230) + 3, DAY(L1230)),
    Payment_Frequency="Yearly", DATE(YEAR(L1230) + 1, MONTH(L1230), DAY(L1230)),
    TRUE, ""
)</f>
        <v/>
      </c>
      <c r="M1231" s="1853">
        <f>IF(ISERROR(L1231-L1230),0,L1231-L1230)</f>
        <v>0</v>
      </c>
      <c r="N1231" s="1851" cm="1">
        <f t="array" ref="N1231">_xlfn.IFS(
    AND(I1231=TRUE, K1231&lt;=No_Regular_Payments), Repay_Amt,
    AND(I1231=TRUE, K1231=No_Regular_Payments+1), Tm_Balloon_Amt,
   TRUE, 0
)</f>
        <v>0</v>
      </c>
      <c r="O1231" s="1850" cm="1">
        <f t="array" ref="O1231">_xlfn.IFS(
    M1231=0,0,
   ABS(N1231 - S1230 - P1231-Q1231) &lt; 1, N1231 - S1230-Q1231,
    TRUE, P1231
)</f>
        <v>0</v>
      </c>
      <c r="P1231" s="1852">
        <f>IF(M1231=0,0,ROUND(S1230*EXP(Int_Rate/365.25 * M1231)-S1230,2))</f>
        <v>0</v>
      </c>
      <c r="Q1231" s="1851" cm="1">
        <f t="array" ref="Q1231">_xlfn.IFS(
    AND(I1231=TRUE, K1231&lt;=No_Regular_Payments), Periodic_Admin_Charge,
   TRUE, 0
)</f>
        <v>0</v>
      </c>
      <c r="R1231" s="1850">
        <f>N1231-O1231-Q1231</f>
        <v>0</v>
      </c>
      <c r="S1231" s="1850">
        <f>ROUND(S1230-R1231,2)</f>
        <v>0</v>
      </c>
      <c r="T1231" s="1850">
        <f>ROUND(T1230-(N1231-Q1231),2)</f>
        <v>0</v>
      </c>
      <c r="U1231" s="1849"/>
      <c r="W1231" s="1848"/>
      <c r="X1231" s="1848"/>
      <c r="Y1231" s="1848"/>
    </row>
    <row r="1232" spans="2:25" hidden="1">
      <c r="B1232" s="1815" t="b">
        <f>AND(I1232=FALSE,N1231=0,Q1231=0,L1231="")</f>
        <v>1</v>
      </c>
      <c r="C1232" s="1844" t="str" cm="1">
        <f t="array" ref="C1232">_xlfn.IFS(
    L1232="", "",
    MONTH(L1232) &lt;= End_of_Year_Month, YEAR(L1232),
    TRUE, YEAR(L1232) + 1
)</f>
        <v/>
      </c>
      <c r="F1232" s="1857">
        <f>IF(L1232="",0,L1232)</f>
        <v>0</v>
      </c>
      <c r="G1232" s="1856">
        <f>-(N1232-Q1232)</f>
        <v>0</v>
      </c>
      <c r="I1232" s="1815" t="b">
        <f>K1232&lt;=Number_Payments</f>
        <v>0</v>
      </c>
      <c r="J1232" s="1855"/>
      <c r="K1232" s="1351">
        <f>K1231+1</f>
        <v>1106</v>
      </c>
      <c r="L1232" s="1854" t="str" cm="1">
        <f t="array" ref="L1232">_xlfn.IFS(
    I1231=FALSE, "",
    Payment_Frequency="Monthly", EDATE(L1231, 1),
    Payment_Frequency="Weekly", DATE(YEAR(L1231), MONTH(L1231), DAY(L1231) + 7),
    Payment_Frequency="Fortnightly", DATE(YEAR(L1231), MONTH(L1231), DAY(L1231) + 14),
    Payment_Frequency="Quarterly", DATE(YEAR(L1231), MONTH(L1231) + 3, DAY(L1231)),
    Payment_Frequency="Yearly", DATE(YEAR(L1231) + 1, MONTH(L1231), DAY(L1231)),
    TRUE, ""
)</f>
        <v/>
      </c>
      <c r="M1232" s="1853">
        <f>IF(ISERROR(L1232-L1231),0,L1232-L1231)</f>
        <v>0</v>
      </c>
      <c r="N1232" s="1851" cm="1">
        <f t="array" ref="N1232">_xlfn.IFS(
    AND(I1232=TRUE, K1232&lt;=No_Regular_Payments), Repay_Amt,
    AND(I1232=TRUE, K1232=No_Regular_Payments+1), Tm_Balloon_Amt,
   TRUE, 0
)</f>
        <v>0</v>
      </c>
      <c r="O1232" s="1850" cm="1">
        <f t="array" ref="O1232">_xlfn.IFS(
    M1232=0,0,
   ABS(N1232 - S1231 - P1232-Q1232) &lt; 1, N1232 - S1231-Q1232,
    TRUE, P1232
)</f>
        <v>0</v>
      </c>
      <c r="P1232" s="1852">
        <f>IF(M1232=0,0,ROUND(S1231*EXP(Int_Rate/365.25 * M1232)-S1231,2))</f>
        <v>0</v>
      </c>
      <c r="Q1232" s="1851" cm="1">
        <f t="array" ref="Q1232">_xlfn.IFS(
    AND(I1232=TRUE, K1232&lt;=No_Regular_Payments), Periodic_Admin_Charge,
   TRUE, 0
)</f>
        <v>0</v>
      </c>
      <c r="R1232" s="1850">
        <f>N1232-O1232-Q1232</f>
        <v>0</v>
      </c>
      <c r="S1232" s="1850">
        <f>ROUND(S1231-R1232,2)</f>
        <v>0</v>
      </c>
      <c r="T1232" s="1850">
        <f>ROUND(T1231-(N1232-Q1232),2)</f>
        <v>0</v>
      </c>
      <c r="U1232" s="1849"/>
      <c r="W1232" s="1848"/>
      <c r="X1232" s="1848"/>
      <c r="Y1232" s="1848"/>
    </row>
    <row r="1233" spans="2:25" hidden="1">
      <c r="B1233" s="1815" t="b">
        <f>AND(I1233=FALSE,N1232=0,Q1232=0,L1232="")</f>
        <v>1</v>
      </c>
      <c r="C1233" s="1844" t="str" cm="1">
        <f t="array" ref="C1233">_xlfn.IFS(
    L1233="", "",
    MONTH(L1233) &lt;= End_of_Year_Month, YEAR(L1233),
    TRUE, YEAR(L1233) + 1
)</f>
        <v/>
      </c>
      <c r="F1233" s="1857">
        <f>IF(L1233="",0,L1233)</f>
        <v>0</v>
      </c>
      <c r="G1233" s="1856">
        <f>-(N1233-Q1233)</f>
        <v>0</v>
      </c>
      <c r="I1233" s="1815" t="b">
        <f>K1233&lt;=Number_Payments</f>
        <v>0</v>
      </c>
      <c r="J1233" s="1855"/>
      <c r="K1233" s="1351">
        <f>K1232+1</f>
        <v>1107</v>
      </c>
      <c r="L1233" s="1854" t="str" cm="1">
        <f t="array" ref="L1233">_xlfn.IFS(
    I1232=FALSE, "",
    Payment_Frequency="Monthly", EDATE(L1232, 1),
    Payment_Frequency="Weekly", DATE(YEAR(L1232), MONTH(L1232), DAY(L1232) + 7),
    Payment_Frequency="Fortnightly", DATE(YEAR(L1232), MONTH(L1232), DAY(L1232) + 14),
    Payment_Frequency="Quarterly", DATE(YEAR(L1232), MONTH(L1232) + 3, DAY(L1232)),
    Payment_Frequency="Yearly", DATE(YEAR(L1232) + 1, MONTH(L1232), DAY(L1232)),
    TRUE, ""
)</f>
        <v/>
      </c>
      <c r="M1233" s="1853">
        <f>IF(ISERROR(L1233-L1232),0,L1233-L1232)</f>
        <v>0</v>
      </c>
      <c r="N1233" s="1851" cm="1">
        <f t="array" ref="N1233">_xlfn.IFS(
    AND(I1233=TRUE, K1233&lt;=No_Regular_Payments), Repay_Amt,
    AND(I1233=TRUE, K1233=No_Regular_Payments+1), Tm_Balloon_Amt,
   TRUE, 0
)</f>
        <v>0</v>
      </c>
      <c r="O1233" s="1850" cm="1">
        <f t="array" ref="O1233">_xlfn.IFS(
    M1233=0,0,
   ABS(N1233 - S1232 - P1233-Q1233) &lt; 1, N1233 - S1232-Q1233,
    TRUE, P1233
)</f>
        <v>0</v>
      </c>
      <c r="P1233" s="1852">
        <f>IF(M1233=0,0,ROUND(S1232*EXP(Int_Rate/365.25 * M1233)-S1232,2))</f>
        <v>0</v>
      </c>
      <c r="Q1233" s="1851" cm="1">
        <f t="array" ref="Q1233">_xlfn.IFS(
    AND(I1233=TRUE, K1233&lt;=No_Regular_Payments), Periodic_Admin_Charge,
   TRUE, 0
)</f>
        <v>0</v>
      </c>
      <c r="R1233" s="1850">
        <f>N1233-O1233-Q1233</f>
        <v>0</v>
      </c>
      <c r="S1233" s="1850">
        <f>ROUND(S1232-R1233,2)</f>
        <v>0</v>
      </c>
      <c r="T1233" s="1850">
        <f>ROUND(T1232-(N1233-Q1233),2)</f>
        <v>0</v>
      </c>
      <c r="U1233" s="1849"/>
      <c r="W1233" s="1848"/>
      <c r="X1233" s="1848"/>
      <c r="Y1233" s="1848"/>
    </row>
    <row r="1234" spans="2:25" hidden="1">
      <c r="B1234" s="1815" t="b">
        <f>AND(I1234=FALSE,N1233=0,Q1233=0,L1233="")</f>
        <v>1</v>
      </c>
      <c r="C1234" s="1844" t="str" cm="1">
        <f t="array" ref="C1234">_xlfn.IFS(
    L1234="", "",
    MONTH(L1234) &lt;= End_of_Year_Month, YEAR(L1234),
    TRUE, YEAR(L1234) + 1
)</f>
        <v/>
      </c>
      <c r="F1234" s="1857">
        <f>IF(L1234="",0,L1234)</f>
        <v>0</v>
      </c>
      <c r="G1234" s="1856">
        <f>-(N1234-Q1234)</f>
        <v>0</v>
      </c>
      <c r="I1234" s="1815" t="b">
        <f>K1234&lt;=Number_Payments</f>
        <v>0</v>
      </c>
      <c r="J1234" s="1855"/>
      <c r="K1234" s="1351">
        <f>K1233+1</f>
        <v>1108</v>
      </c>
      <c r="L1234" s="1854" t="str" cm="1">
        <f t="array" ref="L1234">_xlfn.IFS(
    I1233=FALSE, "",
    Payment_Frequency="Monthly", EDATE(L1233, 1),
    Payment_Frequency="Weekly", DATE(YEAR(L1233), MONTH(L1233), DAY(L1233) + 7),
    Payment_Frequency="Fortnightly", DATE(YEAR(L1233), MONTH(L1233), DAY(L1233) + 14),
    Payment_Frequency="Quarterly", DATE(YEAR(L1233), MONTH(L1233) + 3, DAY(L1233)),
    Payment_Frequency="Yearly", DATE(YEAR(L1233) + 1, MONTH(L1233), DAY(L1233)),
    TRUE, ""
)</f>
        <v/>
      </c>
      <c r="M1234" s="1853">
        <f>IF(ISERROR(L1234-L1233),0,L1234-L1233)</f>
        <v>0</v>
      </c>
      <c r="N1234" s="1851" cm="1">
        <f t="array" ref="N1234">_xlfn.IFS(
    AND(I1234=TRUE, K1234&lt;=No_Regular_Payments), Repay_Amt,
    AND(I1234=TRUE, K1234=No_Regular_Payments+1), Tm_Balloon_Amt,
   TRUE, 0
)</f>
        <v>0</v>
      </c>
      <c r="O1234" s="1850" cm="1">
        <f t="array" ref="O1234">_xlfn.IFS(
    M1234=0,0,
   ABS(N1234 - S1233 - P1234-Q1234) &lt; 1, N1234 - S1233-Q1234,
    TRUE, P1234
)</f>
        <v>0</v>
      </c>
      <c r="P1234" s="1852">
        <f>IF(M1234=0,0,ROUND(S1233*EXP(Int_Rate/365.25 * M1234)-S1233,2))</f>
        <v>0</v>
      </c>
      <c r="Q1234" s="1851" cm="1">
        <f t="array" ref="Q1234">_xlfn.IFS(
    AND(I1234=TRUE, K1234&lt;=No_Regular_Payments), Periodic_Admin_Charge,
   TRUE, 0
)</f>
        <v>0</v>
      </c>
      <c r="R1234" s="1850">
        <f>N1234-O1234-Q1234</f>
        <v>0</v>
      </c>
      <c r="S1234" s="1850">
        <f>ROUND(S1233-R1234,2)</f>
        <v>0</v>
      </c>
      <c r="T1234" s="1850">
        <f>ROUND(T1233-(N1234-Q1234),2)</f>
        <v>0</v>
      </c>
      <c r="U1234" s="1849"/>
      <c r="W1234" s="1848"/>
      <c r="X1234" s="1848"/>
      <c r="Y1234" s="1848"/>
    </row>
    <row r="1235" spans="2:25" hidden="1">
      <c r="B1235" s="1815" t="b">
        <f>AND(I1235=FALSE,N1234=0,Q1234=0,L1234="")</f>
        <v>1</v>
      </c>
      <c r="C1235" s="1844" t="str" cm="1">
        <f t="array" ref="C1235">_xlfn.IFS(
    L1235="", "",
    MONTH(L1235) &lt;= End_of_Year_Month, YEAR(L1235),
    TRUE, YEAR(L1235) + 1
)</f>
        <v/>
      </c>
      <c r="F1235" s="1857">
        <f>IF(L1235="",0,L1235)</f>
        <v>0</v>
      </c>
      <c r="G1235" s="1856">
        <f>-(N1235-Q1235)</f>
        <v>0</v>
      </c>
      <c r="I1235" s="1815" t="b">
        <f>K1235&lt;=Number_Payments</f>
        <v>0</v>
      </c>
      <c r="J1235" s="1855"/>
      <c r="K1235" s="1351">
        <f>K1234+1</f>
        <v>1109</v>
      </c>
      <c r="L1235" s="1854" t="str" cm="1">
        <f t="array" ref="L1235">_xlfn.IFS(
    I1234=FALSE, "",
    Payment_Frequency="Monthly", EDATE(L1234, 1),
    Payment_Frequency="Weekly", DATE(YEAR(L1234), MONTH(L1234), DAY(L1234) + 7),
    Payment_Frequency="Fortnightly", DATE(YEAR(L1234), MONTH(L1234), DAY(L1234) + 14),
    Payment_Frequency="Quarterly", DATE(YEAR(L1234), MONTH(L1234) + 3, DAY(L1234)),
    Payment_Frequency="Yearly", DATE(YEAR(L1234) + 1, MONTH(L1234), DAY(L1234)),
    TRUE, ""
)</f>
        <v/>
      </c>
      <c r="M1235" s="1853">
        <f>IF(ISERROR(L1235-L1234),0,L1235-L1234)</f>
        <v>0</v>
      </c>
      <c r="N1235" s="1851" cm="1">
        <f t="array" ref="N1235">_xlfn.IFS(
    AND(I1235=TRUE, K1235&lt;=No_Regular_Payments), Repay_Amt,
    AND(I1235=TRUE, K1235=No_Regular_Payments+1), Tm_Balloon_Amt,
   TRUE, 0
)</f>
        <v>0</v>
      </c>
      <c r="O1235" s="1850" cm="1">
        <f t="array" ref="O1235">_xlfn.IFS(
    M1235=0,0,
   ABS(N1235 - S1234 - P1235-Q1235) &lt; 1, N1235 - S1234-Q1235,
    TRUE, P1235
)</f>
        <v>0</v>
      </c>
      <c r="P1235" s="1852">
        <f>IF(M1235=0,0,ROUND(S1234*EXP(Int_Rate/365.25 * M1235)-S1234,2))</f>
        <v>0</v>
      </c>
      <c r="Q1235" s="1851" cm="1">
        <f t="array" ref="Q1235">_xlfn.IFS(
    AND(I1235=TRUE, K1235&lt;=No_Regular_Payments), Periodic_Admin_Charge,
   TRUE, 0
)</f>
        <v>0</v>
      </c>
      <c r="R1235" s="1850">
        <f>N1235-O1235-Q1235</f>
        <v>0</v>
      </c>
      <c r="S1235" s="1850">
        <f>ROUND(S1234-R1235,2)</f>
        <v>0</v>
      </c>
      <c r="T1235" s="1850">
        <f>ROUND(T1234-(N1235-Q1235),2)</f>
        <v>0</v>
      </c>
      <c r="U1235" s="1849"/>
      <c r="W1235" s="1848"/>
      <c r="X1235" s="1848"/>
      <c r="Y1235" s="1848"/>
    </row>
    <row r="1236" spans="2:25" hidden="1">
      <c r="B1236" s="1815" t="b">
        <f>AND(I1236=FALSE,N1235=0,Q1235=0,L1235="")</f>
        <v>1</v>
      </c>
      <c r="C1236" s="1844" t="str" cm="1">
        <f t="array" ref="C1236">_xlfn.IFS(
    L1236="", "",
    MONTH(L1236) &lt;= End_of_Year_Month, YEAR(L1236),
    TRUE, YEAR(L1236) + 1
)</f>
        <v/>
      </c>
      <c r="F1236" s="1857">
        <f>IF(L1236="",0,L1236)</f>
        <v>0</v>
      </c>
      <c r="G1236" s="1856">
        <f>-(N1236-Q1236)</f>
        <v>0</v>
      </c>
      <c r="I1236" s="1815" t="b">
        <f>K1236&lt;=Number_Payments</f>
        <v>0</v>
      </c>
      <c r="J1236" s="1855"/>
      <c r="K1236" s="1351">
        <f>K1235+1</f>
        <v>1110</v>
      </c>
      <c r="L1236" s="1854" t="str" cm="1">
        <f t="array" ref="L1236">_xlfn.IFS(
    I1235=FALSE, "",
    Payment_Frequency="Monthly", EDATE(L1235, 1),
    Payment_Frequency="Weekly", DATE(YEAR(L1235), MONTH(L1235), DAY(L1235) + 7),
    Payment_Frequency="Fortnightly", DATE(YEAR(L1235), MONTH(L1235), DAY(L1235) + 14),
    Payment_Frequency="Quarterly", DATE(YEAR(L1235), MONTH(L1235) + 3, DAY(L1235)),
    Payment_Frequency="Yearly", DATE(YEAR(L1235) + 1, MONTH(L1235), DAY(L1235)),
    TRUE, ""
)</f>
        <v/>
      </c>
      <c r="M1236" s="1853">
        <f>IF(ISERROR(L1236-L1235),0,L1236-L1235)</f>
        <v>0</v>
      </c>
      <c r="N1236" s="1851" cm="1">
        <f t="array" ref="N1236">_xlfn.IFS(
    AND(I1236=TRUE, K1236&lt;=No_Regular_Payments), Repay_Amt,
    AND(I1236=TRUE, K1236=No_Regular_Payments+1), Tm_Balloon_Amt,
   TRUE, 0
)</f>
        <v>0</v>
      </c>
      <c r="O1236" s="1850" cm="1">
        <f t="array" ref="O1236">_xlfn.IFS(
    M1236=0,0,
   ABS(N1236 - S1235 - P1236-Q1236) &lt; 1, N1236 - S1235-Q1236,
    TRUE, P1236
)</f>
        <v>0</v>
      </c>
      <c r="P1236" s="1852">
        <f>IF(M1236=0,0,ROUND(S1235*EXP(Int_Rate/365.25 * M1236)-S1235,2))</f>
        <v>0</v>
      </c>
      <c r="Q1236" s="1851" cm="1">
        <f t="array" ref="Q1236">_xlfn.IFS(
    AND(I1236=TRUE, K1236&lt;=No_Regular_Payments), Periodic_Admin_Charge,
   TRUE, 0
)</f>
        <v>0</v>
      </c>
      <c r="R1236" s="1850">
        <f>N1236-O1236-Q1236</f>
        <v>0</v>
      </c>
      <c r="S1236" s="1850">
        <f>ROUND(S1235-R1236,2)</f>
        <v>0</v>
      </c>
      <c r="T1236" s="1850">
        <f>ROUND(T1235-(N1236-Q1236),2)</f>
        <v>0</v>
      </c>
      <c r="U1236" s="1849"/>
      <c r="W1236" s="1848"/>
      <c r="X1236" s="1848"/>
      <c r="Y1236" s="1848"/>
    </row>
    <row r="1237" spans="2:25" hidden="1">
      <c r="B1237" s="1815" t="b">
        <f>AND(I1237=FALSE,N1236=0,Q1236=0,L1236="")</f>
        <v>1</v>
      </c>
      <c r="C1237" s="1844" t="str" cm="1">
        <f t="array" ref="C1237">_xlfn.IFS(
    L1237="", "",
    MONTH(L1237) &lt;= End_of_Year_Month, YEAR(L1237),
    TRUE, YEAR(L1237) + 1
)</f>
        <v/>
      </c>
      <c r="F1237" s="1857">
        <f>IF(L1237="",0,L1237)</f>
        <v>0</v>
      </c>
      <c r="G1237" s="1856">
        <f>-(N1237-Q1237)</f>
        <v>0</v>
      </c>
      <c r="I1237" s="1815" t="b">
        <f>K1237&lt;=Number_Payments</f>
        <v>0</v>
      </c>
      <c r="J1237" s="1855"/>
      <c r="K1237" s="1351">
        <f>K1236+1</f>
        <v>1111</v>
      </c>
      <c r="L1237" s="1854" t="str" cm="1">
        <f t="array" ref="L1237">_xlfn.IFS(
    I1236=FALSE, "",
    Payment_Frequency="Monthly", EDATE(L1236, 1),
    Payment_Frequency="Weekly", DATE(YEAR(L1236), MONTH(L1236), DAY(L1236) + 7),
    Payment_Frequency="Fortnightly", DATE(YEAR(L1236), MONTH(L1236), DAY(L1236) + 14),
    Payment_Frequency="Quarterly", DATE(YEAR(L1236), MONTH(L1236) + 3, DAY(L1236)),
    Payment_Frequency="Yearly", DATE(YEAR(L1236) + 1, MONTH(L1236), DAY(L1236)),
    TRUE, ""
)</f>
        <v/>
      </c>
      <c r="M1237" s="1853">
        <f>IF(ISERROR(L1237-L1236),0,L1237-L1236)</f>
        <v>0</v>
      </c>
      <c r="N1237" s="1851" cm="1">
        <f t="array" ref="N1237">_xlfn.IFS(
    AND(I1237=TRUE, K1237&lt;=No_Regular_Payments), Repay_Amt,
    AND(I1237=TRUE, K1237=No_Regular_Payments+1), Tm_Balloon_Amt,
   TRUE, 0
)</f>
        <v>0</v>
      </c>
      <c r="O1237" s="1850" cm="1">
        <f t="array" ref="O1237">_xlfn.IFS(
    M1237=0,0,
   ABS(N1237 - S1236 - P1237-Q1237) &lt; 1, N1237 - S1236-Q1237,
    TRUE, P1237
)</f>
        <v>0</v>
      </c>
      <c r="P1237" s="1852">
        <f>IF(M1237=0,0,ROUND(S1236*EXP(Int_Rate/365.25 * M1237)-S1236,2))</f>
        <v>0</v>
      </c>
      <c r="Q1237" s="1851" cm="1">
        <f t="array" ref="Q1237">_xlfn.IFS(
    AND(I1237=TRUE, K1237&lt;=No_Regular_Payments), Periodic_Admin_Charge,
   TRUE, 0
)</f>
        <v>0</v>
      </c>
      <c r="R1237" s="1850">
        <f>N1237-O1237-Q1237</f>
        <v>0</v>
      </c>
      <c r="S1237" s="1850">
        <f>ROUND(S1236-R1237,2)</f>
        <v>0</v>
      </c>
      <c r="T1237" s="1850">
        <f>ROUND(T1236-(N1237-Q1237),2)</f>
        <v>0</v>
      </c>
      <c r="U1237" s="1849"/>
      <c r="W1237" s="1848"/>
      <c r="X1237" s="1848"/>
      <c r="Y1237" s="1848"/>
    </row>
    <row r="1238" spans="2:25" hidden="1">
      <c r="B1238" s="1815" t="b">
        <f>AND(I1238=FALSE,N1237=0,Q1237=0,L1237="")</f>
        <v>1</v>
      </c>
      <c r="C1238" s="1844" t="str" cm="1">
        <f t="array" ref="C1238">_xlfn.IFS(
    L1238="", "",
    MONTH(L1238) &lt;= End_of_Year_Month, YEAR(L1238),
    TRUE, YEAR(L1238) + 1
)</f>
        <v/>
      </c>
      <c r="F1238" s="1857">
        <f>IF(L1238="",0,L1238)</f>
        <v>0</v>
      </c>
      <c r="G1238" s="1856">
        <f>-(N1238-Q1238)</f>
        <v>0</v>
      </c>
      <c r="I1238" s="1815" t="b">
        <f>K1238&lt;=Number_Payments</f>
        <v>0</v>
      </c>
      <c r="J1238" s="1855"/>
      <c r="K1238" s="1351">
        <f>K1237+1</f>
        <v>1112</v>
      </c>
      <c r="L1238" s="1854" t="str" cm="1">
        <f t="array" ref="L1238">_xlfn.IFS(
    I1237=FALSE, "",
    Payment_Frequency="Monthly", EDATE(L1237, 1),
    Payment_Frequency="Weekly", DATE(YEAR(L1237), MONTH(L1237), DAY(L1237) + 7),
    Payment_Frequency="Fortnightly", DATE(YEAR(L1237), MONTH(L1237), DAY(L1237) + 14),
    Payment_Frequency="Quarterly", DATE(YEAR(L1237), MONTH(L1237) + 3, DAY(L1237)),
    Payment_Frequency="Yearly", DATE(YEAR(L1237) + 1, MONTH(L1237), DAY(L1237)),
    TRUE, ""
)</f>
        <v/>
      </c>
      <c r="M1238" s="1853">
        <f>IF(ISERROR(L1238-L1237),0,L1238-L1237)</f>
        <v>0</v>
      </c>
      <c r="N1238" s="1851" cm="1">
        <f t="array" ref="N1238">_xlfn.IFS(
    AND(I1238=TRUE, K1238&lt;=No_Regular_Payments), Repay_Amt,
    AND(I1238=TRUE, K1238=No_Regular_Payments+1), Tm_Balloon_Amt,
   TRUE, 0
)</f>
        <v>0</v>
      </c>
      <c r="O1238" s="1850" cm="1">
        <f t="array" ref="O1238">_xlfn.IFS(
    M1238=0,0,
   ABS(N1238 - S1237 - P1238-Q1238) &lt; 1, N1238 - S1237-Q1238,
    TRUE, P1238
)</f>
        <v>0</v>
      </c>
      <c r="P1238" s="1852">
        <f>IF(M1238=0,0,ROUND(S1237*EXP(Int_Rate/365.25 * M1238)-S1237,2))</f>
        <v>0</v>
      </c>
      <c r="Q1238" s="1851" cm="1">
        <f t="array" ref="Q1238">_xlfn.IFS(
    AND(I1238=TRUE, K1238&lt;=No_Regular_Payments), Periodic_Admin_Charge,
   TRUE, 0
)</f>
        <v>0</v>
      </c>
      <c r="R1238" s="1850">
        <f>N1238-O1238-Q1238</f>
        <v>0</v>
      </c>
      <c r="S1238" s="1850">
        <f>ROUND(S1237-R1238,2)</f>
        <v>0</v>
      </c>
      <c r="T1238" s="1850">
        <f>ROUND(T1237-(N1238-Q1238),2)</f>
        <v>0</v>
      </c>
      <c r="U1238" s="1849"/>
      <c r="W1238" s="1848"/>
      <c r="X1238" s="1848"/>
      <c r="Y1238" s="1848"/>
    </row>
    <row r="1239" spans="2:25" hidden="1">
      <c r="B1239" s="1815" t="b">
        <f>AND(I1239=FALSE,N1238=0,Q1238=0,L1238="")</f>
        <v>1</v>
      </c>
      <c r="C1239" s="1844" t="str" cm="1">
        <f t="array" ref="C1239">_xlfn.IFS(
    L1239="", "",
    MONTH(L1239) &lt;= End_of_Year_Month, YEAR(L1239),
    TRUE, YEAR(L1239) + 1
)</f>
        <v/>
      </c>
      <c r="F1239" s="1857">
        <f>IF(L1239="",0,L1239)</f>
        <v>0</v>
      </c>
      <c r="G1239" s="1856">
        <f>-(N1239-Q1239)</f>
        <v>0</v>
      </c>
      <c r="I1239" s="1815" t="b">
        <f>K1239&lt;=Number_Payments</f>
        <v>0</v>
      </c>
      <c r="J1239" s="1855"/>
      <c r="K1239" s="1351">
        <f>K1238+1</f>
        <v>1113</v>
      </c>
      <c r="L1239" s="1854" t="str" cm="1">
        <f t="array" ref="L1239">_xlfn.IFS(
    I1238=FALSE, "",
    Payment_Frequency="Monthly", EDATE(L1238, 1),
    Payment_Frequency="Weekly", DATE(YEAR(L1238), MONTH(L1238), DAY(L1238) + 7),
    Payment_Frequency="Fortnightly", DATE(YEAR(L1238), MONTH(L1238), DAY(L1238) + 14),
    Payment_Frequency="Quarterly", DATE(YEAR(L1238), MONTH(L1238) + 3, DAY(L1238)),
    Payment_Frequency="Yearly", DATE(YEAR(L1238) + 1, MONTH(L1238), DAY(L1238)),
    TRUE, ""
)</f>
        <v/>
      </c>
      <c r="M1239" s="1853">
        <f>IF(ISERROR(L1239-L1238),0,L1239-L1238)</f>
        <v>0</v>
      </c>
      <c r="N1239" s="1851" cm="1">
        <f t="array" ref="N1239">_xlfn.IFS(
    AND(I1239=TRUE, K1239&lt;=No_Regular_Payments), Repay_Amt,
    AND(I1239=TRUE, K1239=No_Regular_Payments+1), Tm_Balloon_Amt,
   TRUE, 0
)</f>
        <v>0</v>
      </c>
      <c r="O1239" s="1850" cm="1">
        <f t="array" ref="O1239">_xlfn.IFS(
    M1239=0,0,
   ABS(N1239 - S1238 - P1239-Q1239) &lt; 1, N1239 - S1238-Q1239,
    TRUE, P1239
)</f>
        <v>0</v>
      </c>
      <c r="P1239" s="1852">
        <f>IF(M1239=0,0,ROUND(S1238*EXP(Int_Rate/365.25 * M1239)-S1238,2))</f>
        <v>0</v>
      </c>
      <c r="Q1239" s="1851" cm="1">
        <f t="array" ref="Q1239">_xlfn.IFS(
    AND(I1239=TRUE, K1239&lt;=No_Regular_Payments), Periodic_Admin_Charge,
   TRUE, 0
)</f>
        <v>0</v>
      </c>
      <c r="R1239" s="1850">
        <f>N1239-O1239-Q1239</f>
        <v>0</v>
      </c>
      <c r="S1239" s="1850">
        <f>ROUND(S1238-R1239,2)</f>
        <v>0</v>
      </c>
      <c r="T1239" s="1850">
        <f>ROUND(T1238-(N1239-Q1239),2)</f>
        <v>0</v>
      </c>
      <c r="U1239" s="1849"/>
      <c r="W1239" s="1848"/>
      <c r="X1239" s="1848"/>
      <c r="Y1239" s="1848"/>
    </row>
    <row r="1240" spans="2:25" hidden="1">
      <c r="B1240" s="1815" t="b">
        <f>AND(I1240=FALSE,N1239=0,Q1239=0,L1239="")</f>
        <v>1</v>
      </c>
      <c r="C1240" s="1844" t="str" cm="1">
        <f t="array" ref="C1240">_xlfn.IFS(
    L1240="", "",
    MONTH(L1240) &lt;= End_of_Year_Month, YEAR(L1240),
    TRUE, YEAR(L1240) + 1
)</f>
        <v/>
      </c>
      <c r="F1240" s="1857">
        <f>IF(L1240="",0,L1240)</f>
        <v>0</v>
      </c>
      <c r="G1240" s="1856">
        <f>-(N1240-Q1240)</f>
        <v>0</v>
      </c>
      <c r="I1240" s="1815" t="b">
        <f>K1240&lt;=Number_Payments</f>
        <v>0</v>
      </c>
      <c r="J1240" s="1855"/>
      <c r="K1240" s="1351">
        <f>K1239+1</f>
        <v>1114</v>
      </c>
      <c r="L1240" s="1854" t="str" cm="1">
        <f t="array" ref="L1240">_xlfn.IFS(
    I1239=FALSE, "",
    Payment_Frequency="Monthly", EDATE(L1239, 1),
    Payment_Frequency="Weekly", DATE(YEAR(L1239), MONTH(L1239), DAY(L1239) + 7),
    Payment_Frequency="Fortnightly", DATE(YEAR(L1239), MONTH(L1239), DAY(L1239) + 14),
    Payment_Frequency="Quarterly", DATE(YEAR(L1239), MONTH(L1239) + 3, DAY(L1239)),
    Payment_Frequency="Yearly", DATE(YEAR(L1239) + 1, MONTH(L1239), DAY(L1239)),
    TRUE, ""
)</f>
        <v/>
      </c>
      <c r="M1240" s="1853">
        <f>IF(ISERROR(L1240-L1239),0,L1240-L1239)</f>
        <v>0</v>
      </c>
      <c r="N1240" s="1851" cm="1">
        <f t="array" ref="N1240">_xlfn.IFS(
    AND(I1240=TRUE, K1240&lt;=No_Regular_Payments), Repay_Amt,
    AND(I1240=TRUE, K1240=No_Regular_Payments+1), Tm_Balloon_Amt,
   TRUE, 0
)</f>
        <v>0</v>
      </c>
      <c r="O1240" s="1850" cm="1">
        <f t="array" ref="O1240">_xlfn.IFS(
    M1240=0,0,
   ABS(N1240 - S1239 - P1240-Q1240) &lt; 1, N1240 - S1239-Q1240,
    TRUE, P1240
)</f>
        <v>0</v>
      </c>
      <c r="P1240" s="1852">
        <f>IF(M1240=0,0,ROUND(S1239*EXP(Int_Rate/365.25 * M1240)-S1239,2))</f>
        <v>0</v>
      </c>
      <c r="Q1240" s="1851" cm="1">
        <f t="array" ref="Q1240">_xlfn.IFS(
    AND(I1240=TRUE, K1240&lt;=No_Regular_Payments), Periodic_Admin_Charge,
   TRUE, 0
)</f>
        <v>0</v>
      </c>
      <c r="R1240" s="1850">
        <f>N1240-O1240-Q1240</f>
        <v>0</v>
      </c>
      <c r="S1240" s="1850">
        <f>ROUND(S1239-R1240,2)</f>
        <v>0</v>
      </c>
      <c r="T1240" s="1850">
        <f>ROUND(T1239-(N1240-Q1240),2)</f>
        <v>0</v>
      </c>
      <c r="U1240" s="1849"/>
      <c r="W1240" s="1848"/>
      <c r="X1240" s="1848"/>
      <c r="Y1240" s="1848"/>
    </row>
    <row r="1241" spans="2:25" hidden="1">
      <c r="B1241" s="1815" t="b">
        <f>AND(I1241=FALSE,N1240=0,Q1240=0,L1240="")</f>
        <v>1</v>
      </c>
      <c r="C1241" s="1844" t="str" cm="1">
        <f t="array" ref="C1241">_xlfn.IFS(
    L1241="", "",
    MONTH(L1241) &lt;= End_of_Year_Month, YEAR(L1241),
    TRUE, YEAR(L1241) + 1
)</f>
        <v/>
      </c>
      <c r="F1241" s="1857">
        <f>IF(L1241="",0,L1241)</f>
        <v>0</v>
      </c>
      <c r="G1241" s="1856">
        <f>-(N1241-Q1241)</f>
        <v>0</v>
      </c>
      <c r="I1241" s="1815" t="b">
        <f>K1241&lt;=Number_Payments</f>
        <v>0</v>
      </c>
      <c r="J1241" s="1855"/>
      <c r="K1241" s="1351">
        <f>K1240+1</f>
        <v>1115</v>
      </c>
      <c r="L1241" s="1854" t="str" cm="1">
        <f t="array" ref="L1241">_xlfn.IFS(
    I1240=FALSE, "",
    Payment_Frequency="Monthly", EDATE(L1240, 1),
    Payment_Frequency="Weekly", DATE(YEAR(L1240), MONTH(L1240), DAY(L1240) + 7),
    Payment_Frequency="Fortnightly", DATE(YEAR(L1240), MONTH(L1240), DAY(L1240) + 14),
    Payment_Frequency="Quarterly", DATE(YEAR(L1240), MONTH(L1240) + 3, DAY(L1240)),
    Payment_Frequency="Yearly", DATE(YEAR(L1240) + 1, MONTH(L1240), DAY(L1240)),
    TRUE, ""
)</f>
        <v/>
      </c>
      <c r="M1241" s="1853">
        <f>IF(ISERROR(L1241-L1240),0,L1241-L1240)</f>
        <v>0</v>
      </c>
      <c r="N1241" s="1851" cm="1">
        <f t="array" ref="N1241">_xlfn.IFS(
    AND(I1241=TRUE, K1241&lt;=No_Regular_Payments), Repay_Amt,
    AND(I1241=TRUE, K1241=No_Regular_Payments+1), Tm_Balloon_Amt,
   TRUE, 0
)</f>
        <v>0</v>
      </c>
      <c r="O1241" s="1850" cm="1">
        <f t="array" ref="O1241">_xlfn.IFS(
    M1241=0,0,
   ABS(N1241 - S1240 - P1241-Q1241) &lt; 1, N1241 - S1240-Q1241,
    TRUE, P1241
)</f>
        <v>0</v>
      </c>
      <c r="P1241" s="1852">
        <f>IF(M1241=0,0,ROUND(S1240*EXP(Int_Rate/365.25 * M1241)-S1240,2))</f>
        <v>0</v>
      </c>
      <c r="Q1241" s="1851" cm="1">
        <f t="array" ref="Q1241">_xlfn.IFS(
    AND(I1241=TRUE, K1241&lt;=No_Regular_Payments), Periodic_Admin_Charge,
   TRUE, 0
)</f>
        <v>0</v>
      </c>
      <c r="R1241" s="1850">
        <f>N1241-O1241-Q1241</f>
        <v>0</v>
      </c>
      <c r="S1241" s="1850">
        <f>ROUND(S1240-R1241,2)</f>
        <v>0</v>
      </c>
      <c r="T1241" s="1850">
        <f>ROUND(T1240-(N1241-Q1241),2)</f>
        <v>0</v>
      </c>
      <c r="U1241" s="1849"/>
      <c r="W1241" s="1848"/>
      <c r="X1241" s="1848"/>
      <c r="Y1241" s="1848"/>
    </row>
    <row r="1242" spans="2:25" hidden="1">
      <c r="B1242" s="1815" t="b">
        <f>AND(I1242=FALSE,N1241=0,Q1241=0,L1241="")</f>
        <v>1</v>
      </c>
      <c r="C1242" s="1844" t="str" cm="1">
        <f t="array" ref="C1242">_xlfn.IFS(
    L1242="", "",
    MONTH(L1242) &lt;= End_of_Year_Month, YEAR(L1242),
    TRUE, YEAR(L1242) + 1
)</f>
        <v/>
      </c>
      <c r="F1242" s="1857">
        <f>IF(L1242="",0,L1242)</f>
        <v>0</v>
      </c>
      <c r="G1242" s="1856">
        <f>-(N1242-Q1242)</f>
        <v>0</v>
      </c>
      <c r="I1242" s="1815" t="b">
        <f>K1242&lt;=Number_Payments</f>
        <v>0</v>
      </c>
      <c r="J1242" s="1855"/>
      <c r="K1242" s="1351">
        <f>K1241+1</f>
        <v>1116</v>
      </c>
      <c r="L1242" s="1854" t="str" cm="1">
        <f t="array" ref="L1242">_xlfn.IFS(
    I1241=FALSE, "",
    Payment_Frequency="Monthly", EDATE(L1241, 1),
    Payment_Frequency="Weekly", DATE(YEAR(L1241), MONTH(L1241), DAY(L1241) + 7),
    Payment_Frequency="Fortnightly", DATE(YEAR(L1241), MONTH(L1241), DAY(L1241) + 14),
    Payment_Frequency="Quarterly", DATE(YEAR(L1241), MONTH(L1241) + 3, DAY(L1241)),
    Payment_Frequency="Yearly", DATE(YEAR(L1241) + 1, MONTH(L1241), DAY(L1241)),
    TRUE, ""
)</f>
        <v/>
      </c>
      <c r="M1242" s="1853">
        <f>IF(ISERROR(L1242-L1241),0,L1242-L1241)</f>
        <v>0</v>
      </c>
      <c r="N1242" s="1851" cm="1">
        <f t="array" ref="N1242">_xlfn.IFS(
    AND(I1242=TRUE, K1242&lt;=No_Regular_Payments), Repay_Amt,
    AND(I1242=TRUE, K1242=No_Regular_Payments+1), Tm_Balloon_Amt,
   TRUE, 0
)</f>
        <v>0</v>
      </c>
      <c r="O1242" s="1850" cm="1">
        <f t="array" ref="O1242">_xlfn.IFS(
    M1242=0,0,
   ABS(N1242 - S1241 - P1242-Q1242) &lt; 1, N1242 - S1241-Q1242,
    TRUE, P1242
)</f>
        <v>0</v>
      </c>
      <c r="P1242" s="1852">
        <f>IF(M1242=0,0,ROUND(S1241*EXP(Int_Rate/365.25 * M1242)-S1241,2))</f>
        <v>0</v>
      </c>
      <c r="Q1242" s="1851" cm="1">
        <f t="array" ref="Q1242">_xlfn.IFS(
    AND(I1242=TRUE, K1242&lt;=No_Regular_Payments), Periodic_Admin_Charge,
   TRUE, 0
)</f>
        <v>0</v>
      </c>
      <c r="R1242" s="1850">
        <f>N1242-O1242-Q1242</f>
        <v>0</v>
      </c>
      <c r="S1242" s="1850">
        <f>ROUND(S1241-R1242,2)</f>
        <v>0</v>
      </c>
      <c r="T1242" s="1850">
        <f>ROUND(T1241-(N1242-Q1242),2)</f>
        <v>0</v>
      </c>
      <c r="U1242" s="1849"/>
      <c r="W1242" s="1848"/>
      <c r="X1242" s="1848"/>
      <c r="Y1242" s="1848"/>
    </row>
    <row r="1243" spans="2:25" hidden="1">
      <c r="B1243" s="1815" t="b">
        <f>AND(I1243=FALSE,N1242=0,Q1242=0,L1242="")</f>
        <v>1</v>
      </c>
      <c r="C1243" s="1844" t="str" cm="1">
        <f t="array" ref="C1243">_xlfn.IFS(
    L1243="", "",
    MONTH(L1243) &lt;= End_of_Year_Month, YEAR(L1243),
    TRUE, YEAR(L1243) + 1
)</f>
        <v/>
      </c>
      <c r="F1243" s="1857">
        <f>IF(L1243="",0,L1243)</f>
        <v>0</v>
      </c>
      <c r="G1243" s="1856">
        <f>-(N1243-Q1243)</f>
        <v>0</v>
      </c>
      <c r="I1243" s="1815" t="b">
        <f>K1243&lt;=Number_Payments</f>
        <v>0</v>
      </c>
      <c r="J1243" s="1855"/>
      <c r="K1243" s="1351">
        <f>K1242+1</f>
        <v>1117</v>
      </c>
      <c r="L1243" s="1854" t="str" cm="1">
        <f t="array" ref="L1243">_xlfn.IFS(
    I1242=FALSE, "",
    Payment_Frequency="Monthly", EDATE(L1242, 1),
    Payment_Frequency="Weekly", DATE(YEAR(L1242), MONTH(L1242), DAY(L1242) + 7),
    Payment_Frequency="Fortnightly", DATE(YEAR(L1242), MONTH(L1242), DAY(L1242) + 14),
    Payment_Frequency="Quarterly", DATE(YEAR(L1242), MONTH(L1242) + 3, DAY(L1242)),
    Payment_Frequency="Yearly", DATE(YEAR(L1242) + 1, MONTH(L1242), DAY(L1242)),
    TRUE, ""
)</f>
        <v/>
      </c>
      <c r="M1243" s="1853">
        <f>IF(ISERROR(L1243-L1242),0,L1243-L1242)</f>
        <v>0</v>
      </c>
      <c r="N1243" s="1851" cm="1">
        <f t="array" ref="N1243">_xlfn.IFS(
    AND(I1243=TRUE, K1243&lt;=No_Regular_Payments), Repay_Amt,
    AND(I1243=TRUE, K1243=No_Regular_Payments+1), Tm_Balloon_Amt,
   TRUE, 0
)</f>
        <v>0</v>
      </c>
      <c r="O1243" s="1850" cm="1">
        <f t="array" ref="O1243">_xlfn.IFS(
    M1243=0,0,
   ABS(N1243 - S1242 - P1243-Q1243) &lt; 1, N1243 - S1242-Q1243,
    TRUE, P1243
)</f>
        <v>0</v>
      </c>
      <c r="P1243" s="1852">
        <f>IF(M1243=0,0,ROUND(S1242*EXP(Int_Rate/365.25 * M1243)-S1242,2))</f>
        <v>0</v>
      </c>
      <c r="Q1243" s="1851" cm="1">
        <f t="array" ref="Q1243">_xlfn.IFS(
    AND(I1243=TRUE, K1243&lt;=No_Regular_Payments), Periodic_Admin_Charge,
   TRUE, 0
)</f>
        <v>0</v>
      </c>
      <c r="R1243" s="1850">
        <f>N1243-O1243-Q1243</f>
        <v>0</v>
      </c>
      <c r="S1243" s="1850">
        <f>ROUND(S1242-R1243,2)</f>
        <v>0</v>
      </c>
      <c r="T1243" s="1850">
        <f>ROUND(T1242-(N1243-Q1243),2)</f>
        <v>0</v>
      </c>
      <c r="U1243" s="1849"/>
      <c r="W1243" s="1848"/>
      <c r="X1243" s="1848"/>
      <c r="Y1243" s="1848"/>
    </row>
    <row r="1244" spans="2:25" hidden="1">
      <c r="B1244" s="1815" t="b">
        <f>AND(I1244=FALSE,N1243=0,Q1243=0,L1243="")</f>
        <v>1</v>
      </c>
      <c r="C1244" s="1844" t="str" cm="1">
        <f t="array" ref="C1244">_xlfn.IFS(
    L1244="", "",
    MONTH(L1244) &lt;= End_of_Year_Month, YEAR(L1244),
    TRUE, YEAR(L1244) + 1
)</f>
        <v/>
      </c>
      <c r="F1244" s="1857">
        <f>IF(L1244="",0,L1244)</f>
        <v>0</v>
      </c>
      <c r="G1244" s="1856">
        <f>-(N1244-Q1244)</f>
        <v>0</v>
      </c>
      <c r="I1244" s="1815" t="b">
        <f>K1244&lt;=Number_Payments</f>
        <v>0</v>
      </c>
      <c r="J1244" s="1855"/>
      <c r="K1244" s="1351">
        <f>K1243+1</f>
        <v>1118</v>
      </c>
      <c r="L1244" s="1854" t="str" cm="1">
        <f t="array" ref="L1244">_xlfn.IFS(
    I1243=FALSE, "",
    Payment_Frequency="Monthly", EDATE(L1243, 1),
    Payment_Frequency="Weekly", DATE(YEAR(L1243), MONTH(L1243), DAY(L1243) + 7),
    Payment_Frequency="Fortnightly", DATE(YEAR(L1243), MONTH(L1243), DAY(L1243) + 14),
    Payment_Frequency="Quarterly", DATE(YEAR(L1243), MONTH(L1243) + 3, DAY(L1243)),
    Payment_Frequency="Yearly", DATE(YEAR(L1243) + 1, MONTH(L1243), DAY(L1243)),
    TRUE, ""
)</f>
        <v/>
      </c>
      <c r="M1244" s="1853">
        <f>IF(ISERROR(L1244-L1243),0,L1244-L1243)</f>
        <v>0</v>
      </c>
      <c r="N1244" s="1851" cm="1">
        <f t="array" ref="N1244">_xlfn.IFS(
    AND(I1244=TRUE, K1244&lt;=No_Regular_Payments), Repay_Amt,
    AND(I1244=TRUE, K1244=No_Regular_Payments+1), Tm_Balloon_Amt,
   TRUE, 0
)</f>
        <v>0</v>
      </c>
      <c r="O1244" s="1850" cm="1">
        <f t="array" ref="O1244">_xlfn.IFS(
    M1244=0,0,
   ABS(N1244 - S1243 - P1244-Q1244) &lt; 1, N1244 - S1243-Q1244,
    TRUE, P1244
)</f>
        <v>0</v>
      </c>
      <c r="P1244" s="1852">
        <f>IF(M1244=0,0,ROUND(S1243*EXP(Int_Rate/365.25 * M1244)-S1243,2))</f>
        <v>0</v>
      </c>
      <c r="Q1244" s="1851" cm="1">
        <f t="array" ref="Q1244">_xlfn.IFS(
    AND(I1244=TRUE, K1244&lt;=No_Regular_Payments), Periodic_Admin_Charge,
   TRUE, 0
)</f>
        <v>0</v>
      </c>
      <c r="R1244" s="1850">
        <f>N1244-O1244-Q1244</f>
        <v>0</v>
      </c>
      <c r="S1244" s="1850">
        <f>ROUND(S1243-R1244,2)</f>
        <v>0</v>
      </c>
      <c r="T1244" s="1850">
        <f>ROUND(T1243-(N1244-Q1244),2)</f>
        <v>0</v>
      </c>
      <c r="U1244" s="1849"/>
      <c r="W1244" s="1848"/>
      <c r="X1244" s="1848"/>
      <c r="Y1244" s="1848"/>
    </row>
    <row r="1245" spans="2:25" hidden="1">
      <c r="B1245" s="1815" t="b">
        <f>AND(I1245=FALSE,N1244=0,Q1244=0,L1244="")</f>
        <v>1</v>
      </c>
      <c r="C1245" s="1844" t="str" cm="1">
        <f t="array" ref="C1245">_xlfn.IFS(
    L1245="", "",
    MONTH(L1245) &lt;= End_of_Year_Month, YEAR(L1245),
    TRUE, YEAR(L1245) + 1
)</f>
        <v/>
      </c>
      <c r="F1245" s="1857">
        <f>IF(L1245="",0,L1245)</f>
        <v>0</v>
      </c>
      <c r="G1245" s="1856">
        <f>-(N1245-Q1245)</f>
        <v>0</v>
      </c>
      <c r="I1245" s="1815" t="b">
        <f>K1245&lt;=Number_Payments</f>
        <v>0</v>
      </c>
      <c r="J1245" s="1855"/>
      <c r="K1245" s="1351">
        <f>K1244+1</f>
        <v>1119</v>
      </c>
      <c r="L1245" s="1854" t="str" cm="1">
        <f t="array" ref="L1245">_xlfn.IFS(
    I1244=FALSE, "",
    Payment_Frequency="Monthly", EDATE(L1244, 1),
    Payment_Frequency="Weekly", DATE(YEAR(L1244), MONTH(L1244), DAY(L1244) + 7),
    Payment_Frequency="Fortnightly", DATE(YEAR(L1244), MONTH(L1244), DAY(L1244) + 14),
    Payment_Frequency="Quarterly", DATE(YEAR(L1244), MONTH(L1244) + 3, DAY(L1244)),
    Payment_Frequency="Yearly", DATE(YEAR(L1244) + 1, MONTH(L1244), DAY(L1244)),
    TRUE, ""
)</f>
        <v/>
      </c>
      <c r="M1245" s="1853">
        <f>IF(ISERROR(L1245-L1244),0,L1245-L1244)</f>
        <v>0</v>
      </c>
      <c r="N1245" s="1851" cm="1">
        <f t="array" ref="N1245">_xlfn.IFS(
    AND(I1245=TRUE, K1245&lt;=No_Regular_Payments), Repay_Amt,
    AND(I1245=TRUE, K1245=No_Regular_Payments+1), Tm_Balloon_Amt,
   TRUE, 0
)</f>
        <v>0</v>
      </c>
      <c r="O1245" s="1850" cm="1">
        <f t="array" ref="O1245">_xlfn.IFS(
    M1245=0,0,
   ABS(N1245 - S1244 - P1245-Q1245) &lt; 1, N1245 - S1244-Q1245,
    TRUE, P1245
)</f>
        <v>0</v>
      </c>
      <c r="P1245" s="1852">
        <f>IF(M1245=0,0,ROUND(S1244*EXP(Int_Rate/365.25 * M1245)-S1244,2))</f>
        <v>0</v>
      </c>
      <c r="Q1245" s="1851" cm="1">
        <f t="array" ref="Q1245">_xlfn.IFS(
    AND(I1245=TRUE, K1245&lt;=No_Regular_Payments), Periodic_Admin_Charge,
   TRUE, 0
)</f>
        <v>0</v>
      </c>
      <c r="R1245" s="1850">
        <f>N1245-O1245-Q1245</f>
        <v>0</v>
      </c>
      <c r="S1245" s="1850">
        <f>ROUND(S1244-R1245,2)</f>
        <v>0</v>
      </c>
      <c r="T1245" s="1850">
        <f>ROUND(T1244-(N1245-Q1245),2)</f>
        <v>0</v>
      </c>
      <c r="U1245" s="1849"/>
      <c r="W1245" s="1848"/>
      <c r="X1245" s="1848"/>
      <c r="Y1245" s="1848"/>
    </row>
    <row r="1246" spans="2:25" hidden="1">
      <c r="B1246" s="1815" t="b">
        <f>AND(I1246=FALSE,N1245=0,Q1245=0,L1245="")</f>
        <v>1</v>
      </c>
      <c r="C1246" s="1844" t="str" cm="1">
        <f t="array" ref="C1246">_xlfn.IFS(
    L1246="", "",
    MONTH(L1246) &lt;= End_of_Year_Month, YEAR(L1246),
    TRUE, YEAR(L1246) + 1
)</f>
        <v/>
      </c>
      <c r="F1246" s="1857">
        <f>IF(L1246="",0,L1246)</f>
        <v>0</v>
      </c>
      <c r="G1246" s="1856">
        <f>-(N1246-Q1246)</f>
        <v>0</v>
      </c>
      <c r="I1246" s="1815" t="b">
        <f>K1246&lt;=Number_Payments</f>
        <v>0</v>
      </c>
      <c r="J1246" s="1855"/>
      <c r="K1246" s="1351">
        <f>K1245+1</f>
        <v>1120</v>
      </c>
      <c r="L1246" s="1854" t="str" cm="1">
        <f t="array" ref="L1246">_xlfn.IFS(
    I1245=FALSE, "",
    Payment_Frequency="Monthly", EDATE(L1245, 1),
    Payment_Frequency="Weekly", DATE(YEAR(L1245), MONTH(L1245), DAY(L1245) + 7),
    Payment_Frequency="Fortnightly", DATE(YEAR(L1245), MONTH(L1245), DAY(L1245) + 14),
    Payment_Frequency="Quarterly", DATE(YEAR(L1245), MONTH(L1245) + 3, DAY(L1245)),
    Payment_Frequency="Yearly", DATE(YEAR(L1245) + 1, MONTH(L1245), DAY(L1245)),
    TRUE, ""
)</f>
        <v/>
      </c>
      <c r="M1246" s="1853">
        <f>IF(ISERROR(L1246-L1245),0,L1246-L1245)</f>
        <v>0</v>
      </c>
      <c r="N1246" s="1851" cm="1">
        <f t="array" ref="N1246">_xlfn.IFS(
    AND(I1246=TRUE, K1246&lt;=No_Regular_Payments), Repay_Amt,
    AND(I1246=TRUE, K1246=No_Regular_Payments+1), Tm_Balloon_Amt,
   TRUE, 0
)</f>
        <v>0</v>
      </c>
      <c r="O1246" s="1850" cm="1">
        <f t="array" ref="O1246">_xlfn.IFS(
    M1246=0,0,
   ABS(N1246 - S1245 - P1246-Q1246) &lt; 1, N1246 - S1245-Q1246,
    TRUE, P1246
)</f>
        <v>0</v>
      </c>
      <c r="P1246" s="1852">
        <f>IF(M1246=0,0,ROUND(S1245*EXP(Int_Rate/365.25 * M1246)-S1245,2))</f>
        <v>0</v>
      </c>
      <c r="Q1246" s="1851" cm="1">
        <f t="array" ref="Q1246">_xlfn.IFS(
    AND(I1246=TRUE, K1246&lt;=No_Regular_Payments), Periodic_Admin_Charge,
   TRUE, 0
)</f>
        <v>0</v>
      </c>
      <c r="R1246" s="1850">
        <f>N1246-O1246-Q1246</f>
        <v>0</v>
      </c>
      <c r="S1246" s="1850">
        <f>ROUND(S1245-R1246,2)</f>
        <v>0</v>
      </c>
      <c r="T1246" s="1850">
        <f>ROUND(T1245-(N1246-Q1246),2)</f>
        <v>0</v>
      </c>
      <c r="U1246" s="1849"/>
      <c r="W1246" s="1848"/>
      <c r="X1246" s="1848"/>
      <c r="Y1246" s="1848"/>
    </row>
    <row r="1247" spans="2:25" hidden="1">
      <c r="B1247" s="1815" t="b">
        <f>AND(I1247=FALSE,N1246=0,Q1246=0,L1246="")</f>
        <v>1</v>
      </c>
      <c r="C1247" s="1844" t="str" cm="1">
        <f t="array" ref="C1247">_xlfn.IFS(
    L1247="", "",
    MONTH(L1247) &lt;= End_of_Year_Month, YEAR(L1247),
    TRUE, YEAR(L1247) + 1
)</f>
        <v/>
      </c>
      <c r="F1247" s="1857">
        <f>IF(L1247="",0,L1247)</f>
        <v>0</v>
      </c>
      <c r="G1247" s="1856">
        <f>-(N1247-Q1247)</f>
        <v>0</v>
      </c>
      <c r="I1247" s="1815" t="b">
        <f>K1247&lt;=Number_Payments</f>
        <v>0</v>
      </c>
      <c r="J1247" s="1855"/>
      <c r="K1247" s="1351">
        <f>K1246+1</f>
        <v>1121</v>
      </c>
      <c r="L1247" s="1854" t="str" cm="1">
        <f t="array" ref="L1247">_xlfn.IFS(
    I1246=FALSE, "",
    Payment_Frequency="Monthly", EDATE(L1246, 1),
    Payment_Frequency="Weekly", DATE(YEAR(L1246), MONTH(L1246), DAY(L1246) + 7),
    Payment_Frequency="Fortnightly", DATE(YEAR(L1246), MONTH(L1246), DAY(L1246) + 14),
    Payment_Frequency="Quarterly", DATE(YEAR(L1246), MONTH(L1246) + 3, DAY(L1246)),
    Payment_Frequency="Yearly", DATE(YEAR(L1246) + 1, MONTH(L1246), DAY(L1246)),
    TRUE, ""
)</f>
        <v/>
      </c>
      <c r="M1247" s="1853">
        <f>IF(ISERROR(L1247-L1246),0,L1247-L1246)</f>
        <v>0</v>
      </c>
      <c r="N1247" s="1851" cm="1">
        <f t="array" ref="N1247">_xlfn.IFS(
    AND(I1247=TRUE, K1247&lt;=No_Regular_Payments), Repay_Amt,
    AND(I1247=TRUE, K1247=No_Regular_Payments+1), Tm_Balloon_Amt,
   TRUE, 0
)</f>
        <v>0</v>
      </c>
      <c r="O1247" s="1850" cm="1">
        <f t="array" ref="O1247">_xlfn.IFS(
    M1247=0,0,
   ABS(N1247 - S1246 - P1247-Q1247) &lt; 1, N1247 - S1246-Q1247,
    TRUE, P1247
)</f>
        <v>0</v>
      </c>
      <c r="P1247" s="1852">
        <f>IF(M1247=0,0,ROUND(S1246*EXP(Int_Rate/365.25 * M1247)-S1246,2))</f>
        <v>0</v>
      </c>
      <c r="Q1247" s="1851" cm="1">
        <f t="array" ref="Q1247">_xlfn.IFS(
    AND(I1247=TRUE, K1247&lt;=No_Regular_Payments), Periodic_Admin_Charge,
   TRUE, 0
)</f>
        <v>0</v>
      </c>
      <c r="R1247" s="1850">
        <f>N1247-O1247-Q1247</f>
        <v>0</v>
      </c>
      <c r="S1247" s="1850">
        <f>ROUND(S1246-R1247,2)</f>
        <v>0</v>
      </c>
      <c r="T1247" s="1850">
        <f>ROUND(T1246-(N1247-Q1247),2)</f>
        <v>0</v>
      </c>
      <c r="U1247" s="1849"/>
      <c r="W1247" s="1848"/>
      <c r="X1247" s="1848"/>
      <c r="Y1247" s="1848"/>
    </row>
    <row r="1248" spans="2:25" hidden="1">
      <c r="B1248" s="1815" t="b">
        <f>AND(I1248=FALSE,N1247=0,Q1247=0,L1247="")</f>
        <v>1</v>
      </c>
      <c r="C1248" s="1844" t="str" cm="1">
        <f t="array" ref="C1248">_xlfn.IFS(
    L1248="", "",
    MONTH(L1248) &lt;= End_of_Year_Month, YEAR(L1248),
    TRUE, YEAR(L1248) + 1
)</f>
        <v/>
      </c>
      <c r="F1248" s="1857">
        <f>IF(L1248="",0,L1248)</f>
        <v>0</v>
      </c>
      <c r="G1248" s="1856">
        <f>-(N1248-Q1248)</f>
        <v>0</v>
      </c>
      <c r="I1248" s="1815" t="b">
        <f>K1248&lt;=Number_Payments</f>
        <v>0</v>
      </c>
      <c r="J1248" s="1855"/>
      <c r="K1248" s="1351">
        <f>K1247+1</f>
        <v>1122</v>
      </c>
      <c r="L1248" s="1854" t="str" cm="1">
        <f t="array" ref="L1248">_xlfn.IFS(
    I1247=FALSE, "",
    Payment_Frequency="Monthly", EDATE(L1247, 1),
    Payment_Frequency="Weekly", DATE(YEAR(L1247), MONTH(L1247), DAY(L1247) + 7),
    Payment_Frequency="Fortnightly", DATE(YEAR(L1247), MONTH(L1247), DAY(L1247) + 14),
    Payment_Frequency="Quarterly", DATE(YEAR(L1247), MONTH(L1247) + 3, DAY(L1247)),
    Payment_Frequency="Yearly", DATE(YEAR(L1247) + 1, MONTH(L1247), DAY(L1247)),
    TRUE, ""
)</f>
        <v/>
      </c>
      <c r="M1248" s="1853">
        <f>IF(ISERROR(L1248-L1247),0,L1248-L1247)</f>
        <v>0</v>
      </c>
      <c r="N1248" s="1851" cm="1">
        <f t="array" ref="N1248">_xlfn.IFS(
    AND(I1248=TRUE, K1248&lt;=No_Regular_Payments), Repay_Amt,
    AND(I1248=TRUE, K1248=No_Regular_Payments+1), Tm_Balloon_Amt,
   TRUE, 0
)</f>
        <v>0</v>
      </c>
      <c r="O1248" s="1850" cm="1">
        <f t="array" ref="O1248">_xlfn.IFS(
    M1248=0,0,
   ABS(N1248 - S1247 - P1248-Q1248) &lt; 1, N1248 - S1247-Q1248,
    TRUE, P1248
)</f>
        <v>0</v>
      </c>
      <c r="P1248" s="1852">
        <f>IF(M1248=0,0,ROUND(S1247*EXP(Int_Rate/365.25 * M1248)-S1247,2))</f>
        <v>0</v>
      </c>
      <c r="Q1248" s="1851" cm="1">
        <f t="array" ref="Q1248">_xlfn.IFS(
    AND(I1248=TRUE, K1248&lt;=No_Regular_Payments), Periodic_Admin_Charge,
   TRUE, 0
)</f>
        <v>0</v>
      </c>
      <c r="R1248" s="1850">
        <f>N1248-O1248-Q1248</f>
        <v>0</v>
      </c>
      <c r="S1248" s="1850">
        <f>ROUND(S1247-R1248,2)</f>
        <v>0</v>
      </c>
      <c r="T1248" s="1850">
        <f>ROUND(T1247-(N1248-Q1248),2)</f>
        <v>0</v>
      </c>
      <c r="U1248" s="1849"/>
      <c r="W1248" s="1848"/>
      <c r="X1248" s="1848"/>
      <c r="Y1248" s="1848"/>
    </row>
    <row r="1249" spans="2:25" hidden="1">
      <c r="B1249" s="1815" t="b">
        <f>AND(I1249=FALSE,N1248=0,Q1248=0,L1248="")</f>
        <v>1</v>
      </c>
      <c r="C1249" s="1844" t="str" cm="1">
        <f t="array" ref="C1249">_xlfn.IFS(
    L1249="", "",
    MONTH(L1249) &lt;= End_of_Year_Month, YEAR(L1249),
    TRUE, YEAR(L1249) + 1
)</f>
        <v/>
      </c>
      <c r="F1249" s="1857">
        <f>IF(L1249="",0,L1249)</f>
        <v>0</v>
      </c>
      <c r="G1249" s="1856">
        <f>-(N1249-Q1249)</f>
        <v>0</v>
      </c>
      <c r="I1249" s="1815" t="b">
        <f>K1249&lt;=Number_Payments</f>
        <v>0</v>
      </c>
      <c r="J1249" s="1855"/>
      <c r="K1249" s="1351">
        <f>K1248+1</f>
        <v>1123</v>
      </c>
      <c r="L1249" s="1854" t="str" cm="1">
        <f t="array" ref="L1249">_xlfn.IFS(
    I1248=FALSE, "",
    Payment_Frequency="Monthly", EDATE(L1248, 1),
    Payment_Frequency="Weekly", DATE(YEAR(L1248), MONTH(L1248), DAY(L1248) + 7),
    Payment_Frequency="Fortnightly", DATE(YEAR(L1248), MONTH(L1248), DAY(L1248) + 14),
    Payment_Frequency="Quarterly", DATE(YEAR(L1248), MONTH(L1248) + 3, DAY(L1248)),
    Payment_Frequency="Yearly", DATE(YEAR(L1248) + 1, MONTH(L1248), DAY(L1248)),
    TRUE, ""
)</f>
        <v/>
      </c>
      <c r="M1249" s="1853">
        <f>IF(ISERROR(L1249-L1248),0,L1249-L1248)</f>
        <v>0</v>
      </c>
      <c r="N1249" s="1851" cm="1">
        <f t="array" ref="N1249">_xlfn.IFS(
    AND(I1249=TRUE, K1249&lt;=No_Regular_Payments), Repay_Amt,
    AND(I1249=TRUE, K1249=No_Regular_Payments+1), Tm_Balloon_Amt,
   TRUE, 0
)</f>
        <v>0</v>
      </c>
      <c r="O1249" s="1850" cm="1">
        <f t="array" ref="O1249">_xlfn.IFS(
    M1249=0,0,
   ABS(N1249 - S1248 - P1249-Q1249) &lt; 1, N1249 - S1248-Q1249,
    TRUE, P1249
)</f>
        <v>0</v>
      </c>
      <c r="P1249" s="1852">
        <f>IF(M1249=0,0,ROUND(S1248*EXP(Int_Rate/365.25 * M1249)-S1248,2))</f>
        <v>0</v>
      </c>
      <c r="Q1249" s="1851" cm="1">
        <f t="array" ref="Q1249">_xlfn.IFS(
    AND(I1249=TRUE, K1249&lt;=No_Regular_Payments), Periodic_Admin_Charge,
   TRUE, 0
)</f>
        <v>0</v>
      </c>
      <c r="R1249" s="1850">
        <f>N1249-O1249-Q1249</f>
        <v>0</v>
      </c>
      <c r="S1249" s="1850">
        <f>ROUND(S1248-R1249,2)</f>
        <v>0</v>
      </c>
      <c r="T1249" s="1850">
        <f>ROUND(T1248-(N1249-Q1249),2)</f>
        <v>0</v>
      </c>
      <c r="U1249" s="1849"/>
      <c r="W1249" s="1848"/>
      <c r="X1249" s="1848"/>
      <c r="Y1249" s="1848"/>
    </row>
    <row r="1250" spans="2:25" hidden="1">
      <c r="B1250" s="1815" t="b">
        <f>AND(I1250=FALSE,N1249=0,Q1249=0,L1249="")</f>
        <v>1</v>
      </c>
      <c r="C1250" s="1844" t="str" cm="1">
        <f t="array" ref="C1250">_xlfn.IFS(
    L1250="", "",
    MONTH(L1250) &lt;= End_of_Year_Month, YEAR(L1250),
    TRUE, YEAR(L1250) + 1
)</f>
        <v/>
      </c>
      <c r="F1250" s="1857">
        <f>IF(L1250="",0,L1250)</f>
        <v>0</v>
      </c>
      <c r="G1250" s="1856">
        <f>-(N1250-Q1250)</f>
        <v>0</v>
      </c>
      <c r="I1250" s="1815" t="b">
        <f>K1250&lt;=Number_Payments</f>
        <v>0</v>
      </c>
      <c r="J1250" s="1855"/>
      <c r="K1250" s="1351">
        <f>K1249+1</f>
        <v>1124</v>
      </c>
      <c r="L1250" s="1854" t="str" cm="1">
        <f t="array" ref="L1250">_xlfn.IFS(
    I1249=FALSE, "",
    Payment_Frequency="Monthly", EDATE(L1249, 1),
    Payment_Frequency="Weekly", DATE(YEAR(L1249), MONTH(L1249), DAY(L1249) + 7),
    Payment_Frequency="Fortnightly", DATE(YEAR(L1249), MONTH(L1249), DAY(L1249) + 14),
    Payment_Frequency="Quarterly", DATE(YEAR(L1249), MONTH(L1249) + 3, DAY(L1249)),
    Payment_Frequency="Yearly", DATE(YEAR(L1249) + 1, MONTH(L1249), DAY(L1249)),
    TRUE, ""
)</f>
        <v/>
      </c>
      <c r="M1250" s="1853">
        <f>IF(ISERROR(L1250-L1249),0,L1250-L1249)</f>
        <v>0</v>
      </c>
      <c r="N1250" s="1851" cm="1">
        <f t="array" ref="N1250">_xlfn.IFS(
    AND(I1250=TRUE, K1250&lt;=No_Regular_Payments), Repay_Amt,
    AND(I1250=TRUE, K1250=No_Regular_Payments+1), Tm_Balloon_Amt,
   TRUE, 0
)</f>
        <v>0</v>
      </c>
      <c r="O1250" s="1850" cm="1">
        <f t="array" ref="O1250">_xlfn.IFS(
    M1250=0,0,
   ABS(N1250 - S1249 - P1250-Q1250) &lt; 1, N1250 - S1249-Q1250,
    TRUE, P1250
)</f>
        <v>0</v>
      </c>
      <c r="P1250" s="1852">
        <f>IF(M1250=0,0,ROUND(S1249*EXP(Int_Rate/365.25 * M1250)-S1249,2))</f>
        <v>0</v>
      </c>
      <c r="Q1250" s="1851" cm="1">
        <f t="array" ref="Q1250">_xlfn.IFS(
    AND(I1250=TRUE, K1250&lt;=No_Regular_Payments), Periodic_Admin_Charge,
   TRUE, 0
)</f>
        <v>0</v>
      </c>
      <c r="R1250" s="1850">
        <f>N1250-O1250-Q1250</f>
        <v>0</v>
      </c>
      <c r="S1250" s="1850">
        <f>ROUND(S1249-R1250,2)</f>
        <v>0</v>
      </c>
      <c r="T1250" s="1850">
        <f>ROUND(T1249-(N1250-Q1250),2)</f>
        <v>0</v>
      </c>
      <c r="U1250" s="1849"/>
      <c r="W1250" s="1848"/>
      <c r="X1250" s="1848"/>
      <c r="Y1250" s="1848"/>
    </row>
    <row r="1251" spans="2:25" hidden="1">
      <c r="B1251" s="1815" t="b">
        <f>AND(I1251=FALSE,N1250=0,Q1250=0,L1250="")</f>
        <v>1</v>
      </c>
      <c r="C1251" s="1844" t="str" cm="1">
        <f t="array" ref="C1251">_xlfn.IFS(
    L1251="", "",
    MONTH(L1251) &lt;= End_of_Year_Month, YEAR(L1251),
    TRUE, YEAR(L1251) + 1
)</f>
        <v/>
      </c>
      <c r="F1251" s="1857">
        <f>IF(L1251="",0,L1251)</f>
        <v>0</v>
      </c>
      <c r="G1251" s="1856">
        <f>-(N1251-Q1251)</f>
        <v>0</v>
      </c>
      <c r="I1251" s="1815" t="b">
        <f>K1251&lt;=Number_Payments</f>
        <v>0</v>
      </c>
      <c r="J1251" s="1855"/>
      <c r="K1251" s="1351">
        <f>K1250+1</f>
        <v>1125</v>
      </c>
      <c r="L1251" s="1854" t="str" cm="1">
        <f t="array" ref="L1251">_xlfn.IFS(
    I1250=FALSE, "",
    Payment_Frequency="Monthly", EDATE(L1250, 1),
    Payment_Frequency="Weekly", DATE(YEAR(L1250), MONTH(L1250), DAY(L1250) + 7),
    Payment_Frequency="Fortnightly", DATE(YEAR(L1250), MONTH(L1250), DAY(L1250) + 14),
    Payment_Frequency="Quarterly", DATE(YEAR(L1250), MONTH(L1250) + 3, DAY(L1250)),
    Payment_Frequency="Yearly", DATE(YEAR(L1250) + 1, MONTH(L1250), DAY(L1250)),
    TRUE, ""
)</f>
        <v/>
      </c>
      <c r="M1251" s="1853">
        <f>IF(ISERROR(L1251-L1250),0,L1251-L1250)</f>
        <v>0</v>
      </c>
      <c r="N1251" s="1851" cm="1">
        <f t="array" ref="N1251">_xlfn.IFS(
    AND(I1251=TRUE, K1251&lt;=No_Regular_Payments), Repay_Amt,
    AND(I1251=TRUE, K1251=No_Regular_Payments+1), Tm_Balloon_Amt,
   TRUE, 0
)</f>
        <v>0</v>
      </c>
      <c r="O1251" s="1850" cm="1">
        <f t="array" ref="O1251">_xlfn.IFS(
    M1251=0,0,
   ABS(N1251 - S1250 - P1251-Q1251) &lt; 1, N1251 - S1250-Q1251,
    TRUE, P1251
)</f>
        <v>0</v>
      </c>
      <c r="P1251" s="1852">
        <f>IF(M1251=0,0,ROUND(S1250*EXP(Int_Rate/365.25 * M1251)-S1250,2))</f>
        <v>0</v>
      </c>
      <c r="Q1251" s="1851" cm="1">
        <f t="array" ref="Q1251">_xlfn.IFS(
    AND(I1251=TRUE, K1251&lt;=No_Regular_Payments), Periodic_Admin_Charge,
   TRUE, 0
)</f>
        <v>0</v>
      </c>
      <c r="R1251" s="1850">
        <f>N1251-O1251-Q1251</f>
        <v>0</v>
      </c>
      <c r="S1251" s="1850">
        <f>ROUND(S1250-R1251,2)</f>
        <v>0</v>
      </c>
      <c r="T1251" s="1850">
        <f>ROUND(T1250-(N1251-Q1251),2)</f>
        <v>0</v>
      </c>
      <c r="U1251" s="1849"/>
      <c r="W1251" s="1848"/>
      <c r="X1251" s="1848"/>
      <c r="Y1251" s="1848"/>
    </row>
    <row r="1252" spans="2:25" hidden="1">
      <c r="B1252" s="1815" t="b">
        <f>AND(I1252=FALSE,N1251=0,Q1251=0,L1251="")</f>
        <v>1</v>
      </c>
      <c r="C1252" s="1844" t="str" cm="1">
        <f t="array" ref="C1252">_xlfn.IFS(
    L1252="", "",
    MONTH(L1252) &lt;= End_of_Year_Month, YEAR(L1252),
    TRUE, YEAR(L1252) + 1
)</f>
        <v/>
      </c>
      <c r="F1252" s="1857">
        <f>IF(L1252="",0,L1252)</f>
        <v>0</v>
      </c>
      <c r="G1252" s="1856">
        <f>-(N1252-Q1252)</f>
        <v>0</v>
      </c>
      <c r="I1252" s="1815" t="b">
        <f>K1252&lt;=Number_Payments</f>
        <v>0</v>
      </c>
      <c r="J1252" s="1855"/>
      <c r="K1252" s="1351">
        <f>K1251+1</f>
        <v>1126</v>
      </c>
      <c r="L1252" s="1854" t="str" cm="1">
        <f t="array" ref="L1252">_xlfn.IFS(
    I1251=FALSE, "",
    Payment_Frequency="Monthly", EDATE(L1251, 1),
    Payment_Frequency="Weekly", DATE(YEAR(L1251), MONTH(L1251), DAY(L1251) + 7),
    Payment_Frequency="Fortnightly", DATE(YEAR(L1251), MONTH(L1251), DAY(L1251) + 14),
    Payment_Frequency="Quarterly", DATE(YEAR(L1251), MONTH(L1251) + 3, DAY(L1251)),
    Payment_Frequency="Yearly", DATE(YEAR(L1251) + 1, MONTH(L1251), DAY(L1251)),
    TRUE, ""
)</f>
        <v/>
      </c>
      <c r="M1252" s="1853">
        <f>IF(ISERROR(L1252-L1251),0,L1252-L1251)</f>
        <v>0</v>
      </c>
      <c r="N1252" s="1851" cm="1">
        <f t="array" ref="N1252">_xlfn.IFS(
    AND(I1252=TRUE, K1252&lt;=No_Regular_Payments), Repay_Amt,
    AND(I1252=TRUE, K1252=No_Regular_Payments+1), Tm_Balloon_Amt,
   TRUE, 0
)</f>
        <v>0</v>
      </c>
      <c r="O1252" s="1850" cm="1">
        <f t="array" ref="O1252">_xlfn.IFS(
    M1252=0,0,
   ABS(N1252 - S1251 - P1252-Q1252) &lt; 1, N1252 - S1251-Q1252,
    TRUE, P1252
)</f>
        <v>0</v>
      </c>
      <c r="P1252" s="1852">
        <f>IF(M1252=0,0,ROUND(S1251*EXP(Int_Rate/365.25 * M1252)-S1251,2))</f>
        <v>0</v>
      </c>
      <c r="Q1252" s="1851" cm="1">
        <f t="array" ref="Q1252">_xlfn.IFS(
    AND(I1252=TRUE, K1252&lt;=No_Regular_Payments), Periodic_Admin_Charge,
   TRUE, 0
)</f>
        <v>0</v>
      </c>
      <c r="R1252" s="1850">
        <f>N1252-O1252-Q1252</f>
        <v>0</v>
      </c>
      <c r="S1252" s="1850">
        <f>ROUND(S1251-R1252,2)</f>
        <v>0</v>
      </c>
      <c r="T1252" s="1850">
        <f>ROUND(T1251-(N1252-Q1252),2)</f>
        <v>0</v>
      </c>
      <c r="U1252" s="1849"/>
      <c r="W1252" s="1848"/>
      <c r="X1252" s="1848"/>
      <c r="Y1252" s="1848"/>
    </row>
    <row r="1253" spans="2:25" hidden="1">
      <c r="B1253" s="1815" t="b">
        <f>AND(I1253=FALSE,N1252=0,Q1252=0,L1252="")</f>
        <v>1</v>
      </c>
      <c r="C1253" s="1844" t="str" cm="1">
        <f t="array" ref="C1253">_xlfn.IFS(
    L1253="", "",
    MONTH(L1253) &lt;= End_of_Year_Month, YEAR(L1253),
    TRUE, YEAR(L1253) + 1
)</f>
        <v/>
      </c>
      <c r="F1253" s="1857">
        <f>IF(L1253="",0,L1253)</f>
        <v>0</v>
      </c>
      <c r="G1253" s="1856">
        <f>-(N1253-Q1253)</f>
        <v>0</v>
      </c>
      <c r="I1253" s="1815" t="b">
        <f>K1253&lt;=Number_Payments</f>
        <v>0</v>
      </c>
      <c r="J1253" s="1855"/>
      <c r="K1253" s="1351">
        <f>K1252+1</f>
        <v>1127</v>
      </c>
      <c r="L1253" s="1854" t="str" cm="1">
        <f t="array" ref="L1253">_xlfn.IFS(
    I1252=FALSE, "",
    Payment_Frequency="Monthly", EDATE(L1252, 1),
    Payment_Frequency="Weekly", DATE(YEAR(L1252), MONTH(L1252), DAY(L1252) + 7),
    Payment_Frequency="Fortnightly", DATE(YEAR(L1252), MONTH(L1252), DAY(L1252) + 14),
    Payment_Frequency="Quarterly", DATE(YEAR(L1252), MONTH(L1252) + 3, DAY(L1252)),
    Payment_Frequency="Yearly", DATE(YEAR(L1252) + 1, MONTH(L1252), DAY(L1252)),
    TRUE, ""
)</f>
        <v/>
      </c>
      <c r="M1253" s="1853">
        <f>IF(ISERROR(L1253-L1252),0,L1253-L1252)</f>
        <v>0</v>
      </c>
      <c r="N1253" s="1851" cm="1">
        <f t="array" ref="N1253">_xlfn.IFS(
    AND(I1253=TRUE, K1253&lt;=No_Regular_Payments), Repay_Amt,
    AND(I1253=TRUE, K1253=No_Regular_Payments+1), Tm_Balloon_Amt,
   TRUE, 0
)</f>
        <v>0</v>
      </c>
      <c r="O1253" s="1850" cm="1">
        <f t="array" ref="O1253">_xlfn.IFS(
    M1253=0,0,
   ABS(N1253 - S1252 - P1253-Q1253) &lt; 1, N1253 - S1252-Q1253,
    TRUE, P1253
)</f>
        <v>0</v>
      </c>
      <c r="P1253" s="1852">
        <f>IF(M1253=0,0,ROUND(S1252*EXP(Int_Rate/365.25 * M1253)-S1252,2))</f>
        <v>0</v>
      </c>
      <c r="Q1253" s="1851" cm="1">
        <f t="array" ref="Q1253">_xlfn.IFS(
    AND(I1253=TRUE, K1253&lt;=No_Regular_Payments), Periodic_Admin_Charge,
   TRUE, 0
)</f>
        <v>0</v>
      </c>
      <c r="R1253" s="1850">
        <f>N1253-O1253-Q1253</f>
        <v>0</v>
      </c>
      <c r="S1253" s="1850">
        <f>ROUND(S1252-R1253,2)</f>
        <v>0</v>
      </c>
      <c r="T1253" s="1850">
        <f>ROUND(T1252-(N1253-Q1253),2)</f>
        <v>0</v>
      </c>
      <c r="U1253" s="1849"/>
      <c r="W1253" s="1848"/>
      <c r="X1253" s="1848"/>
      <c r="Y1253" s="1848"/>
    </row>
    <row r="1254" spans="2:25" hidden="1">
      <c r="B1254" s="1815" t="b">
        <f>AND(I1254=FALSE,N1253=0,Q1253=0,L1253="")</f>
        <v>1</v>
      </c>
      <c r="C1254" s="1844" t="str" cm="1">
        <f t="array" ref="C1254">_xlfn.IFS(
    L1254="", "",
    MONTH(L1254) &lt;= End_of_Year_Month, YEAR(L1254),
    TRUE, YEAR(L1254) + 1
)</f>
        <v/>
      </c>
      <c r="F1254" s="1857">
        <f>IF(L1254="",0,L1254)</f>
        <v>0</v>
      </c>
      <c r="G1254" s="1856">
        <f>-(N1254-Q1254)</f>
        <v>0</v>
      </c>
      <c r="I1254" s="1815" t="b">
        <f>K1254&lt;=Number_Payments</f>
        <v>0</v>
      </c>
      <c r="J1254" s="1855"/>
      <c r="K1254" s="1351">
        <f>K1253+1</f>
        <v>1128</v>
      </c>
      <c r="L1254" s="1854" t="str" cm="1">
        <f t="array" ref="L1254">_xlfn.IFS(
    I1253=FALSE, "",
    Payment_Frequency="Monthly", EDATE(L1253, 1),
    Payment_Frequency="Weekly", DATE(YEAR(L1253), MONTH(L1253), DAY(L1253) + 7),
    Payment_Frequency="Fortnightly", DATE(YEAR(L1253), MONTH(L1253), DAY(L1253) + 14),
    Payment_Frequency="Quarterly", DATE(YEAR(L1253), MONTH(L1253) + 3, DAY(L1253)),
    Payment_Frequency="Yearly", DATE(YEAR(L1253) + 1, MONTH(L1253), DAY(L1253)),
    TRUE, ""
)</f>
        <v/>
      </c>
      <c r="M1254" s="1853">
        <f>IF(ISERROR(L1254-L1253),0,L1254-L1253)</f>
        <v>0</v>
      </c>
      <c r="N1254" s="1851" cm="1">
        <f t="array" ref="N1254">_xlfn.IFS(
    AND(I1254=TRUE, K1254&lt;=No_Regular_Payments), Repay_Amt,
    AND(I1254=TRUE, K1254=No_Regular_Payments+1), Tm_Balloon_Amt,
   TRUE, 0
)</f>
        <v>0</v>
      </c>
      <c r="O1254" s="1850" cm="1">
        <f t="array" ref="O1254">_xlfn.IFS(
    M1254=0,0,
   ABS(N1254 - S1253 - P1254-Q1254) &lt; 1, N1254 - S1253-Q1254,
    TRUE, P1254
)</f>
        <v>0</v>
      </c>
      <c r="P1254" s="1852">
        <f>IF(M1254=0,0,ROUND(S1253*EXP(Int_Rate/365.25 * M1254)-S1253,2))</f>
        <v>0</v>
      </c>
      <c r="Q1254" s="1851" cm="1">
        <f t="array" ref="Q1254">_xlfn.IFS(
    AND(I1254=TRUE, K1254&lt;=No_Regular_Payments), Periodic_Admin_Charge,
   TRUE, 0
)</f>
        <v>0</v>
      </c>
      <c r="R1254" s="1850">
        <f>N1254-O1254-Q1254</f>
        <v>0</v>
      </c>
      <c r="S1254" s="1850">
        <f>ROUND(S1253-R1254,2)</f>
        <v>0</v>
      </c>
      <c r="T1254" s="1850">
        <f>ROUND(T1253-(N1254-Q1254),2)</f>
        <v>0</v>
      </c>
      <c r="U1254" s="1849"/>
      <c r="W1254" s="1848"/>
      <c r="X1254" s="1848"/>
      <c r="Y1254" s="1848"/>
    </row>
    <row r="1255" spans="2:25" hidden="1">
      <c r="B1255" s="1815" t="b">
        <f>AND(I1255=FALSE,N1254=0,Q1254=0,L1254="")</f>
        <v>1</v>
      </c>
      <c r="C1255" s="1844" t="str" cm="1">
        <f t="array" ref="C1255">_xlfn.IFS(
    L1255="", "",
    MONTH(L1255) &lt;= End_of_Year_Month, YEAR(L1255),
    TRUE, YEAR(L1255) + 1
)</f>
        <v/>
      </c>
      <c r="F1255" s="1857">
        <f>IF(L1255="",0,L1255)</f>
        <v>0</v>
      </c>
      <c r="G1255" s="1856">
        <f>-(N1255-Q1255)</f>
        <v>0</v>
      </c>
      <c r="I1255" s="1815" t="b">
        <f>K1255&lt;=Number_Payments</f>
        <v>0</v>
      </c>
      <c r="J1255" s="1855"/>
      <c r="K1255" s="1351">
        <f>K1254+1</f>
        <v>1129</v>
      </c>
      <c r="L1255" s="1854" t="str" cm="1">
        <f t="array" ref="L1255">_xlfn.IFS(
    I1254=FALSE, "",
    Payment_Frequency="Monthly", EDATE(L1254, 1),
    Payment_Frequency="Weekly", DATE(YEAR(L1254), MONTH(L1254), DAY(L1254) + 7),
    Payment_Frequency="Fortnightly", DATE(YEAR(L1254), MONTH(L1254), DAY(L1254) + 14),
    Payment_Frequency="Quarterly", DATE(YEAR(L1254), MONTH(L1254) + 3, DAY(L1254)),
    Payment_Frequency="Yearly", DATE(YEAR(L1254) + 1, MONTH(L1254), DAY(L1254)),
    TRUE, ""
)</f>
        <v/>
      </c>
      <c r="M1255" s="1853">
        <f>IF(ISERROR(L1255-L1254),0,L1255-L1254)</f>
        <v>0</v>
      </c>
      <c r="N1255" s="1851" cm="1">
        <f t="array" ref="N1255">_xlfn.IFS(
    AND(I1255=TRUE, K1255&lt;=No_Regular_Payments), Repay_Amt,
    AND(I1255=TRUE, K1255=No_Regular_Payments+1), Tm_Balloon_Amt,
   TRUE, 0
)</f>
        <v>0</v>
      </c>
      <c r="O1255" s="1850" cm="1">
        <f t="array" ref="O1255">_xlfn.IFS(
    M1255=0,0,
   ABS(N1255 - S1254 - P1255-Q1255) &lt; 1, N1255 - S1254-Q1255,
    TRUE, P1255
)</f>
        <v>0</v>
      </c>
      <c r="P1255" s="1852">
        <f>IF(M1255=0,0,ROUND(S1254*EXP(Int_Rate/365.25 * M1255)-S1254,2))</f>
        <v>0</v>
      </c>
      <c r="Q1255" s="1851" cm="1">
        <f t="array" ref="Q1255">_xlfn.IFS(
    AND(I1255=TRUE, K1255&lt;=No_Regular_Payments), Periodic_Admin_Charge,
   TRUE, 0
)</f>
        <v>0</v>
      </c>
      <c r="R1255" s="1850">
        <f>N1255-O1255-Q1255</f>
        <v>0</v>
      </c>
      <c r="S1255" s="1850">
        <f>ROUND(S1254-R1255,2)</f>
        <v>0</v>
      </c>
      <c r="T1255" s="1850">
        <f>ROUND(T1254-(N1255-Q1255),2)</f>
        <v>0</v>
      </c>
      <c r="U1255" s="1849"/>
      <c r="W1255" s="1848"/>
      <c r="X1255" s="1848"/>
      <c r="Y1255" s="1848"/>
    </row>
    <row r="1256" spans="2:25" hidden="1">
      <c r="B1256" s="1815" t="b">
        <f>AND(I1256=FALSE,N1255=0,Q1255=0,L1255="")</f>
        <v>1</v>
      </c>
      <c r="C1256" s="1844" t="str" cm="1">
        <f t="array" ref="C1256">_xlfn.IFS(
    L1256="", "",
    MONTH(L1256) &lt;= End_of_Year_Month, YEAR(L1256),
    TRUE, YEAR(L1256) + 1
)</f>
        <v/>
      </c>
      <c r="F1256" s="1857">
        <f>IF(L1256="",0,L1256)</f>
        <v>0</v>
      </c>
      <c r="G1256" s="1856">
        <f>-(N1256-Q1256)</f>
        <v>0</v>
      </c>
      <c r="I1256" s="1815" t="b">
        <f>K1256&lt;=Number_Payments</f>
        <v>0</v>
      </c>
      <c r="J1256" s="1855"/>
      <c r="K1256" s="1351">
        <f>K1255+1</f>
        <v>1130</v>
      </c>
      <c r="L1256" s="1854" t="str" cm="1">
        <f t="array" ref="L1256">_xlfn.IFS(
    I1255=FALSE, "",
    Payment_Frequency="Monthly", EDATE(L1255, 1),
    Payment_Frequency="Weekly", DATE(YEAR(L1255), MONTH(L1255), DAY(L1255) + 7),
    Payment_Frequency="Fortnightly", DATE(YEAR(L1255), MONTH(L1255), DAY(L1255) + 14),
    Payment_Frequency="Quarterly", DATE(YEAR(L1255), MONTH(L1255) + 3, DAY(L1255)),
    Payment_Frequency="Yearly", DATE(YEAR(L1255) + 1, MONTH(L1255), DAY(L1255)),
    TRUE, ""
)</f>
        <v/>
      </c>
      <c r="M1256" s="1853">
        <f>IF(ISERROR(L1256-L1255),0,L1256-L1255)</f>
        <v>0</v>
      </c>
      <c r="N1256" s="1851" cm="1">
        <f t="array" ref="N1256">_xlfn.IFS(
    AND(I1256=TRUE, K1256&lt;=No_Regular_Payments), Repay_Amt,
    AND(I1256=TRUE, K1256=No_Regular_Payments+1), Tm_Balloon_Amt,
   TRUE, 0
)</f>
        <v>0</v>
      </c>
      <c r="O1256" s="1850" cm="1">
        <f t="array" ref="O1256">_xlfn.IFS(
    M1256=0,0,
   ABS(N1256 - S1255 - P1256-Q1256) &lt; 1, N1256 - S1255-Q1256,
    TRUE, P1256
)</f>
        <v>0</v>
      </c>
      <c r="P1256" s="1852">
        <f>IF(M1256=0,0,ROUND(S1255*EXP(Int_Rate/365.25 * M1256)-S1255,2))</f>
        <v>0</v>
      </c>
      <c r="Q1256" s="1851" cm="1">
        <f t="array" ref="Q1256">_xlfn.IFS(
    AND(I1256=TRUE, K1256&lt;=No_Regular_Payments), Periodic_Admin_Charge,
   TRUE, 0
)</f>
        <v>0</v>
      </c>
      <c r="R1256" s="1850">
        <f>N1256-O1256-Q1256</f>
        <v>0</v>
      </c>
      <c r="S1256" s="1850">
        <f>ROUND(S1255-R1256,2)</f>
        <v>0</v>
      </c>
      <c r="T1256" s="1850">
        <f>ROUND(T1255-(N1256-Q1256),2)</f>
        <v>0</v>
      </c>
      <c r="U1256" s="1849"/>
      <c r="W1256" s="1848"/>
      <c r="X1256" s="1848"/>
      <c r="Y1256" s="1848"/>
    </row>
    <row r="1257" spans="2:25" hidden="1">
      <c r="B1257" s="1815" t="b">
        <f>AND(I1257=FALSE,N1256=0,Q1256=0,L1256="")</f>
        <v>1</v>
      </c>
      <c r="C1257" s="1844" t="str" cm="1">
        <f t="array" ref="C1257">_xlfn.IFS(
    L1257="", "",
    MONTH(L1257) &lt;= End_of_Year_Month, YEAR(L1257),
    TRUE, YEAR(L1257) + 1
)</f>
        <v/>
      </c>
      <c r="F1257" s="1857">
        <f>IF(L1257="",0,L1257)</f>
        <v>0</v>
      </c>
      <c r="G1257" s="1856">
        <f>-(N1257-Q1257)</f>
        <v>0</v>
      </c>
      <c r="I1257" s="1815" t="b">
        <f>K1257&lt;=Number_Payments</f>
        <v>0</v>
      </c>
      <c r="J1257" s="1855"/>
      <c r="K1257" s="1351">
        <f>K1256+1</f>
        <v>1131</v>
      </c>
      <c r="L1257" s="1854" t="str" cm="1">
        <f t="array" ref="L1257">_xlfn.IFS(
    I1256=FALSE, "",
    Payment_Frequency="Monthly", EDATE(L1256, 1),
    Payment_Frequency="Weekly", DATE(YEAR(L1256), MONTH(L1256), DAY(L1256) + 7),
    Payment_Frequency="Fortnightly", DATE(YEAR(L1256), MONTH(L1256), DAY(L1256) + 14),
    Payment_Frequency="Quarterly", DATE(YEAR(L1256), MONTH(L1256) + 3, DAY(L1256)),
    Payment_Frequency="Yearly", DATE(YEAR(L1256) + 1, MONTH(L1256), DAY(L1256)),
    TRUE, ""
)</f>
        <v/>
      </c>
      <c r="M1257" s="1853">
        <f>IF(ISERROR(L1257-L1256),0,L1257-L1256)</f>
        <v>0</v>
      </c>
      <c r="N1257" s="1851" cm="1">
        <f t="array" ref="N1257">_xlfn.IFS(
    AND(I1257=TRUE, K1257&lt;=No_Regular_Payments), Repay_Amt,
    AND(I1257=TRUE, K1257=No_Regular_Payments+1), Tm_Balloon_Amt,
   TRUE, 0
)</f>
        <v>0</v>
      </c>
      <c r="O1257" s="1850" cm="1">
        <f t="array" ref="O1257">_xlfn.IFS(
    M1257=0,0,
   ABS(N1257 - S1256 - P1257-Q1257) &lt; 1, N1257 - S1256-Q1257,
    TRUE, P1257
)</f>
        <v>0</v>
      </c>
      <c r="P1257" s="1852">
        <f>IF(M1257=0,0,ROUND(S1256*EXP(Int_Rate/365.25 * M1257)-S1256,2))</f>
        <v>0</v>
      </c>
      <c r="Q1257" s="1851" cm="1">
        <f t="array" ref="Q1257">_xlfn.IFS(
    AND(I1257=TRUE, K1257&lt;=No_Regular_Payments), Periodic_Admin_Charge,
   TRUE, 0
)</f>
        <v>0</v>
      </c>
      <c r="R1257" s="1850">
        <f>N1257-O1257-Q1257</f>
        <v>0</v>
      </c>
      <c r="S1257" s="1850">
        <f>ROUND(S1256-R1257,2)</f>
        <v>0</v>
      </c>
      <c r="T1257" s="1850">
        <f>ROUND(T1256-(N1257-Q1257),2)</f>
        <v>0</v>
      </c>
      <c r="U1257" s="1849"/>
      <c r="W1257" s="1848"/>
      <c r="X1257" s="1848"/>
      <c r="Y1257" s="1848"/>
    </row>
    <row r="1258" spans="2:25" hidden="1">
      <c r="B1258" s="1815" t="b">
        <f>AND(I1258=FALSE,N1257=0,Q1257=0,L1257="")</f>
        <v>1</v>
      </c>
      <c r="C1258" s="1844" t="str" cm="1">
        <f t="array" ref="C1258">_xlfn.IFS(
    L1258="", "",
    MONTH(L1258) &lt;= End_of_Year_Month, YEAR(L1258),
    TRUE, YEAR(L1258) + 1
)</f>
        <v/>
      </c>
      <c r="F1258" s="1857">
        <f>IF(L1258="",0,L1258)</f>
        <v>0</v>
      </c>
      <c r="G1258" s="1856">
        <f>-(N1258-Q1258)</f>
        <v>0</v>
      </c>
      <c r="I1258" s="1815" t="b">
        <f>K1258&lt;=Number_Payments</f>
        <v>0</v>
      </c>
      <c r="J1258" s="1855"/>
      <c r="K1258" s="1351">
        <f>K1257+1</f>
        <v>1132</v>
      </c>
      <c r="L1258" s="1854" t="str" cm="1">
        <f t="array" ref="L1258">_xlfn.IFS(
    I1257=FALSE, "",
    Payment_Frequency="Monthly", EDATE(L1257, 1),
    Payment_Frequency="Weekly", DATE(YEAR(L1257), MONTH(L1257), DAY(L1257) + 7),
    Payment_Frequency="Fortnightly", DATE(YEAR(L1257), MONTH(L1257), DAY(L1257) + 14),
    Payment_Frequency="Quarterly", DATE(YEAR(L1257), MONTH(L1257) + 3, DAY(L1257)),
    Payment_Frequency="Yearly", DATE(YEAR(L1257) + 1, MONTH(L1257), DAY(L1257)),
    TRUE, ""
)</f>
        <v/>
      </c>
      <c r="M1258" s="1853">
        <f>IF(ISERROR(L1258-L1257),0,L1258-L1257)</f>
        <v>0</v>
      </c>
      <c r="N1258" s="1851" cm="1">
        <f t="array" ref="N1258">_xlfn.IFS(
    AND(I1258=TRUE, K1258&lt;=No_Regular_Payments), Repay_Amt,
    AND(I1258=TRUE, K1258=No_Regular_Payments+1), Tm_Balloon_Amt,
   TRUE, 0
)</f>
        <v>0</v>
      </c>
      <c r="O1258" s="1850" cm="1">
        <f t="array" ref="O1258">_xlfn.IFS(
    M1258=0,0,
   ABS(N1258 - S1257 - P1258-Q1258) &lt; 1, N1258 - S1257-Q1258,
    TRUE, P1258
)</f>
        <v>0</v>
      </c>
      <c r="P1258" s="1852">
        <f>IF(M1258=0,0,ROUND(S1257*EXP(Int_Rate/365.25 * M1258)-S1257,2))</f>
        <v>0</v>
      </c>
      <c r="Q1258" s="1851" cm="1">
        <f t="array" ref="Q1258">_xlfn.IFS(
    AND(I1258=TRUE, K1258&lt;=No_Regular_Payments), Periodic_Admin_Charge,
   TRUE, 0
)</f>
        <v>0</v>
      </c>
      <c r="R1258" s="1850">
        <f>N1258-O1258-Q1258</f>
        <v>0</v>
      </c>
      <c r="S1258" s="1850">
        <f>ROUND(S1257-R1258,2)</f>
        <v>0</v>
      </c>
      <c r="T1258" s="1850">
        <f>ROUND(T1257-(N1258-Q1258),2)</f>
        <v>0</v>
      </c>
      <c r="U1258" s="1849"/>
      <c r="W1258" s="1848"/>
      <c r="X1258" s="1848"/>
      <c r="Y1258" s="1848"/>
    </row>
    <row r="1259" spans="2:25" hidden="1">
      <c r="B1259" s="1815" t="b">
        <f>AND(I1259=FALSE,N1258=0,Q1258=0,L1258="")</f>
        <v>1</v>
      </c>
      <c r="C1259" s="1844" t="str" cm="1">
        <f t="array" ref="C1259">_xlfn.IFS(
    L1259="", "",
    MONTH(L1259) &lt;= End_of_Year_Month, YEAR(L1259),
    TRUE, YEAR(L1259) + 1
)</f>
        <v/>
      </c>
      <c r="F1259" s="1857">
        <f>IF(L1259="",0,L1259)</f>
        <v>0</v>
      </c>
      <c r="G1259" s="1856">
        <f>-(N1259-Q1259)</f>
        <v>0</v>
      </c>
      <c r="I1259" s="1815" t="b">
        <f>K1259&lt;=Number_Payments</f>
        <v>0</v>
      </c>
      <c r="J1259" s="1855"/>
      <c r="K1259" s="1351">
        <f>K1258+1</f>
        <v>1133</v>
      </c>
      <c r="L1259" s="1854" t="str" cm="1">
        <f t="array" ref="L1259">_xlfn.IFS(
    I1258=FALSE, "",
    Payment_Frequency="Monthly", EDATE(L1258, 1),
    Payment_Frequency="Weekly", DATE(YEAR(L1258), MONTH(L1258), DAY(L1258) + 7),
    Payment_Frequency="Fortnightly", DATE(YEAR(L1258), MONTH(L1258), DAY(L1258) + 14),
    Payment_Frequency="Quarterly", DATE(YEAR(L1258), MONTH(L1258) + 3, DAY(L1258)),
    Payment_Frequency="Yearly", DATE(YEAR(L1258) + 1, MONTH(L1258), DAY(L1258)),
    TRUE, ""
)</f>
        <v/>
      </c>
      <c r="M1259" s="1853">
        <f>IF(ISERROR(L1259-L1258),0,L1259-L1258)</f>
        <v>0</v>
      </c>
      <c r="N1259" s="1851" cm="1">
        <f t="array" ref="N1259">_xlfn.IFS(
    AND(I1259=TRUE, K1259&lt;=No_Regular_Payments), Repay_Amt,
    AND(I1259=TRUE, K1259=No_Regular_Payments+1), Tm_Balloon_Amt,
   TRUE, 0
)</f>
        <v>0</v>
      </c>
      <c r="O1259" s="1850" cm="1">
        <f t="array" ref="O1259">_xlfn.IFS(
    M1259=0,0,
   ABS(N1259 - S1258 - P1259-Q1259) &lt; 1, N1259 - S1258-Q1259,
    TRUE, P1259
)</f>
        <v>0</v>
      </c>
      <c r="P1259" s="1852">
        <f>IF(M1259=0,0,ROUND(S1258*EXP(Int_Rate/365.25 * M1259)-S1258,2))</f>
        <v>0</v>
      </c>
      <c r="Q1259" s="1851" cm="1">
        <f t="array" ref="Q1259">_xlfn.IFS(
    AND(I1259=TRUE, K1259&lt;=No_Regular_Payments), Periodic_Admin_Charge,
   TRUE, 0
)</f>
        <v>0</v>
      </c>
      <c r="R1259" s="1850">
        <f>N1259-O1259-Q1259</f>
        <v>0</v>
      </c>
      <c r="S1259" s="1850">
        <f>ROUND(S1258-R1259,2)</f>
        <v>0</v>
      </c>
      <c r="T1259" s="1850">
        <f>ROUND(T1258-(N1259-Q1259),2)</f>
        <v>0</v>
      </c>
      <c r="U1259" s="1849"/>
      <c r="W1259" s="1848"/>
      <c r="X1259" s="1848"/>
      <c r="Y1259" s="1848"/>
    </row>
    <row r="1260" spans="2:25" hidden="1">
      <c r="B1260" s="1815" t="b">
        <f>AND(I1260=FALSE,N1259=0,Q1259=0,L1259="")</f>
        <v>1</v>
      </c>
      <c r="C1260" s="1844" t="str" cm="1">
        <f t="array" ref="C1260">_xlfn.IFS(
    L1260="", "",
    MONTH(L1260) &lt;= End_of_Year_Month, YEAR(L1260),
    TRUE, YEAR(L1260) + 1
)</f>
        <v/>
      </c>
      <c r="F1260" s="1857">
        <f>IF(L1260="",0,L1260)</f>
        <v>0</v>
      </c>
      <c r="G1260" s="1856">
        <f>-(N1260-Q1260)</f>
        <v>0</v>
      </c>
      <c r="I1260" s="1815" t="b">
        <f>K1260&lt;=Number_Payments</f>
        <v>0</v>
      </c>
      <c r="J1260" s="1855"/>
      <c r="K1260" s="1351">
        <f>K1259+1</f>
        <v>1134</v>
      </c>
      <c r="L1260" s="1854" t="str" cm="1">
        <f t="array" ref="L1260">_xlfn.IFS(
    I1259=FALSE, "",
    Payment_Frequency="Monthly", EDATE(L1259, 1),
    Payment_Frequency="Weekly", DATE(YEAR(L1259), MONTH(L1259), DAY(L1259) + 7),
    Payment_Frequency="Fortnightly", DATE(YEAR(L1259), MONTH(L1259), DAY(L1259) + 14),
    Payment_Frequency="Quarterly", DATE(YEAR(L1259), MONTH(L1259) + 3, DAY(L1259)),
    Payment_Frequency="Yearly", DATE(YEAR(L1259) + 1, MONTH(L1259), DAY(L1259)),
    TRUE, ""
)</f>
        <v/>
      </c>
      <c r="M1260" s="1853">
        <f>IF(ISERROR(L1260-L1259),0,L1260-L1259)</f>
        <v>0</v>
      </c>
      <c r="N1260" s="1851" cm="1">
        <f t="array" ref="N1260">_xlfn.IFS(
    AND(I1260=TRUE, K1260&lt;=No_Regular_Payments), Repay_Amt,
    AND(I1260=TRUE, K1260=No_Regular_Payments+1), Tm_Balloon_Amt,
   TRUE, 0
)</f>
        <v>0</v>
      </c>
      <c r="O1260" s="1850" cm="1">
        <f t="array" ref="O1260">_xlfn.IFS(
    M1260=0,0,
   ABS(N1260 - S1259 - P1260-Q1260) &lt; 1, N1260 - S1259-Q1260,
    TRUE, P1260
)</f>
        <v>0</v>
      </c>
      <c r="P1260" s="1852">
        <f>IF(M1260=0,0,ROUND(S1259*EXP(Int_Rate/365.25 * M1260)-S1259,2))</f>
        <v>0</v>
      </c>
      <c r="Q1260" s="1851" cm="1">
        <f t="array" ref="Q1260">_xlfn.IFS(
    AND(I1260=TRUE, K1260&lt;=No_Regular_Payments), Periodic_Admin_Charge,
   TRUE, 0
)</f>
        <v>0</v>
      </c>
      <c r="R1260" s="1850">
        <f>N1260-O1260-Q1260</f>
        <v>0</v>
      </c>
      <c r="S1260" s="1850">
        <f>ROUND(S1259-R1260,2)</f>
        <v>0</v>
      </c>
      <c r="T1260" s="1850">
        <f>ROUND(T1259-(N1260-Q1260),2)</f>
        <v>0</v>
      </c>
      <c r="U1260" s="1849"/>
      <c r="W1260" s="1848"/>
      <c r="X1260" s="1848"/>
      <c r="Y1260" s="1848"/>
    </row>
    <row r="1261" spans="2:25" hidden="1">
      <c r="B1261" s="1815" t="b">
        <f>AND(I1261=FALSE,N1260=0,Q1260=0,L1260="")</f>
        <v>1</v>
      </c>
      <c r="C1261" s="1844" t="str" cm="1">
        <f t="array" ref="C1261">_xlfn.IFS(
    L1261="", "",
    MONTH(L1261) &lt;= End_of_Year_Month, YEAR(L1261),
    TRUE, YEAR(L1261) + 1
)</f>
        <v/>
      </c>
      <c r="F1261" s="1857">
        <f>IF(L1261="",0,L1261)</f>
        <v>0</v>
      </c>
      <c r="G1261" s="1856">
        <f>-(N1261-Q1261)</f>
        <v>0</v>
      </c>
      <c r="I1261" s="1815" t="b">
        <f>K1261&lt;=Number_Payments</f>
        <v>0</v>
      </c>
      <c r="J1261" s="1855"/>
      <c r="K1261" s="1351">
        <f>K1260+1</f>
        <v>1135</v>
      </c>
      <c r="L1261" s="1854" t="str" cm="1">
        <f t="array" ref="L1261">_xlfn.IFS(
    I1260=FALSE, "",
    Payment_Frequency="Monthly", EDATE(L1260, 1),
    Payment_Frequency="Weekly", DATE(YEAR(L1260), MONTH(L1260), DAY(L1260) + 7),
    Payment_Frequency="Fortnightly", DATE(YEAR(L1260), MONTH(L1260), DAY(L1260) + 14),
    Payment_Frequency="Quarterly", DATE(YEAR(L1260), MONTH(L1260) + 3, DAY(L1260)),
    Payment_Frequency="Yearly", DATE(YEAR(L1260) + 1, MONTH(L1260), DAY(L1260)),
    TRUE, ""
)</f>
        <v/>
      </c>
      <c r="M1261" s="1853">
        <f>IF(ISERROR(L1261-L1260),0,L1261-L1260)</f>
        <v>0</v>
      </c>
      <c r="N1261" s="1851" cm="1">
        <f t="array" ref="N1261">_xlfn.IFS(
    AND(I1261=TRUE, K1261&lt;=No_Regular_Payments), Repay_Amt,
    AND(I1261=TRUE, K1261=No_Regular_Payments+1), Tm_Balloon_Amt,
   TRUE, 0
)</f>
        <v>0</v>
      </c>
      <c r="O1261" s="1850" cm="1">
        <f t="array" ref="O1261">_xlfn.IFS(
    M1261=0,0,
   ABS(N1261 - S1260 - P1261-Q1261) &lt; 1, N1261 - S1260-Q1261,
    TRUE, P1261
)</f>
        <v>0</v>
      </c>
      <c r="P1261" s="1852">
        <f>IF(M1261=0,0,ROUND(S1260*EXP(Int_Rate/365.25 * M1261)-S1260,2))</f>
        <v>0</v>
      </c>
      <c r="Q1261" s="1851" cm="1">
        <f t="array" ref="Q1261">_xlfn.IFS(
    AND(I1261=TRUE, K1261&lt;=No_Regular_Payments), Periodic_Admin_Charge,
   TRUE, 0
)</f>
        <v>0</v>
      </c>
      <c r="R1261" s="1850">
        <f>N1261-O1261-Q1261</f>
        <v>0</v>
      </c>
      <c r="S1261" s="1850">
        <f>ROUND(S1260-R1261,2)</f>
        <v>0</v>
      </c>
      <c r="T1261" s="1850">
        <f>ROUND(T1260-(N1261-Q1261),2)</f>
        <v>0</v>
      </c>
      <c r="U1261" s="1849"/>
      <c r="W1261" s="1848"/>
      <c r="X1261" s="1848"/>
      <c r="Y1261" s="1848"/>
    </row>
    <row r="1262" spans="2:25" hidden="1">
      <c r="B1262" s="1815" t="b">
        <f>AND(I1262=FALSE,N1261=0,Q1261=0,L1261="")</f>
        <v>1</v>
      </c>
      <c r="C1262" s="1844" t="str" cm="1">
        <f t="array" ref="C1262">_xlfn.IFS(
    L1262="", "",
    MONTH(L1262) &lt;= End_of_Year_Month, YEAR(L1262),
    TRUE, YEAR(L1262) + 1
)</f>
        <v/>
      </c>
      <c r="F1262" s="1857">
        <f>IF(L1262="",0,L1262)</f>
        <v>0</v>
      </c>
      <c r="G1262" s="1856">
        <f>-(N1262-Q1262)</f>
        <v>0</v>
      </c>
      <c r="I1262" s="1815" t="b">
        <f>K1262&lt;=Number_Payments</f>
        <v>0</v>
      </c>
      <c r="J1262" s="1855"/>
      <c r="K1262" s="1351">
        <f>K1261+1</f>
        <v>1136</v>
      </c>
      <c r="L1262" s="1854" t="str" cm="1">
        <f t="array" ref="L1262">_xlfn.IFS(
    I1261=FALSE, "",
    Payment_Frequency="Monthly", EDATE(L1261, 1),
    Payment_Frequency="Weekly", DATE(YEAR(L1261), MONTH(L1261), DAY(L1261) + 7),
    Payment_Frequency="Fortnightly", DATE(YEAR(L1261), MONTH(L1261), DAY(L1261) + 14),
    Payment_Frequency="Quarterly", DATE(YEAR(L1261), MONTH(L1261) + 3, DAY(L1261)),
    Payment_Frequency="Yearly", DATE(YEAR(L1261) + 1, MONTH(L1261), DAY(L1261)),
    TRUE, ""
)</f>
        <v/>
      </c>
      <c r="M1262" s="1853">
        <f>IF(ISERROR(L1262-L1261),0,L1262-L1261)</f>
        <v>0</v>
      </c>
      <c r="N1262" s="1851" cm="1">
        <f t="array" ref="N1262">_xlfn.IFS(
    AND(I1262=TRUE, K1262&lt;=No_Regular_Payments), Repay_Amt,
    AND(I1262=TRUE, K1262=No_Regular_Payments+1), Tm_Balloon_Amt,
   TRUE, 0
)</f>
        <v>0</v>
      </c>
      <c r="O1262" s="1850" cm="1">
        <f t="array" ref="O1262">_xlfn.IFS(
    M1262=0,0,
   ABS(N1262 - S1261 - P1262-Q1262) &lt; 1, N1262 - S1261-Q1262,
    TRUE, P1262
)</f>
        <v>0</v>
      </c>
      <c r="P1262" s="1852">
        <f>IF(M1262=0,0,ROUND(S1261*EXP(Int_Rate/365.25 * M1262)-S1261,2))</f>
        <v>0</v>
      </c>
      <c r="Q1262" s="1851" cm="1">
        <f t="array" ref="Q1262">_xlfn.IFS(
    AND(I1262=TRUE, K1262&lt;=No_Regular_Payments), Periodic_Admin_Charge,
   TRUE, 0
)</f>
        <v>0</v>
      </c>
      <c r="R1262" s="1850">
        <f>N1262-O1262-Q1262</f>
        <v>0</v>
      </c>
      <c r="S1262" s="1850">
        <f>ROUND(S1261-R1262,2)</f>
        <v>0</v>
      </c>
      <c r="T1262" s="1850">
        <f>ROUND(T1261-(N1262-Q1262),2)</f>
        <v>0</v>
      </c>
      <c r="U1262" s="1849"/>
      <c r="W1262" s="1848"/>
      <c r="X1262" s="1848"/>
      <c r="Y1262" s="1848"/>
    </row>
    <row r="1263" spans="2:25" hidden="1">
      <c r="B1263" s="1815" t="b">
        <f>AND(I1263=FALSE,N1262=0,Q1262=0,L1262="")</f>
        <v>1</v>
      </c>
      <c r="C1263" s="1844" t="str" cm="1">
        <f t="array" ref="C1263">_xlfn.IFS(
    L1263="", "",
    MONTH(L1263) &lt;= End_of_Year_Month, YEAR(L1263),
    TRUE, YEAR(L1263) + 1
)</f>
        <v/>
      </c>
      <c r="F1263" s="1857">
        <f>IF(L1263="",0,L1263)</f>
        <v>0</v>
      </c>
      <c r="G1263" s="1856">
        <f>-(N1263-Q1263)</f>
        <v>0</v>
      </c>
      <c r="I1263" s="1815" t="b">
        <f>K1263&lt;=Number_Payments</f>
        <v>0</v>
      </c>
      <c r="J1263" s="1855"/>
      <c r="K1263" s="1351">
        <f>K1262+1</f>
        <v>1137</v>
      </c>
      <c r="L1263" s="1854" t="str" cm="1">
        <f t="array" ref="L1263">_xlfn.IFS(
    I1262=FALSE, "",
    Payment_Frequency="Monthly", EDATE(L1262, 1),
    Payment_Frequency="Weekly", DATE(YEAR(L1262), MONTH(L1262), DAY(L1262) + 7),
    Payment_Frequency="Fortnightly", DATE(YEAR(L1262), MONTH(L1262), DAY(L1262) + 14),
    Payment_Frequency="Quarterly", DATE(YEAR(L1262), MONTH(L1262) + 3, DAY(L1262)),
    Payment_Frequency="Yearly", DATE(YEAR(L1262) + 1, MONTH(L1262), DAY(L1262)),
    TRUE, ""
)</f>
        <v/>
      </c>
      <c r="M1263" s="1853">
        <f>IF(ISERROR(L1263-L1262),0,L1263-L1262)</f>
        <v>0</v>
      </c>
      <c r="N1263" s="1851" cm="1">
        <f t="array" ref="N1263">_xlfn.IFS(
    AND(I1263=TRUE, K1263&lt;=No_Regular_Payments), Repay_Amt,
    AND(I1263=TRUE, K1263=No_Regular_Payments+1), Tm_Balloon_Amt,
   TRUE, 0
)</f>
        <v>0</v>
      </c>
      <c r="O1263" s="1850" cm="1">
        <f t="array" ref="O1263">_xlfn.IFS(
    M1263=0,0,
   ABS(N1263 - S1262 - P1263-Q1263) &lt; 1, N1263 - S1262-Q1263,
    TRUE, P1263
)</f>
        <v>0</v>
      </c>
      <c r="P1263" s="1852">
        <f>IF(M1263=0,0,ROUND(S1262*EXP(Int_Rate/365.25 * M1263)-S1262,2))</f>
        <v>0</v>
      </c>
      <c r="Q1263" s="1851" cm="1">
        <f t="array" ref="Q1263">_xlfn.IFS(
    AND(I1263=TRUE, K1263&lt;=No_Regular_Payments), Periodic_Admin_Charge,
   TRUE, 0
)</f>
        <v>0</v>
      </c>
      <c r="R1263" s="1850">
        <f>N1263-O1263-Q1263</f>
        <v>0</v>
      </c>
      <c r="S1263" s="1850">
        <f>ROUND(S1262-R1263,2)</f>
        <v>0</v>
      </c>
      <c r="T1263" s="1850">
        <f>ROUND(T1262-(N1263-Q1263),2)</f>
        <v>0</v>
      </c>
      <c r="U1263" s="1849"/>
      <c r="W1263" s="1848"/>
      <c r="X1263" s="1848"/>
      <c r="Y1263" s="1848"/>
    </row>
    <row r="1264" spans="2:25" hidden="1">
      <c r="B1264" s="1815" t="b">
        <f>AND(I1264=FALSE,N1263=0,Q1263=0,L1263="")</f>
        <v>1</v>
      </c>
      <c r="C1264" s="1844" t="str" cm="1">
        <f t="array" ref="C1264">_xlfn.IFS(
    L1264="", "",
    MONTH(L1264) &lt;= End_of_Year_Month, YEAR(L1264),
    TRUE, YEAR(L1264) + 1
)</f>
        <v/>
      </c>
      <c r="F1264" s="1857">
        <f>IF(L1264="",0,L1264)</f>
        <v>0</v>
      </c>
      <c r="G1264" s="1856">
        <f>-(N1264-Q1264)</f>
        <v>0</v>
      </c>
      <c r="I1264" s="1815" t="b">
        <f>K1264&lt;=Number_Payments</f>
        <v>0</v>
      </c>
      <c r="J1264" s="1855"/>
      <c r="K1264" s="1351">
        <f>K1263+1</f>
        <v>1138</v>
      </c>
      <c r="L1264" s="1854" t="str" cm="1">
        <f t="array" ref="L1264">_xlfn.IFS(
    I1263=FALSE, "",
    Payment_Frequency="Monthly", EDATE(L1263, 1),
    Payment_Frequency="Weekly", DATE(YEAR(L1263), MONTH(L1263), DAY(L1263) + 7),
    Payment_Frequency="Fortnightly", DATE(YEAR(L1263), MONTH(L1263), DAY(L1263) + 14),
    Payment_Frequency="Quarterly", DATE(YEAR(L1263), MONTH(L1263) + 3, DAY(L1263)),
    Payment_Frequency="Yearly", DATE(YEAR(L1263) + 1, MONTH(L1263), DAY(L1263)),
    TRUE, ""
)</f>
        <v/>
      </c>
      <c r="M1264" s="1853">
        <f>IF(ISERROR(L1264-L1263),0,L1264-L1263)</f>
        <v>0</v>
      </c>
      <c r="N1264" s="1851" cm="1">
        <f t="array" ref="N1264">_xlfn.IFS(
    AND(I1264=TRUE, K1264&lt;=No_Regular_Payments), Repay_Amt,
    AND(I1264=TRUE, K1264=No_Regular_Payments+1), Tm_Balloon_Amt,
   TRUE, 0
)</f>
        <v>0</v>
      </c>
      <c r="O1264" s="1850" cm="1">
        <f t="array" ref="O1264">_xlfn.IFS(
    M1264=0,0,
   ABS(N1264 - S1263 - P1264-Q1264) &lt; 1, N1264 - S1263-Q1264,
    TRUE, P1264
)</f>
        <v>0</v>
      </c>
      <c r="P1264" s="1852">
        <f>IF(M1264=0,0,ROUND(S1263*EXP(Int_Rate/365.25 * M1264)-S1263,2))</f>
        <v>0</v>
      </c>
      <c r="Q1264" s="1851" cm="1">
        <f t="array" ref="Q1264">_xlfn.IFS(
    AND(I1264=TRUE, K1264&lt;=No_Regular_Payments), Periodic_Admin_Charge,
   TRUE, 0
)</f>
        <v>0</v>
      </c>
      <c r="R1264" s="1850">
        <f>N1264-O1264-Q1264</f>
        <v>0</v>
      </c>
      <c r="S1264" s="1850">
        <f>ROUND(S1263-R1264,2)</f>
        <v>0</v>
      </c>
      <c r="T1264" s="1850">
        <f>ROUND(T1263-(N1264-Q1264),2)</f>
        <v>0</v>
      </c>
      <c r="U1264" s="1849"/>
      <c r="W1264" s="1848"/>
      <c r="X1264" s="1848"/>
      <c r="Y1264" s="1848"/>
    </row>
    <row r="1265" spans="2:25" hidden="1">
      <c r="B1265" s="1815" t="b">
        <f>AND(I1265=FALSE,N1264=0,Q1264=0,L1264="")</f>
        <v>1</v>
      </c>
      <c r="C1265" s="1844" t="str" cm="1">
        <f t="array" ref="C1265">_xlfn.IFS(
    L1265="", "",
    MONTH(L1265) &lt;= End_of_Year_Month, YEAR(L1265),
    TRUE, YEAR(L1265) + 1
)</f>
        <v/>
      </c>
      <c r="F1265" s="1857">
        <f>IF(L1265="",0,L1265)</f>
        <v>0</v>
      </c>
      <c r="G1265" s="1856">
        <f>-(N1265-Q1265)</f>
        <v>0</v>
      </c>
      <c r="I1265" s="1815" t="b">
        <f>K1265&lt;=Number_Payments</f>
        <v>0</v>
      </c>
      <c r="J1265" s="1855"/>
      <c r="K1265" s="1351">
        <f>K1264+1</f>
        <v>1139</v>
      </c>
      <c r="L1265" s="1854" t="str" cm="1">
        <f t="array" ref="L1265">_xlfn.IFS(
    I1264=FALSE, "",
    Payment_Frequency="Monthly", EDATE(L1264, 1),
    Payment_Frequency="Weekly", DATE(YEAR(L1264), MONTH(L1264), DAY(L1264) + 7),
    Payment_Frequency="Fortnightly", DATE(YEAR(L1264), MONTH(L1264), DAY(L1264) + 14),
    Payment_Frequency="Quarterly", DATE(YEAR(L1264), MONTH(L1264) + 3, DAY(L1264)),
    Payment_Frequency="Yearly", DATE(YEAR(L1264) + 1, MONTH(L1264), DAY(L1264)),
    TRUE, ""
)</f>
        <v/>
      </c>
      <c r="M1265" s="1853">
        <f>IF(ISERROR(L1265-L1264),0,L1265-L1264)</f>
        <v>0</v>
      </c>
      <c r="N1265" s="1851" cm="1">
        <f t="array" ref="N1265">_xlfn.IFS(
    AND(I1265=TRUE, K1265&lt;=No_Regular_Payments), Repay_Amt,
    AND(I1265=TRUE, K1265=No_Regular_Payments+1), Tm_Balloon_Amt,
   TRUE, 0
)</f>
        <v>0</v>
      </c>
      <c r="O1265" s="1850" cm="1">
        <f t="array" ref="O1265">_xlfn.IFS(
    M1265=0,0,
   ABS(N1265 - S1264 - P1265-Q1265) &lt; 1, N1265 - S1264-Q1265,
    TRUE, P1265
)</f>
        <v>0</v>
      </c>
      <c r="P1265" s="1852">
        <f>IF(M1265=0,0,ROUND(S1264*EXP(Int_Rate/365.25 * M1265)-S1264,2))</f>
        <v>0</v>
      </c>
      <c r="Q1265" s="1851" cm="1">
        <f t="array" ref="Q1265">_xlfn.IFS(
    AND(I1265=TRUE, K1265&lt;=No_Regular_Payments), Periodic_Admin_Charge,
   TRUE, 0
)</f>
        <v>0</v>
      </c>
      <c r="R1265" s="1850">
        <f>N1265-O1265-Q1265</f>
        <v>0</v>
      </c>
      <c r="S1265" s="1850">
        <f>ROUND(S1264-R1265,2)</f>
        <v>0</v>
      </c>
      <c r="T1265" s="1850">
        <f>ROUND(T1264-(N1265-Q1265),2)</f>
        <v>0</v>
      </c>
      <c r="U1265" s="1849"/>
      <c r="W1265" s="1848"/>
      <c r="X1265" s="1848"/>
      <c r="Y1265" s="1848"/>
    </row>
    <row r="1266" spans="2:25" hidden="1">
      <c r="B1266" s="1815" t="b">
        <f>AND(I1266=FALSE,N1265=0,Q1265=0,L1265="")</f>
        <v>1</v>
      </c>
      <c r="C1266" s="1844" t="str" cm="1">
        <f t="array" ref="C1266">_xlfn.IFS(
    L1266="", "",
    MONTH(L1266) &lt;= End_of_Year_Month, YEAR(L1266),
    TRUE, YEAR(L1266) + 1
)</f>
        <v/>
      </c>
      <c r="F1266" s="1857">
        <f>IF(L1266="",0,L1266)</f>
        <v>0</v>
      </c>
      <c r="G1266" s="1856">
        <f>-(N1266-Q1266)</f>
        <v>0</v>
      </c>
      <c r="I1266" s="1815" t="b">
        <f>K1266&lt;=Number_Payments</f>
        <v>0</v>
      </c>
      <c r="J1266" s="1855"/>
      <c r="K1266" s="1351">
        <f>K1265+1</f>
        <v>1140</v>
      </c>
      <c r="L1266" s="1854" t="str" cm="1">
        <f t="array" ref="L1266">_xlfn.IFS(
    I1265=FALSE, "",
    Payment_Frequency="Monthly", EDATE(L1265, 1),
    Payment_Frequency="Weekly", DATE(YEAR(L1265), MONTH(L1265), DAY(L1265) + 7),
    Payment_Frequency="Fortnightly", DATE(YEAR(L1265), MONTH(L1265), DAY(L1265) + 14),
    Payment_Frequency="Quarterly", DATE(YEAR(L1265), MONTH(L1265) + 3, DAY(L1265)),
    Payment_Frequency="Yearly", DATE(YEAR(L1265) + 1, MONTH(L1265), DAY(L1265)),
    TRUE, ""
)</f>
        <v/>
      </c>
      <c r="M1266" s="1853">
        <f>IF(ISERROR(L1266-L1265),0,L1266-L1265)</f>
        <v>0</v>
      </c>
      <c r="N1266" s="1851" cm="1">
        <f t="array" ref="N1266">_xlfn.IFS(
    AND(I1266=TRUE, K1266&lt;=No_Regular_Payments), Repay_Amt,
    AND(I1266=TRUE, K1266=No_Regular_Payments+1), Tm_Balloon_Amt,
   TRUE, 0
)</f>
        <v>0</v>
      </c>
      <c r="O1266" s="1850" cm="1">
        <f t="array" ref="O1266">_xlfn.IFS(
    M1266=0,0,
   ABS(N1266 - S1265 - P1266-Q1266) &lt; 1, N1266 - S1265-Q1266,
    TRUE, P1266
)</f>
        <v>0</v>
      </c>
      <c r="P1266" s="1852">
        <f>IF(M1266=0,0,ROUND(S1265*EXP(Int_Rate/365.25 * M1266)-S1265,2))</f>
        <v>0</v>
      </c>
      <c r="Q1266" s="1851" cm="1">
        <f t="array" ref="Q1266">_xlfn.IFS(
    AND(I1266=TRUE, K1266&lt;=No_Regular_Payments), Periodic_Admin_Charge,
   TRUE, 0
)</f>
        <v>0</v>
      </c>
      <c r="R1266" s="1850">
        <f>N1266-O1266-Q1266</f>
        <v>0</v>
      </c>
      <c r="S1266" s="1850">
        <f>ROUND(S1265-R1266,2)</f>
        <v>0</v>
      </c>
      <c r="T1266" s="1850">
        <f>ROUND(T1265-(N1266-Q1266),2)</f>
        <v>0</v>
      </c>
      <c r="U1266" s="1849"/>
      <c r="W1266" s="1848"/>
      <c r="X1266" s="1848"/>
      <c r="Y1266" s="1848"/>
    </row>
    <row r="1267" spans="2:25" hidden="1">
      <c r="B1267" s="1815" t="b">
        <f>AND(I1267=FALSE,N1266=0,Q1266=0,L1266="")</f>
        <v>1</v>
      </c>
      <c r="C1267" s="1844" t="str" cm="1">
        <f t="array" ref="C1267">_xlfn.IFS(
    L1267="", "",
    MONTH(L1267) &lt;= End_of_Year_Month, YEAR(L1267),
    TRUE, YEAR(L1267) + 1
)</f>
        <v/>
      </c>
      <c r="F1267" s="1857">
        <f>IF(L1267="",0,L1267)</f>
        <v>0</v>
      </c>
      <c r="G1267" s="1856">
        <f>-(N1267-Q1267)</f>
        <v>0</v>
      </c>
      <c r="I1267" s="1815" t="b">
        <f>K1267&lt;=Number_Payments</f>
        <v>0</v>
      </c>
      <c r="J1267" s="1855"/>
      <c r="K1267" s="1351">
        <f>K1266+1</f>
        <v>1141</v>
      </c>
      <c r="L1267" s="1854" t="str" cm="1">
        <f t="array" ref="L1267">_xlfn.IFS(
    I1266=FALSE, "",
    Payment_Frequency="Monthly", EDATE(L1266, 1),
    Payment_Frequency="Weekly", DATE(YEAR(L1266), MONTH(L1266), DAY(L1266) + 7),
    Payment_Frequency="Fortnightly", DATE(YEAR(L1266), MONTH(L1266), DAY(L1266) + 14),
    Payment_Frequency="Quarterly", DATE(YEAR(L1266), MONTH(L1266) + 3, DAY(L1266)),
    Payment_Frequency="Yearly", DATE(YEAR(L1266) + 1, MONTH(L1266), DAY(L1266)),
    TRUE, ""
)</f>
        <v/>
      </c>
      <c r="M1267" s="1853">
        <f>IF(ISERROR(L1267-L1266),0,L1267-L1266)</f>
        <v>0</v>
      </c>
      <c r="N1267" s="1851" cm="1">
        <f t="array" ref="N1267">_xlfn.IFS(
    AND(I1267=TRUE, K1267&lt;=No_Regular_Payments), Repay_Amt,
    AND(I1267=TRUE, K1267=No_Regular_Payments+1), Tm_Balloon_Amt,
   TRUE, 0
)</f>
        <v>0</v>
      </c>
      <c r="O1267" s="1850" cm="1">
        <f t="array" ref="O1267">_xlfn.IFS(
    M1267=0,0,
   ABS(N1267 - S1266 - P1267-Q1267) &lt; 1, N1267 - S1266-Q1267,
    TRUE, P1267
)</f>
        <v>0</v>
      </c>
      <c r="P1267" s="1852">
        <f>IF(M1267=0,0,ROUND(S1266*EXP(Int_Rate/365.25 * M1267)-S1266,2))</f>
        <v>0</v>
      </c>
      <c r="Q1267" s="1851" cm="1">
        <f t="array" ref="Q1267">_xlfn.IFS(
    AND(I1267=TRUE, K1267&lt;=No_Regular_Payments), Periodic_Admin_Charge,
   TRUE, 0
)</f>
        <v>0</v>
      </c>
      <c r="R1267" s="1850">
        <f>N1267-O1267-Q1267</f>
        <v>0</v>
      </c>
      <c r="S1267" s="1850">
        <f>ROUND(S1266-R1267,2)</f>
        <v>0</v>
      </c>
      <c r="T1267" s="1850">
        <f>ROUND(T1266-(N1267-Q1267),2)</f>
        <v>0</v>
      </c>
      <c r="U1267" s="1849"/>
      <c r="W1267" s="1848"/>
      <c r="X1267" s="1848"/>
      <c r="Y1267" s="1848"/>
    </row>
    <row r="1268" spans="2:25" hidden="1">
      <c r="B1268" s="1815" t="b">
        <f>AND(I1268=FALSE,N1267=0,Q1267=0,L1267="")</f>
        <v>1</v>
      </c>
      <c r="C1268" s="1844" t="str" cm="1">
        <f t="array" ref="C1268">_xlfn.IFS(
    L1268="", "",
    MONTH(L1268) &lt;= End_of_Year_Month, YEAR(L1268),
    TRUE, YEAR(L1268) + 1
)</f>
        <v/>
      </c>
      <c r="F1268" s="1857">
        <f>IF(L1268="",0,L1268)</f>
        <v>0</v>
      </c>
      <c r="G1268" s="1856">
        <f>-(N1268-Q1268)</f>
        <v>0</v>
      </c>
      <c r="I1268" s="1815" t="b">
        <f>K1268&lt;=Number_Payments</f>
        <v>0</v>
      </c>
      <c r="J1268" s="1855"/>
      <c r="K1268" s="1351">
        <f>K1267+1</f>
        <v>1142</v>
      </c>
      <c r="L1268" s="1854" t="str" cm="1">
        <f t="array" ref="L1268">_xlfn.IFS(
    I1267=FALSE, "",
    Payment_Frequency="Monthly", EDATE(L1267, 1),
    Payment_Frequency="Weekly", DATE(YEAR(L1267), MONTH(L1267), DAY(L1267) + 7),
    Payment_Frequency="Fortnightly", DATE(YEAR(L1267), MONTH(L1267), DAY(L1267) + 14),
    Payment_Frequency="Quarterly", DATE(YEAR(L1267), MONTH(L1267) + 3, DAY(L1267)),
    Payment_Frequency="Yearly", DATE(YEAR(L1267) + 1, MONTH(L1267), DAY(L1267)),
    TRUE, ""
)</f>
        <v/>
      </c>
      <c r="M1268" s="1853">
        <f>IF(ISERROR(L1268-L1267),0,L1268-L1267)</f>
        <v>0</v>
      </c>
      <c r="N1268" s="1851" cm="1">
        <f t="array" ref="N1268">_xlfn.IFS(
    AND(I1268=TRUE, K1268&lt;=No_Regular_Payments), Repay_Amt,
    AND(I1268=TRUE, K1268=No_Regular_Payments+1), Tm_Balloon_Amt,
   TRUE, 0
)</f>
        <v>0</v>
      </c>
      <c r="O1268" s="1850" cm="1">
        <f t="array" ref="O1268">_xlfn.IFS(
    M1268=0,0,
   ABS(N1268 - S1267 - P1268-Q1268) &lt; 1, N1268 - S1267-Q1268,
    TRUE, P1268
)</f>
        <v>0</v>
      </c>
      <c r="P1268" s="1852">
        <f>IF(M1268=0,0,ROUND(S1267*EXP(Int_Rate/365.25 * M1268)-S1267,2))</f>
        <v>0</v>
      </c>
      <c r="Q1268" s="1851" cm="1">
        <f t="array" ref="Q1268">_xlfn.IFS(
    AND(I1268=TRUE, K1268&lt;=No_Regular_Payments), Periodic_Admin_Charge,
   TRUE, 0
)</f>
        <v>0</v>
      </c>
      <c r="R1268" s="1850">
        <f>N1268-O1268-Q1268</f>
        <v>0</v>
      </c>
      <c r="S1268" s="1850">
        <f>ROUND(S1267-R1268,2)</f>
        <v>0</v>
      </c>
      <c r="T1268" s="1850">
        <f>ROUND(T1267-(N1268-Q1268),2)</f>
        <v>0</v>
      </c>
      <c r="U1268" s="1849"/>
      <c r="W1268" s="1848"/>
      <c r="X1268" s="1848"/>
      <c r="Y1268" s="1848"/>
    </row>
    <row r="1269" spans="2:25" hidden="1">
      <c r="B1269" s="1815" t="b">
        <f>AND(I1269=FALSE,N1268=0,Q1268=0,L1268="")</f>
        <v>1</v>
      </c>
      <c r="C1269" s="1844" t="str" cm="1">
        <f t="array" ref="C1269">_xlfn.IFS(
    L1269="", "",
    MONTH(L1269) &lt;= End_of_Year_Month, YEAR(L1269),
    TRUE, YEAR(L1269) + 1
)</f>
        <v/>
      </c>
      <c r="F1269" s="1857">
        <f>IF(L1269="",0,L1269)</f>
        <v>0</v>
      </c>
      <c r="G1269" s="1856">
        <f>-(N1269-Q1269)</f>
        <v>0</v>
      </c>
      <c r="I1269" s="1815" t="b">
        <f>K1269&lt;=Number_Payments</f>
        <v>0</v>
      </c>
      <c r="J1269" s="1855"/>
      <c r="K1269" s="1351">
        <f>K1268+1</f>
        <v>1143</v>
      </c>
      <c r="L1269" s="1854" t="str" cm="1">
        <f t="array" ref="L1269">_xlfn.IFS(
    I1268=FALSE, "",
    Payment_Frequency="Monthly", EDATE(L1268, 1),
    Payment_Frequency="Weekly", DATE(YEAR(L1268), MONTH(L1268), DAY(L1268) + 7),
    Payment_Frequency="Fortnightly", DATE(YEAR(L1268), MONTH(L1268), DAY(L1268) + 14),
    Payment_Frequency="Quarterly", DATE(YEAR(L1268), MONTH(L1268) + 3, DAY(L1268)),
    Payment_Frequency="Yearly", DATE(YEAR(L1268) + 1, MONTH(L1268), DAY(L1268)),
    TRUE, ""
)</f>
        <v/>
      </c>
      <c r="M1269" s="1853">
        <f>IF(ISERROR(L1269-L1268),0,L1269-L1268)</f>
        <v>0</v>
      </c>
      <c r="N1269" s="1851" cm="1">
        <f t="array" ref="N1269">_xlfn.IFS(
    AND(I1269=TRUE, K1269&lt;=No_Regular_Payments), Repay_Amt,
    AND(I1269=TRUE, K1269=No_Regular_Payments+1), Tm_Balloon_Amt,
   TRUE, 0
)</f>
        <v>0</v>
      </c>
      <c r="O1269" s="1850" cm="1">
        <f t="array" ref="O1269">_xlfn.IFS(
    M1269=0,0,
   ABS(N1269 - S1268 - P1269-Q1269) &lt; 1, N1269 - S1268-Q1269,
    TRUE, P1269
)</f>
        <v>0</v>
      </c>
      <c r="P1269" s="1852">
        <f>IF(M1269=0,0,ROUND(S1268*EXP(Int_Rate/365.25 * M1269)-S1268,2))</f>
        <v>0</v>
      </c>
      <c r="Q1269" s="1851" cm="1">
        <f t="array" ref="Q1269">_xlfn.IFS(
    AND(I1269=TRUE, K1269&lt;=No_Regular_Payments), Periodic_Admin_Charge,
   TRUE, 0
)</f>
        <v>0</v>
      </c>
      <c r="R1269" s="1850">
        <f>N1269-O1269-Q1269</f>
        <v>0</v>
      </c>
      <c r="S1269" s="1850">
        <f>ROUND(S1268-R1269,2)</f>
        <v>0</v>
      </c>
      <c r="T1269" s="1850">
        <f>ROUND(T1268-(N1269-Q1269),2)</f>
        <v>0</v>
      </c>
      <c r="U1269" s="1849"/>
      <c r="W1269" s="1848"/>
      <c r="X1269" s="1848"/>
      <c r="Y1269" s="1848"/>
    </row>
    <row r="1270" spans="2:25" hidden="1">
      <c r="B1270" s="1815" t="b">
        <f>AND(I1270=FALSE,N1269=0,Q1269=0,L1269="")</f>
        <v>1</v>
      </c>
      <c r="C1270" s="1844" t="str" cm="1">
        <f t="array" ref="C1270">_xlfn.IFS(
    L1270="", "",
    MONTH(L1270) &lt;= End_of_Year_Month, YEAR(L1270),
    TRUE, YEAR(L1270) + 1
)</f>
        <v/>
      </c>
      <c r="F1270" s="1857">
        <f>IF(L1270="",0,L1270)</f>
        <v>0</v>
      </c>
      <c r="G1270" s="1856">
        <f>-(N1270-Q1270)</f>
        <v>0</v>
      </c>
      <c r="I1270" s="1815" t="b">
        <f>K1270&lt;=Number_Payments</f>
        <v>0</v>
      </c>
      <c r="J1270" s="1855"/>
      <c r="K1270" s="1351">
        <f>K1269+1</f>
        <v>1144</v>
      </c>
      <c r="L1270" s="1854" t="str" cm="1">
        <f t="array" ref="L1270">_xlfn.IFS(
    I1269=FALSE, "",
    Payment_Frequency="Monthly", EDATE(L1269, 1),
    Payment_Frequency="Weekly", DATE(YEAR(L1269), MONTH(L1269), DAY(L1269) + 7),
    Payment_Frequency="Fortnightly", DATE(YEAR(L1269), MONTH(L1269), DAY(L1269) + 14),
    Payment_Frequency="Quarterly", DATE(YEAR(L1269), MONTH(L1269) + 3, DAY(L1269)),
    Payment_Frequency="Yearly", DATE(YEAR(L1269) + 1, MONTH(L1269), DAY(L1269)),
    TRUE, ""
)</f>
        <v/>
      </c>
      <c r="M1270" s="1853">
        <f>IF(ISERROR(L1270-L1269),0,L1270-L1269)</f>
        <v>0</v>
      </c>
      <c r="N1270" s="1851" cm="1">
        <f t="array" ref="N1270">_xlfn.IFS(
    AND(I1270=TRUE, K1270&lt;=No_Regular_Payments), Repay_Amt,
    AND(I1270=TRUE, K1270=No_Regular_Payments+1), Tm_Balloon_Amt,
   TRUE, 0
)</f>
        <v>0</v>
      </c>
      <c r="O1270" s="1850" cm="1">
        <f t="array" ref="O1270">_xlfn.IFS(
    M1270=0,0,
   ABS(N1270 - S1269 - P1270-Q1270) &lt; 1, N1270 - S1269-Q1270,
    TRUE, P1270
)</f>
        <v>0</v>
      </c>
      <c r="P1270" s="1852">
        <f>IF(M1270=0,0,ROUND(S1269*EXP(Int_Rate/365.25 * M1270)-S1269,2))</f>
        <v>0</v>
      </c>
      <c r="Q1270" s="1851" cm="1">
        <f t="array" ref="Q1270">_xlfn.IFS(
    AND(I1270=TRUE, K1270&lt;=No_Regular_Payments), Periodic_Admin_Charge,
   TRUE, 0
)</f>
        <v>0</v>
      </c>
      <c r="R1270" s="1850">
        <f>N1270-O1270-Q1270</f>
        <v>0</v>
      </c>
      <c r="S1270" s="1850">
        <f>ROUND(S1269-R1270,2)</f>
        <v>0</v>
      </c>
      <c r="T1270" s="1850">
        <f>ROUND(T1269-(N1270-Q1270),2)</f>
        <v>0</v>
      </c>
      <c r="U1270" s="1849"/>
      <c r="W1270" s="1848"/>
      <c r="X1270" s="1848"/>
      <c r="Y1270" s="1848"/>
    </row>
    <row r="1271" spans="2:25" hidden="1">
      <c r="B1271" s="1815" t="b">
        <f>AND(I1271=FALSE,N1270=0,Q1270=0,L1270="")</f>
        <v>1</v>
      </c>
      <c r="C1271" s="1844" t="str" cm="1">
        <f t="array" ref="C1271">_xlfn.IFS(
    L1271="", "",
    MONTH(L1271) &lt;= End_of_Year_Month, YEAR(L1271),
    TRUE, YEAR(L1271) + 1
)</f>
        <v/>
      </c>
      <c r="F1271" s="1857">
        <f>IF(L1271="",0,L1271)</f>
        <v>0</v>
      </c>
      <c r="G1271" s="1856">
        <f>-(N1271-Q1271)</f>
        <v>0</v>
      </c>
      <c r="I1271" s="1815" t="b">
        <f>K1271&lt;=Number_Payments</f>
        <v>0</v>
      </c>
      <c r="J1271" s="1855"/>
      <c r="K1271" s="1351">
        <f>K1270+1</f>
        <v>1145</v>
      </c>
      <c r="L1271" s="1854" t="str" cm="1">
        <f t="array" ref="L1271">_xlfn.IFS(
    I1270=FALSE, "",
    Payment_Frequency="Monthly", EDATE(L1270, 1),
    Payment_Frequency="Weekly", DATE(YEAR(L1270), MONTH(L1270), DAY(L1270) + 7),
    Payment_Frequency="Fortnightly", DATE(YEAR(L1270), MONTH(L1270), DAY(L1270) + 14),
    Payment_Frequency="Quarterly", DATE(YEAR(L1270), MONTH(L1270) + 3, DAY(L1270)),
    Payment_Frequency="Yearly", DATE(YEAR(L1270) + 1, MONTH(L1270), DAY(L1270)),
    TRUE, ""
)</f>
        <v/>
      </c>
      <c r="M1271" s="1853">
        <f>IF(ISERROR(L1271-L1270),0,L1271-L1270)</f>
        <v>0</v>
      </c>
      <c r="N1271" s="1851" cm="1">
        <f t="array" ref="N1271">_xlfn.IFS(
    AND(I1271=TRUE, K1271&lt;=No_Regular_Payments), Repay_Amt,
    AND(I1271=TRUE, K1271=No_Regular_Payments+1), Tm_Balloon_Amt,
   TRUE, 0
)</f>
        <v>0</v>
      </c>
      <c r="O1271" s="1850" cm="1">
        <f t="array" ref="O1271">_xlfn.IFS(
    M1271=0,0,
   ABS(N1271 - S1270 - P1271-Q1271) &lt; 1, N1271 - S1270-Q1271,
    TRUE, P1271
)</f>
        <v>0</v>
      </c>
      <c r="P1271" s="1852">
        <f>IF(M1271=0,0,ROUND(S1270*EXP(Int_Rate/365.25 * M1271)-S1270,2))</f>
        <v>0</v>
      </c>
      <c r="Q1271" s="1851" cm="1">
        <f t="array" ref="Q1271">_xlfn.IFS(
    AND(I1271=TRUE, K1271&lt;=No_Regular_Payments), Periodic_Admin_Charge,
   TRUE, 0
)</f>
        <v>0</v>
      </c>
      <c r="R1271" s="1850">
        <f>N1271-O1271-Q1271</f>
        <v>0</v>
      </c>
      <c r="S1271" s="1850">
        <f>ROUND(S1270-R1271,2)</f>
        <v>0</v>
      </c>
      <c r="T1271" s="1850">
        <f>ROUND(T1270-(N1271-Q1271),2)</f>
        <v>0</v>
      </c>
      <c r="U1271" s="1849"/>
      <c r="W1271" s="1848"/>
      <c r="X1271" s="1848"/>
      <c r="Y1271" s="1848"/>
    </row>
    <row r="1272" spans="2:25" hidden="1">
      <c r="B1272" s="1815" t="b">
        <f>AND(I1272=FALSE,N1271=0,Q1271=0,L1271="")</f>
        <v>1</v>
      </c>
      <c r="C1272" s="1844" t="str" cm="1">
        <f t="array" ref="C1272">_xlfn.IFS(
    L1272="", "",
    MONTH(L1272) &lt;= End_of_Year_Month, YEAR(L1272),
    TRUE, YEAR(L1272) + 1
)</f>
        <v/>
      </c>
      <c r="F1272" s="1857">
        <f>IF(L1272="",0,L1272)</f>
        <v>0</v>
      </c>
      <c r="G1272" s="1856">
        <f>-(N1272-Q1272)</f>
        <v>0</v>
      </c>
      <c r="I1272" s="1815" t="b">
        <f>K1272&lt;=Number_Payments</f>
        <v>0</v>
      </c>
      <c r="J1272" s="1855"/>
      <c r="K1272" s="1351">
        <f>K1271+1</f>
        <v>1146</v>
      </c>
      <c r="L1272" s="1854" t="str" cm="1">
        <f t="array" ref="L1272">_xlfn.IFS(
    I1271=FALSE, "",
    Payment_Frequency="Monthly", EDATE(L1271, 1),
    Payment_Frequency="Weekly", DATE(YEAR(L1271), MONTH(L1271), DAY(L1271) + 7),
    Payment_Frequency="Fortnightly", DATE(YEAR(L1271), MONTH(L1271), DAY(L1271) + 14),
    Payment_Frequency="Quarterly", DATE(YEAR(L1271), MONTH(L1271) + 3, DAY(L1271)),
    Payment_Frequency="Yearly", DATE(YEAR(L1271) + 1, MONTH(L1271), DAY(L1271)),
    TRUE, ""
)</f>
        <v/>
      </c>
      <c r="M1272" s="1853">
        <f>IF(ISERROR(L1272-L1271),0,L1272-L1271)</f>
        <v>0</v>
      </c>
      <c r="N1272" s="1851" cm="1">
        <f t="array" ref="N1272">_xlfn.IFS(
    AND(I1272=TRUE, K1272&lt;=No_Regular_Payments), Repay_Amt,
    AND(I1272=TRUE, K1272=No_Regular_Payments+1), Tm_Balloon_Amt,
   TRUE, 0
)</f>
        <v>0</v>
      </c>
      <c r="O1272" s="1850" cm="1">
        <f t="array" ref="O1272">_xlfn.IFS(
    M1272=0,0,
   ABS(N1272 - S1271 - P1272-Q1272) &lt; 1, N1272 - S1271-Q1272,
    TRUE, P1272
)</f>
        <v>0</v>
      </c>
      <c r="P1272" s="1852">
        <f>IF(M1272=0,0,ROUND(S1271*EXP(Int_Rate/365.25 * M1272)-S1271,2))</f>
        <v>0</v>
      </c>
      <c r="Q1272" s="1851" cm="1">
        <f t="array" ref="Q1272">_xlfn.IFS(
    AND(I1272=TRUE, K1272&lt;=No_Regular_Payments), Periodic_Admin_Charge,
   TRUE, 0
)</f>
        <v>0</v>
      </c>
      <c r="R1272" s="1850">
        <f>N1272-O1272-Q1272</f>
        <v>0</v>
      </c>
      <c r="S1272" s="1850">
        <f>ROUND(S1271-R1272,2)</f>
        <v>0</v>
      </c>
      <c r="T1272" s="1850">
        <f>ROUND(T1271-(N1272-Q1272),2)</f>
        <v>0</v>
      </c>
      <c r="U1272" s="1849"/>
      <c r="W1272" s="1848"/>
      <c r="X1272" s="1848"/>
      <c r="Y1272" s="1848"/>
    </row>
    <row r="1273" spans="2:25" hidden="1">
      <c r="B1273" s="1815" t="b">
        <f>AND(I1273=FALSE,N1272=0,Q1272=0,L1272="")</f>
        <v>1</v>
      </c>
      <c r="C1273" s="1844" t="str" cm="1">
        <f t="array" ref="C1273">_xlfn.IFS(
    L1273="", "",
    MONTH(L1273) &lt;= End_of_Year_Month, YEAR(L1273),
    TRUE, YEAR(L1273) + 1
)</f>
        <v/>
      </c>
      <c r="F1273" s="1857">
        <f>IF(L1273="",0,L1273)</f>
        <v>0</v>
      </c>
      <c r="G1273" s="1856">
        <f>-(N1273-Q1273)</f>
        <v>0</v>
      </c>
      <c r="I1273" s="1815" t="b">
        <f>K1273&lt;=Number_Payments</f>
        <v>0</v>
      </c>
      <c r="J1273" s="1855"/>
      <c r="K1273" s="1351">
        <f>K1272+1</f>
        <v>1147</v>
      </c>
      <c r="L1273" s="1854" t="str" cm="1">
        <f t="array" ref="L1273">_xlfn.IFS(
    I1272=FALSE, "",
    Payment_Frequency="Monthly", EDATE(L1272, 1),
    Payment_Frequency="Weekly", DATE(YEAR(L1272), MONTH(L1272), DAY(L1272) + 7),
    Payment_Frequency="Fortnightly", DATE(YEAR(L1272), MONTH(L1272), DAY(L1272) + 14),
    Payment_Frequency="Quarterly", DATE(YEAR(L1272), MONTH(L1272) + 3, DAY(L1272)),
    Payment_Frequency="Yearly", DATE(YEAR(L1272) + 1, MONTH(L1272), DAY(L1272)),
    TRUE, ""
)</f>
        <v/>
      </c>
      <c r="M1273" s="1853">
        <f>IF(ISERROR(L1273-L1272),0,L1273-L1272)</f>
        <v>0</v>
      </c>
      <c r="N1273" s="1851" cm="1">
        <f t="array" ref="N1273">_xlfn.IFS(
    AND(I1273=TRUE, K1273&lt;=No_Regular_Payments), Repay_Amt,
    AND(I1273=TRUE, K1273=No_Regular_Payments+1), Tm_Balloon_Amt,
   TRUE, 0
)</f>
        <v>0</v>
      </c>
      <c r="O1273" s="1850" cm="1">
        <f t="array" ref="O1273">_xlfn.IFS(
    M1273=0,0,
   ABS(N1273 - S1272 - P1273-Q1273) &lt; 1, N1273 - S1272-Q1273,
    TRUE, P1273
)</f>
        <v>0</v>
      </c>
      <c r="P1273" s="1852">
        <f>IF(M1273=0,0,ROUND(S1272*EXP(Int_Rate/365.25 * M1273)-S1272,2))</f>
        <v>0</v>
      </c>
      <c r="Q1273" s="1851" cm="1">
        <f t="array" ref="Q1273">_xlfn.IFS(
    AND(I1273=TRUE, K1273&lt;=No_Regular_Payments), Periodic_Admin_Charge,
   TRUE, 0
)</f>
        <v>0</v>
      </c>
      <c r="R1273" s="1850">
        <f>N1273-O1273-Q1273</f>
        <v>0</v>
      </c>
      <c r="S1273" s="1850">
        <f>ROUND(S1272-R1273,2)</f>
        <v>0</v>
      </c>
      <c r="T1273" s="1850">
        <f>ROUND(T1272-(N1273-Q1273),2)</f>
        <v>0</v>
      </c>
      <c r="U1273" s="1849"/>
      <c r="W1273" s="1848"/>
      <c r="X1273" s="1848"/>
      <c r="Y1273" s="1848"/>
    </row>
    <row r="1274" spans="2:25" hidden="1">
      <c r="B1274" s="1815" t="b">
        <f>AND(I1274=FALSE,N1273=0,Q1273=0,L1273="")</f>
        <v>1</v>
      </c>
      <c r="C1274" s="1844" t="str" cm="1">
        <f t="array" ref="C1274">_xlfn.IFS(
    L1274="", "",
    MONTH(L1274) &lt;= End_of_Year_Month, YEAR(L1274),
    TRUE, YEAR(L1274) + 1
)</f>
        <v/>
      </c>
      <c r="F1274" s="1857">
        <f>IF(L1274="",0,L1274)</f>
        <v>0</v>
      </c>
      <c r="G1274" s="1856">
        <f>-(N1274-Q1274)</f>
        <v>0</v>
      </c>
      <c r="I1274" s="1815" t="b">
        <f>K1274&lt;=Number_Payments</f>
        <v>0</v>
      </c>
      <c r="J1274" s="1855"/>
      <c r="K1274" s="1351">
        <f>K1273+1</f>
        <v>1148</v>
      </c>
      <c r="L1274" s="1854" t="str" cm="1">
        <f t="array" ref="L1274">_xlfn.IFS(
    I1273=FALSE, "",
    Payment_Frequency="Monthly", EDATE(L1273, 1),
    Payment_Frequency="Weekly", DATE(YEAR(L1273), MONTH(L1273), DAY(L1273) + 7),
    Payment_Frequency="Fortnightly", DATE(YEAR(L1273), MONTH(L1273), DAY(L1273) + 14),
    Payment_Frequency="Quarterly", DATE(YEAR(L1273), MONTH(L1273) + 3, DAY(L1273)),
    Payment_Frequency="Yearly", DATE(YEAR(L1273) + 1, MONTH(L1273), DAY(L1273)),
    TRUE, ""
)</f>
        <v/>
      </c>
      <c r="M1274" s="1853">
        <f>IF(ISERROR(L1274-L1273),0,L1274-L1273)</f>
        <v>0</v>
      </c>
      <c r="N1274" s="1851" cm="1">
        <f t="array" ref="N1274">_xlfn.IFS(
    AND(I1274=TRUE, K1274&lt;=No_Regular_Payments), Repay_Amt,
    AND(I1274=TRUE, K1274=No_Regular_Payments+1), Tm_Balloon_Amt,
   TRUE, 0
)</f>
        <v>0</v>
      </c>
      <c r="O1274" s="1850" cm="1">
        <f t="array" ref="O1274">_xlfn.IFS(
    M1274=0,0,
   ABS(N1274 - S1273 - P1274-Q1274) &lt; 1, N1274 - S1273-Q1274,
    TRUE, P1274
)</f>
        <v>0</v>
      </c>
      <c r="P1274" s="1852">
        <f>IF(M1274=0,0,ROUND(S1273*EXP(Int_Rate/365.25 * M1274)-S1273,2))</f>
        <v>0</v>
      </c>
      <c r="Q1274" s="1851" cm="1">
        <f t="array" ref="Q1274">_xlfn.IFS(
    AND(I1274=TRUE, K1274&lt;=No_Regular_Payments), Periodic_Admin_Charge,
   TRUE, 0
)</f>
        <v>0</v>
      </c>
      <c r="R1274" s="1850">
        <f>N1274-O1274-Q1274</f>
        <v>0</v>
      </c>
      <c r="S1274" s="1850">
        <f>ROUND(S1273-R1274,2)</f>
        <v>0</v>
      </c>
      <c r="T1274" s="1850">
        <f>ROUND(T1273-(N1274-Q1274),2)</f>
        <v>0</v>
      </c>
      <c r="U1274" s="1849"/>
      <c r="W1274" s="1848"/>
      <c r="X1274" s="1848"/>
      <c r="Y1274" s="1848"/>
    </row>
    <row r="1275" spans="2:25" hidden="1">
      <c r="B1275" s="1815" t="b">
        <f>AND(I1275=FALSE,N1274=0,Q1274=0,L1274="")</f>
        <v>1</v>
      </c>
      <c r="C1275" s="1844" t="str" cm="1">
        <f t="array" ref="C1275">_xlfn.IFS(
    L1275="", "",
    MONTH(L1275) &lt;= End_of_Year_Month, YEAR(L1275),
    TRUE, YEAR(L1275) + 1
)</f>
        <v/>
      </c>
      <c r="F1275" s="1857">
        <f>IF(L1275="",0,L1275)</f>
        <v>0</v>
      </c>
      <c r="G1275" s="1856">
        <f>-(N1275-Q1275)</f>
        <v>0</v>
      </c>
      <c r="I1275" s="1815" t="b">
        <f>K1275&lt;=Number_Payments</f>
        <v>0</v>
      </c>
      <c r="J1275" s="1855"/>
      <c r="K1275" s="1351">
        <f>K1274+1</f>
        <v>1149</v>
      </c>
      <c r="L1275" s="1854" t="str" cm="1">
        <f t="array" ref="L1275">_xlfn.IFS(
    I1274=FALSE, "",
    Payment_Frequency="Monthly", EDATE(L1274, 1),
    Payment_Frequency="Weekly", DATE(YEAR(L1274), MONTH(L1274), DAY(L1274) + 7),
    Payment_Frequency="Fortnightly", DATE(YEAR(L1274), MONTH(L1274), DAY(L1274) + 14),
    Payment_Frequency="Quarterly", DATE(YEAR(L1274), MONTH(L1274) + 3, DAY(L1274)),
    Payment_Frequency="Yearly", DATE(YEAR(L1274) + 1, MONTH(L1274), DAY(L1274)),
    TRUE, ""
)</f>
        <v/>
      </c>
      <c r="M1275" s="1853">
        <f>IF(ISERROR(L1275-L1274),0,L1275-L1274)</f>
        <v>0</v>
      </c>
      <c r="N1275" s="1851" cm="1">
        <f t="array" ref="N1275">_xlfn.IFS(
    AND(I1275=TRUE, K1275&lt;=No_Regular_Payments), Repay_Amt,
    AND(I1275=TRUE, K1275=No_Regular_Payments+1), Tm_Balloon_Amt,
   TRUE, 0
)</f>
        <v>0</v>
      </c>
      <c r="O1275" s="1850" cm="1">
        <f t="array" ref="O1275">_xlfn.IFS(
    M1275=0,0,
   ABS(N1275 - S1274 - P1275-Q1275) &lt; 1, N1275 - S1274-Q1275,
    TRUE, P1275
)</f>
        <v>0</v>
      </c>
      <c r="P1275" s="1852">
        <f>IF(M1275=0,0,ROUND(S1274*EXP(Int_Rate/365.25 * M1275)-S1274,2))</f>
        <v>0</v>
      </c>
      <c r="Q1275" s="1851" cm="1">
        <f t="array" ref="Q1275">_xlfn.IFS(
    AND(I1275=TRUE, K1275&lt;=No_Regular_Payments), Periodic_Admin_Charge,
   TRUE, 0
)</f>
        <v>0</v>
      </c>
      <c r="R1275" s="1850">
        <f>N1275-O1275-Q1275</f>
        <v>0</v>
      </c>
      <c r="S1275" s="1850">
        <f>ROUND(S1274-R1275,2)</f>
        <v>0</v>
      </c>
      <c r="T1275" s="1850">
        <f>ROUND(T1274-(N1275-Q1275),2)</f>
        <v>0</v>
      </c>
      <c r="U1275" s="1849"/>
      <c r="W1275" s="1848"/>
      <c r="X1275" s="1848"/>
      <c r="Y1275" s="1848"/>
    </row>
    <row r="1276" spans="2:25" hidden="1">
      <c r="B1276" s="1815" t="b">
        <f>AND(I1276=FALSE,N1275=0,Q1275=0,L1275="")</f>
        <v>1</v>
      </c>
      <c r="C1276" s="1844" t="str" cm="1">
        <f t="array" ref="C1276">_xlfn.IFS(
    L1276="", "",
    MONTH(L1276) &lt;= End_of_Year_Month, YEAR(L1276),
    TRUE, YEAR(L1276) + 1
)</f>
        <v/>
      </c>
      <c r="F1276" s="1857">
        <f>IF(L1276="",0,L1276)</f>
        <v>0</v>
      </c>
      <c r="G1276" s="1856">
        <f>-(N1276-Q1276)</f>
        <v>0</v>
      </c>
      <c r="I1276" s="1815" t="b">
        <f>K1276&lt;=Number_Payments</f>
        <v>0</v>
      </c>
      <c r="J1276" s="1855"/>
      <c r="K1276" s="1351">
        <f>K1275+1</f>
        <v>1150</v>
      </c>
      <c r="L1276" s="1854" t="str" cm="1">
        <f t="array" ref="L1276">_xlfn.IFS(
    I1275=FALSE, "",
    Payment_Frequency="Monthly", EDATE(L1275, 1),
    Payment_Frequency="Weekly", DATE(YEAR(L1275), MONTH(L1275), DAY(L1275) + 7),
    Payment_Frequency="Fortnightly", DATE(YEAR(L1275), MONTH(L1275), DAY(L1275) + 14),
    Payment_Frequency="Quarterly", DATE(YEAR(L1275), MONTH(L1275) + 3, DAY(L1275)),
    Payment_Frequency="Yearly", DATE(YEAR(L1275) + 1, MONTH(L1275), DAY(L1275)),
    TRUE, ""
)</f>
        <v/>
      </c>
      <c r="M1276" s="1853">
        <f>IF(ISERROR(L1276-L1275),0,L1276-L1275)</f>
        <v>0</v>
      </c>
      <c r="N1276" s="1851" cm="1">
        <f t="array" ref="N1276">_xlfn.IFS(
    AND(I1276=TRUE, K1276&lt;=No_Regular_Payments), Repay_Amt,
    AND(I1276=TRUE, K1276=No_Regular_Payments+1), Tm_Balloon_Amt,
   TRUE, 0
)</f>
        <v>0</v>
      </c>
      <c r="O1276" s="1850" cm="1">
        <f t="array" ref="O1276">_xlfn.IFS(
    M1276=0,0,
   ABS(N1276 - S1275 - P1276-Q1276) &lt; 1, N1276 - S1275-Q1276,
    TRUE, P1276
)</f>
        <v>0</v>
      </c>
      <c r="P1276" s="1852">
        <f>IF(M1276=0,0,ROUND(S1275*EXP(Int_Rate/365.25 * M1276)-S1275,2))</f>
        <v>0</v>
      </c>
      <c r="Q1276" s="1851" cm="1">
        <f t="array" ref="Q1276">_xlfn.IFS(
    AND(I1276=TRUE, K1276&lt;=No_Regular_Payments), Periodic_Admin_Charge,
   TRUE, 0
)</f>
        <v>0</v>
      </c>
      <c r="R1276" s="1850">
        <f>N1276-O1276-Q1276</f>
        <v>0</v>
      </c>
      <c r="S1276" s="1850">
        <f>ROUND(S1275-R1276,2)</f>
        <v>0</v>
      </c>
      <c r="T1276" s="1850">
        <f>ROUND(T1275-(N1276-Q1276),2)</f>
        <v>0</v>
      </c>
      <c r="U1276" s="1849"/>
      <c r="W1276" s="1848"/>
      <c r="X1276" s="1848"/>
      <c r="Y1276" s="1848"/>
    </row>
    <row r="1277" spans="2:25" hidden="1">
      <c r="B1277" s="1815" t="b">
        <f>AND(I1277=FALSE,N1276=0,Q1276=0,L1276="")</f>
        <v>1</v>
      </c>
      <c r="C1277" s="1844" t="str" cm="1">
        <f t="array" ref="C1277">_xlfn.IFS(
    L1277="", "",
    MONTH(L1277) &lt;= End_of_Year_Month, YEAR(L1277),
    TRUE, YEAR(L1277) + 1
)</f>
        <v/>
      </c>
      <c r="F1277" s="1857">
        <f>IF(L1277="",0,L1277)</f>
        <v>0</v>
      </c>
      <c r="G1277" s="1856">
        <f>-(N1277-Q1277)</f>
        <v>0</v>
      </c>
      <c r="I1277" s="1815" t="b">
        <f>K1277&lt;=Number_Payments</f>
        <v>0</v>
      </c>
      <c r="J1277" s="1855"/>
      <c r="K1277" s="1351">
        <f>K1276+1</f>
        <v>1151</v>
      </c>
      <c r="L1277" s="1854" t="str" cm="1">
        <f t="array" ref="L1277">_xlfn.IFS(
    I1276=FALSE, "",
    Payment_Frequency="Monthly", EDATE(L1276, 1),
    Payment_Frequency="Weekly", DATE(YEAR(L1276), MONTH(L1276), DAY(L1276) + 7),
    Payment_Frequency="Fortnightly", DATE(YEAR(L1276), MONTH(L1276), DAY(L1276) + 14),
    Payment_Frequency="Quarterly", DATE(YEAR(L1276), MONTH(L1276) + 3, DAY(L1276)),
    Payment_Frequency="Yearly", DATE(YEAR(L1276) + 1, MONTH(L1276), DAY(L1276)),
    TRUE, ""
)</f>
        <v/>
      </c>
      <c r="M1277" s="1853">
        <f>IF(ISERROR(L1277-L1276),0,L1277-L1276)</f>
        <v>0</v>
      </c>
      <c r="N1277" s="1851" cm="1">
        <f t="array" ref="N1277">_xlfn.IFS(
    AND(I1277=TRUE, K1277&lt;=No_Regular_Payments), Repay_Amt,
    AND(I1277=TRUE, K1277=No_Regular_Payments+1), Tm_Balloon_Amt,
   TRUE, 0
)</f>
        <v>0</v>
      </c>
      <c r="O1277" s="1850" cm="1">
        <f t="array" ref="O1277">_xlfn.IFS(
    M1277=0,0,
   ABS(N1277 - S1276 - P1277-Q1277) &lt; 1, N1277 - S1276-Q1277,
    TRUE, P1277
)</f>
        <v>0</v>
      </c>
      <c r="P1277" s="1852">
        <f>IF(M1277=0,0,ROUND(S1276*EXP(Int_Rate/365.25 * M1277)-S1276,2))</f>
        <v>0</v>
      </c>
      <c r="Q1277" s="1851" cm="1">
        <f t="array" ref="Q1277">_xlfn.IFS(
    AND(I1277=TRUE, K1277&lt;=No_Regular_Payments), Periodic_Admin_Charge,
   TRUE, 0
)</f>
        <v>0</v>
      </c>
      <c r="R1277" s="1850">
        <f>N1277-O1277-Q1277</f>
        <v>0</v>
      </c>
      <c r="S1277" s="1850">
        <f>ROUND(S1276-R1277,2)</f>
        <v>0</v>
      </c>
      <c r="T1277" s="1850">
        <f>ROUND(T1276-(N1277-Q1277),2)</f>
        <v>0</v>
      </c>
      <c r="U1277" s="1849"/>
      <c r="W1277" s="1848"/>
      <c r="X1277" s="1848"/>
      <c r="Y1277" s="1848"/>
    </row>
    <row r="1278" spans="2:25" hidden="1">
      <c r="B1278" s="1815" t="b">
        <f>AND(I1278=FALSE,N1277=0,Q1277=0,L1277="")</f>
        <v>1</v>
      </c>
      <c r="C1278" s="1844" t="str" cm="1">
        <f t="array" ref="C1278">_xlfn.IFS(
    L1278="", "",
    MONTH(L1278) &lt;= End_of_Year_Month, YEAR(L1278),
    TRUE, YEAR(L1278) + 1
)</f>
        <v/>
      </c>
      <c r="F1278" s="1857">
        <f>IF(L1278="",0,L1278)</f>
        <v>0</v>
      </c>
      <c r="G1278" s="1856">
        <f>-(N1278-Q1278)</f>
        <v>0</v>
      </c>
      <c r="I1278" s="1815" t="b">
        <f>K1278&lt;=Number_Payments</f>
        <v>0</v>
      </c>
      <c r="J1278" s="1855"/>
      <c r="K1278" s="1351">
        <f>K1277+1</f>
        <v>1152</v>
      </c>
      <c r="L1278" s="1854" t="str" cm="1">
        <f t="array" ref="L1278">_xlfn.IFS(
    I1277=FALSE, "",
    Payment_Frequency="Monthly", EDATE(L1277, 1),
    Payment_Frequency="Weekly", DATE(YEAR(L1277), MONTH(L1277), DAY(L1277) + 7),
    Payment_Frequency="Fortnightly", DATE(YEAR(L1277), MONTH(L1277), DAY(L1277) + 14),
    Payment_Frequency="Quarterly", DATE(YEAR(L1277), MONTH(L1277) + 3, DAY(L1277)),
    Payment_Frequency="Yearly", DATE(YEAR(L1277) + 1, MONTH(L1277), DAY(L1277)),
    TRUE, ""
)</f>
        <v/>
      </c>
      <c r="M1278" s="1853">
        <f>IF(ISERROR(L1278-L1277),0,L1278-L1277)</f>
        <v>0</v>
      </c>
      <c r="N1278" s="1851" cm="1">
        <f t="array" ref="N1278">_xlfn.IFS(
    AND(I1278=TRUE, K1278&lt;=No_Regular_Payments), Repay_Amt,
    AND(I1278=TRUE, K1278=No_Regular_Payments+1), Tm_Balloon_Amt,
   TRUE, 0
)</f>
        <v>0</v>
      </c>
      <c r="O1278" s="1850" cm="1">
        <f t="array" ref="O1278">_xlfn.IFS(
    M1278=0,0,
   ABS(N1278 - S1277 - P1278-Q1278) &lt; 1, N1278 - S1277-Q1278,
    TRUE, P1278
)</f>
        <v>0</v>
      </c>
      <c r="P1278" s="1852">
        <f>IF(M1278=0,0,ROUND(S1277*EXP(Int_Rate/365.25 * M1278)-S1277,2))</f>
        <v>0</v>
      </c>
      <c r="Q1278" s="1851" cm="1">
        <f t="array" ref="Q1278">_xlfn.IFS(
    AND(I1278=TRUE, K1278&lt;=No_Regular_Payments), Periodic_Admin_Charge,
   TRUE, 0
)</f>
        <v>0</v>
      </c>
      <c r="R1278" s="1850">
        <f>N1278-O1278-Q1278</f>
        <v>0</v>
      </c>
      <c r="S1278" s="1850">
        <f>ROUND(S1277-R1278,2)</f>
        <v>0</v>
      </c>
      <c r="T1278" s="1850">
        <f>ROUND(T1277-(N1278-Q1278),2)</f>
        <v>0</v>
      </c>
      <c r="U1278" s="1849"/>
      <c r="W1278" s="1848"/>
      <c r="X1278" s="1848"/>
      <c r="Y1278" s="1848"/>
    </row>
    <row r="1279" spans="2:25" hidden="1">
      <c r="B1279" s="1815" t="b">
        <f>AND(I1279=FALSE,N1278=0,Q1278=0,L1278="")</f>
        <v>1</v>
      </c>
      <c r="C1279" s="1844" t="str" cm="1">
        <f t="array" ref="C1279">_xlfn.IFS(
    L1279="", "",
    MONTH(L1279) &lt;= End_of_Year_Month, YEAR(L1279),
    TRUE, YEAR(L1279) + 1
)</f>
        <v/>
      </c>
      <c r="F1279" s="1857">
        <f>IF(L1279="",0,L1279)</f>
        <v>0</v>
      </c>
      <c r="G1279" s="1856">
        <f>-(N1279-Q1279)</f>
        <v>0</v>
      </c>
      <c r="I1279" s="1815" t="b">
        <f>K1279&lt;=Number_Payments</f>
        <v>0</v>
      </c>
      <c r="J1279" s="1855"/>
      <c r="K1279" s="1351">
        <f>K1278+1</f>
        <v>1153</v>
      </c>
      <c r="L1279" s="1854" t="str" cm="1">
        <f t="array" ref="L1279">_xlfn.IFS(
    I1278=FALSE, "",
    Payment_Frequency="Monthly", EDATE(L1278, 1),
    Payment_Frequency="Weekly", DATE(YEAR(L1278), MONTH(L1278), DAY(L1278) + 7),
    Payment_Frequency="Fortnightly", DATE(YEAR(L1278), MONTH(L1278), DAY(L1278) + 14),
    Payment_Frequency="Quarterly", DATE(YEAR(L1278), MONTH(L1278) + 3, DAY(L1278)),
    Payment_Frequency="Yearly", DATE(YEAR(L1278) + 1, MONTH(L1278), DAY(L1278)),
    TRUE, ""
)</f>
        <v/>
      </c>
      <c r="M1279" s="1853">
        <f>IF(ISERROR(L1279-L1278),0,L1279-L1278)</f>
        <v>0</v>
      </c>
      <c r="N1279" s="1851" cm="1">
        <f t="array" ref="N1279">_xlfn.IFS(
    AND(I1279=TRUE, K1279&lt;=No_Regular_Payments), Repay_Amt,
    AND(I1279=TRUE, K1279=No_Regular_Payments+1), Tm_Balloon_Amt,
   TRUE, 0
)</f>
        <v>0</v>
      </c>
      <c r="O1279" s="1850" cm="1">
        <f t="array" ref="O1279">_xlfn.IFS(
    M1279=0,0,
   ABS(N1279 - S1278 - P1279-Q1279) &lt; 1, N1279 - S1278-Q1279,
    TRUE, P1279
)</f>
        <v>0</v>
      </c>
      <c r="P1279" s="1852">
        <f>IF(M1279=0,0,ROUND(S1278*EXP(Int_Rate/365.25 * M1279)-S1278,2))</f>
        <v>0</v>
      </c>
      <c r="Q1279" s="1851" cm="1">
        <f t="array" ref="Q1279">_xlfn.IFS(
    AND(I1279=TRUE, K1279&lt;=No_Regular_Payments), Periodic_Admin_Charge,
   TRUE, 0
)</f>
        <v>0</v>
      </c>
      <c r="R1279" s="1850">
        <f>N1279-O1279-Q1279</f>
        <v>0</v>
      </c>
      <c r="S1279" s="1850">
        <f>ROUND(S1278-R1279,2)</f>
        <v>0</v>
      </c>
      <c r="T1279" s="1850">
        <f>ROUND(T1278-(N1279-Q1279),2)</f>
        <v>0</v>
      </c>
      <c r="U1279" s="1849"/>
      <c r="W1279" s="1848"/>
      <c r="X1279" s="1848"/>
      <c r="Y1279" s="1848"/>
    </row>
    <row r="1280" spans="2:25" hidden="1">
      <c r="B1280" s="1815" t="b">
        <f>AND(I1280=FALSE,N1279=0,Q1279=0,L1279="")</f>
        <v>1</v>
      </c>
      <c r="C1280" s="1844" t="str" cm="1">
        <f t="array" ref="C1280">_xlfn.IFS(
    L1280="", "",
    MONTH(L1280) &lt;= End_of_Year_Month, YEAR(L1280),
    TRUE, YEAR(L1280) + 1
)</f>
        <v/>
      </c>
      <c r="F1280" s="1857">
        <f>IF(L1280="",0,L1280)</f>
        <v>0</v>
      </c>
      <c r="G1280" s="1856">
        <f>-(N1280-Q1280)</f>
        <v>0</v>
      </c>
      <c r="I1280" s="1815" t="b">
        <f>K1280&lt;=Number_Payments</f>
        <v>0</v>
      </c>
      <c r="J1280" s="1855"/>
      <c r="K1280" s="1351">
        <f>K1279+1</f>
        <v>1154</v>
      </c>
      <c r="L1280" s="1854" t="str" cm="1">
        <f t="array" ref="L1280">_xlfn.IFS(
    I1279=FALSE, "",
    Payment_Frequency="Monthly", EDATE(L1279, 1),
    Payment_Frequency="Weekly", DATE(YEAR(L1279), MONTH(L1279), DAY(L1279) + 7),
    Payment_Frequency="Fortnightly", DATE(YEAR(L1279), MONTH(L1279), DAY(L1279) + 14),
    Payment_Frequency="Quarterly", DATE(YEAR(L1279), MONTH(L1279) + 3, DAY(L1279)),
    Payment_Frequency="Yearly", DATE(YEAR(L1279) + 1, MONTH(L1279), DAY(L1279)),
    TRUE, ""
)</f>
        <v/>
      </c>
      <c r="M1280" s="1853">
        <f>IF(ISERROR(L1280-L1279),0,L1280-L1279)</f>
        <v>0</v>
      </c>
      <c r="N1280" s="1851" cm="1">
        <f t="array" ref="N1280">_xlfn.IFS(
    AND(I1280=TRUE, K1280&lt;=No_Regular_Payments), Repay_Amt,
    AND(I1280=TRUE, K1280=No_Regular_Payments+1), Tm_Balloon_Amt,
   TRUE, 0
)</f>
        <v>0</v>
      </c>
      <c r="O1280" s="1850" cm="1">
        <f t="array" ref="O1280">_xlfn.IFS(
    M1280=0,0,
   ABS(N1280 - S1279 - P1280-Q1280) &lt; 1, N1280 - S1279-Q1280,
    TRUE, P1280
)</f>
        <v>0</v>
      </c>
      <c r="P1280" s="1852">
        <f>IF(M1280=0,0,ROUND(S1279*EXP(Int_Rate/365.25 * M1280)-S1279,2))</f>
        <v>0</v>
      </c>
      <c r="Q1280" s="1851" cm="1">
        <f t="array" ref="Q1280">_xlfn.IFS(
    AND(I1280=TRUE, K1280&lt;=No_Regular_Payments), Periodic_Admin_Charge,
   TRUE, 0
)</f>
        <v>0</v>
      </c>
      <c r="R1280" s="1850">
        <f>N1280-O1280-Q1280</f>
        <v>0</v>
      </c>
      <c r="S1280" s="1850">
        <f>ROUND(S1279-R1280,2)</f>
        <v>0</v>
      </c>
      <c r="T1280" s="1850">
        <f>ROUND(T1279-(N1280-Q1280),2)</f>
        <v>0</v>
      </c>
      <c r="U1280" s="1849"/>
      <c r="W1280" s="1848"/>
      <c r="X1280" s="1848"/>
      <c r="Y1280" s="1848"/>
    </row>
    <row r="1281" spans="2:25" hidden="1">
      <c r="B1281" s="1815" t="b">
        <f>AND(I1281=FALSE,N1280=0,Q1280=0,L1280="")</f>
        <v>1</v>
      </c>
      <c r="C1281" s="1844" t="str" cm="1">
        <f t="array" ref="C1281">_xlfn.IFS(
    L1281="", "",
    MONTH(L1281) &lt;= End_of_Year_Month, YEAR(L1281),
    TRUE, YEAR(L1281) + 1
)</f>
        <v/>
      </c>
      <c r="F1281" s="1857">
        <f>IF(L1281="",0,L1281)</f>
        <v>0</v>
      </c>
      <c r="G1281" s="1856">
        <f>-(N1281-Q1281)</f>
        <v>0</v>
      </c>
      <c r="I1281" s="1815" t="b">
        <f>K1281&lt;=Number_Payments</f>
        <v>0</v>
      </c>
      <c r="J1281" s="1855"/>
      <c r="K1281" s="1351">
        <f>K1280+1</f>
        <v>1155</v>
      </c>
      <c r="L1281" s="1854" t="str" cm="1">
        <f t="array" ref="L1281">_xlfn.IFS(
    I1280=FALSE, "",
    Payment_Frequency="Monthly", EDATE(L1280, 1),
    Payment_Frequency="Weekly", DATE(YEAR(L1280), MONTH(L1280), DAY(L1280) + 7),
    Payment_Frequency="Fortnightly", DATE(YEAR(L1280), MONTH(L1280), DAY(L1280) + 14),
    Payment_Frequency="Quarterly", DATE(YEAR(L1280), MONTH(L1280) + 3, DAY(L1280)),
    Payment_Frequency="Yearly", DATE(YEAR(L1280) + 1, MONTH(L1280), DAY(L1280)),
    TRUE, ""
)</f>
        <v/>
      </c>
      <c r="M1281" s="1853">
        <f>IF(ISERROR(L1281-L1280),0,L1281-L1280)</f>
        <v>0</v>
      </c>
      <c r="N1281" s="1851" cm="1">
        <f t="array" ref="N1281">_xlfn.IFS(
    AND(I1281=TRUE, K1281&lt;=No_Regular_Payments), Repay_Amt,
    AND(I1281=TRUE, K1281=No_Regular_Payments+1), Tm_Balloon_Amt,
   TRUE, 0
)</f>
        <v>0</v>
      </c>
      <c r="O1281" s="1850" cm="1">
        <f t="array" ref="O1281">_xlfn.IFS(
    M1281=0,0,
   ABS(N1281 - S1280 - P1281-Q1281) &lt; 1, N1281 - S1280-Q1281,
    TRUE, P1281
)</f>
        <v>0</v>
      </c>
      <c r="P1281" s="1852">
        <f>IF(M1281=0,0,ROUND(S1280*EXP(Int_Rate/365.25 * M1281)-S1280,2))</f>
        <v>0</v>
      </c>
      <c r="Q1281" s="1851" cm="1">
        <f t="array" ref="Q1281">_xlfn.IFS(
    AND(I1281=TRUE, K1281&lt;=No_Regular_Payments), Periodic_Admin_Charge,
   TRUE, 0
)</f>
        <v>0</v>
      </c>
      <c r="R1281" s="1850">
        <f>N1281-O1281-Q1281</f>
        <v>0</v>
      </c>
      <c r="S1281" s="1850">
        <f>ROUND(S1280-R1281,2)</f>
        <v>0</v>
      </c>
      <c r="T1281" s="1850">
        <f>ROUND(T1280-(N1281-Q1281),2)</f>
        <v>0</v>
      </c>
      <c r="U1281" s="1849"/>
      <c r="W1281" s="1848"/>
      <c r="X1281" s="1848"/>
      <c r="Y1281" s="1848"/>
    </row>
    <row r="1282" spans="2:25" hidden="1">
      <c r="B1282" s="1815" t="b">
        <f>AND(I1282=FALSE,N1281=0,Q1281=0,L1281="")</f>
        <v>1</v>
      </c>
      <c r="C1282" s="1844" t="str" cm="1">
        <f t="array" ref="C1282">_xlfn.IFS(
    L1282="", "",
    MONTH(L1282) &lt;= End_of_Year_Month, YEAR(L1282),
    TRUE, YEAR(L1282) + 1
)</f>
        <v/>
      </c>
      <c r="F1282" s="1857">
        <f>IF(L1282="",0,L1282)</f>
        <v>0</v>
      </c>
      <c r="G1282" s="1856">
        <f>-(N1282-Q1282)</f>
        <v>0</v>
      </c>
      <c r="I1282" s="1815" t="b">
        <f>K1282&lt;=Number_Payments</f>
        <v>0</v>
      </c>
      <c r="J1282" s="1855"/>
      <c r="K1282" s="1351">
        <f>K1281+1</f>
        <v>1156</v>
      </c>
      <c r="L1282" s="1854" t="str" cm="1">
        <f t="array" ref="L1282">_xlfn.IFS(
    I1281=FALSE, "",
    Payment_Frequency="Monthly", EDATE(L1281, 1),
    Payment_Frequency="Weekly", DATE(YEAR(L1281), MONTH(L1281), DAY(L1281) + 7),
    Payment_Frequency="Fortnightly", DATE(YEAR(L1281), MONTH(L1281), DAY(L1281) + 14),
    Payment_Frequency="Quarterly", DATE(YEAR(L1281), MONTH(L1281) + 3, DAY(L1281)),
    Payment_Frequency="Yearly", DATE(YEAR(L1281) + 1, MONTH(L1281), DAY(L1281)),
    TRUE, ""
)</f>
        <v/>
      </c>
      <c r="M1282" s="1853">
        <f>IF(ISERROR(L1282-L1281),0,L1282-L1281)</f>
        <v>0</v>
      </c>
      <c r="N1282" s="1851" cm="1">
        <f t="array" ref="N1282">_xlfn.IFS(
    AND(I1282=TRUE, K1282&lt;=No_Regular_Payments), Repay_Amt,
    AND(I1282=TRUE, K1282=No_Regular_Payments+1), Tm_Balloon_Amt,
   TRUE, 0
)</f>
        <v>0</v>
      </c>
      <c r="O1282" s="1850" cm="1">
        <f t="array" ref="O1282">_xlfn.IFS(
    M1282=0,0,
   ABS(N1282 - S1281 - P1282-Q1282) &lt; 1, N1282 - S1281-Q1282,
    TRUE, P1282
)</f>
        <v>0</v>
      </c>
      <c r="P1282" s="1852">
        <f>IF(M1282=0,0,ROUND(S1281*EXP(Int_Rate/365.25 * M1282)-S1281,2))</f>
        <v>0</v>
      </c>
      <c r="Q1282" s="1851" cm="1">
        <f t="array" ref="Q1282">_xlfn.IFS(
    AND(I1282=TRUE, K1282&lt;=No_Regular_Payments), Periodic_Admin_Charge,
   TRUE, 0
)</f>
        <v>0</v>
      </c>
      <c r="R1282" s="1850">
        <f>N1282-O1282-Q1282</f>
        <v>0</v>
      </c>
      <c r="S1282" s="1850">
        <f>ROUND(S1281-R1282,2)</f>
        <v>0</v>
      </c>
      <c r="T1282" s="1850">
        <f>ROUND(T1281-(N1282-Q1282),2)</f>
        <v>0</v>
      </c>
      <c r="U1282" s="1849"/>
      <c r="W1282" s="1848"/>
      <c r="X1282" s="1848"/>
      <c r="Y1282" s="1848"/>
    </row>
    <row r="1283" spans="2:25" hidden="1">
      <c r="B1283" s="1815" t="b">
        <f>AND(I1283=FALSE,N1282=0,Q1282=0,L1282="")</f>
        <v>1</v>
      </c>
      <c r="C1283" s="1844" t="str" cm="1">
        <f t="array" ref="C1283">_xlfn.IFS(
    L1283="", "",
    MONTH(L1283) &lt;= End_of_Year_Month, YEAR(L1283),
    TRUE, YEAR(L1283) + 1
)</f>
        <v/>
      </c>
      <c r="F1283" s="1857">
        <f>IF(L1283="",0,L1283)</f>
        <v>0</v>
      </c>
      <c r="G1283" s="1856">
        <f>-(N1283-Q1283)</f>
        <v>0</v>
      </c>
      <c r="I1283" s="1815" t="b">
        <f>K1283&lt;=Number_Payments</f>
        <v>0</v>
      </c>
      <c r="J1283" s="1855"/>
      <c r="K1283" s="1351">
        <f>K1282+1</f>
        <v>1157</v>
      </c>
      <c r="L1283" s="1854" t="str" cm="1">
        <f t="array" ref="L1283">_xlfn.IFS(
    I1282=FALSE, "",
    Payment_Frequency="Monthly", EDATE(L1282, 1),
    Payment_Frequency="Weekly", DATE(YEAR(L1282), MONTH(L1282), DAY(L1282) + 7),
    Payment_Frequency="Fortnightly", DATE(YEAR(L1282), MONTH(L1282), DAY(L1282) + 14),
    Payment_Frequency="Quarterly", DATE(YEAR(L1282), MONTH(L1282) + 3, DAY(L1282)),
    Payment_Frequency="Yearly", DATE(YEAR(L1282) + 1, MONTH(L1282), DAY(L1282)),
    TRUE, ""
)</f>
        <v/>
      </c>
      <c r="M1283" s="1853">
        <f>IF(ISERROR(L1283-L1282),0,L1283-L1282)</f>
        <v>0</v>
      </c>
      <c r="N1283" s="1851" cm="1">
        <f t="array" ref="N1283">_xlfn.IFS(
    AND(I1283=TRUE, K1283&lt;=No_Regular_Payments), Repay_Amt,
    AND(I1283=TRUE, K1283=No_Regular_Payments+1), Tm_Balloon_Amt,
   TRUE, 0
)</f>
        <v>0</v>
      </c>
      <c r="O1283" s="1850" cm="1">
        <f t="array" ref="O1283">_xlfn.IFS(
    M1283=0,0,
   ABS(N1283 - S1282 - P1283-Q1283) &lt; 1, N1283 - S1282-Q1283,
    TRUE, P1283
)</f>
        <v>0</v>
      </c>
      <c r="P1283" s="1852">
        <f>IF(M1283=0,0,ROUND(S1282*EXP(Int_Rate/365.25 * M1283)-S1282,2))</f>
        <v>0</v>
      </c>
      <c r="Q1283" s="1851" cm="1">
        <f t="array" ref="Q1283">_xlfn.IFS(
    AND(I1283=TRUE, K1283&lt;=No_Regular_Payments), Periodic_Admin_Charge,
   TRUE, 0
)</f>
        <v>0</v>
      </c>
      <c r="R1283" s="1850">
        <f>N1283-O1283-Q1283</f>
        <v>0</v>
      </c>
      <c r="S1283" s="1850">
        <f>ROUND(S1282-R1283,2)</f>
        <v>0</v>
      </c>
      <c r="T1283" s="1850">
        <f>ROUND(T1282-(N1283-Q1283),2)</f>
        <v>0</v>
      </c>
      <c r="U1283" s="1849"/>
      <c r="W1283" s="1848"/>
      <c r="X1283" s="1848"/>
      <c r="Y1283" s="1848"/>
    </row>
    <row r="1284" spans="2:25" hidden="1">
      <c r="B1284" s="1815" t="b">
        <f>AND(I1284=FALSE,N1283=0,Q1283=0,L1283="")</f>
        <v>1</v>
      </c>
      <c r="C1284" s="1844" t="str" cm="1">
        <f t="array" ref="C1284">_xlfn.IFS(
    L1284="", "",
    MONTH(L1284) &lt;= End_of_Year_Month, YEAR(L1284),
    TRUE, YEAR(L1284) + 1
)</f>
        <v/>
      </c>
      <c r="F1284" s="1857">
        <f>IF(L1284="",0,L1284)</f>
        <v>0</v>
      </c>
      <c r="G1284" s="1856">
        <f>-(N1284-Q1284)</f>
        <v>0</v>
      </c>
      <c r="I1284" s="1815" t="b">
        <f>K1284&lt;=Number_Payments</f>
        <v>0</v>
      </c>
      <c r="J1284" s="1855"/>
      <c r="K1284" s="1351">
        <f>K1283+1</f>
        <v>1158</v>
      </c>
      <c r="L1284" s="1854" t="str" cm="1">
        <f t="array" ref="L1284">_xlfn.IFS(
    I1283=FALSE, "",
    Payment_Frequency="Monthly", EDATE(L1283, 1),
    Payment_Frequency="Weekly", DATE(YEAR(L1283), MONTH(L1283), DAY(L1283) + 7),
    Payment_Frequency="Fortnightly", DATE(YEAR(L1283), MONTH(L1283), DAY(L1283) + 14),
    Payment_Frequency="Quarterly", DATE(YEAR(L1283), MONTH(L1283) + 3, DAY(L1283)),
    Payment_Frequency="Yearly", DATE(YEAR(L1283) + 1, MONTH(L1283), DAY(L1283)),
    TRUE, ""
)</f>
        <v/>
      </c>
      <c r="M1284" s="1853">
        <f>IF(ISERROR(L1284-L1283),0,L1284-L1283)</f>
        <v>0</v>
      </c>
      <c r="N1284" s="1851" cm="1">
        <f t="array" ref="N1284">_xlfn.IFS(
    AND(I1284=TRUE, K1284&lt;=No_Regular_Payments), Repay_Amt,
    AND(I1284=TRUE, K1284=No_Regular_Payments+1), Tm_Balloon_Amt,
   TRUE, 0
)</f>
        <v>0</v>
      </c>
      <c r="O1284" s="1850" cm="1">
        <f t="array" ref="O1284">_xlfn.IFS(
    M1284=0,0,
   ABS(N1284 - S1283 - P1284-Q1284) &lt; 1, N1284 - S1283-Q1284,
    TRUE, P1284
)</f>
        <v>0</v>
      </c>
      <c r="P1284" s="1852">
        <f>IF(M1284=0,0,ROUND(S1283*EXP(Int_Rate/365.25 * M1284)-S1283,2))</f>
        <v>0</v>
      </c>
      <c r="Q1284" s="1851" cm="1">
        <f t="array" ref="Q1284">_xlfn.IFS(
    AND(I1284=TRUE, K1284&lt;=No_Regular_Payments), Periodic_Admin_Charge,
   TRUE, 0
)</f>
        <v>0</v>
      </c>
      <c r="R1284" s="1850">
        <f>N1284-O1284-Q1284</f>
        <v>0</v>
      </c>
      <c r="S1284" s="1850">
        <f>ROUND(S1283-R1284,2)</f>
        <v>0</v>
      </c>
      <c r="T1284" s="1850">
        <f>ROUND(T1283-(N1284-Q1284),2)</f>
        <v>0</v>
      </c>
      <c r="U1284" s="1849"/>
      <c r="W1284" s="1848"/>
      <c r="X1284" s="1848"/>
      <c r="Y1284" s="1848"/>
    </row>
    <row r="1285" spans="2:25" hidden="1">
      <c r="B1285" s="1815" t="b">
        <f>AND(I1285=FALSE,N1284=0,Q1284=0,L1284="")</f>
        <v>1</v>
      </c>
      <c r="C1285" s="1844" t="str" cm="1">
        <f t="array" ref="C1285">_xlfn.IFS(
    L1285="", "",
    MONTH(L1285) &lt;= End_of_Year_Month, YEAR(L1285),
    TRUE, YEAR(L1285) + 1
)</f>
        <v/>
      </c>
      <c r="F1285" s="1857">
        <f>IF(L1285="",0,L1285)</f>
        <v>0</v>
      </c>
      <c r="G1285" s="1856">
        <f>-(N1285-Q1285)</f>
        <v>0</v>
      </c>
      <c r="I1285" s="1815" t="b">
        <f>K1285&lt;=Number_Payments</f>
        <v>0</v>
      </c>
      <c r="J1285" s="1855"/>
      <c r="K1285" s="1351">
        <f>K1284+1</f>
        <v>1159</v>
      </c>
      <c r="L1285" s="1854" t="str" cm="1">
        <f t="array" ref="L1285">_xlfn.IFS(
    I1284=FALSE, "",
    Payment_Frequency="Monthly", EDATE(L1284, 1),
    Payment_Frequency="Weekly", DATE(YEAR(L1284), MONTH(L1284), DAY(L1284) + 7),
    Payment_Frequency="Fortnightly", DATE(YEAR(L1284), MONTH(L1284), DAY(L1284) + 14),
    Payment_Frequency="Quarterly", DATE(YEAR(L1284), MONTH(L1284) + 3, DAY(L1284)),
    Payment_Frequency="Yearly", DATE(YEAR(L1284) + 1, MONTH(L1284), DAY(L1284)),
    TRUE, ""
)</f>
        <v/>
      </c>
      <c r="M1285" s="1853">
        <f>IF(ISERROR(L1285-L1284),0,L1285-L1284)</f>
        <v>0</v>
      </c>
      <c r="N1285" s="1851" cm="1">
        <f t="array" ref="N1285">_xlfn.IFS(
    AND(I1285=TRUE, K1285&lt;=No_Regular_Payments), Repay_Amt,
    AND(I1285=TRUE, K1285=No_Regular_Payments+1), Tm_Balloon_Amt,
   TRUE, 0
)</f>
        <v>0</v>
      </c>
      <c r="O1285" s="1850" cm="1">
        <f t="array" ref="O1285">_xlfn.IFS(
    M1285=0,0,
   ABS(N1285 - S1284 - P1285-Q1285) &lt; 1, N1285 - S1284-Q1285,
    TRUE, P1285
)</f>
        <v>0</v>
      </c>
      <c r="P1285" s="1852">
        <f>IF(M1285=0,0,ROUND(S1284*EXP(Int_Rate/365.25 * M1285)-S1284,2))</f>
        <v>0</v>
      </c>
      <c r="Q1285" s="1851" cm="1">
        <f t="array" ref="Q1285">_xlfn.IFS(
    AND(I1285=TRUE, K1285&lt;=No_Regular_Payments), Periodic_Admin_Charge,
   TRUE, 0
)</f>
        <v>0</v>
      </c>
      <c r="R1285" s="1850">
        <f>N1285-O1285-Q1285</f>
        <v>0</v>
      </c>
      <c r="S1285" s="1850">
        <f>ROUND(S1284-R1285,2)</f>
        <v>0</v>
      </c>
      <c r="T1285" s="1850">
        <f>ROUND(T1284-(N1285-Q1285),2)</f>
        <v>0</v>
      </c>
      <c r="U1285" s="1849"/>
      <c r="W1285" s="1848"/>
      <c r="X1285" s="1848"/>
      <c r="Y1285" s="1848"/>
    </row>
    <row r="1286" spans="2:25" hidden="1">
      <c r="B1286" s="1815" t="b">
        <f>AND(I1286=FALSE,N1285=0,Q1285=0,L1285="")</f>
        <v>1</v>
      </c>
      <c r="C1286" s="1844" t="str" cm="1">
        <f t="array" ref="C1286">_xlfn.IFS(
    L1286="", "",
    MONTH(L1286) &lt;= End_of_Year_Month, YEAR(L1286),
    TRUE, YEAR(L1286) + 1
)</f>
        <v/>
      </c>
      <c r="F1286" s="1857">
        <f>IF(L1286="",0,L1286)</f>
        <v>0</v>
      </c>
      <c r="G1286" s="1856">
        <f>-(N1286-Q1286)</f>
        <v>0</v>
      </c>
      <c r="I1286" s="1815" t="b">
        <f>K1286&lt;=Number_Payments</f>
        <v>0</v>
      </c>
      <c r="J1286" s="1855"/>
      <c r="K1286" s="1351">
        <f>K1285+1</f>
        <v>1160</v>
      </c>
      <c r="L1286" s="1854" t="str" cm="1">
        <f t="array" ref="L1286">_xlfn.IFS(
    I1285=FALSE, "",
    Payment_Frequency="Monthly", EDATE(L1285, 1),
    Payment_Frequency="Weekly", DATE(YEAR(L1285), MONTH(L1285), DAY(L1285) + 7),
    Payment_Frequency="Fortnightly", DATE(YEAR(L1285), MONTH(L1285), DAY(L1285) + 14),
    Payment_Frequency="Quarterly", DATE(YEAR(L1285), MONTH(L1285) + 3, DAY(L1285)),
    Payment_Frequency="Yearly", DATE(YEAR(L1285) + 1, MONTH(L1285), DAY(L1285)),
    TRUE, ""
)</f>
        <v/>
      </c>
      <c r="M1286" s="1853">
        <f>IF(ISERROR(L1286-L1285),0,L1286-L1285)</f>
        <v>0</v>
      </c>
      <c r="N1286" s="1851" cm="1">
        <f t="array" ref="N1286">_xlfn.IFS(
    AND(I1286=TRUE, K1286&lt;=No_Regular_Payments), Repay_Amt,
    AND(I1286=TRUE, K1286=No_Regular_Payments+1), Tm_Balloon_Amt,
   TRUE, 0
)</f>
        <v>0</v>
      </c>
      <c r="O1286" s="1850" cm="1">
        <f t="array" ref="O1286">_xlfn.IFS(
    M1286=0,0,
   ABS(N1286 - S1285 - P1286-Q1286) &lt; 1, N1286 - S1285-Q1286,
    TRUE, P1286
)</f>
        <v>0</v>
      </c>
      <c r="P1286" s="1852">
        <f>IF(M1286=0,0,ROUND(S1285*EXP(Int_Rate/365.25 * M1286)-S1285,2))</f>
        <v>0</v>
      </c>
      <c r="Q1286" s="1851" cm="1">
        <f t="array" ref="Q1286">_xlfn.IFS(
    AND(I1286=TRUE, K1286&lt;=No_Regular_Payments), Periodic_Admin_Charge,
   TRUE, 0
)</f>
        <v>0</v>
      </c>
      <c r="R1286" s="1850">
        <f>N1286-O1286-Q1286</f>
        <v>0</v>
      </c>
      <c r="S1286" s="1850">
        <f>ROUND(S1285-R1286,2)</f>
        <v>0</v>
      </c>
      <c r="T1286" s="1850">
        <f>ROUND(T1285-(N1286-Q1286),2)</f>
        <v>0</v>
      </c>
      <c r="U1286" s="1849"/>
      <c r="W1286" s="1848"/>
      <c r="X1286" s="1848"/>
      <c r="Y1286" s="1848"/>
    </row>
    <row r="1287" spans="2:25" hidden="1">
      <c r="B1287" s="1815" t="b">
        <f>AND(I1287=FALSE,N1286=0,Q1286=0,L1286="")</f>
        <v>1</v>
      </c>
      <c r="C1287" s="1844" t="str" cm="1">
        <f t="array" ref="C1287">_xlfn.IFS(
    L1287="", "",
    MONTH(L1287) &lt;= End_of_Year_Month, YEAR(L1287),
    TRUE, YEAR(L1287) + 1
)</f>
        <v/>
      </c>
      <c r="F1287" s="1857">
        <f>IF(L1287="",0,L1287)</f>
        <v>0</v>
      </c>
      <c r="G1287" s="1856">
        <f>-(N1287-Q1287)</f>
        <v>0</v>
      </c>
      <c r="I1287" s="1815" t="b">
        <f>K1287&lt;=Number_Payments</f>
        <v>0</v>
      </c>
      <c r="J1287" s="1855"/>
      <c r="K1287" s="1351">
        <f>K1286+1</f>
        <v>1161</v>
      </c>
      <c r="L1287" s="1854" t="str" cm="1">
        <f t="array" ref="L1287">_xlfn.IFS(
    I1286=FALSE, "",
    Payment_Frequency="Monthly", EDATE(L1286, 1),
    Payment_Frequency="Weekly", DATE(YEAR(L1286), MONTH(L1286), DAY(L1286) + 7),
    Payment_Frequency="Fortnightly", DATE(YEAR(L1286), MONTH(L1286), DAY(L1286) + 14),
    Payment_Frequency="Quarterly", DATE(YEAR(L1286), MONTH(L1286) + 3, DAY(L1286)),
    Payment_Frequency="Yearly", DATE(YEAR(L1286) + 1, MONTH(L1286), DAY(L1286)),
    TRUE, ""
)</f>
        <v/>
      </c>
      <c r="M1287" s="1853">
        <f>IF(ISERROR(L1287-L1286),0,L1287-L1286)</f>
        <v>0</v>
      </c>
      <c r="N1287" s="1851" cm="1">
        <f t="array" ref="N1287">_xlfn.IFS(
    AND(I1287=TRUE, K1287&lt;=No_Regular_Payments), Repay_Amt,
    AND(I1287=TRUE, K1287=No_Regular_Payments+1), Tm_Balloon_Amt,
   TRUE, 0
)</f>
        <v>0</v>
      </c>
      <c r="O1287" s="1850" cm="1">
        <f t="array" ref="O1287">_xlfn.IFS(
    M1287=0,0,
   ABS(N1287 - S1286 - P1287-Q1287) &lt; 1, N1287 - S1286-Q1287,
    TRUE, P1287
)</f>
        <v>0</v>
      </c>
      <c r="P1287" s="1852">
        <f>IF(M1287=0,0,ROUND(S1286*EXP(Int_Rate/365.25 * M1287)-S1286,2))</f>
        <v>0</v>
      </c>
      <c r="Q1287" s="1851" cm="1">
        <f t="array" ref="Q1287">_xlfn.IFS(
    AND(I1287=TRUE, K1287&lt;=No_Regular_Payments), Periodic_Admin_Charge,
   TRUE, 0
)</f>
        <v>0</v>
      </c>
      <c r="R1287" s="1850">
        <f>N1287-O1287-Q1287</f>
        <v>0</v>
      </c>
      <c r="S1287" s="1850">
        <f>ROUND(S1286-R1287,2)</f>
        <v>0</v>
      </c>
      <c r="T1287" s="1850">
        <f>ROUND(T1286-(N1287-Q1287),2)</f>
        <v>0</v>
      </c>
      <c r="U1287" s="1849"/>
      <c r="W1287" s="1848"/>
      <c r="X1287" s="1848"/>
      <c r="Y1287" s="1848"/>
    </row>
    <row r="1288" spans="2:25" hidden="1">
      <c r="B1288" s="1815" t="b">
        <f>AND(I1288=FALSE,N1287=0,Q1287=0,L1287="")</f>
        <v>1</v>
      </c>
      <c r="C1288" s="1844" t="str" cm="1">
        <f t="array" ref="C1288">_xlfn.IFS(
    L1288="", "",
    MONTH(L1288) &lt;= End_of_Year_Month, YEAR(L1288),
    TRUE, YEAR(L1288) + 1
)</f>
        <v/>
      </c>
      <c r="F1288" s="1857">
        <f>IF(L1288="",0,L1288)</f>
        <v>0</v>
      </c>
      <c r="G1288" s="1856">
        <f>-(N1288-Q1288)</f>
        <v>0</v>
      </c>
      <c r="I1288" s="1815" t="b">
        <f>K1288&lt;=Number_Payments</f>
        <v>0</v>
      </c>
      <c r="J1288" s="1855"/>
      <c r="K1288" s="1351">
        <f>K1287+1</f>
        <v>1162</v>
      </c>
      <c r="L1288" s="1854" t="str" cm="1">
        <f t="array" ref="L1288">_xlfn.IFS(
    I1287=FALSE, "",
    Payment_Frequency="Monthly", EDATE(L1287, 1),
    Payment_Frequency="Weekly", DATE(YEAR(L1287), MONTH(L1287), DAY(L1287) + 7),
    Payment_Frequency="Fortnightly", DATE(YEAR(L1287), MONTH(L1287), DAY(L1287) + 14),
    Payment_Frequency="Quarterly", DATE(YEAR(L1287), MONTH(L1287) + 3, DAY(L1287)),
    Payment_Frequency="Yearly", DATE(YEAR(L1287) + 1, MONTH(L1287), DAY(L1287)),
    TRUE, ""
)</f>
        <v/>
      </c>
      <c r="M1288" s="1853">
        <f>IF(ISERROR(L1288-L1287),0,L1288-L1287)</f>
        <v>0</v>
      </c>
      <c r="N1288" s="1851" cm="1">
        <f t="array" ref="N1288">_xlfn.IFS(
    AND(I1288=TRUE, K1288&lt;=No_Regular_Payments), Repay_Amt,
    AND(I1288=TRUE, K1288=No_Regular_Payments+1), Tm_Balloon_Amt,
   TRUE, 0
)</f>
        <v>0</v>
      </c>
      <c r="O1288" s="1850" cm="1">
        <f t="array" ref="O1288">_xlfn.IFS(
    M1288=0,0,
   ABS(N1288 - S1287 - P1288-Q1288) &lt; 1, N1288 - S1287-Q1288,
    TRUE, P1288
)</f>
        <v>0</v>
      </c>
      <c r="P1288" s="1852">
        <f>IF(M1288=0,0,ROUND(S1287*EXP(Int_Rate/365.25 * M1288)-S1287,2))</f>
        <v>0</v>
      </c>
      <c r="Q1288" s="1851" cm="1">
        <f t="array" ref="Q1288">_xlfn.IFS(
    AND(I1288=TRUE, K1288&lt;=No_Regular_Payments), Periodic_Admin_Charge,
   TRUE, 0
)</f>
        <v>0</v>
      </c>
      <c r="R1288" s="1850">
        <f>N1288-O1288-Q1288</f>
        <v>0</v>
      </c>
      <c r="S1288" s="1850">
        <f>ROUND(S1287-R1288,2)</f>
        <v>0</v>
      </c>
      <c r="T1288" s="1850">
        <f>ROUND(T1287-(N1288-Q1288),2)</f>
        <v>0</v>
      </c>
      <c r="U1288" s="1849"/>
      <c r="W1288" s="1848"/>
      <c r="X1288" s="1848"/>
      <c r="Y1288" s="1848"/>
    </row>
    <row r="1289" spans="2:25" hidden="1">
      <c r="B1289" s="1815" t="b">
        <f>AND(I1289=FALSE,N1288=0,Q1288=0,L1288="")</f>
        <v>1</v>
      </c>
      <c r="C1289" s="1844" t="str" cm="1">
        <f t="array" ref="C1289">_xlfn.IFS(
    L1289="", "",
    MONTH(L1289) &lt;= End_of_Year_Month, YEAR(L1289),
    TRUE, YEAR(L1289) + 1
)</f>
        <v/>
      </c>
      <c r="F1289" s="1857">
        <f>IF(L1289="",0,L1289)</f>
        <v>0</v>
      </c>
      <c r="G1289" s="1856">
        <f>-(N1289-Q1289)</f>
        <v>0</v>
      </c>
      <c r="I1289" s="1815" t="b">
        <f>K1289&lt;=Number_Payments</f>
        <v>0</v>
      </c>
      <c r="J1289" s="1855"/>
      <c r="K1289" s="1351">
        <f>K1288+1</f>
        <v>1163</v>
      </c>
      <c r="L1289" s="1854" t="str" cm="1">
        <f t="array" ref="L1289">_xlfn.IFS(
    I1288=FALSE, "",
    Payment_Frequency="Monthly", EDATE(L1288, 1),
    Payment_Frequency="Weekly", DATE(YEAR(L1288), MONTH(L1288), DAY(L1288) + 7),
    Payment_Frequency="Fortnightly", DATE(YEAR(L1288), MONTH(L1288), DAY(L1288) + 14),
    Payment_Frequency="Quarterly", DATE(YEAR(L1288), MONTH(L1288) + 3, DAY(L1288)),
    Payment_Frequency="Yearly", DATE(YEAR(L1288) + 1, MONTH(L1288), DAY(L1288)),
    TRUE, ""
)</f>
        <v/>
      </c>
      <c r="M1289" s="1853">
        <f>IF(ISERROR(L1289-L1288),0,L1289-L1288)</f>
        <v>0</v>
      </c>
      <c r="N1289" s="1851" cm="1">
        <f t="array" ref="N1289">_xlfn.IFS(
    AND(I1289=TRUE, K1289&lt;=No_Regular_Payments), Repay_Amt,
    AND(I1289=TRUE, K1289=No_Regular_Payments+1), Tm_Balloon_Amt,
   TRUE, 0
)</f>
        <v>0</v>
      </c>
      <c r="O1289" s="1850" cm="1">
        <f t="array" ref="O1289">_xlfn.IFS(
    M1289=0,0,
   ABS(N1289 - S1288 - P1289-Q1289) &lt; 1, N1289 - S1288-Q1289,
    TRUE, P1289
)</f>
        <v>0</v>
      </c>
      <c r="P1289" s="1852">
        <f>IF(M1289=0,0,ROUND(S1288*EXP(Int_Rate/365.25 * M1289)-S1288,2))</f>
        <v>0</v>
      </c>
      <c r="Q1289" s="1851" cm="1">
        <f t="array" ref="Q1289">_xlfn.IFS(
    AND(I1289=TRUE, K1289&lt;=No_Regular_Payments), Periodic_Admin_Charge,
   TRUE, 0
)</f>
        <v>0</v>
      </c>
      <c r="R1289" s="1850">
        <f>N1289-O1289-Q1289</f>
        <v>0</v>
      </c>
      <c r="S1289" s="1850">
        <f>ROUND(S1288-R1289,2)</f>
        <v>0</v>
      </c>
      <c r="T1289" s="1850">
        <f>ROUND(T1288-(N1289-Q1289),2)</f>
        <v>0</v>
      </c>
      <c r="U1289" s="1849"/>
      <c r="W1289" s="1848"/>
      <c r="X1289" s="1848"/>
      <c r="Y1289" s="1848"/>
    </row>
    <row r="1290" spans="2:25" hidden="1">
      <c r="B1290" s="1815" t="b">
        <f>AND(I1290=FALSE,N1289=0,Q1289=0,L1289="")</f>
        <v>1</v>
      </c>
      <c r="C1290" s="1844" t="str" cm="1">
        <f t="array" ref="C1290">_xlfn.IFS(
    L1290="", "",
    MONTH(L1290) &lt;= End_of_Year_Month, YEAR(L1290),
    TRUE, YEAR(L1290) + 1
)</f>
        <v/>
      </c>
      <c r="F1290" s="1857">
        <f>IF(L1290="",0,L1290)</f>
        <v>0</v>
      </c>
      <c r="G1290" s="1856">
        <f>-(N1290-Q1290)</f>
        <v>0</v>
      </c>
      <c r="I1290" s="1815" t="b">
        <f>K1290&lt;=Number_Payments</f>
        <v>0</v>
      </c>
      <c r="J1290" s="1855"/>
      <c r="K1290" s="1351">
        <f>K1289+1</f>
        <v>1164</v>
      </c>
      <c r="L1290" s="1854" t="str" cm="1">
        <f t="array" ref="L1290">_xlfn.IFS(
    I1289=FALSE, "",
    Payment_Frequency="Monthly", EDATE(L1289, 1),
    Payment_Frequency="Weekly", DATE(YEAR(L1289), MONTH(L1289), DAY(L1289) + 7),
    Payment_Frequency="Fortnightly", DATE(YEAR(L1289), MONTH(L1289), DAY(L1289) + 14),
    Payment_Frequency="Quarterly", DATE(YEAR(L1289), MONTH(L1289) + 3, DAY(L1289)),
    Payment_Frequency="Yearly", DATE(YEAR(L1289) + 1, MONTH(L1289), DAY(L1289)),
    TRUE, ""
)</f>
        <v/>
      </c>
      <c r="M1290" s="1853">
        <f>IF(ISERROR(L1290-L1289),0,L1290-L1289)</f>
        <v>0</v>
      </c>
      <c r="N1290" s="1851" cm="1">
        <f t="array" ref="N1290">_xlfn.IFS(
    AND(I1290=TRUE, K1290&lt;=No_Regular_Payments), Repay_Amt,
    AND(I1290=TRUE, K1290=No_Regular_Payments+1), Tm_Balloon_Amt,
   TRUE, 0
)</f>
        <v>0</v>
      </c>
      <c r="O1290" s="1850" cm="1">
        <f t="array" ref="O1290">_xlfn.IFS(
    M1290=0,0,
   ABS(N1290 - S1289 - P1290-Q1290) &lt; 1, N1290 - S1289-Q1290,
    TRUE, P1290
)</f>
        <v>0</v>
      </c>
      <c r="P1290" s="1852">
        <f>IF(M1290=0,0,ROUND(S1289*EXP(Int_Rate/365.25 * M1290)-S1289,2))</f>
        <v>0</v>
      </c>
      <c r="Q1290" s="1851" cm="1">
        <f t="array" ref="Q1290">_xlfn.IFS(
    AND(I1290=TRUE, K1290&lt;=No_Regular_Payments), Periodic_Admin_Charge,
   TRUE, 0
)</f>
        <v>0</v>
      </c>
      <c r="R1290" s="1850">
        <f>N1290-O1290-Q1290</f>
        <v>0</v>
      </c>
      <c r="S1290" s="1850">
        <f>ROUND(S1289-R1290,2)</f>
        <v>0</v>
      </c>
      <c r="T1290" s="1850">
        <f>ROUND(T1289-(N1290-Q1290),2)</f>
        <v>0</v>
      </c>
      <c r="U1290" s="1849"/>
      <c r="W1290" s="1848"/>
      <c r="X1290" s="1848"/>
      <c r="Y1290" s="1848"/>
    </row>
    <row r="1291" spans="2:25" hidden="1">
      <c r="B1291" s="1815" t="b">
        <f>AND(I1291=FALSE,N1290=0,Q1290=0,L1290="")</f>
        <v>1</v>
      </c>
      <c r="C1291" s="1844" t="str" cm="1">
        <f t="array" ref="C1291">_xlfn.IFS(
    L1291="", "",
    MONTH(L1291) &lt;= End_of_Year_Month, YEAR(L1291),
    TRUE, YEAR(L1291) + 1
)</f>
        <v/>
      </c>
      <c r="F1291" s="1857">
        <f>IF(L1291="",0,L1291)</f>
        <v>0</v>
      </c>
      <c r="G1291" s="1856">
        <f>-(N1291-Q1291)</f>
        <v>0</v>
      </c>
      <c r="I1291" s="1815" t="b">
        <f>K1291&lt;=Number_Payments</f>
        <v>0</v>
      </c>
      <c r="J1291" s="1855"/>
      <c r="K1291" s="1351">
        <f>K1290+1</f>
        <v>1165</v>
      </c>
      <c r="L1291" s="1854" t="str" cm="1">
        <f t="array" ref="L1291">_xlfn.IFS(
    I1290=FALSE, "",
    Payment_Frequency="Monthly", EDATE(L1290, 1),
    Payment_Frequency="Weekly", DATE(YEAR(L1290), MONTH(L1290), DAY(L1290) + 7),
    Payment_Frequency="Fortnightly", DATE(YEAR(L1290), MONTH(L1290), DAY(L1290) + 14),
    Payment_Frequency="Quarterly", DATE(YEAR(L1290), MONTH(L1290) + 3, DAY(L1290)),
    Payment_Frequency="Yearly", DATE(YEAR(L1290) + 1, MONTH(L1290), DAY(L1290)),
    TRUE, ""
)</f>
        <v/>
      </c>
      <c r="M1291" s="1853">
        <f>IF(ISERROR(L1291-L1290),0,L1291-L1290)</f>
        <v>0</v>
      </c>
      <c r="N1291" s="1851" cm="1">
        <f t="array" ref="N1291">_xlfn.IFS(
    AND(I1291=TRUE, K1291&lt;=No_Regular_Payments), Repay_Amt,
    AND(I1291=TRUE, K1291=No_Regular_Payments+1), Tm_Balloon_Amt,
   TRUE, 0
)</f>
        <v>0</v>
      </c>
      <c r="O1291" s="1850" cm="1">
        <f t="array" ref="O1291">_xlfn.IFS(
    M1291=0,0,
   ABS(N1291 - S1290 - P1291-Q1291) &lt; 1, N1291 - S1290-Q1291,
    TRUE, P1291
)</f>
        <v>0</v>
      </c>
      <c r="P1291" s="1852">
        <f>IF(M1291=0,0,ROUND(S1290*EXP(Int_Rate/365.25 * M1291)-S1290,2))</f>
        <v>0</v>
      </c>
      <c r="Q1291" s="1851" cm="1">
        <f t="array" ref="Q1291">_xlfn.IFS(
    AND(I1291=TRUE, K1291&lt;=No_Regular_Payments), Periodic_Admin_Charge,
   TRUE, 0
)</f>
        <v>0</v>
      </c>
      <c r="R1291" s="1850">
        <f>N1291-O1291-Q1291</f>
        <v>0</v>
      </c>
      <c r="S1291" s="1850">
        <f>ROUND(S1290-R1291,2)</f>
        <v>0</v>
      </c>
      <c r="T1291" s="1850">
        <f>ROUND(T1290-(N1291-Q1291),2)</f>
        <v>0</v>
      </c>
      <c r="U1291" s="1849"/>
      <c r="W1291" s="1848"/>
      <c r="X1291" s="1848"/>
      <c r="Y1291" s="1848"/>
    </row>
    <row r="1292" spans="2:25" hidden="1">
      <c r="B1292" s="1815" t="b">
        <f>AND(I1292=FALSE,N1291=0,Q1291=0,L1291="")</f>
        <v>1</v>
      </c>
      <c r="C1292" s="1844" t="str" cm="1">
        <f t="array" ref="C1292">_xlfn.IFS(
    L1292="", "",
    MONTH(L1292) &lt;= End_of_Year_Month, YEAR(L1292),
    TRUE, YEAR(L1292) + 1
)</f>
        <v/>
      </c>
      <c r="F1292" s="1857">
        <f>IF(L1292="",0,L1292)</f>
        <v>0</v>
      </c>
      <c r="G1292" s="1856">
        <f>-(N1292-Q1292)</f>
        <v>0</v>
      </c>
      <c r="I1292" s="1815" t="b">
        <f>K1292&lt;=Number_Payments</f>
        <v>0</v>
      </c>
      <c r="J1292" s="1855"/>
      <c r="K1292" s="1351">
        <f>K1291+1</f>
        <v>1166</v>
      </c>
      <c r="L1292" s="1854" t="str" cm="1">
        <f t="array" ref="L1292">_xlfn.IFS(
    I1291=FALSE, "",
    Payment_Frequency="Monthly", EDATE(L1291, 1),
    Payment_Frequency="Weekly", DATE(YEAR(L1291), MONTH(L1291), DAY(L1291) + 7),
    Payment_Frequency="Fortnightly", DATE(YEAR(L1291), MONTH(L1291), DAY(L1291) + 14),
    Payment_Frequency="Quarterly", DATE(YEAR(L1291), MONTH(L1291) + 3, DAY(L1291)),
    Payment_Frequency="Yearly", DATE(YEAR(L1291) + 1, MONTH(L1291), DAY(L1291)),
    TRUE, ""
)</f>
        <v/>
      </c>
      <c r="M1292" s="1853">
        <f>IF(ISERROR(L1292-L1291),0,L1292-L1291)</f>
        <v>0</v>
      </c>
      <c r="N1292" s="1851" cm="1">
        <f t="array" ref="N1292">_xlfn.IFS(
    AND(I1292=TRUE, K1292&lt;=No_Regular_Payments), Repay_Amt,
    AND(I1292=TRUE, K1292=No_Regular_Payments+1), Tm_Balloon_Amt,
   TRUE, 0
)</f>
        <v>0</v>
      </c>
      <c r="O1292" s="1850" cm="1">
        <f t="array" ref="O1292">_xlfn.IFS(
    M1292=0,0,
   ABS(N1292 - S1291 - P1292-Q1292) &lt; 1, N1292 - S1291-Q1292,
    TRUE, P1292
)</f>
        <v>0</v>
      </c>
      <c r="P1292" s="1852">
        <f>IF(M1292=0,0,ROUND(S1291*EXP(Int_Rate/365.25 * M1292)-S1291,2))</f>
        <v>0</v>
      </c>
      <c r="Q1292" s="1851" cm="1">
        <f t="array" ref="Q1292">_xlfn.IFS(
    AND(I1292=TRUE, K1292&lt;=No_Regular_Payments), Periodic_Admin_Charge,
   TRUE, 0
)</f>
        <v>0</v>
      </c>
      <c r="R1292" s="1850">
        <f>N1292-O1292-Q1292</f>
        <v>0</v>
      </c>
      <c r="S1292" s="1850">
        <f>ROUND(S1291-R1292,2)</f>
        <v>0</v>
      </c>
      <c r="T1292" s="1850">
        <f>ROUND(T1291-(N1292-Q1292),2)</f>
        <v>0</v>
      </c>
      <c r="U1292" s="1849"/>
      <c r="W1292" s="1848"/>
      <c r="X1292" s="1848"/>
      <c r="Y1292" s="1848"/>
    </row>
    <row r="1293" spans="2:25" hidden="1">
      <c r="B1293" s="1815" t="b">
        <f>AND(I1293=FALSE,N1292=0,Q1292=0,L1292="")</f>
        <v>1</v>
      </c>
      <c r="C1293" s="1844" t="str" cm="1">
        <f t="array" ref="C1293">_xlfn.IFS(
    L1293="", "",
    MONTH(L1293) &lt;= End_of_Year_Month, YEAR(L1293),
    TRUE, YEAR(L1293) + 1
)</f>
        <v/>
      </c>
      <c r="F1293" s="1857">
        <f>IF(L1293="",0,L1293)</f>
        <v>0</v>
      </c>
      <c r="G1293" s="1856">
        <f>-(N1293-Q1293)</f>
        <v>0</v>
      </c>
      <c r="I1293" s="1815" t="b">
        <f>K1293&lt;=Number_Payments</f>
        <v>0</v>
      </c>
      <c r="J1293" s="1855"/>
      <c r="K1293" s="1351">
        <f>K1292+1</f>
        <v>1167</v>
      </c>
      <c r="L1293" s="1854" t="str" cm="1">
        <f t="array" ref="L1293">_xlfn.IFS(
    I1292=FALSE, "",
    Payment_Frequency="Monthly", EDATE(L1292, 1),
    Payment_Frequency="Weekly", DATE(YEAR(L1292), MONTH(L1292), DAY(L1292) + 7),
    Payment_Frequency="Fortnightly", DATE(YEAR(L1292), MONTH(L1292), DAY(L1292) + 14),
    Payment_Frequency="Quarterly", DATE(YEAR(L1292), MONTH(L1292) + 3, DAY(L1292)),
    Payment_Frequency="Yearly", DATE(YEAR(L1292) + 1, MONTH(L1292), DAY(L1292)),
    TRUE, ""
)</f>
        <v/>
      </c>
      <c r="M1293" s="1853">
        <f>IF(ISERROR(L1293-L1292),0,L1293-L1292)</f>
        <v>0</v>
      </c>
      <c r="N1293" s="1851" cm="1">
        <f t="array" ref="N1293">_xlfn.IFS(
    AND(I1293=TRUE, K1293&lt;=No_Regular_Payments), Repay_Amt,
    AND(I1293=TRUE, K1293=No_Regular_Payments+1), Tm_Balloon_Amt,
   TRUE, 0
)</f>
        <v>0</v>
      </c>
      <c r="O1293" s="1850" cm="1">
        <f t="array" ref="O1293">_xlfn.IFS(
    M1293=0,0,
   ABS(N1293 - S1292 - P1293-Q1293) &lt; 1, N1293 - S1292-Q1293,
    TRUE, P1293
)</f>
        <v>0</v>
      </c>
      <c r="P1293" s="1852">
        <f>IF(M1293=0,0,ROUND(S1292*EXP(Int_Rate/365.25 * M1293)-S1292,2))</f>
        <v>0</v>
      </c>
      <c r="Q1293" s="1851" cm="1">
        <f t="array" ref="Q1293">_xlfn.IFS(
    AND(I1293=TRUE, K1293&lt;=No_Regular_Payments), Periodic_Admin_Charge,
   TRUE, 0
)</f>
        <v>0</v>
      </c>
      <c r="R1293" s="1850">
        <f>N1293-O1293-Q1293</f>
        <v>0</v>
      </c>
      <c r="S1293" s="1850">
        <f>ROUND(S1292-R1293,2)</f>
        <v>0</v>
      </c>
      <c r="T1293" s="1850">
        <f>ROUND(T1292-(N1293-Q1293),2)</f>
        <v>0</v>
      </c>
      <c r="U1293" s="1849"/>
      <c r="W1293" s="1848"/>
      <c r="X1293" s="1848"/>
      <c r="Y1293" s="1848"/>
    </row>
    <row r="1294" spans="2:25" hidden="1">
      <c r="B1294" s="1815" t="b">
        <f>AND(I1294=FALSE,N1293=0,Q1293=0,L1293="")</f>
        <v>1</v>
      </c>
      <c r="C1294" s="1844" t="str" cm="1">
        <f t="array" ref="C1294">_xlfn.IFS(
    L1294="", "",
    MONTH(L1294) &lt;= End_of_Year_Month, YEAR(L1294),
    TRUE, YEAR(L1294) + 1
)</f>
        <v/>
      </c>
      <c r="F1294" s="1857">
        <f>IF(L1294="",0,L1294)</f>
        <v>0</v>
      </c>
      <c r="G1294" s="1856">
        <f>-(N1294-Q1294)</f>
        <v>0</v>
      </c>
      <c r="I1294" s="1815" t="b">
        <f>K1294&lt;=Number_Payments</f>
        <v>0</v>
      </c>
      <c r="J1294" s="1855"/>
      <c r="K1294" s="1351">
        <f>K1293+1</f>
        <v>1168</v>
      </c>
      <c r="L1294" s="1854" t="str" cm="1">
        <f t="array" ref="L1294">_xlfn.IFS(
    I1293=FALSE, "",
    Payment_Frequency="Monthly", EDATE(L1293, 1),
    Payment_Frequency="Weekly", DATE(YEAR(L1293), MONTH(L1293), DAY(L1293) + 7),
    Payment_Frequency="Fortnightly", DATE(YEAR(L1293), MONTH(L1293), DAY(L1293) + 14),
    Payment_Frequency="Quarterly", DATE(YEAR(L1293), MONTH(L1293) + 3, DAY(L1293)),
    Payment_Frequency="Yearly", DATE(YEAR(L1293) + 1, MONTH(L1293), DAY(L1293)),
    TRUE, ""
)</f>
        <v/>
      </c>
      <c r="M1294" s="1853">
        <f>IF(ISERROR(L1294-L1293),0,L1294-L1293)</f>
        <v>0</v>
      </c>
      <c r="N1294" s="1851" cm="1">
        <f t="array" ref="N1294">_xlfn.IFS(
    AND(I1294=TRUE, K1294&lt;=No_Regular_Payments), Repay_Amt,
    AND(I1294=TRUE, K1294=No_Regular_Payments+1), Tm_Balloon_Amt,
   TRUE, 0
)</f>
        <v>0</v>
      </c>
      <c r="O1294" s="1850" cm="1">
        <f t="array" ref="O1294">_xlfn.IFS(
    M1294=0,0,
   ABS(N1294 - S1293 - P1294-Q1294) &lt; 1, N1294 - S1293-Q1294,
    TRUE, P1294
)</f>
        <v>0</v>
      </c>
      <c r="P1294" s="1852">
        <f>IF(M1294=0,0,ROUND(S1293*EXP(Int_Rate/365.25 * M1294)-S1293,2))</f>
        <v>0</v>
      </c>
      <c r="Q1294" s="1851" cm="1">
        <f t="array" ref="Q1294">_xlfn.IFS(
    AND(I1294=TRUE, K1294&lt;=No_Regular_Payments), Periodic_Admin_Charge,
   TRUE, 0
)</f>
        <v>0</v>
      </c>
      <c r="R1294" s="1850">
        <f>N1294-O1294-Q1294</f>
        <v>0</v>
      </c>
      <c r="S1294" s="1850">
        <f>ROUND(S1293-R1294,2)</f>
        <v>0</v>
      </c>
      <c r="T1294" s="1850">
        <f>ROUND(T1293-(N1294-Q1294),2)</f>
        <v>0</v>
      </c>
      <c r="U1294" s="1849"/>
      <c r="W1294" s="1848"/>
      <c r="X1294" s="1848"/>
      <c r="Y1294" s="1848"/>
    </row>
    <row r="1295" spans="2:25" hidden="1">
      <c r="B1295" s="1815" t="b">
        <f>AND(I1295=FALSE,N1294=0,Q1294=0,L1294="")</f>
        <v>1</v>
      </c>
      <c r="C1295" s="1844" t="str" cm="1">
        <f t="array" ref="C1295">_xlfn.IFS(
    L1295="", "",
    MONTH(L1295) &lt;= End_of_Year_Month, YEAR(L1295),
    TRUE, YEAR(L1295) + 1
)</f>
        <v/>
      </c>
      <c r="F1295" s="1857">
        <f>IF(L1295="",0,L1295)</f>
        <v>0</v>
      </c>
      <c r="G1295" s="1856">
        <f>-(N1295-Q1295)</f>
        <v>0</v>
      </c>
      <c r="I1295" s="1815" t="b">
        <f>K1295&lt;=Number_Payments</f>
        <v>0</v>
      </c>
      <c r="J1295" s="1855"/>
      <c r="K1295" s="1351">
        <f>K1294+1</f>
        <v>1169</v>
      </c>
      <c r="L1295" s="1854" t="str" cm="1">
        <f t="array" ref="L1295">_xlfn.IFS(
    I1294=FALSE, "",
    Payment_Frequency="Monthly", EDATE(L1294, 1),
    Payment_Frequency="Weekly", DATE(YEAR(L1294), MONTH(L1294), DAY(L1294) + 7),
    Payment_Frequency="Fortnightly", DATE(YEAR(L1294), MONTH(L1294), DAY(L1294) + 14),
    Payment_Frequency="Quarterly", DATE(YEAR(L1294), MONTH(L1294) + 3, DAY(L1294)),
    Payment_Frequency="Yearly", DATE(YEAR(L1294) + 1, MONTH(L1294), DAY(L1294)),
    TRUE, ""
)</f>
        <v/>
      </c>
      <c r="M1295" s="1853">
        <f>IF(ISERROR(L1295-L1294),0,L1295-L1294)</f>
        <v>0</v>
      </c>
      <c r="N1295" s="1851" cm="1">
        <f t="array" ref="N1295">_xlfn.IFS(
    AND(I1295=TRUE, K1295&lt;=No_Regular_Payments), Repay_Amt,
    AND(I1295=TRUE, K1295=No_Regular_Payments+1), Tm_Balloon_Amt,
   TRUE, 0
)</f>
        <v>0</v>
      </c>
      <c r="O1295" s="1850" cm="1">
        <f t="array" ref="O1295">_xlfn.IFS(
    M1295=0,0,
   ABS(N1295 - S1294 - P1295-Q1295) &lt; 1, N1295 - S1294-Q1295,
    TRUE, P1295
)</f>
        <v>0</v>
      </c>
      <c r="P1295" s="1852">
        <f>IF(M1295=0,0,ROUND(S1294*EXP(Int_Rate/365.25 * M1295)-S1294,2))</f>
        <v>0</v>
      </c>
      <c r="Q1295" s="1851" cm="1">
        <f t="array" ref="Q1295">_xlfn.IFS(
    AND(I1295=TRUE, K1295&lt;=No_Regular_Payments), Periodic_Admin_Charge,
   TRUE, 0
)</f>
        <v>0</v>
      </c>
      <c r="R1295" s="1850">
        <f>N1295-O1295-Q1295</f>
        <v>0</v>
      </c>
      <c r="S1295" s="1850">
        <f>ROUND(S1294-R1295,2)</f>
        <v>0</v>
      </c>
      <c r="T1295" s="1850">
        <f>ROUND(T1294-(N1295-Q1295),2)</f>
        <v>0</v>
      </c>
      <c r="U1295" s="1849"/>
      <c r="W1295" s="1848"/>
      <c r="X1295" s="1848"/>
      <c r="Y1295" s="1848"/>
    </row>
    <row r="1296" spans="2:25" hidden="1">
      <c r="B1296" s="1815" t="b">
        <f>AND(I1296=FALSE,N1295=0,Q1295=0,L1295="")</f>
        <v>1</v>
      </c>
      <c r="C1296" s="1844" t="str" cm="1">
        <f t="array" ref="C1296">_xlfn.IFS(
    L1296="", "",
    MONTH(L1296) &lt;= End_of_Year_Month, YEAR(L1296),
    TRUE, YEAR(L1296) + 1
)</f>
        <v/>
      </c>
      <c r="F1296" s="1857">
        <f>IF(L1296="",0,L1296)</f>
        <v>0</v>
      </c>
      <c r="G1296" s="1856">
        <f>-(N1296-Q1296)</f>
        <v>0</v>
      </c>
      <c r="I1296" s="1815" t="b">
        <f>K1296&lt;=Number_Payments</f>
        <v>0</v>
      </c>
      <c r="J1296" s="1855"/>
      <c r="K1296" s="1351">
        <f>K1295+1</f>
        <v>1170</v>
      </c>
      <c r="L1296" s="1854" t="str" cm="1">
        <f t="array" ref="L1296">_xlfn.IFS(
    I1295=FALSE, "",
    Payment_Frequency="Monthly", EDATE(L1295, 1),
    Payment_Frequency="Weekly", DATE(YEAR(L1295), MONTH(L1295), DAY(L1295) + 7),
    Payment_Frequency="Fortnightly", DATE(YEAR(L1295), MONTH(L1295), DAY(L1295) + 14),
    Payment_Frequency="Quarterly", DATE(YEAR(L1295), MONTH(L1295) + 3, DAY(L1295)),
    Payment_Frequency="Yearly", DATE(YEAR(L1295) + 1, MONTH(L1295), DAY(L1295)),
    TRUE, ""
)</f>
        <v/>
      </c>
      <c r="M1296" s="1853">
        <f>IF(ISERROR(L1296-L1295),0,L1296-L1295)</f>
        <v>0</v>
      </c>
      <c r="N1296" s="1851" cm="1">
        <f t="array" ref="N1296">_xlfn.IFS(
    AND(I1296=TRUE, K1296&lt;=No_Regular_Payments), Repay_Amt,
    AND(I1296=TRUE, K1296=No_Regular_Payments+1), Tm_Balloon_Amt,
   TRUE, 0
)</f>
        <v>0</v>
      </c>
      <c r="O1296" s="1850" cm="1">
        <f t="array" ref="O1296">_xlfn.IFS(
    M1296=0,0,
   ABS(N1296 - S1295 - P1296-Q1296) &lt; 1, N1296 - S1295-Q1296,
    TRUE, P1296
)</f>
        <v>0</v>
      </c>
      <c r="P1296" s="1852">
        <f>IF(M1296=0,0,ROUND(S1295*EXP(Int_Rate/365.25 * M1296)-S1295,2))</f>
        <v>0</v>
      </c>
      <c r="Q1296" s="1851" cm="1">
        <f t="array" ref="Q1296">_xlfn.IFS(
    AND(I1296=TRUE, K1296&lt;=No_Regular_Payments), Periodic_Admin_Charge,
   TRUE, 0
)</f>
        <v>0</v>
      </c>
      <c r="R1296" s="1850">
        <f>N1296-O1296-Q1296</f>
        <v>0</v>
      </c>
      <c r="S1296" s="1850">
        <f>ROUND(S1295-R1296,2)</f>
        <v>0</v>
      </c>
      <c r="T1296" s="1850">
        <f>ROUND(T1295-(N1296-Q1296),2)</f>
        <v>0</v>
      </c>
      <c r="U1296" s="1849"/>
      <c r="W1296" s="1848"/>
      <c r="X1296" s="1848"/>
      <c r="Y1296" s="1848"/>
    </row>
    <row r="1297" spans="2:25" hidden="1">
      <c r="B1297" s="1815" t="b">
        <f>AND(I1297=FALSE,N1296=0,Q1296=0,L1296="")</f>
        <v>1</v>
      </c>
      <c r="C1297" s="1844" t="str" cm="1">
        <f t="array" ref="C1297">_xlfn.IFS(
    L1297="", "",
    MONTH(L1297) &lt;= End_of_Year_Month, YEAR(L1297),
    TRUE, YEAR(L1297) + 1
)</f>
        <v/>
      </c>
      <c r="F1297" s="1857">
        <f>IF(L1297="",0,L1297)</f>
        <v>0</v>
      </c>
      <c r="G1297" s="1856">
        <f>-(N1297-Q1297)</f>
        <v>0</v>
      </c>
      <c r="I1297" s="1815" t="b">
        <f>K1297&lt;=Number_Payments</f>
        <v>0</v>
      </c>
      <c r="J1297" s="1855"/>
      <c r="K1297" s="1351">
        <f>K1296+1</f>
        <v>1171</v>
      </c>
      <c r="L1297" s="1854" t="str" cm="1">
        <f t="array" ref="L1297">_xlfn.IFS(
    I1296=FALSE, "",
    Payment_Frequency="Monthly", EDATE(L1296, 1),
    Payment_Frequency="Weekly", DATE(YEAR(L1296), MONTH(L1296), DAY(L1296) + 7),
    Payment_Frequency="Fortnightly", DATE(YEAR(L1296), MONTH(L1296), DAY(L1296) + 14),
    Payment_Frequency="Quarterly", DATE(YEAR(L1296), MONTH(L1296) + 3, DAY(L1296)),
    Payment_Frequency="Yearly", DATE(YEAR(L1296) + 1, MONTH(L1296), DAY(L1296)),
    TRUE, ""
)</f>
        <v/>
      </c>
      <c r="M1297" s="1853">
        <f>IF(ISERROR(L1297-L1296),0,L1297-L1296)</f>
        <v>0</v>
      </c>
      <c r="N1297" s="1851" cm="1">
        <f t="array" ref="N1297">_xlfn.IFS(
    AND(I1297=TRUE, K1297&lt;=No_Regular_Payments), Repay_Amt,
    AND(I1297=TRUE, K1297=No_Regular_Payments+1), Tm_Balloon_Amt,
   TRUE, 0
)</f>
        <v>0</v>
      </c>
      <c r="O1297" s="1850" cm="1">
        <f t="array" ref="O1297">_xlfn.IFS(
    M1297=0,0,
   ABS(N1297 - S1296 - P1297-Q1297) &lt; 1, N1297 - S1296-Q1297,
    TRUE, P1297
)</f>
        <v>0</v>
      </c>
      <c r="P1297" s="1852">
        <f>IF(M1297=0,0,ROUND(S1296*EXP(Int_Rate/365.25 * M1297)-S1296,2))</f>
        <v>0</v>
      </c>
      <c r="Q1297" s="1851" cm="1">
        <f t="array" ref="Q1297">_xlfn.IFS(
    AND(I1297=TRUE, K1297&lt;=No_Regular_Payments), Periodic_Admin_Charge,
   TRUE, 0
)</f>
        <v>0</v>
      </c>
      <c r="R1297" s="1850">
        <f>N1297-O1297-Q1297</f>
        <v>0</v>
      </c>
      <c r="S1297" s="1850">
        <f>ROUND(S1296-R1297,2)</f>
        <v>0</v>
      </c>
      <c r="T1297" s="1850">
        <f>ROUND(T1296-(N1297-Q1297),2)</f>
        <v>0</v>
      </c>
      <c r="U1297" s="1849"/>
      <c r="W1297" s="1848"/>
      <c r="X1297" s="1848"/>
      <c r="Y1297" s="1848"/>
    </row>
    <row r="1298" spans="2:25" hidden="1">
      <c r="B1298" s="1815" t="b">
        <f>AND(I1298=FALSE,N1297=0,Q1297=0,L1297="")</f>
        <v>1</v>
      </c>
      <c r="C1298" s="1844" t="str" cm="1">
        <f t="array" ref="C1298">_xlfn.IFS(
    L1298="", "",
    MONTH(L1298) &lt;= End_of_Year_Month, YEAR(L1298),
    TRUE, YEAR(L1298) + 1
)</f>
        <v/>
      </c>
      <c r="F1298" s="1857">
        <f>IF(L1298="",0,L1298)</f>
        <v>0</v>
      </c>
      <c r="G1298" s="1856">
        <f>-(N1298-Q1298)</f>
        <v>0</v>
      </c>
      <c r="I1298" s="1815" t="b">
        <f>K1298&lt;=Number_Payments</f>
        <v>0</v>
      </c>
      <c r="J1298" s="1855"/>
      <c r="K1298" s="1351">
        <f>K1297+1</f>
        <v>1172</v>
      </c>
      <c r="L1298" s="1854" t="str" cm="1">
        <f t="array" ref="L1298">_xlfn.IFS(
    I1297=FALSE, "",
    Payment_Frequency="Monthly", EDATE(L1297, 1),
    Payment_Frequency="Weekly", DATE(YEAR(L1297), MONTH(L1297), DAY(L1297) + 7),
    Payment_Frequency="Fortnightly", DATE(YEAR(L1297), MONTH(L1297), DAY(L1297) + 14),
    Payment_Frequency="Quarterly", DATE(YEAR(L1297), MONTH(L1297) + 3, DAY(L1297)),
    Payment_Frequency="Yearly", DATE(YEAR(L1297) + 1, MONTH(L1297), DAY(L1297)),
    TRUE, ""
)</f>
        <v/>
      </c>
      <c r="M1298" s="1853">
        <f>IF(ISERROR(L1298-L1297),0,L1298-L1297)</f>
        <v>0</v>
      </c>
      <c r="N1298" s="1851" cm="1">
        <f t="array" ref="N1298">_xlfn.IFS(
    AND(I1298=TRUE, K1298&lt;=No_Regular_Payments), Repay_Amt,
    AND(I1298=TRUE, K1298=No_Regular_Payments+1), Tm_Balloon_Amt,
   TRUE, 0
)</f>
        <v>0</v>
      </c>
      <c r="O1298" s="1850" cm="1">
        <f t="array" ref="O1298">_xlfn.IFS(
    M1298=0,0,
   ABS(N1298 - S1297 - P1298-Q1298) &lt; 1, N1298 - S1297-Q1298,
    TRUE, P1298
)</f>
        <v>0</v>
      </c>
      <c r="P1298" s="1852">
        <f>IF(M1298=0,0,ROUND(S1297*EXP(Int_Rate/365.25 * M1298)-S1297,2))</f>
        <v>0</v>
      </c>
      <c r="Q1298" s="1851" cm="1">
        <f t="array" ref="Q1298">_xlfn.IFS(
    AND(I1298=TRUE, K1298&lt;=No_Regular_Payments), Periodic_Admin_Charge,
   TRUE, 0
)</f>
        <v>0</v>
      </c>
      <c r="R1298" s="1850">
        <f>N1298-O1298-Q1298</f>
        <v>0</v>
      </c>
      <c r="S1298" s="1850">
        <f>ROUND(S1297-R1298,2)</f>
        <v>0</v>
      </c>
      <c r="T1298" s="1850">
        <f>ROUND(T1297-(N1298-Q1298),2)</f>
        <v>0</v>
      </c>
      <c r="U1298" s="1849"/>
      <c r="W1298" s="1848"/>
      <c r="X1298" s="1848"/>
      <c r="Y1298" s="1848"/>
    </row>
    <row r="1299" spans="2:25" hidden="1">
      <c r="B1299" s="1815" t="b">
        <f>AND(I1299=FALSE,N1298=0,Q1298=0,L1298="")</f>
        <v>1</v>
      </c>
      <c r="C1299" s="1844" t="str" cm="1">
        <f t="array" ref="C1299">_xlfn.IFS(
    L1299="", "",
    MONTH(L1299) &lt;= End_of_Year_Month, YEAR(L1299),
    TRUE, YEAR(L1299) + 1
)</f>
        <v/>
      </c>
      <c r="F1299" s="1857">
        <f>IF(L1299="",0,L1299)</f>
        <v>0</v>
      </c>
      <c r="G1299" s="1856">
        <f>-(N1299-Q1299)</f>
        <v>0</v>
      </c>
      <c r="I1299" s="1815" t="b">
        <f>K1299&lt;=Number_Payments</f>
        <v>0</v>
      </c>
      <c r="J1299" s="1855"/>
      <c r="K1299" s="1351">
        <f>K1298+1</f>
        <v>1173</v>
      </c>
      <c r="L1299" s="1854" t="str" cm="1">
        <f t="array" ref="L1299">_xlfn.IFS(
    I1298=FALSE, "",
    Payment_Frequency="Monthly", EDATE(L1298, 1),
    Payment_Frequency="Weekly", DATE(YEAR(L1298), MONTH(L1298), DAY(L1298) + 7),
    Payment_Frequency="Fortnightly", DATE(YEAR(L1298), MONTH(L1298), DAY(L1298) + 14),
    Payment_Frequency="Quarterly", DATE(YEAR(L1298), MONTH(L1298) + 3, DAY(L1298)),
    Payment_Frequency="Yearly", DATE(YEAR(L1298) + 1, MONTH(L1298), DAY(L1298)),
    TRUE, ""
)</f>
        <v/>
      </c>
      <c r="M1299" s="1853">
        <f>IF(ISERROR(L1299-L1298),0,L1299-L1298)</f>
        <v>0</v>
      </c>
      <c r="N1299" s="1851" cm="1">
        <f t="array" ref="N1299">_xlfn.IFS(
    AND(I1299=TRUE, K1299&lt;=No_Regular_Payments), Repay_Amt,
    AND(I1299=TRUE, K1299=No_Regular_Payments+1), Tm_Balloon_Amt,
   TRUE, 0
)</f>
        <v>0</v>
      </c>
      <c r="O1299" s="1850" cm="1">
        <f t="array" ref="O1299">_xlfn.IFS(
    M1299=0,0,
   ABS(N1299 - S1298 - P1299-Q1299) &lt; 1, N1299 - S1298-Q1299,
    TRUE, P1299
)</f>
        <v>0</v>
      </c>
      <c r="P1299" s="1852">
        <f>IF(M1299=0,0,ROUND(S1298*EXP(Int_Rate/365.25 * M1299)-S1298,2))</f>
        <v>0</v>
      </c>
      <c r="Q1299" s="1851" cm="1">
        <f t="array" ref="Q1299">_xlfn.IFS(
    AND(I1299=TRUE, K1299&lt;=No_Regular_Payments), Periodic_Admin_Charge,
   TRUE, 0
)</f>
        <v>0</v>
      </c>
      <c r="R1299" s="1850">
        <f>N1299-O1299-Q1299</f>
        <v>0</v>
      </c>
      <c r="S1299" s="1850">
        <f>ROUND(S1298-R1299,2)</f>
        <v>0</v>
      </c>
      <c r="T1299" s="1850">
        <f>ROUND(T1298-(N1299-Q1299),2)</f>
        <v>0</v>
      </c>
      <c r="U1299" s="1849"/>
      <c r="W1299" s="1848"/>
      <c r="X1299" s="1848"/>
      <c r="Y1299" s="1848"/>
    </row>
    <row r="1300" spans="2:25" hidden="1">
      <c r="B1300" s="1815" t="b">
        <f>AND(I1300=FALSE,N1299=0,Q1299=0,L1299="")</f>
        <v>1</v>
      </c>
      <c r="C1300" s="1844" t="str" cm="1">
        <f t="array" ref="C1300">_xlfn.IFS(
    L1300="", "",
    MONTH(L1300) &lt;= End_of_Year_Month, YEAR(L1300),
    TRUE, YEAR(L1300) + 1
)</f>
        <v/>
      </c>
      <c r="F1300" s="1857">
        <f>IF(L1300="",0,L1300)</f>
        <v>0</v>
      </c>
      <c r="G1300" s="1856">
        <f>-(N1300-Q1300)</f>
        <v>0</v>
      </c>
      <c r="I1300" s="1815" t="b">
        <f>K1300&lt;=Number_Payments</f>
        <v>0</v>
      </c>
      <c r="J1300" s="1855"/>
      <c r="K1300" s="1351">
        <f>K1299+1</f>
        <v>1174</v>
      </c>
      <c r="L1300" s="1854" t="str" cm="1">
        <f t="array" ref="L1300">_xlfn.IFS(
    I1299=FALSE, "",
    Payment_Frequency="Monthly", EDATE(L1299, 1),
    Payment_Frequency="Weekly", DATE(YEAR(L1299), MONTH(L1299), DAY(L1299) + 7),
    Payment_Frequency="Fortnightly", DATE(YEAR(L1299), MONTH(L1299), DAY(L1299) + 14),
    Payment_Frequency="Quarterly", DATE(YEAR(L1299), MONTH(L1299) + 3, DAY(L1299)),
    Payment_Frequency="Yearly", DATE(YEAR(L1299) + 1, MONTH(L1299), DAY(L1299)),
    TRUE, ""
)</f>
        <v/>
      </c>
      <c r="M1300" s="1853">
        <f>IF(ISERROR(L1300-L1299),0,L1300-L1299)</f>
        <v>0</v>
      </c>
      <c r="N1300" s="1851" cm="1">
        <f t="array" ref="N1300">_xlfn.IFS(
    AND(I1300=TRUE, K1300&lt;=No_Regular_Payments), Repay_Amt,
    AND(I1300=TRUE, K1300=No_Regular_Payments+1), Tm_Balloon_Amt,
   TRUE, 0
)</f>
        <v>0</v>
      </c>
      <c r="O1300" s="1850" cm="1">
        <f t="array" ref="O1300">_xlfn.IFS(
    M1300=0,0,
   ABS(N1300 - S1299 - P1300-Q1300) &lt; 1, N1300 - S1299-Q1300,
    TRUE, P1300
)</f>
        <v>0</v>
      </c>
      <c r="P1300" s="1852">
        <f>IF(M1300=0,0,ROUND(S1299*EXP(Int_Rate/365.25 * M1300)-S1299,2))</f>
        <v>0</v>
      </c>
      <c r="Q1300" s="1851" cm="1">
        <f t="array" ref="Q1300">_xlfn.IFS(
    AND(I1300=TRUE, K1300&lt;=No_Regular_Payments), Periodic_Admin_Charge,
   TRUE, 0
)</f>
        <v>0</v>
      </c>
      <c r="R1300" s="1850">
        <f>N1300-O1300-Q1300</f>
        <v>0</v>
      </c>
      <c r="S1300" s="1850">
        <f>ROUND(S1299-R1300,2)</f>
        <v>0</v>
      </c>
      <c r="T1300" s="1850">
        <f>ROUND(T1299-(N1300-Q1300),2)</f>
        <v>0</v>
      </c>
      <c r="U1300" s="1849"/>
      <c r="W1300" s="1848"/>
      <c r="X1300" s="1848"/>
      <c r="Y1300" s="1848"/>
    </row>
    <row r="1301" spans="2:25" hidden="1">
      <c r="B1301" s="1815" t="b">
        <f>AND(I1301=FALSE,N1300=0,Q1300=0,L1300="")</f>
        <v>1</v>
      </c>
      <c r="C1301" s="1844" t="str" cm="1">
        <f t="array" ref="C1301">_xlfn.IFS(
    L1301="", "",
    MONTH(L1301) &lt;= End_of_Year_Month, YEAR(L1301),
    TRUE, YEAR(L1301) + 1
)</f>
        <v/>
      </c>
      <c r="F1301" s="1857">
        <f>IF(L1301="",0,L1301)</f>
        <v>0</v>
      </c>
      <c r="G1301" s="1856">
        <f>-(N1301-Q1301)</f>
        <v>0</v>
      </c>
      <c r="I1301" s="1815" t="b">
        <f>K1301&lt;=Number_Payments</f>
        <v>0</v>
      </c>
      <c r="J1301" s="1855"/>
      <c r="K1301" s="1351">
        <f>K1300+1</f>
        <v>1175</v>
      </c>
      <c r="L1301" s="1854" t="str" cm="1">
        <f t="array" ref="L1301">_xlfn.IFS(
    I1300=FALSE, "",
    Payment_Frequency="Monthly", EDATE(L1300, 1),
    Payment_Frequency="Weekly", DATE(YEAR(L1300), MONTH(L1300), DAY(L1300) + 7),
    Payment_Frequency="Fortnightly", DATE(YEAR(L1300), MONTH(L1300), DAY(L1300) + 14),
    Payment_Frequency="Quarterly", DATE(YEAR(L1300), MONTH(L1300) + 3, DAY(L1300)),
    Payment_Frequency="Yearly", DATE(YEAR(L1300) + 1, MONTH(L1300), DAY(L1300)),
    TRUE, ""
)</f>
        <v/>
      </c>
      <c r="M1301" s="1853">
        <f>IF(ISERROR(L1301-L1300),0,L1301-L1300)</f>
        <v>0</v>
      </c>
      <c r="N1301" s="1851" cm="1">
        <f t="array" ref="N1301">_xlfn.IFS(
    AND(I1301=TRUE, K1301&lt;=No_Regular_Payments), Repay_Amt,
    AND(I1301=TRUE, K1301=No_Regular_Payments+1), Tm_Balloon_Amt,
   TRUE, 0
)</f>
        <v>0</v>
      </c>
      <c r="O1301" s="1850" cm="1">
        <f t="array" ref="O1301">_xlfn.IFS(
    M1301=0,0,
   ABS(N1301 - S1300 - P1301-Q1301) &lt; 1, N1301 - S1300-Q1301,
    TRUE, P1301
)</f>
        <v>0</v>
      </c>
      <c r="P1301" s="1852">
        <f>IF(M1301=0,0,ROUND(S1300*EXP(Int_Rate/365.25 * M1301)-S1300,2))</f>
        <v>0</v>
      </c>
      <c r="Q1301" s="1851" cm="1">
        <f t="array" ref="Q1301">_xlfn.IFS(
    AND(I1301=TRUE, K1301&lt;=No_Regular_Payments), Periodic_Admin_Charge,
   TRUE, 0
)</f>
        <v>0</v>
      </c>
      <c r="R1301" s="1850">
        <f>N1301-O1301-Q1301</f>
        <v>0</v>
      </c>
      <c r="S1301" s="1850">
        <f>ROUND(S1300-R1301,2)</f>
        <v>0</v>
      </c>
      <c r="T1301" s="1850">
        <f>ROUND(T1300-(N1301-Q1301),2)</f>
        <v>0</v>
      </c>
      <c r="U1301" s="1849"/>
      <c r="W1301" s="1848"/>
      <c r="X1301" s="1848"/>
      <c r="Y1301" s="1848"/>
    </row>
    <row r="1302" spans="2:25" hidden="1">
      <c r="B1302" s="1815" t="b">
        <f>AND(I1302=FALSE,N1301=0,Q1301=0,L1301="")</f>
        <v>1</v>
      </c>
      <c r="C1302" s="1844" t="str" cm="1">
        <f t="array" ref="C1302">_xlfn.IFS(
    L1302="", "",
    MONTH(L1302) &lt;= End_of_Year_Month, YEAR(L1302),
    TRUE, YEAR(L1302) + 1
)</f>
        <v/>
      </c>
      <c r="F1302" s="1857">
        <f>IF(L1302="",0,L1302)</f>
        <v>0</v>
      </c>
      <c r="G1302" s="1856">
        <f>-(N1302-Q1302)</f>
        <v>0</v>
      </c>
      <c r="I1302" s="1815" t="b">
        <f>K1302&lt;=Number_Payments</f>
        <v>0</v>
      </c>
      <c r="J1302" s="1855"/>
      <c r="K1302" s="1351">
        <f>K1301+1</f>
        <v>1176</v>
      </c>
      <c r="L1302" s="1854" t="str" cm="1">
        <f t="array" ref="L1302">_xlfn.IFS(
    I1301=FALSE, "",
    Payment_Frequency="Monthly", EDATE(L1301, 1),
    Payment_Frequency="Weekly", DATE(YEAR(L1301), MONTH(L1301), DAY(L1301) + 7),
    Payment_Frequency="Fortnightly", DATE(YEAR(L1301), MONTH(L1301), DAY(L1301) + 14),
    Payment_Frequency="Quarterly", DATE(YEAR(L1301), MONTH(L1301) + 3, DAY(L1301)),
    Payment_Frequency="Yearly", DATE(YEAR(L1301) + 1, MONTH(L1301), DAY(L1301)),
    TRUE, ""
)</f>
        <v/>
      </c>
      <c r="M1302" s="1853">
        <f>IF(ISERROR(L1302-L1301),0,L1302-L1301)</f>
        <v>0</v>
      </c>
      <c r="N1302" s="1851" cm="1">
        <f t="array" ref="N1302">_xlfn.IFS(
    AND(I1302=TRUE, K1302&lt;=No_Regular_Payments), Repay_Amt,
    AND(I1302=TRUE, K1302=No_Regular_Payments+1), Tm_Balloon_Amt,
   TRUE, 0
)</f>
        <v>0</v>
      </c>
      <c r="O1302" s="1850" cm="1">
        <f t="array" ref="O1302">_xlfn.IFS(
    M1302=0,0,
   ABS(N1302 - S1301 - P1302-Q1302) &lt; 1, N1302 - S1301-Q1302,
    TRUE, P1302
)</f>
        <v>0</v>
      </c>
      <c r="P1302" s="1852">
        <f>IF(M1302=0,0,ROUND(S1301*EXP(Int_Rate/365.25 * M1302)-S1301,2))</f>
        <v>0</v>
      </c>
      <c r="Q1302" s="1851" cm="1">
        <f t="array" ref="Q1302">_xlfn.IFS(
    AND(I1302=TRUE, K1302&lt;=No_Regular_Payments), Periodic_Admin_Charge,
   TRUE, 0
)</f>
        <v>0</v>
      </c>
      <c r="R1302" s="1850">
        <f>N1302-O1302-Q1302</f>
        <v>0</v>
      </c>
      <c r="S1302" s="1850">
        <f>ROUND(S1301-R1302,2)</f>
        <v>0</v>
      </c>
      <c r="T1302" s="1850">
        <f>ROUND(T1301-(N1302-Q1302),2)</f>
        <v>0</v>
      </c>
      <c r="U1302" s="1849"/>
      <c r="W1302" s="1848"/>
      <c r="X1302" s="1848"/>
      <c r="Y1302" s="1848"/>
    </row>
    <row r="1303" spans="2:25" hidden="1">
      <c r="B1303" s="1815" t="b">
        <f>AND(I1303=FALSE,N1302=0,Q1302=0,L1302="")</f>
        <v>1</v>
      </c>
      <c r="C1303" s="1844" t="str" cm="1">
        <f t="array" ref="C1303">_xlfn.IFS(
    L1303="", "",
    MONTH(L1303) &lt;= End_of_Year_Month, YEAR(L1303),
    TRUE, YEAR(L1303) + 1
)</f>
        <v/>
      </c>
      <c r="F1303" s="1857">
        <f>IF(L1303="",0,L1303)</f>
        <v>0</v>
      </c>
      <c r="G1303" s="1856">
        <f>-(N1303-Q1303)</f>
        <v>0</v>
      </c>
      <c r="I1303" s="1815" t="b">
        <f>K1303&lt;=Number_Payments</f>
        <v>0</v>
      </c>
      <c r="J1303" s="1855"/>
      <c r="K1303" s="1351">
        <f>K1302+1</f>
        <v>1177</v>
      </c>
      <c r="L1303" s="1854" t="str" cm="1">
        <f t="array" ref="L1303">_xlfn.IFS(
    I1302=FALSE, "",
    Payment_Frequency="Monthly", EDATE(L1302, 1),
    Payment_Frequency="Weekly", DATE(YEAR(L1302), MONTH(L1302), DAY(L1302) + 7),
    Payment_Frequency="Fortnightly", DATE(YEAR(L1302), MONTH(L1302), DAY(L1302) + 14),
    Payment_Frequency="Quarterly", DATE(YEAR(L1302), MONTH(L1302) + 3, DAY(L1302)),
    Payment_Frequency="Yearly", DATE(YEAR(L1302) + 1, MONTH(L1302), DAY(L1302)),
    TRUE, ""
)</f>
        <v/>
      </c>
      <c r="M1303" s="1853">
        <f>IF(ISERROR(L1303-L1302),0,L1303-L1302)</f>
        <v>0</v>
      </c>
      <c r="N1303" s="1851" cm="1">
        <f t="array" ref="N1303">_xlfn.IFS(
    AND(I1303=TRUE, K1303&lt;=No_Regular_Payments), Repay_Amt,
    AND(I1303=TRUE, K1303=No_Regular_Payments+1), Tm_Balloon_Amt,
   TRUE, 0
)</f>
        <v>0</v>
      </c>
      <c r="O1303" s="1850" cm="1">
        <f t="array" ref="O1303">_xlfn.IFS(
    M1303=0,0,
   ABS(N1303 - S1302 - P1303-Q1303) &lt; 1, N1303 - S1302-Q1303,
    TRUE, P1303
)</f>
        <v>0</v>
      </c>
      <c r="P1303" s="1852">
        <f>IF(M1303=0,0,ROUND(S1302*EXP(Int_Rate/365.25 * M1303)-S1302,2))</f>
        <v>0</v>
      </c>
      <c r="Q1303" s="1851" cm="1">
        <f t="array" ref="Q1303">_xlfn.IFS(
    AND(I1303=TRUE, K1303&lt;=No_Regular_Payments), Periodic_Admin_Charge,
   TRUE, 0
)</f>
        <v>0</v>
      </c>
      <c r="R1303" s="1850">
        <f>N1303-O1303-Q1303</f>
        <v>0</v>
      </c>
      <c r="S1303" s="1850">
        <f>ROUND(S1302-R1303,2)</f>
        <v>0</v>
      </c>
      <c r="T1303" s="1850">
        <f>ROUND(T1302-(N1303-Q1303),2)</f>
        <v>0</v>
      </c>
      <c r="U1303" s="1849"/>
      <c r="W1303" s="1848"/>
      <c r="X1303" s="1848"/>
      <c r="Y1303" s="1848"/>
    </row>
    <row r="1304" spans="2:25" hidden="1">
      <c r="B1304" s="1815" t="b">
        <f>AND(I1304=FALSE,N1303=0,Q1303=0,L1303="")</f>
        <v>1</v>
      </c>
      <c r="C1304" s="1844" t="str" cm="1">
        <f t="array" ref="C1304">_xlfn.IFS(
    L1304="", "",
    MONTH(L1304) &lt;= End_of_Year_Month, YEAR(L1304),
    TRUE, YEAR(L1304) + 1
)</f>
        <v/>
      </c>
      <c r="F1304" s="1857">
        <f>IF(L1304="",0,L1304)</f>
        <v>0</v>
      </c>
      <c r="G1304" s="1856">
        <f>-(N1304-Q1304)</f>
        <v>0</v>
      </c>
      <c r="I1304" s="1815" t="b">
        <f>K1304&lt;=Number_Payments</f>
        <v>0</v>
      </c>
      <c r="J1304" s="1855"/>
      <c r="K1304" s="1351">
        <f>K1303+1</f>
        <v>1178</v>
      </c>
      <c r="L1304" s="1854" t="str" cm="1">
        <f t="array" ref="L1304">_xlfn.IFS(
    I1303=FALSE, "",
    Payment_Frequency="Monthly", EDATE(L1303, 1),
    Payment_Frequency="Weekly", DATE(YEAR(L1303), MONTH(L1303), DAY(L1303) + 7),
    Payment_Frequency="Fortnightly", DATE(YEAR(L1303), MONTH(L1303), DAY(L1303) + 14),
    Payment_Frequency="Quarterly", DATE(YEAR(L1303), MONTH(L1303) + 3, DAY(L1303)),
    Payment_Frequency="Yearly", DATE(YEAR(L1303) + 1, MONTH(L1303), DAY(L1303)),
    TRUE, ""
)</f>
        <v/>
      </c>
      <c r="M1304" s="1853">
        <f>IF(ISERROR(L1304-L1303),0,L1304-L1303)</f>
        <v>0</v>
      </c>
      <c r="N1304" s="1851" cm="1">
        <f t="array" ref="N1304">_xlfn.IFS(
    AND(I1304=TRUE, K1304&lt;=No_Regular_Payments), Repay_Amt,
    AND(I1304=TRUE, K1304=No_Regular_Payments+1), Tm_Balloon_Amt,
   TRUE, 0
)</f>
        <v>0</v>
      </c>
      <c r="O1304" s="1850" cm="1">
        <f t="array" ref="O1304">_xlfn.IFS(
    M1304=0,0,
   ABS(N1304 - S1303 - P1304-Q1304) &lt; 1, N1304 - S1303-Q1304,
    TRUE, P1304
)</f>
        <v>0</v>
      </c>
      <c r="P1304" s="1852">
        <f>IF(M1304=0,0,ROUND(S1303*EXP(Int_Rate/365.25 * M1304)-S1303,2))</f>
        <v>0</v>
      </c>
      <c r="Q1304" s="1851" cm="1">
        <f t="array" ref="Q1304">_xlfn.IFS(
    AND(I1304=TRUE, K1304&lt;=No_Regular_Payments), Periodic_Admin_Charge,
   TRUE, 0
)</f>
        <v>0</v>
      </c>
      <c r="R1304" s="1850">
        <f>N1304-O1304-Q1304</f>
        <v>0</v>
      </c>
      <c r="S1304" s="1850">
        <f>ROUND(S1303-R1304,2)</f>
        <v>0</v>
      </c>
      <c r="T1304" s="1850">
        <f>ROUND(T1303-(N1304-Q1304),2)</f>
        <v>0</v>
      </c>
      <c r="U1304" s="1849"/>
      <c r="W1304" s="1848"/>
      <c r="X1304" s="1848"/>
      <c r="Y1304" s="1848"/>
    </row>
    <row r="1305" spans="2:25" hidden="1">
      <c r="B1305" s="1815" t="b">
        <f>AND(I1305=FALSE,N1304=0,Q1304=0,L1304="")</f>
        <v>1</v>
      </c>
      <c r="C1305" s="1844" t="str" cm="1">
        <f t="array" ref="C1305">_xlfn.IFS(
    L1305="", "",
    MONTH(L1305) &lt;= End_of_Year_Month, YEAR(L1305),
    TRUE, YEAR(L1305) + 1
)</f>
        <v/>
      </c>
      <c r="F1305" s="1857">
        <f>IF(L1305="",0,L1305)</f>
        <v>0</v>
      </c>
      <c r="G1305" s="1856">
        <f>-(N1305-Q1305)</f>
        <v>0</v>
      </c>
      <c r="I1305" s="1815" t="b">
        <f>K1305&lt;=Number_Payments</f>
        <v>0</v>
      </c>
      <c r="J1305" s="1855"/>
      <c r="K1305" s="1351">
        <f>K1304+1</f>
        <v>1179</v>
      </c>
      <c r="L1305" s="1854" t="str" cm="1">
        <f t="array" ref="L1305">_xlfn.IFS(
    I1304=FALSE, "",
    Payment_Frequency="Monthly", EDATE(L1304, 1),
    Payment_Frequency="Weekly", DATE(YEAR(L1304), MONTH(L1304), DAY(L1304) + 7),
    Payment_Frequency="Fortnightly", DATE(YEAR(L1304), MONTH(L1304), DAY(L1304) + 14),
    Payment_Frequency="Quarterly", DATE(YEAR(L1304), MONTH(L1304) + 3, DAY(L1304)),
    Payment_Frequency="Yearly", DATE(YEAR(L1304) + 1, MONTH(L1304), DAY(L1304)),
    TRUE, ""
)</f>
        <v/>
      </c>
      <c r="M1305" s="1853">
        <f>IF(ISERROR(L1305-L1304),0,L1305-L1304)</f>
        <v>0</v>
      </c>
      <c r="N1305" s="1851" cm="1">
        <f t="array" ref="N1305">_xlfn.IFS(
    AND(I1305=TRUE, K1305&lt;=No_Regular_Payments), Repay_Amt,
    AND(I1305=TRUE, K1305=No_Regular_Payments+1), Tm_Balloon_Amt,
   TRUE, 0
)</f>
        <v>0</v>
      </c>
      <c r="O1305" s="1850" cm="1">
        <f t="array" ref="O1305">_xlfn.IFS(
    M1305=0,0,
   ABS(N1305 - S1304 - P1305-Q1305) &lt; 1, N1305 - S1304-Q1305,
    TRUE, P1305
)</f>
        <v>0</v>
      </c>
      <c r="P1305" s="1852">
        <f>IF(M1305=0,0,ROUND(S1304*EXP(Int_Rate/365.25 * M1305)-S1304,2))</f>
        <v>0</v>
      </c>
      <c r="Q1305" s="1851" cm="1">
        <f t="array" ref="Q1305">_xlfn.IFS(
    AND(I1305=TRUE, K1305&lt;=No_Regular_Payments), Periodic_Admin_Charge,
   TRUE, 0
)</f>
        <v>0</v>
      </c>
      <c r="R1305" s="1850">
        <f>N1305-O1305-Q1305</f>
        <v>0</v>
      </c>
      <c r="S1305" s="1850">
        <f>ROUND(S1304-R1305,2)</f>
        <v>0</v>
      </c>
      <c r="T1305" s="1850">
        <f>ROUND(T1304-(N1305-Q1305),2)</f>
        <v>0</v>
      </c>
      <c r="U1305" s="1849"/>
      <c r="W1305" s="1848"/>
      <c r="X1305" s="1848"/>
      <c r="Y1305" s="1848"/>
    </row>
    <row r="1306" spans="2:25" hidden="1">
      <c r="B1306" s="1815" t="b">
        <f>AND(I1306=FALSE,N1305=0,Q1305=0,L1305="")</f>
        <v>1</v>
      </c>
      <c r="C1306" s="1844" t="str" cm="1">
        <f t="array" ref="C1306">_xlfn.IFS(
    L1306="", "",
    MONTH(L1306) &lt;= End_of_Year_Month, YEAR(L1306),
    TRUE, YEAR(L1306) + 1
)</f>
        <v/>
      </c>
      <c r="F1306" s="1857">
        <f>IF(L1306="",0,L1306)</f>
        <v>0</v>
      </c>
      <c r="G1306" s="1856">
        <f>-(N1306-Q1306)</f>
        <v>0</v>
      </c>
      <c r="I1306" s="1815" t="b">
        <f>K1306&lt;=Number_Payments</f>
        <v>0</v>
      </c>
      <c r="J1306" s="1855"/>
      <c r="K1306" s="1351">
        <f>K1305+1</f>
        <v>1180</v>
      </c>
      <c r="L1306" s="1854" t="str" cm="1">
        <f t="array" ref="L1306">_xlfn.IFS(
    I1305=FALSE, "",
    Payment_Frequency="Monthly", EDATE(L1305, 1),
    Payment_Frequency="Weekly", DATE(YEAR(L1305), MONTH(L1305), DAY(L1305) + 7),
    Payment_Frequency="Fortnightly", DATE(YEAR(L1305), MONTH(L1305), DAY(L1305) + 14),
    Payment_Frequency="Quarterly", DATE(YEAR(L1305), MONTH(L1305) + 3, DAY(L1305)),
    Payment_Frequency="Yearly", DATE(YEAR(L1305) + 1, MONTH(L1305), DAY(L1305)),
    TRUE, ""
)</f>
        <v/>
      </c>
      <c r="M1306" s="1853">
        <f>IF(ISERROR(L1306-L1305),0,L1306-L1305)</f>
        <v>0</v>
      </c>
      <c r="N1306" s="1851" cm="1">
        <f t="array" ref="N1306">_xlfn.IFS(
    AND(I1306=TRUE, K1306&lt;=No_Regular_Payments), Repay_Amt,
    AND(I1306=TRUE, K1306=No_Regular_Payments+1), Tm_Balloon_Amt,
   TRUE, 0
)</f>
        <v>0</v>
      </c>
      <c r="O1306" s="1850" cm="1">
        <f t="array" ref="O1306">_xlfn.IFS(
    M1306=0,0,
   ABS(N1306 - S1305 - P1306-Q1306) &lt; 1, N1306 - S1305-Q1306,
    TRUE, P1306
)</f>
        <v>0</v>
      </c>
      <c r="P1306" s="1852">
        <f>IF(M1306=0,0,ROUND(S1305*EXP(Int_Rate/365.25 * M1306)-S1305,2))</f>
        <v>0</v>
      </c>
      <c r="Q1306" s="1851" cm="1">
        <f t="array" ref="Q1306">_xlfn.IFS(
    AND(I1306=TRUE, K1306&lt;=No_Regular_Payments), Periodic_Admin_Charge,
   TRUE, 0
)</f>
        <v>0</v>
      </c>
      <c r="R1306" s="1850">
        <f>N1306-O1306-Q1306</f>
        <v>0</v>
      </c>
      <c r="S1306" s="1850">
        <f>ROUND(S1305-R1306,2)</f>
        <v>0</v>
      </c>
      <c r="T1306" s="1850">
        <f>ROUND(T1305-(N1306-Q1306),2)</f>
        <v>0</v>
      </c>
      <c r="U1306" s="1849"/>
      <c r="W1306" s="1848"/>
      <c r="X1306" s="1848"/>
      <c r="Y1306" s="1848"/>
    </row>
    <row r="1307" spans="2:25" hidden="1">
      <c r="B1307" s="1815" t="b">
        <f>AND(I1307=FALSE,N1306=0,Q1306=0,L1306="")</f>
        <v>1</v>
      </c>
      <c r="C1307" s="1844" t="str" cm="1">
        <f t="array" ref="C1307">_xlfn.IFS(
    L1307="", "",
    MONTH(L1307) &lt;= End_of_Year_Month, YEAR(L1307),
    TRUE, YEAR(L1307) + 1
)</f>
        <v/>
      </c>
      <c r="F1307" s="1857">
        <f>IF(L1307="",0,L1307)</f>
        <v>0</v>
      </c>
      <c r="G1307" s="1856">
        <f>-(N1307-Q1307)</f>
        <v>0</v>
      </c>
      <c r="I1307" s="1815" t="b">
        <f>K1307&lt;=Number_Payments</f>
        <v>0</v>
      </c>
      <c r="J1307" s="1855"/>
      <c r="K1307" s="1351">
        <f>K1306+1</f>
        <v>1181</v>
      </c>
      <c r="L1307" s="1854" t="str" cm="1">
        <f t="array" ref="L1307">_xlfn.IFS(
    I1306=FALSE, "",
    Payment_Frequency="Monthly", EDATE(L1306, 1),
    Payment_Frequency="Weekly", DATE(YEAR(L1306), MONTH(L1306), DAY(L1306) + 7),
    Payment_Frequency="Fortnightly", DATE(YEAR(L1306), MONTH(L1306), DAY(L1306) + 14),
    Payment_Frequency="Quarterly", DATE(YEAR(L1306), MONTH(L1306) + 3, DAY(L1306)),
    Payment_Frequency="Yearly", DATE(YEAR(L1306) + 1, MONTH(L1306), DAY(L1306)),
    TRUE, ""
)</f>
        <v/>
      </c>
      <c r="M1307" s="1853">
        <f>IF(ISERROR(L1307-L1306),0,L1307-L1306)</f>
        <v>0</v>
      </c>
      <c r="N1307" s="1851" cm="1">
        <f t="array" ref="N1307">_xlfn.IFS(
    AND(I1307=TRUE, K1307&lt;=No_Regular_Payments), Repay_Amt,
    AND(I1307=TRUE, K1307=No_Regular_Payments+1), Tm_Balloon_Amt,
   TRUE, 0
)</f>
        <v>0</v>
      </c>
      <c r="O1307" s="1850" cm="1">
        <f t="array" ref="O1307">_xlfn.IFS(
    M1307=0,0,
   ABS(N1307 - S1306 - P1307-Q1307) &lt; 1, N1307 - S1306-Q1307,
    TRUE, P1307
)</f>
        <v>0</v>
      </c>
      <c r="P1307" s="1852">
        <f>IF(M1307=0,0,ROUND(S1306*EXP(Int_Rate/365.25 * M1307)-S1306,2))</f>
        <v>0</v>
      </c>
      <c r="Q1307" s="1851" cm="1">
        <f t="array" ref="Q1307">_xlfn.IFS(
    AND(I1307=TRUE, K1307&lt;=No_Regular_Payments), Periodic_Admin_Charge,
   TRUE, 0
)</f>
        <v>0</v>
      </c>
      <c r="R1307" s="1850">
        <f>N1307-O1307-Q1307</f>
        <v>0</v>
      </c>
      <c r="S1307" s="1850">
        <f>ROUND(S1306-R1307,2)</f>
        <v>0</v>
      </c>
      <c r="T1307" s="1850">
        <f>ROUND(T1306-(N1307-Q1307),2)</f>
        <v>0</v>
      </c>
      <c r="U1307" s="1849"/>
      <c r="W1307" s="1848"/>
      <c r="X1307" s="1848"/>
      <c r="Y1307" s="1848"/>
    </row>
    <row r="1308" spans="2:25" hidden="1">
      <c r="B1308" s="1815" t="b">
        <f>AND(I1308=FALSE,N1307=0,Q1307=0,L1307="")</f>
        <v>1</v>
      </c>
      <c r="C1308" s="1844" t="str" cm="1">
        <f t="array" ref="C1308">_xlfn.IFS(
    L1308="", "",
    MONTH(L1308) &lt;= End_of_Year_Month, YEAR(L1308),
    TRUE, YEAR(L1308) + 1
)</f>
        <v/>
      </c>
      <c r="F1308" s="1857">
        <f>IF(L1308="",0,L1308)</f>
        <v>0</v>
      </c>
      <c r="G1308" s="1856">
        <f>-(N1308-Q1308)</f>
        <v>0</v>
      </c>
      <c r="I1308" s="1815" t="b">
        <f>K1308&lt;=Number_Payments</f>
        <v>0</v>
      </c>
      <c r="J1308" s="1855"/>
      <c r="K1308" s="1351">
        <f>K1307+1</f>
        <v>1182</v>
      </c>
      <c r="L1308" s="1854" t="str" cm="1">
        <f t="array" ref="L1308">_xlfn.IFS(
    I1307=FALSE, "",
    Payment_Frequency="Monthly", EDATE(L1307, 1),
    Payment_Frequency="Weekly", DATE(YEAR(L1307), MONTH(L1307), DAY(L1307) + 7),
    Payment_Frequency="Fortnightly", DATE(YEAR(L1307), MONTH(L1307), DAY(L1307) + 14),
    Payment_Frequency="Quarterly", DATE(YEAR(L1307), MONTH(L1307) + 3, DAY(L1307)),
    Payment_Frequency="Yearly", DATE(YEAR(L1307) + 1, MONTH(L1307), DAY(L1307)),
    TRUE, ""
)</f>
        <v/>
      </c>
      <c r="M1308" s="1853">
        <f>IF(ISERROR(L1308-L1307),0,L1308-L1307)</f>
        <v>0</v>
      </c>
      <c r="N1308" s="1851" cm="1">
        <f t="array" ref="N1308">_xlfn.IFS(
    AND(I1308=TRUE, K1308&lt;=No_Regular_Payments), Repay_Amt,
    AND(I1308=TRUE, K1308=No_Regular_Payments+1), Tm_Balloon_Amt,
   TRUE, 0
)</f>
        <v>0</v>
      </c>
      <c r="O1308" s="1850" cm="1">
        <f t="array" ref="O1308">_xlfn.IFS(
    M1308=0,0,
   ABS(N1308 - S1307 - P1308-Q1308) &lt; 1, N1308 - S1307-Q1308,
    TRUE, P1308
)</f>
        <v>0</v>
      </c>
      <c r="P1308" s="1852">
        <f>IF(M1308=0,0,ROUND(S1307*EXP(Int_Rate/365.25 * M1308)-S1307,2))</f>
        <v>0</v>
      </c>
      <c r="Q1308" s="1851" cm="1">
        <f t="array" ref="Q1308">_xlfn.IFS(
    AND(I1308=TRUE, K1308&lt;=No_Regular_Payments), Periodic_Admin_Charge,
   TRUE, 0
)</f>
        <v>0</v>
      </c>
      <c r="R1308" s="1850">
        <f>N1308-O1308-Q1308</f>
        <v>0</v>
      </c>
      <c r="S1308" s="1850">
        <f>ROUND(S1307-R1308,2)</f>
        <v>0</v>
      </c>
      <c r="T1308" s="1850">
        <f>ROUND(T1307-(N1308-Q1308),2)</f>
        <v>0</v>
      </c>
      <c r="U1308" s="1849"/>
      <c r="W1308" s="1848"/>
      <c r="X1308" s="1848"/>
      <c r="Y1308" s="1848"/>
    </row>
    <row r="1309" spans="2:25" hidden="1">
      <c r="B1309" s="1815" t="b">
        <f>AND(I1309=FALSE,N1308=0,Q1308=0,L1308="")</f>
        <v>1</v>
      </c>
      <c r="C1309" s="1844" t="str" cm="1">
        <f t="array" ref="C1309">_xlfn.IFS(
    L1309="", "",
    MONTH(L1309) &lt;= End_of_Year_Month, YEAR(L1309),
    TRUE, YEAR(L1309) + 1
)</f>
        <v/>
      </c>
      <c r="F1309" s="1857">
        <f>IF(L1309="",0,L1309)</f>
        <v>0</v>
      </c>
      <c r="G1309" s="1856">
        <f>-(N1309-Q1309)</f>
        <v>0</v>
      </c>
      <c r="I1309" s="1815" t="b">
        <f>K1309&lt;=Number_Payments</f>
        <v>0</v>
      </c>
      <c r="J1309" s="1855"/>
      <c r="K1309" s="1351">
        <f>K1308+1</f>
        <v>1183</v>
      </c>
      <c r="L1309" s="1854" t="str" cm="1">
        <f t="array" ref="L1309">_xlfn.IFS(
    I1308=FALSE, "",
    Payment_Frequency="Monthly", EDATE(L1308, 1),
    Payment_Frequency="Weekly", DATE(YEAR(L1308), MONTH(L1308), DAY(L1308) + 7),
    Payment_Frequency="Fortnightly", DATE(YEAR(L1308), MONTH(L1308), DAY(L1308) + 14),
    Payment_Frequency="Quarterly", DATE(YEAR(L1308), MONTH(L1308) + 3, DAY(L1308)),
    Payment_Frequency="Yearly", DATE(YEAR(L1308) + 1, MONTH(L1308), DAY(L1308)),
    TRUE, ""
)</f>
        <v/>
      </c>
      <c r="M1309" s="1853">
        <f>IF(ISERROR(L1309-L1308),0,L1309-L1308)</f>
        <v>0</v>
      </c>
      <c r="N1309" s="1851" cm="1">
        <f t="array" ref="N1309">_xlfn.IFS(
    AND(I1309=TRUE, K1309&lt;=No_Regular_Payments), Repay_Amt,
    AND(I1309=TRUE, K1309=No_Regular_Payments+1), Tm_Balloon_Amt,
   TRUE, 0
)</f>
        <v>0</v>
      </c>
      <c r="O1309" s="1850" cm="1">
        <f t="array" ref="O1309">_xlfn.IFS(
    M1309=0,0,
   ABS(N1309 - S1308 - P1309-Q1309) &lt; 1, N1309 - S1308-Q1309,
    TRUE, P1309
)</f>
        <v>0</v>
      </c>
      <c r="P1309" s="1852">
        <f>IF(M1309=0,0,ROUND(S1308*EXP(Int_Rate/365.25 * M1309)-S1308,2))</f>
        <v>0</v>
      </c>
      <c r="Q1309" s="1851" cm="1">
        <f t="array" ref="Q1309">_xlfn.IFS(
    AND(I1309=TRUE, K1309&lt;=No_Regular_Payments), Periodic_Admin_Charge,
   TRUE, 0
)</f>
        <v>0</v>
      </c>
      <c r="R1309" s="1850">
        <f>N1309-O1309-Q1309</f>
        <v>0</v>
      </c>
      <c r="S1309" s="1850">
        <f>ROUND(S1308-R1309,2)</f>
        <v>0</v>
      </c>
      <c r="T1309" s="1850">
        <f>ROUND(T1308-(N1309-Q1309),2)</f>
        <v>0</v>
      </c>
      <c r="U1309" s="1849"/>
      <c r="W1309" s="1848"/>
      <c r="X1309" s="1848"/>
      <c r="Y1309" s="1848"/>
    </row>
    <row r="1310" spans="2:25" hidden="1">
      <c r="B1310" s="1815" t="b">
        <f>AND(I1310=FALSE,N1309=0,Q1309=0,L1309="")</f>
        <v>1</v>
      </c>
      <c r="C1310" s="1844" t="str" cm="1">
        <f t="array" ref="C1310">_xlfn.IFS(
    L1310="", "",
    MONTH(L1310) &lt;= End_of_Year_Month, YEAR(L1310),
    TRUE, YEAR(L1310) + 1
)</f>
        <v/>
      </c>
      <c r="F1310" s="1857">
        <f>IF(L1310="",0,L1310)</f>
        <v>0</v>
      </c>
      <c r="G1310" s="1856">
        <f>-(N1310-Q1310)</f>
        <v>0</v>
      </c>
      <c r="I1310" s="1815" t="b">
        <f>K1310&lt;=Number_Payments</f>
        <v>0</v>
      </c>
      <c r="J1310" s="1855"/>
      <c r="K1310" s="1351">
        <f>K1309+1</f>
        <v>1184</v>
      </c>
      <c r="L1310" s="1854" t="str" cm="1">
        <f t="array" ref="L1310">_xlfn.IFS(
    I1309=FALSE, "",
    Payment_Frequency="Monthly", EDATE(L1309, 1),
    Payment_Frequency="Weekly", DATE(YEAR(L1309), MONTH(L1309), DAY(L1309) + 7),
    Payment_Frequency="Fortnightly", DATE(YEAR(L1309), MONTH(L1309), DAY(L1309) + 14),
    Payment_Frequency="Quarterly", DATE(YEAR(L1309), MONTH(L1309) + 3, DAY(L1309)),
    Payment_Frequency="Yearly", DATE(YEAR(L1309) + 1, MONTH(L1309), DAY(L1309)),
    TRUE, ""
)</f>
        <v/>
      </c>
      <c r="M1310" s="1853">
        <f>IF(ISERROR(L1310-L1309),0,L1310-L1309)</f>
        <v>0</v>
      </c>
      <c r="N1310" s="1851" cm="1">
        <f t="array" ref="N1310">_xlfn.IFS(
    AND(I1310=TRUE, K1310&lt;=No_Regular_Payments), Repay_Amt,
    AND(I1310=TRUE, K1310=No_Regular_Payments+1), Tm_Balloon_Amt,
   TRUE, 0
)</f>
        <v>0</v>
      </c>
      <c r="O1310" s="1850" cm="1">
        <f t="array" ref="O1310">_xlfn.IFS(
    M1310=0,0,
   ABS(N1310 - S1309 - P1310-Q1310) &lt; 1, N1310 - S1309-Q1310,
    TRUE, P1310
)</f>
        <v>0</v>
      </c>
      <c r="P1310" s="1852">
        <f>IF(M1310=0,0,ROUND(S1309*EXP(Int_Rate/365.25 * M1310)-S1309,2))</f>
        <v>0</v>
      </c>
      <c r="Q1310" s="1851" cm="1">
        <f t="array" ref="Q1310">_xlfn.IFS(
    AND(I1310=TRUE, K1310&lt;=No_Regular_Payments), Periodic_Admin_Charge,
   TRUE, 0
)</f>
        <v>0</v>
      </c>
      <c r="R1310" s="1850">
        <f>N1310-O1310-Q1310</f>
        <v>0</v>
      </c>
      <c r="S1310" s="1850">
        <f>ROUND(S1309-R1310,2)</f>
        <v>0</v>
      </c>
      <c r="T1310" s="1850">
        <f>ROUND(T1309-(N1310-Q1310),2)</f>
        <v>0</v>
      </c>
      <c r="U1310" s="1849"/>
      <c r="W1310" s="1848"/>
      <c r="X1310" s="1848"/>
      <c r="Y1310" s="1848"/>
    </row>
    <row r="1311" spans="2:25" hidden="1">
      <c r="B1311" s="1815" t="b">
        <f>AND(I1311=FALSE,N1310=0,Q1310=0,L1310="")</f>
        <v>1</v>
      </c>
      <c r="C1311" s="1844" t="str" cm="1">
        <f t="array" ref="C1311">_xlfn.IFS(
    L1311="", "",
    MONTH(L1311) &lt;= End_of_Year_Month, YEAR(L1311),
    TRUE, YEAR(L1311) + 1
)</f>
        <v/>
      </c>
      <c r="F1311" s="1857">
        <f>IF(L1311="",0,L1311)</f>
        <v>0</v>
      </c>
      <c r="G1311" s="1856">
        <f>-(N1311-Q1311)</f>
        <v>0</v>
      </c>
      <c r="I1311" s="1815" t="b">
        <f>K1311&lt;=Number_Payments</f>
        <v>0</v>
      </c>
      <c r="J1311" s="1855"/>
      <c r="K1311" s="1351">
        <f>K1310+1</f>
        <v>1185</v>
      </c>
      <c r="L1311" s="1854" t="str" cm="1">
        <f t="array" ref="L1311">_xlfn.IFS(
    I1310=FALSE, "",
    Payment_Frequency="Monthly", EDATE(L1310, 1),
    Payment_Frequency="Weekly", DATE(YEAR(L1310), MONTH(L1310), DAY(L1310) + 7),
    Payment_Frequency="Fortnightly", DATE(YEAR(L1310), MONTH(L1310), DAY(L1310) + 14),
    Payment_Frequency="Quarterly", DATE(YEAR(L1310), MONTH(L1310) + 3, DAY(L1310)),
    Payment_Frequency="Yearly", DATE(YEAR(L1310) + 1, MONTH(L1310), DAY(L1310)),
    TRUE, ""
)</f>
        <v/>
      </c>
      <c r="M1311" s="1853">
        <f>IF(ISERROR(L1311-L1310),0,L1311-L1310)</f>
        <v>0</v>
      </c>
      <c r="N1311" s="1851" cm="1">
        <f t="array" ref="N1311">_xlfn.IFS(
    AND(I1311=TRUE, K1311&lt;=No_Regular_Payments), Repay_Amt,
    AND(I1311=TRUE, K1311=No_Regular_Payments+1), Tm_Balloon_Amt,
   TRUE, 0
)</f>
        <v>0</v>
      </c>
      <c r="O1311" s="1850" cm="1">
        <f t="array" ref="O1311">_xlfn.IFS(
    M1311=0,0,
   ABS(N1311 - S1310 - P1311-Q1311) &lt; 1, N1311 - S1310-Q1311,
    TRUE, P1311
)</f>
        <v>0</v>
      </c>
      <c r="P1311" s="1852">
        <f>IF(M1311=0,0,ROUND(S1310*EXP(Int_Rate/365.25 * M1311)-S1310,2))</f>
        <v>0</v>
      </c>
      <c r="Q1311" s="1851" cm="1">
        <f t="array" ref="Q1311">_xlfn.IFS(
    AND(I1311=TRUE, K1311&lt;=No_Regular_Payments), Periodic_Admin_Charge,
   TRUE, 0
)</f>
        <v>0</v>
      </c>
      <c r="R1311" s="1850">
        <f>N1311-O1311-Q1311</f>
        <v>0</v>
      </c>
      <c r="S1311" s="1850">
        <f>ROUND(S1310-R1311,2)</f>
        <v>0</v>
      </c>
      <c r="T1311" s="1850">
        <f>ROUND(T1310-(N1311-Q1311),2)</f>
        <v>0</v>
      </c>
      <c r="U1311" s="1849"/>
      <c r="W1311" s="1848"/>
      <c r="X1311" s="1848"/>
      <c r="Y1311" s="1848"/>
    </row>
    <row r="1312" spans="2:25" hidden="1">
      <c r="B1312" s="1815" t="b">
        <f>AND(I1312=FALSE,N1311=0,Q1311=0,L1311="")</f>
        <v>1</v>
      </c>
      <c r="C1312" s="1844" t="str" cm="1">
        <f t="array" ref="C1312">_xlfn.IFS(
    L1312="", "",
    MONTH(L1312) &lt;= End_of_Year_Month, YEAR(L1312),
    TRUE, YEAR(L1312) + 1
)</f>
        <v/>
      </c>
      <c r="F1312" s="1857">
        <f>IF(L1312="",0,L1312)</f>
        <v>0</v>
      </c>
      <c r="G1312" s="1856">
        <f>-(N1312-Q1312)</f>
        <v>0</v>
      </c>
      <c r="I1312" s="1815" t="b">
        <f>K1312&lt;=Number_Payments</f>
        <v>0</v>
      </c>
      <c r="J1312" s="1855"/>
      <c r="K1312" s="1351">
        <f>K1311+1</f>
        <v>1186</v>
      </c>
      <c r="L1312" s="1854" t="str" cm="1">
        <f t="array" ref="L1312">_xlfn.IFS(
    I1311=FALSE, "",
    Payment_Frequency="Monthly", EDATE(L1311, 1),
    Payment_Frequency="Weekly", DATE(YEAR(L1311), MONTH(L1311), DAY(L1311) + 7),
    Payment_Frequency="Fortnightly", DATE(YEAR(L1311), MONTH(L1311), DAY(L1311) + 14),
    Payment_Frequency="Quarterly", DATE(YEAR(L1311), MONTH(L1311) + 3, DAY(L1311)),
    Payment_Frequency="Yearly", DATE(YEAR(L1311) + 1, MONTH(L1311), DAY(L1311)),
    TRUE, ""
)</f>
        <v/>
      </c>
      <c r="M1312" s="1853">
        <f>IF(ISERROR(L1312-L1311),0,L1312-L1311)</f>
        <v>0</v>
      </c>
      <c r="N1312" s="1851" cm="1">
        <f t="array" ref="N1312">_xlfn.IFS(
    AND(I1312=TRUE, K1312&lt;=No_Regular_Payments), Repay_Amt,
    AND(I1312=TRUE, K1312=No_Regular_Payments+1), Tm_Balloon_Amt,
   TRUE, 0
)</f>
        <v>0</v>
      </c>
      <c r="O1312" s="1850" cm="1">
        <f t="array" ref="O1312">_xlfn.IFS(
    M1312=0,0,
   ABS(N1312 - S1311 - P1312-Q1312) &lt; 1, N1312 - S1311-Q1312,
    TRUE, P1312
)</f>
        <v>0</v>
      </c>
      <c r="P1312" s="1852">
        <f>IF(M1312=0,0,ROUND(S1311*EXP(Int_Rate/365.25 * M1312)-S1311,2))</f>
        <v>0</v>
      </c>
      <c r="Q1312" s="1851" cm="1">
        <f t="array" ref="Q1312">_xlfn.IFS(
    AND(I1312=TRUE, K1312&lt;=No_Regular_Payments), Periodic_Admin_Charge,
   TRUE, 0
)</f>
        <v>0</v>
      </c>
      <c r="R1312" s="1850">
        <f>N1312-O1312-Q1312</f>
        <v>0</v>
      </c>
      <c r="S1312" s="1850">
        <f>ROUND(S1311-R1312,2)</f>
        <v>0</v>
      </c>
      <c r="T1312" s="1850">
        <f>ROUND(T1311-(N1312-Q1312),2)</f>
        <v>0</v>
      </c>
      <c r="U1312" s="1849"/>
      <c r="W1312" s="1848"/>
      <c r="X1312" s="1848"/>
      <c r="Y1312" s="1848"/>
    </row>
    <row r="1313" spans="2:25" hidden="1">
      <c r="B1313" s="1815" t="b">
        <f>AND(I1313=FALSE,N1312=0,Q1312=0,L1312="")</f>
        <v>1</v>
      </c>
      <c r="C1313" s="1844" t="str" cm="1">
        <f t="array" ref="C1313">_xlfn.IFS(
    L1313="", "",
    MONTH(L1313) &lt;= End_of_Year_Month, YEAR(L1313),
    TRUE, YEAR(L1313) + 1
)</f>
        <v/>
      </c>
      <c r="F1313" s="1857">
        <f>IF(L1313="",0,L1313)</f>
        <v>0</v>
      </c>
      <c r="G1313" s="1856">
        <f>-(N1313-Q1313)</f>
        <v>0</v>
      </c>
      <c r="I1313" s="1815" t="b">
        <f>K1313&lt;=Number_Payments</f>
        <v>0</v>
      </c>
      <c r="J1313" s="1855"/>
      <c r="K1313" s="1351">
        <f>K1312+1</f>
        <v>1187</v>
      </c>
      <c r="L1313" s="1854" t="str" cm="1">
        <f t="array" ref="L1313">_xlfn.IFS(
    I1312=FALSE, "",
    Payment_Frequency="Monthly", EDATE(L1312, 1),
    Payment_Frequency="Weekly", DATE(YEAR(L1312), MONTH(L1312), DAY(L1312) + 7),
    Payment_Frequency="Fortnightly", DATE(YEAR(L1312), MONTH(L1312), DAY(L1312) + 14),
    Payment_Frequency="Quarterly", DATE(YEAR(L1312), MONTH(L1312) + 3, DAY(L1312)),
    Payment_Frequency="Yearly", DATE(YEAR(L1312) + 1, MONTH(L1312), DAY(L1312)),
    TRUE, ""
)</f>
        <v/>
      </c>
      <c r="M1313" s="1853">
        <f>IF(ISERROR(L1313-L1312),0,L1313-L1312)</f>
        <v>0</v>
      </c>
      <c r="N1313" s="1851" cm="1">
        <f t="array" ref="N1313">_xlfn.IFS(
    AND(I1313=TRUE, K1313&lt;=No_Regular_Payments), Repay_Amt,
    AND(I1313=TRUE, K1313=No_Regular_Payments+1), Tm_Balloon_Amt,
   TRUE, 0
)</f>
        <v>0</v>
      </c>
      <c r="O1313" s="1850" cm="1">
        <f t="array" ref="O1313">_xlfn.IFS(
    M1313=0,0,
   ABS(N1313 - S1312 - P1313-Q1313) &lt; 1, N1313 - S1312-Q1313,
    TRUE, P1313
)</f>
        <v>0</v>
      </c>
      <c r="P1313" s="1852">
        <f>IF(M1313=0,0,ROUND(S1312*EXP(Int_Rate/365.25 * M1313)-S1312,2))</f>
        <v>0</v>
      </c>
      <c r="Q1313" s="1851" cm="1">
        <f t="array" ref="Q1313">_xlfn.IFS(
    AND(I1313=TRUE, K1313&lt;=No_Regular_Payments), Periodic_Admin_Charge,
   TRUE, 0
)</f>
        <v>0</v>
      </c>
      <c r="R1313" s="1850">
        <f>N1313-O1313-Q1313</f>
        <v>0</v>
      </c>
      <c r="S1313" s="1850">
        <f>ROUND(S1312-R1313,2)</f>
        <v>0</v>
      </c>
      <c r="T1313" s="1850">
        <f>ROUND(T1312-(N1313-Q1313),2)</f>
        <v>0</v>
      </c>
      <c r="U1313" s="1849"/>
      <c r="W1313" s="1848"/>
      <c r="X1313" s="1848"/>
      <c r="Y1313" s="1848"/>
    </row>
    <row r="1314" spans="2:25" hidden="1">
      <c r="B1314" s="1815" t="b">
        <f>AND(I1314=FALSE,N1313=0,Q1313=0,L1313="")</f>
        <v>1</v>
      </c>
      <c r="C1314" s="1844" t="str" cm="1">
        <f t="array" ref="C1314">_xlfn.IFS(
    L1314="", "",
    MONTH(L1314) &lt;= End_of_Year_Month, YEAR(L1314),
    TRUE, YEAR(L1314) + 1
)</f>
        <v/>
      </c>
      <c r="F1314" s="1857">
        <f>IF(L1314="",0,L1314)</f>
        <v>0</v>
      </c>
      <c r="G1314" s="1856">
        <f>-(N1314-Q1314)</f>
        <v>0</v>
      </c>
      <c r="I1314" s="1815" t="b">
        <f>K1314&lt;=Number_Payments</f>
        <v>0</v>
      </c>
      <c r="J1314" s="1855"/>
      <c r="K1314" s="1351">
        <f>K1313+1</f>
        <v>1188</v>
      </c>
      <c r="L1314" s="1854" t="str" cm="1">
        <f t="array" ref="L1314">_xlfn.IFS(
    I1313=FALSE, "",
    Payment_Frequency="Monthly", EDATE(L1313, 1),
    Payment_Frequency="Weekly", DATE(YEAR(L1313), MONTH(L1313), DAY(L1313) + 7),
    Payment_Frequency="Fortnightly", DATE(YEAR(L1313), MONTH(L1313), DAY(L1313) + 14),
    Payment_Frequency="Quarterly", DATE(YEAR(L1313), MONTH(L1313) + 3, DAY(L1313)),
    Payment_Frequency="Yearly", DATE(YEAR(L1313) + 1, MONTH(L1313), DAY(L1313)),
    TRUE, ""
)</f>
        <v/>
      </c>
      <c r="M1314" s="1853">
        <f>IF(ISERROR(L1314-L1313),0,L1314-L1313)</f>
        <v>0</v>
      </c>
      <c r="N1314" s="1851" cm="1">
        <f t="array" ref="N1314">_xlfn.IFS(
    AND(I1314=TRUE, K1314&lt;=No_Regular_Payments), Repay_Amt,
    AND(I1314=TRUE, K1314=No_Regular_Payments+1), Tm_Balloon_Amt,
   TRUE, 0
)</f>
        <v>0</v>
      </c>
      <c r="O1314" s="1850" cm="1">
        <f t="array" ref="O1314">_xlfn.IFS(
    M1314=0,0,
   ABS(N1314 - S1313 - P1314-Q1314) &lt; 1, N1314 - S1313-Q1314,
    TRUE, P1314
)</f>
        <v>0</v>
      </c>
      <c r="P1314" s="1852">
        <f>IF(M1314=0,0,ROUND(S1313*EXP(Int_Rate/365.25 * M1314)-S1313,2))</f>
        <v>0</v>
      </c>
      <c r="Q1314" s="1851" cm="1">
        <f t="array" ref="Q1314">_xlfn.IFS(
    AND(I1314=TRUE, K1314&lt;=No_Regular_Payments), Periodic_Admin_Charge,
   TRUE, 0
)</f>
        <v>0</v>
      </c>
      <c r="R1314" s="1850">
        <f>N1314-O1314-Q1314</f>
        <v>0</v>
      </c>
      <c r="S1314" s="1850">
        <f>ROUND(S1313-R1314,2)</f>
        <v>0</v>
      </c>
      <c r="T1314" s="1850">
        <f>ROUND(T1313-(N1314-Q1314),2)</f>
        <v>0</v>
      </c>
      <c r="U1314" s="1849"/>
      <c r="W1314" s="1848"/>
      <c r="X1314" s="1848"/>
      <c r="Y1314" s="1848"/>
    </row>
    <row r="1315" spans="2:25" hidden="1">
      <c r="B1315" s="1815" t="b">
        <f>AND(I1315=FALSE,N1314=0,Q1314=0,L1314="")</f>
        <v>1</v>
      </c>
      <c r="C1315" s="1844" t="str" cm="1">
        <f t="array" ref="C1315">_xlfn.IFS(
    L1315="", "",
    MONTH(L1315) &lt;= End_of_Year_Month, YEAR(L1315),
    TRUE, YEAR(L1315) + 1
)</f>
        <v/>
      </c>
      <c r="F1315" s="1857">
        <f>IF(L1315="",0,L1315)</f>
        <v>0</v>
      </c>
      <c r="G1315" s="1856">
        <f>-(N1315-Q1315)</f>
        <v>0</v>
      </c>
      <c r="I1315" s="1815" t="b">
        <f>K1315&lt;=Number_Payments</f>
        <v>0</v>
      </c>
      <c r="J1315" s="1855"/>
      <c r="K1315" s="1351">
        <f>K1314+1</f>
        <v>1189</v>
      </c>
      <c r="L1315" s="1854" t="str" cm="1">
        <f t="array" ref="L1315">_xlfn.IFS(
    I1314=FALSE, "",
    Payment_Frequency="Monthly", EDATE(L1314, 1),
    Payment_Frequency="Weekly", DATE(YEAR(L1314), MONTH(L1314), DAY(L1314) + 7),
    Payment_Frequency="Fortnightly", DATE(YEAR(L1314), MONTH(L1314), DAY(L1314) + 14),
    Payment_Frequency="Quarterly", DATE(YEAR(L1314), MONTH(L1314) + 3, DAY(L1314)),
    Payment_Frequency="Yearly", DATE(YEAR(L1314) + 1, MONTH(L1314), DAY(L1314)),
    TRUE, ""
)</f>
        <v/>
      </c>
      <c r="M1315" s="1853">
        <f>IF(ISERROR(L1315-L1314),0,L1315-L1314)</f>
        <v>0</v>
      </c>
      <c r="N1315" s="1851" cm="1">
        <f t="array" ref="N1315">_xlfn.IFS(
    AND(I1315=TRUE, K1315&lt;=No_Regular_Payments), Repay_Amt,
    AND(I1315=TRUE, K1315=No_Regular_Payments+1), Tm_Balloon_Amt,
   TRUE, 0
)</f>
        <v>0</v>
      </c>
      <c r="O1315" s="1850" cm="1">
        <f t="array" ref="O1315">_xlfn.IFS(
    M1315=0,0,
   ABS(N1315 - S1314 - P1315-Q1315) &lt; 1, N1315 - S1314-Q1315,
    TRUE, P1315
)</f>
        <v>0</v>
      </c>
      <c r="P1315" s="1852">
        <f>IF(M1315=0,0,ROUND(S1314*EXP(Int_Rate/365.25 * M1315)-S1314,2))</f>
        <v>0</v>
      </c>
      <c r="Q1315" s="1851" cm="1">
        <f t="array" ref="Q1315">_xlfn.IFS(
    AND(I1315=TRUE, K1315&lt;=No_Regular_Payments), Periodic_Admin_Charge,
   TRUE, 0
)</f>
        <v>0</v>
      </c>
      <c r="R1315" s="1850">
        <f>N1315-O1315-Q1315</f>
        <v>0</v>
      </c>
      <c r="S1315" s="1850">
        <f>ROUND(S1314-R1315,2)</f>
        <v>0</v>
      </c>
      <c r="T1315" s="1850">
        <f>ROUND(T1314-(N1315-Q1315),2)</f>
        <v>0</v>
      </c>
      <c r="U1315" s="1849"/>
      <c r="W1315" s="1848"/>
      <c r="X1315" s="1848"/>
      <c r="Y1315" s="1848"/>
    </row>
    <row r="1316" spans="2:25" hidden="1">
      <c r="B1316" s="1815" t="b">
        <f>AND(I1316=FALSE,N1315=0,Q1315=0,L1315="")</f>
        <v>1</v>
      </c>
      <c r="C1316" s="1844" t="str" cm="1">
        <f t="array" ref="C1316">_xlfn.IFS(
    L1316="", "",
    MONTH(L1316) &lt;= End_of_Year_Month, YEAR(L1316),
    TRUE, YEAR(L1316) + 1
)</f>
        <v/>
      </c>
      <c r="F1316" s="1857">
        <f>IF(L1316="",0,L1316)</f>
        <v>0</v>
      </c>
      <c r="G1316" s="1856">
        <f>-(N1316-Q1316)</f>
        <v>0</v>
      </c>
      <c r="I1316" s="1815" t="b">
        <f>K1316&lt;=Number_Payments</f>
        <v>0</v>
      </c>
      <c r="J1316" s="1855"/>
      <c r="K1316" s="1351">
        <f>K1315+1</f>
        <v>1190</v>
      </c>
      <c r="L1316" s="1854" t="str" cm="1">
        <f t="array" ref="L1316">_xlfn.IFS(
    I1315=FALSE, "",
    Payment_Frequency="Monthly", EDATE(L1315, 1),
    Payment_Frequency="Weekly", DATE(YEAR(L1315), MONTH(L1315), DAY(L1315) + 7),
    Payment_Frequency="Fortnightly", DATE(YEAR(L1315), MONTH(L1315), DAY(L1315) + 14),
    Payment_Frequency="Quarterly", DATE(YEAR(L1315), MONTH(L1315) + 3, DAY(L1315)),
    Payment_Frequency="Yearly", DATE(YEAR(L1315) + 1, MONTH(L1315), DAY(L1315)),
    TRUE, ""
)</f>
        <v/>
      </c>
      <c r="M1316" s="1853">
        <f>IF(ISERROR(L1316-L1315),0,L1316-L1315)</f>
        <v>0</v>
      </c>
      <c r="N1316" s="1851" cm="1">
        <f t="array" ref="N1316">_xlfn.IFS(
    AND(I1316=TRUE, K1316&lt;=No_Regular_Payments), Repay_Amt,
    AND(I1316=TRUE, K1316=No_Regular_Payments+1), Tm_Balloon_Amt,
   TRUE, 0
)</f>
        <v>0</v>
      </c>
      <c r="O1316" s="1850" cm="1">
        <f t="array" ref="O1316">_xlfn.IFS(
    M1316=0,0,
   ABS(N1316 - S1315 - P1316-Q1316) &lt; 1, N1316 - S1315-Q1316,
    TRUE, P1316
)</f>
        <v>0</v>
      </c>
      <c r="P1316" s="1852">
        <f>IF(M1316=0,0,ROUND(S1315*EXP(Int_Rate/365.25 * M1316)-S1315,2))</f>
        <v>0</v>
      </c>
      <c r="Q1316" s="1851" cm="1">
        <f t="array" ref="Q1316">_xlfn.IFS(
    AND(I1316=TRUE, K1316&lt;=No_Regular_Payments), Periodic_Admin_Charge,
   TRUE, 0
)</f>
        <v>0</v>
      </c>
      <c r="R1316" s="1850">
        <f>N1316-O1316-Q1316</f>
        <v>0</v>
      </c>
      <c r="S1316" s="1850">
        <f>ROUND(S1315-R1316,2)</f>
        <v>0</v>
      </c>
      <c r="T1316" s="1850">
        <f>ROUND(T1315-(N1316-Q1316),2)</f>
        <v>0</v>
      </c>
      <c r="U1316" s="1849"/>
      <c r="W1316" s="1848"/>
      <c r="X1316" s="1848"/>
      <c r="Y1316" s="1848"/>
    </row>
    <row r="1317" spans="2:25" hidden="1">
      <c r="B1317" s="1815" t="b">
        <f>AND(I1317=FALSE,N1316=0,Q1316=0,L1316="")</f>
        <v>1</v>
      </c>
      <c r="C1317" s="1844" t="str" cm="1">
        <f t="array" ref="C1317">_xlfn.IFS(
    L1317="", "",
    MONTH(L1317) &lt;= End_of_Year_Month, YEAR(L1317),
    TRUE, YEAR(L1317) + 1
)</f>
        <v/>
      </c>
      <c r="F1317" s="1857">
        <f>IF(L1317="",0,L1317)</f>
        <v>0</v>
      </c>
      <c r="G1317" s="1856">
        <f>-(N1317-Q1317)</f>
        <v>0</v>
      </c>
      <c r="I1317" s="1815" t="b">
        <f>K1317&lt;=Number_Payments</f>
        <v>0</v>
      </c>
      <c r="J1317" s="1855"/>
      <c r="K1317" s="1351">
        <f>K1316+1</f>
        <v>1191</v>
      </c>
      <c r="L1317" s="1854" t="str" cm="1">
        <f t="array" ref="L1317">_xlfn.IFS(
    I1316=FALSE, "",
    Payment_Frequency="Monthly", EDATE(L1316, 1),
    Payment_Frequency="Weekly", DATE(YEAR(L1316), MONTH(L1316), DAY(L1316) + 7),
    Payment_Frequency="Fortnightly", DATE(YEAR(L1316), MONTH(L1316), DAY(L1316) + 14),
    Payment_Frequency="Quarterly", DATE(YEAR(L1316), MONTH(L1316) + 3, DAY(L1316)),
    Payment_Frequency="Yearly", DATE(YEAR(L1316) + 1, MONTH(L1316), DAY(L1316)),
    TRUE, ""
)</f>
        <v/>
      </c>
      <c r="M1317" s="1853">
        <f>IF(ISERROR(L1317-L1316),0,L1317-L1316)</f>
        <v>0</v>
      </c>
      <c r="N1317" s="1851" cm="1">
        <f t="array" ref="N1317">_xlfn.IFS(
    AND(I1317=TRUE, K1317&lt;=No_Regular_Payments), Repay_Amt,
    AND(I1317=TRUE, K1317=No_Regular_Payments+1), Tm_Balloon_Amt,
   TRUE, 0
)</f>
        <v>0</v>
      </c>
      <c r="O1317" s="1850" cm="1">
        <f t="array" ref="O1317">_xlfn.IFS(
    M1317=0,0,
   ABS(N1317 - S1316 - P1317-Q1317) &lt; 1, N1317 - S1316-Q1317,
    TRUE, P1317
)</f>
        <v>0</v>
      </c>
      <c r="P1317" s="1852">
        <f>IF(M1317=0,0,ROUND(S1316*EXP(Int_Rate/365.25 * M1317)-S1316,2))</f>
        <v>0</v>
      </c>
      <c r="Q1317" s="1851" cm="1">
        <f t="array" ref="Q1317">_xlfn.IFS(
    AND(I1317=TRUE, K1317&lt;=No_Regular_Payments), Periodic_Admin_Charge,
   TRUE, 0
)</f>
        <v>0</v>
      </c>
      <c r="R1317" s="1850">
        <f>N1317-O1317-Q1317</f>
        <v>0</v>
      </c>
      <c r="S1317" s="1850">
        <f>ROUND(S1316-R1317,2)</f>
        <v>0</v>
      </c>
      <c r="T1317" s="1850">
        <f>ROUND(T1316-(N1317-Q1317),2)</f>
        <v>0</v>
      </c>
      <c r="U1317" s="1849"/>
      <c r="W1317" s="1848"/>
      <c r="X1317" s="1848"/>
      <c r="Y1317" s="1848"/>
    </row>
    <row r="1318" spans="2:25" hidden="1">
      <c r="B1318" s="1815" t="b">
        <f>AND(I1318=FALSE,N1317=0,Q1317=0,L1317="")</f>
        <v>1</v>
      </c>
      <c r="C1318" s="1844" t="str" cm="1">
        <f t="array" ref="C1318">_xlfn.IFS(
    L1318="", "",
    MONTH(L1318) &lt;= End_of_Year_Month, YEAR(L1318),
    TRUE, YEAR(L1318) + 1
)</f>
        <v/>
      </c>
      <c r="F1318" s="1857">
        <f>IF(L1318="",0,L1318)</f>
        <v>0</v>
      </c>
      <c r="G1318" s="1856">
        <f>-(N1318-Q1318)</f>
        <v>0</v>
      </c>
      <c r="I1318" s="1815" t="b">
        <f>K1318&lt;=Number_Payments</f>
        <v>0</v>
      </c>
      <c r="J1318" s="1855"/>
      <c r="K1318" s="1351">
        <f>K1317+1</f>
        <v>1192</v>
      </c>
      <c r="L1318" s="1854" t="str" cm="1">
        <f t="array" ref="L1318">_xlfn.IFS(
    I1317=FALSE, "",
    Payment_Frequency="Monthly", EDATE(L1317, 1),
    Payment_Frequency="Weekly", DATE(YEAR(L1317), MONTH(L1317), DAY(L1317) + 7),
    Payment_Frequency="Fortnightly", DATE(YEAR(L1317), MONTH(L1317), DAY(L1317) + 14),
    Payment_Frequency="Quarterly", DATE(YEAR(L1317), MONTH(L1317) + 3, DAY(L1317)),
    Payment_Frequency="Yearly", DATE(YEAR(L1317) + 1, MONTH(L1317), DAY(L1317)),
    TRUE, ""
)</f>
        <v/>
      </c>
      <c r="M1318" s="1853">
        <f>IF(ISERROR(L1318-L1317),0,L1318-L1317)</f>
        <v>0</v>
      </c>
      <c r="N1318" s="1851" cm="1">
        <f t="array" ref="N1318">_xlfn.IFS(
    AND(I1318=TRUE, K1318&lt;=No_Regular_Payments), Repay_Amt,
    AND(I1318=TRUE, K1318=No_Regular_Payments+1), Tm_Balloon_Amt,
   TRUE, 0
)</f>
        <v>0</v>
      </c>
      <c r="O1318" s="1850" cm="1">
        <f t="array" ref="O1318">_xlfn.IFS(
    M1318=0,0,
   ABS(N1318 - S1317 - P1318-Q1318) &lt; 1, N1318 - S1317-Q1318,
    TRUE, P1318
)</f>
        <v>0</v>
      </c>
      <c r="P1318" s="1852">
        <f>IF(M1318=0,0,ROUND(S1317*EXP(Int_Rate/365.25 * M1318)-S1317,2))</f>
        <v>0</v>
      </c>
      <c r="Q1318" s="1851" cm="1">
        <f t="array" ref="Q1318">_xlfn.IFS(
    AND(I1318=TRUE, K1318&lt;=No_Regular_Payments), Periodic_Admin_Charge,
   TRUE, 0
)</f>
        <v>0</v>
      </c>
      <c r="R1318" s="1850">
        <f>N1318-O1318-Q1318</f>
        <v>0</v>
      </c>
      <c r="S1318" s="1850">
        <f>ROUND(S1317-R1318,2)</f>
        <v>0</v>
      </c>
      <c r="T1318" s="1850">
        <f>ROUND(T1317-(N1318-Q1318),2)</f>
        <v>0</v>
      </c>
      <c r="U1318" s="1849"/>
      <c r="W1318" s="1848"/>
      <c r="X1318" s="1848"/>
      <c r="Y1318" s="1848"/>
    </row>
    <row r="1319" spans="2:25" hidden="1">
      <c r="B1319" s="1815" t="b">
        <f>AND(I1319=FALSE,N1318=0,Q1318=0,L1318="")</f>
        <v>1</v>
      </c>
      <c r="C1319" s="1844" t="str" cm="1">
        <f t="array" ref="C1319">_xlfn.IFS(
    L1319="", "",
    MONTH(L1319) &lt;= End_of_Year_Month, YEAR(L1319),
    TRUE, YEAR(L1319) + 1
)</f>
        <v/>
      </c>
      <c r="F1319" s="1857">
        <f>IF(L1319="",0,L1319)</f>
        <v>0</v>
      </c>
      <c r="G1319" s="1856">
        <f>-(N1319-Q1319)</f>
        <v>0</v>
      </c>
      <c r="I1319" s="1815" t="b">
        <f>K1319&lt;=Number_Payments</f>
        <v>0</v>
      </c>
      <c r="J1319" s="1855"/>
      <c r="K1319" s="1351">
        <f>K1318+1</f>
        <v>1193</v>
      </c>
      <c r="L1319" s="1854" t="str" cm="1">
        <f t="array" ref="L1319">_xlfn.IFS(
    I1318=FALSE, "",
    Payment_Frequency="Monthly", EDATE(L1318, 1),
    Payment_Frequency="Weekly", DATE(YEAR(L1318), MONTH(L1318), DAY(L1318) + 7),
    Payment_Frequency="Fortnightly", DATE(YEAR(L1318), MONTH(L1318), DAY(L1318) + 14),
    Payment_Frequency="Quarterly", DATE(YEAR(L1318), MONTH(L1318) + 3, DAY(L1318)),
    Payment_Frequency="Yearly", DATE(YEAR(L1318) + 1, MONTH(L1318), DAY(L1318)),
    TRUE, ""
)</f>
        <v/>
      </c>
      <c r="M1319" s="1853">
        <f>IF(ISERROR(L1319-L1318),0,L1319-L1318)</f>
        <v>0</v>
      </c>
      <c r="N1319" s="1851" cm="1">
        <f t="array" ref="N1319">_xlfn.IFS(
    AND(I1319=TRUE, K1319&lt;=No_Regular_Payments), Repay_Amt,
    AND(I1319=TRUE, K1319=No_Regular_Payments+1), Tm_Balloon_Amt,
   TRUE, 0
)</f>
        <v>0</v>
      </c>
      <c r="O1319" s="1850" cm="1">
        <f t="array" ref="O1319">_xlfn.IFS(
    M1319=0,0,
   ABS(N1319 - S1318 - P1319-Q1319) &lt; 1, N1319 - S1318-Q1319,
    TRUE, P1319
)</f>
        <v>0</v>
      </c>
      <c r="P1319" s="1852">
        <f>IF(M1319=0,0,ROUND(S1318*EXP(Int_Rate/365.25 * M1319)-S1318,2))</f>
        <v>0</v>
      </c>
      <c r="Q1319" s="1851" cm="1">
        <f t="array" ref="Q1319">_xlfn.IFS(
    AND(I1319=TRUE, K1319&lt;=No_Regular_Payments), Periodic_Admin_Charge,
   TRUE, 0
)</f>
        <v>0</v>
      </c>
      <c r="R1319" s="1850">
        <f>N1319-O1319-Q1319</f>
        <v>0</v>
      </c>
      <c r="S1319" s="1850">
        <f>ROUND(S1318-R1319,2)</f>
        <v>0</v>
      </c>
      <c r="T1319" s="1850">
        <f>ROUND(T1318-(N1319-Q1319),2)</f>
        <v>0</v>
      </c>
      <c r="U1319" s="1849"/>
      <c r="W1319" s="1848"/>
      <c r="X1319" s="1848"/>
      <c r="Y1319" s="1848"/>
    </row>
    <row r="1320" spans="2:25" hidden="1">
      <c r="B1320" s="1815" t="b">
        <f>AND(I1320=FALSE,N1319=0,Q1319=0,L1319="")</f>
        <v>1</v>
      </c>
      <c r="C1320" s="1844" t="str" cm="1">
        <f t="array" ref="C1320">_xlfn.IFS(
    L1320="", "",
    MONTH(L1320) &lt;= End_of_Year_Month, YEAR(L1320),
    TRUE, YEAR(L1320) + 1
)</f>
        <v/>
      </c>
      <c r="F1320" s="1857">
        <f>IF(L1320="",0,L1320)</f>
        <v>0</v>
      </c>
      <c r="G1320" s="1856">
        <f>-(N1320-Q1320)</f>
        <v>0</v>
      </c>
      <c r="I1320" s="1815" t="b">
        <f>K1320&lt;=Number_Payments</f>
        <v>0</v>
      </c>
      <c r="J1320" s="1855"/>
      <c r="K1320" s="1351">
        <f>K1319+1</f>
        <v>1194</v>
      </c>
      <c r="L1320" s="1854" t="str" cm="1">
        <f t="array" ref="L1320">_xlfn.IFS(
    I1319=FALSE, "",
    Payment_Frequency="Monthly", EDATE(L1319, 1),
    Payment_Frequency="Weekly", DATE(YEAR(L1319), MONTH(L1319), DAY(L1319) + 7),
    Payment_Frequency="Fortnightly", DATE(YEAR(L1319), MONTH(L1319), DAY(L1319) + 14),
    Payment_Frequency="Quarterly", DATE(YEAR(L1319), MONTH(L1319) + 3, DAY(L1319)),
    Payment_Frequency="Yearly", DATE(YEAR(L1319) + 1, MONTH(L1319), DAY(L1319)),
    TRUE, ""
)</f>
        <v/>
      </c>
      <c r="M1320" s="1853">
        <f>IF(ISERROR(L1320-L1319),0,L1320-L1319)</f>
        <v>0</v>
      </c>
      <c r="N1320" s="1851" cm="1">
        <f t="array" ref="N1320">_xlfn.IFS(
    AND(I1320=TRUE, K1320&lt;=No_Regular_Payments), Repay_Amt,
    AND(I1320=TRUE, K1320=No_Regular_Payments+1), Tm_Balloon_Amt,
   TRUE, 0
)</f>
        <v>0</v>
      </c>
      <c r="O1320" s="1850" cm="1">
        <f t="array" ref="O1320">_xlfn.IFS(
    M1320=0,0,
   ABS(N1320 - S1319 - P1320-Q1320) &lt; 1, N1320 - S1319-Q1320,
    TRUE, P1320
)</f>
        <v>0</v>
      </c>
      <c r="P1320" s="1852">
        <f>IF(M1320=0,0,ROUND(S1319*EXP(Int_Rate/365.25 * M1320)-S1319,2))</f>
        <v>0</v>
      </c>
      <c r="Q1320" s="1851" cm="1">
        <f t="array" ref="Q1320">_xlfn.IFS(
    AND(I1320=TRUE, K1320&lt;=No_Regular_Payments), Periodic_Admin_Charge,
   TRUE, 0
)</f>
        <v>0</v>
      </c>
      <c r="R1320" s="1850">
        <f>N1320-O1320-Q1320</f>
        <v>0</v>
      </c>
      <c r="S1320" s="1850">
        <f>ROUND(S1319-R1320,2)</f>
        <v>0</v>
      </c>
      <c r="T1320" s="1850">
        <f>ROUND(T1319-(N1320-Q1320),2)</f>
        <v>0</v>
      </c>
      <c r="U1320" s="1849"/>
      <c r="W1320" s="1848"/>
      <c r="X1320" s="1848"/>
      <c r="Y1320" s="1848"/>
    </row>
    <row r="1321" spans="2:25" hidden="1">
      <c r="B1321" s="1815" t="b">
        <f>AND(I1321=FALSE,N1320=0,Q1320=0,L1320="")</f>
        <v>1</v>
      </c>
      <c r="C1321" s="1844" t="str" cm="1">
        <f t="array" ref="C1321">_xlfn.IFS(
    L1321="", "",
    MONTH(L1321) &lt;= End_of_Year_Month, YEAR(L1321),
    TRUE, YEAR(L1321) + 1
)</f>
        <v/>
      </c>
      <c r="F1321" s="1857">
        <f>IF(L1321="",0,L1321)</f>
        <v>0</v>
      </c>
      <c r="G1321" s="1856">
        <f>-(N1321-Q1321)</f>
        <v>0</v>
      </c>
      <c r="I1321" s="1815" t="b">
        <f>K1321&lt;=Number_Payments</f>
        <v>0</v>
      </c>
      <c r="J1321" s="1855"/>
      <c r="K1321" s="1351">
        <f>K1320+1</f>
        <v>1195</v>
      </c>
      <c r="L1321" s="1854" t="str" cm="1">
        <f t="array" ref="L1321">_xlfn.IFS(
    I1320=FALSE, "",
    Payment_Frequency="Monthly", EDATE(L1320, 1),
    Payment_Frequency="Weekly", DATE(YEAR(L1320), MONTH(L1320), DAY(L1320) + 7),
    Payment_Frequency="Fortnightly", DATE(YEAR(L1320), MONTH(L1320), DAY(L1320) + 14),
    Payment_Frequency="Quarterly", DATE(YEAR(L1320), MONTH(L1320) + 3, DAY(L1320)),
    Payment_Frequency="Yearly", DATE(YEAR(L1320) + 1, MONTH(L1320), DAY(L1320)),
    TRUE, ""
)</f>
        <v/>
      </c>
      <c r="M1321" s="1853">
        <f>IF(ISERROR(L1321-L1320),0,L1321-L1320)</f>
        <v>0</v>
      </c>
      <c r="N1321" s="1851" cm="1">
        <f t="array" ref="N1321">_xlfn.IFS(
    AND(I1321=TRUE, K1321&lt;=No_Regular_Payments), Repay_Amt,
    AND(I1321=TRUE, K1321=No_Regular_Payments+1), Tm_Balloon_Amt,
   TRUE, 0
)</f>
        <v>0</v>
      </c>
      <c r="O1321" s="1850" cm="1">
        <f t="array" ref="O1321">_xlfn.IFS(
    M1321=0,0,
   ABS(N1321 - S1320 - P1321-Q1321) &lt; 1, N1321 - S1320-Q1321,
    TRUE, P1321
)</f>
        <v>0</v>
      </c>
      <c r="P1321" s="1852">
        <f>IF(M1321=0,0,ROUND(S1320*EXP(Int_Rate/365.25 * M1321)-S1320,2))</f>
        <v>0</v>
      </c>
      <c r="Q1321" s="1851" cm="1">
        <f t="array" ref="Q1321">_xlfn.IFS(
    AND(I1321=TRUE, K1321&lt;=No_Regular_Payments), Periodic_Admin_Charge,
   TRUE, 0
)</f>
        <v>0</v>
      </c>
      <c r="R1321" s="1850">
        <f>N1321-O1321-Q1321</f>
        <v>0</v>
      </c>
      <c r="S1321" s="1850">
        <f>ROUND(S1320-R1321,2)</f>
        <v>0</v>
      </c>
      <c r="T1321" s="1850">
        <f>ROUND(T1320-(N1321-Q1321),2)</f>
        <v>0</v>
      </c>
      <c r="U1321" s="1849"/>
      <c r="W1321" s="1848"/>
      <c r="X1321" s="1848"/>
      <c r="Y1321" s="1848"/>
    </row>
    <row r="1322" spans="2:25" hidden="1">
      <c r="B1322" s="1815" t="b">
        <f>AND(I1322=FALSE,N1321=0,Q1321=0,L1321="")</f>
        <v>1</v>
      </c>
      <c r="C1322" s="1844" t="str" cm="1">
        <f t="array" ref="C1322">_xlfn.IFS(
    L1322="", "",
    MONTH(L1322) &lt;= End_of_Year_Month, YEAR(L1322),
    TRUE, YEAR(L1322) + 1
)</f>
        <v/>
      </c>
      <c r="F1322" s="1857">
        <f>IF(L1322="",0,L1322)</f>
        <v>0</v>
      </c>
      <c r="G1322" s="1856">
        <f>-(N1322-Q1322)</f>
        <v>0</v>
      </c>
      <c r="I1322" s="1815" t="b">
        <f>K1322&lt;=Number_Payments</f>
        <v>0</v>
      </c>
      <c r="J1322" s="1855"/>
      <c r="K1322" s="1351">
        <f>K1321+1</f>
        <v>1196</v>
      </c>
      <c r="L1322" s="1854" t="str" cm="1">
        <f t="array" ref="L1322">_xlfn.IFS(
    I1321=FALSE, "",
    Payment_Frequency="Monthly", EDATE(L1321, 1),
    Payment_Frequency="Weekly", DATE(YEAR(L1321), MONTH(L1321), DAY(L1321) + 7),
    Payment_Frequency="Fortnightly", DATE(YEAR(L1321), MONTH(L1321), DAY(L1321) + 14),
    Payment_Frequency="Quarterly", DATE(YEAR(L1321), MONTH(L1321) + 3, DAY(L1321)),
    Payment_Frequency="Yearly", DATE(YEAR(L1321) + 1, MONTH(L1321), DAY(L1321)),
    TRUE, ""
)</f>
        <v/>
      </c>
      <c r="M1322" s="1853">
        <f>IF(ISERROR(L1322-L1321),0,L1322-L1321)</f>
        <v>0</v>
      </c>
      <c r="N1322" s="1851" cm="1">
        <f t="array" ref="N1322">_xlfn.IFS(
    AND(I1322=TRUE, K1322&lt;=No_Regular_Payments), Repay_Amt,
    AND(I1322=TRUE, K1322=No_Regular_Payments+1), Tm_Balloon_Amt,
   TRUE, 0
)</f>
        <v>0</v>
      </c>
      <c r="O1322" s="1850" cm="1">
        <f t="array" ref="O1322">_xlfn.IFS(
    M1322=0,0,
   ABS(N1322 - S1321 - P1322-Q1322) &lt; 1, N1322 - S1321-Q1322,
    TRUE, P1322
)</f>
        <v>0</v>
      </c>
      <c r="P1322" s="1852">
        <f>IF(M1322=0,0,ROUND(S1321*EXP(Int_Rate/365.25 * M1322)-S1321,2))</f>
        <v>0</v>
      </c>
      <c r="Q1322" s="1851" cm="1">
        <f t="array" ref="Q1322">_xlfn.IFS(
    AND(I1322=TRUE, K1322&lt;=No_Regular_Payments), Periodic_Admin_Charge,
   TRUE, 0
)</f>
        <v>0</v>
      </c>
      <c r="R1322" s="1850">
        <f>N1322-O1322-Q1322</f>
        <v>0</v>
      </c>
      <c r="S1322" s="1850">
        <f>ROUND(S1321-R1322,2)</f>
        <v>0</v>
      </c>
      <c r="T1322" s="1850">
        <f>ROUND(T1321-(N1322-Q1322),2)</f>
        <v>0</v>
      </c>
      <c r="U1322" s="1849"/>
      <c r="W1322" s="1848"/>
      <c r="X1322" s="1848"/>
      <c r="Y1322" s="1848"/>
    </row>
    <row r="1323" spans="2:25" hidden="1">
      <c r="B1323" s="1815" t="b">
        <f>AND(I1323=FALSE,N1322=0,Q1322=0,L1322="")</f>
        <v>1</v>
      </c>
      <c r="C1323" s="1844" t="str" cm="1">
        <f t="array" ref="C1323">_xlfn.IFS(
    L1323="", "",
    MONTH(L1323) &lt;= End_of_Year_Month, YEAR(L1323),
    TRUE, YEAR(L1323) + 1
)</f>
        <v/>
      </c>
      <c r="F1323" s="1857">
        <f>IF(L1323="",0,L1323)</f>
        <v>0</v>
      </c>
      <c r="G1323" s="1856">
        <f>-(N1323-Q1323)</f>
        <v>0</v>
      </c>
      <c r="I1323" s="1815" t="b">
        <f>K1323&lt;=Number_Payments</f>
        <v>0</v>
      </c>
      <c r="J1323" s="1855"/>
      <c r="K1323" s="1351">
        <f>K1322+1</f>
        <v>1197</v>
      </c>
      <c r="L1323" s="1854" t="str" cm="1">
        <f t="array" ref="L1323">_xlfn.IFS(
    I1322=FALSE, "",
    Payment_Frequency="Monthly", EDATE(L1322, 1),
    Payment_Frequency="Weekly", DATE(YEAR(L1322), MONTH(L1322), DAY(L1322) + 7),
    Payment_Frequency="Fortnightly", DATE(YEAR(L1322), MONTH(L1322), DAY(L1322) + 14),
    Payment_Frequency="Quarterly", DATE(YEAR(L1322), MONTH(L1322) + 3, DAY(L1322)),
    Payment_Frequency="Yearly", DATE(YEAR(L1322) + 1, MONTH(L1322), DAY(L1322)),
    TRUE, ""
)</f>
        <v/>
      </c>
      <c r="M1323" s="1853">
        <f>IF(ISERROR(L1323-L1322),0,L1323-L1322)</f>
        <v>0</v>
      </c>
      <c r="N1323" s="1851" cm="1">
        <f t="array" ref="N1323">_xlfn.IFS(
    AND(I1323=TRUE, K1323&lt;=No_Regular_Payments), Repay_Amt,
    AND(I1323=TRUE, K1323=No_Regular_Payments+1), Tm_Balloon_Amt,
   TRUE, 0
)</f>
        <v>0</v>
      </c>
      <c r="O1323" s="1850" cm="1">
        <f t="array" ref="O1323">_xlfn.IFS(
    M1323=0,0,
   ABS(N1323 - S1322 - P1323-Q1323) &lt; 1, N1323 - S1322-Q1323,
    TRUE, P1323
)</f>
        <v>0</v>
      </c>
      <c r="P1323" s="1852">
        <f>IF(M1323=0,0,ROUND(S1322*EXP(Int_Rate/365.25 * M1323)-S1322,2))</f>
        <v>0</v>
      </c>
      <c r="Q1323" s="1851" cm="1">
        <f t="array" ref="Q1323">_xlfn.IFS(
    AND(I1323=TRUE, K1323&lt;=No_Regular_Payments), Periodic_Admin_Charge,
   TRUE, 0
)</f>
        <v>0</v>
      </c>
      <c r="R1323" s="1850">
        <f>N1323-O1323-Q1323</f>
        <v>0</v>
      </c>
      <c r="S1323" s="1850">
        <f>ROUND(S1322-R1323,2)</f>
        <v>0</v>
      </c>
      <c r="T1323" s="1850">
        <f>ROUND(T1322-(N1323-Q1323),2)</f>
        <v>0</v>
      </c>
      <c r="U1323" s="1849"/>
      <c r="W1323" s="1848"/>
      <c r="X1323" s="1848"/>
      <c r="Y1323" s="1848"/>
    </row>
    <row r="1324" spans="2:25" hidden="1">
      <c r="B1324" s="1815" t="b">
        <f>AND(I1324=FALSE,N1323=0,Q1323=0,L1323="")</f>
        <v>1</v>
      </c>
      <c r="C1324" s="1844" t="str" cm="1">
        <f t="array" ref="C1324">_xlfn.IFS(
    L1324="", "",
    MONTH(L1324) &lt;= End_of_Year_Month, YEAR(L1324),
    TRUE, YEAR(L1324) + 1
)</f>
        <v/>
      </c>
      <c r="F1324" s="1857">
        <f>IF(L1324="",0,L1324)</f>
        <v>0</v>
      </c>
      <c r="G1324" s="1856">
        <f>-(N1324-Q1324)</f>
        <v>0</v>
      </c>
      <c r="I1324" s="1815" t="b">
        <f>K1324&lt;=Number_Payments</f>
        <v>0</v>
      </c>
      <c r="J1324" s="1855"/>
      <c r="K1324" s="1351">
        <f>K1323+1</f>
        <v>1198</v>
      </c>
      <c r="L1324" s="1854" t="str" cm="1">
        <f t="array" ref="L1324">_xlfn.IFS(
    I1323=FALSE, "",
    Payment_Frequency="Monthly", EDATE(L1323, 1),
    Payment_Frequency="Weekly", DATE(YEAR(L1323), MONTH(L1323), DAY(L1323) + 7),
    Payment_Frequency="Fortnightly", DATE(YEAR(L1323), MONTH(L1323), DAY(L1323) + 14),
    Payment_Frequency="Quarterly", DATE(YEAR(L1323), MONTH(L1323) + 3, DAY(L1323)),
    Payment_Frequency="Yearly", DATE(YEAR(L1323) + 1, MONTH(L1323), DAY(L1323)),
    TRUE, ""
)</f>
        <v/>
      </c>
      <c r="M1324" s="1853">
        <f>IF(ISERROR(L1324-L1323),0,L1324-L1323)</f>
        <v>0</v>
      </c>
      <c r="N1324" s="1851" cm="1">
        <f t="array" ref="N1324">_xlfn.IFS(
    AND(I1324=TRUE, K1324&lt;=No_Regular_Payments), Repay_Amt,
    AND(I1324=TRUE, K1324=No_Regular_Payments+1), Tm_Balloon_Amt,
   TRUE, 0
)</f>
        <v>0</v>
      </c>
      <c r="O1324" s="1850" cm="1">
        <f t="array" ref="O1324">_xlfn.IFS(
    M1324=0,0,
   ABS(N1324 - S1323 - P1324-Q1324) &lt; 1, N1324 - S1323-Q1324,
    TRUE, P1324
)</f>
        <v>0</v>
      </c>
      <c r="P1324" s="1852">
        <f>IF(M1324=0,0,ROUND(S1323*EXP(Int_Rate/365.25 * M1324)-S1323,2))</f>
        <v>0</v>
      </c>
      <c r="Q1324" s="1851" cm="1">
        <f t="array" ref="Q1324">_xlfn.IFS(
    AND(I1324=TRUE, K1324&lt;=No_Regular_Payments), Periodic_Admin_Charge,
   TRUE, 0
)</f>
        <v>0</v>
      </c>
      <c r="R1324" s="1850">
        <f>N1324-O1324-Q1324</f>
        <v>0</v>
      </c>
      <c r="S1324" s="1850">
        <f>ROUND(S1323-R1324,2)</f>
        <v>0</v>
      </c>
      <c r="T1324" s="1850">
        <f>ROUND(T1323-(N1324-Q1324),2)</f>
        <v>0</v>
      </c>
      <c r="U1324" s="1849"/>
      <c r="W1324" s="1848"/>
      <c r="X1324" s="1848"/>
      <c r="Y1324" s="1848"/>
    </row>
    <row r="1325" spans="2:25" hidden="1">
      <c r="B1325" s="1815" t="b">
        <f>AND(I1325=FALSE,N1324=0,Q1324=0,L1324="")</f>
        <v>1</v>
      </c>
      <c r="C1325" s="1844" t="str" cm="1">
        <f t="array" ref="C1325">_xlfn.IFS(
    L1325="", "",
    MONTH(L1325) &lt;= End_of_Year_Month, YEAR(L1325),
    TRUE, YEAR(L1325) + 1
)</f>
        <v/>
      </c>
      <c r="F1325" s="1857">
        <f>IF(L1325="",0,L1325)</f>
        <v>0</v>
      </c>
      <c r="G1325" s="1856">
        <f>-(N1325-Q1325)</f>
        <v>0</v>
      </c>
      <c r="I1325" s="1815" t="b">
        <f>K1325&lt;=Number_Payments</f>
        <v>0</v>
      </c>
      <c r="J1325" s="1855"/>
      <c r="K1325" s="1351">
        <f>K1324+1</f>
        <v>1199</v>
      </c>
      <c r="L1325" s="1854" t="str" cm="1">
        <f t="array" ref="L1325">_xlfn.IFS(
    I1324=FALSE, "",
    Payment_Frequency="Monthly", EDATE(L1324, 1),
    Payment_Frequency="Weekly", DATE(YEAR(L1324), MONTH(L1324), DAY(L1324) + 7),
    Payment_Frequency="Fortnightly", DATE(YEAR(L1324), MONTH(L1324), DAY(L1324) + 14),
    Payment_Frequency="Quarterly", DATE(YEAR(L1324), MONTH(L1324) + 3, DAY(L1324)),
    Payment_Frequency="Yearly", DATE(YEAR(L1324) + 1, MONTH(L1324), DAY(L1324)),
    TRUE, ""
)</f>
        <v/>
      </c>
      <c r="M1325" s="1853">
        <f>IF(ISERROR(L1325-L1324),0,L1325-L1324)</f>
        <v>0</v>
      </c>
      <c r="N1325" s="1851" cm="1">
        <f t="array" ref="N1325">_xlfn.IFS(
    AND(I1325=TRUE, K1325&lt;=No_Regular_Payments), Repay_Amt,
    AND(I1325=TRUE, K1325=No_Regular_Payments+1), Tm_Balloon_Amt,
   TRUE, 0
)</f>
        <v>0</v>
      </c>
      <c r="O1325" s="1850" cm="1">
        <f t="array" ref="O1325">_xlfn.IFS(
    M1325=0,0,
   ABS(N1325 - S1324 - P1325-Q1325) &lt; 1, N1325 - S1324-Q1325,
    TRUE, P1325
)</f>
        <v>0</v>
      </c>
      <c r="P1325" s="1852">
        <f>IF(M1325=0,0,ROUND(S1324*EXP(Int_Rate/365.25 * M1325)-S1324,2))</f>
        <v>0</v>
      </c>
      <c r="Q1325" s="1851" cm="1">
        <f t="array" ref="Q1325">_xlfn.IFS(
    AND(I1325=TRUE, K1325&lt;=No_Regular_Payments), Periodic_Admin_Charge,
   TRUE, 0
)</f>
        <v>0</v>
      </c>
      <c r="R1325" s="1850">
        <f>N1325-O1325-Q1325</f>
        <v>0</v>
      </c>
      <c r="S1325" s="1850">
        <f>ROUND(S1324-R1325,2)</f>
        <v>0</v>
      </c>
      <c r="T1325" s="1850">
        <f>ROUND(T1324-(N1325-Q1325),2)</f>
        <v>0</v>
      </c>
      <c r="U1325" s="1849"/>
      <c r="W1325" s="1848"/>
      <c r="X1325" s="1848"/>
      <c r="Y1325" s="1848"/>
    </row>
    <row r="1326" spans="2:25" hidden="1">
      <c r="B1326" s="1815" t="b">
        <f>AND(I1326=FALSE,N1325=0,Q1325=0,L1325="")</f>
        <v>1</v>
      </c>
      <c r="C1326" s="1844" t="str" cm="1">
        <f t="array" ref="C1326">_xlfn.IFS(
    L1326="", "",
    MONTH(L1326) &lt;= End_of_Year_Month, YEAR(L1326),
    TRUE, YEAR(L1326) + 1
)</f>
        <v/>
      </c>
      <c r="F1326" s="1857">
        <f>IF(L1326="",0,L1326)</f>
        <v>0</v>
      </c>
      <c r="G1326" s="1856">
        <f>-(N1326-Q1326)</f>
        <v>0</v>
      </c>
      <c r="I1326" s="1815" t="b">
        <f>K1326&lt;=Number_Payments</f>
        <v>0</v>
      </c>
      <c r="J1326" s="1855"/>
      <c r="K1326" s="1351">
        <f>K1325+1</f>
        <v>1200</v>
      </c>
      <c r="L1326" s="1854" t="str" cm="1">
        <f t="array" ref="L1326">_xlfn.IFS(
    I1325=FALSE, "",
    Payment_Frequency="Monthly", EDATE(L1325, 1),
    Payment_Frequency="Weekly", DATE(YEAR(L1325), MONTH(L1325), DAY(L1325) + 7),
    Payment_Frequency="Fortnightly", DATE(YEAR(L1325), MONTH(L1325), DAY(L1325) + 14),
    Payment_Frequency="Quarterly", DATE(YEAR(L1325), MONTH(L1325) + 3, DAY(L1325)),
    Payment_Frequency="Yearly", DATE(YEAR(L1325) + 1, MONTH(L1325), DAY(L1325)),
    TRUE, ""
)</f>
        <v/>
      </c>
      <c r="M1326" s="1853">
        <f>IF(ISERROR(L1326-L1325),0,L1326-L1325)</f>
        <v>0</v>
      </c>
      <c r="N1326" s="1851" cm="1">
        <f t="array" ref="N1326">_xlfn.IFS(
    AND(I1326=TRUE, K1326&lt;=No_Regular_Payments), Repay_Amt,
    AND(I1326=TRUE, K1326=No_Regular_Payments+1), Tm_Balloon_Amt,
   TRUE, 0
)</f>
        <v>0</v>
      </c>
      <c r="O1326" s="1850" cm="1">
        <f t="array" ref="O1326">_xlfn.IFS(
    M1326=0,0,
   ABS(N1326 - S1325 - P1326-Q1326) &lt; 1, N1326 - S1325-Q1326,
    TRUE, P1326
)</f>
        <v>0</v>
      </c>
      <c r="P1326" s="1852">
        <f>IF(M1326=0,0,ROUND(S1325*EXP(Int_Rate/365.25 * M1326)-S1325,2))</f>
        <v>0</v>
      </c>
      <c r="Q1326" s="1851" cm="1">
        <f t="array" ref="Q1326">_xlfn.IFS(
    AND(I1326=TRUE, K1326&lt;=No_Regular_Payments), Periodic_Admin_Charge,
   TRUE, 0
)</f>
        <v>0</v>
      </c>
      <c r="R1326" s="1850">
        <f>N1326-O1326-Q1326</f>
        <v>0</v>
      </c>
      <c r="S1326" s="1850">
        <f>ROUND(S1325-R1326,2)</f>
        <v>0</v>
      </c>
      <c r="T1326" s="1850">
        <f>ROUND(T1325-(N1326-Q1326),2)</f>
        <v>0</v>
      </c>
      <c r="U1326" s="1849"/>
      <c r="W1326" s="1848"/>
      <c r="X1326" s="1848"/>
      <c r="Y1326" s="1848"/>
    </row>
    <row r="1327" spans="2:25" hidden="1">
      <c r="B1327" s="1815" t="b">
        <f>AND(I1327=FALSE,N1326=0,Q1326=0,L1326="")</f>
        <v>1</v>
      </c>
      <c r="C1327" s="1844" t="str" cm="1">
        <f t="array" ref="C1327">_xlfn.IFS(
    L1327="", "",
    MONTH(L1327) &lt;= End_of_Year_Month, YEAR(L1327),
    TRUE, YEAR(L1327) + 1
)</f>
        <v/>
      </c>
      <c r="F1327" s="1857">
        <f>IF(L1327="",0,L1327)</f>
        <v>0</v>
      </c>
      <c r="G1327" s="1856">
        <f>-(N1327-Q1327)</f>
        <v>0</v>
      </c>
      <c r="I1327" s="1815" t="b">
        <f>K1327&lt;=Number_Payments</f>
        <v>0</v>
      </c>
      <c r="J1327" s="1855"/>
      <c r="K1327" s="1351">
        <f>K1326+1</f>
        <v>1201</v>
      </c>
      <c r="L1327" s="1854" t="str" cm="1">
        <f t="array" ref="L1327">_xlfn.IFS(
    I1326=FALSE, "",
    Payment_Frequency="Monthly", EDATE(L1326, 1),
    Payment_Frequency="Weekly", DATE(YEAR(L1326), MONTH(L1326), DAY(L1326) + 7),
    Payment_Frequency="Fortnightly", DATE(YEAR(L1326), MONTH(L1326), DAY(L1326) + 14),
    Payment_Frequency="Quarterly", DATE(YEAR(L1326), MONTH(L1326) + 3, DAY(L1326)),
    Payment_Frequency="Yearly", DATE(YEAR(L1326) + 1, MONTH(L1326), DAY(L1326)),
    TRUE, ""
)</f>
        <v/>
      </c>
      <c r="M1327" s="1853">
        <f>IF(ISERROR(L1327-L1326),0,L1327-L1326)</f>
        <v>0</v>
      </c>
      <c r="N1327" s="1851" cm="1">
        <f t="array" ref="N1327">_xlfn.IFS(
    AND(I1327=TRUE, K1327&lt;=No_Regular_Payments), Repay_Amt,
    AND(I1327=TRUE, K1327=No_Regular_Payments+1), Tm_Balloon_Amt,
   TRUE, 0
)</f>
        <v>0</v>
      </c>
      <c r="O1327" s="1850" cm="1">
        <f t="array" ref="O1327">_xlfn.IFS(
    M1327=0,0,
   ABS(N1327 - S1326 - P1327-Q1327) &lt; 1, N1327 - S1326-Q1327,
    TRUE, P1327
)</f>
        <v>0</v>
      </c>
      <c r="P1327" s="1852">
        <f>IF(M1327=0,0,ROUND(S1326*EXP(Int_Rate/365.25 * M1327)-S1326,2))</f>
        <v>0</v>
      </c>
      <c r="Q1327" s="1851" cm="1">
        <f t="array" ref="Q1327">_xlfn.IFS(
    AND(I1327=TRUE, K1327&lt;=No_Regular_Payments), Periodic_Admin_Charge,
   TRUE, 0
)</f>
        <v>0</v>
      </c>
      <c r="R1327" s="1850">
        <f>N1327-O1327-Q1327</f>
        <v>0</v>
      </c>
      <c r="S1327" s="1850">
        <f>ROUND(S1326-R1327,2)</f>
        <v>0</v>
      </c>
      <c r="T1327" s="1850">
        <f>ROUND(T1326-(N1327-Q1327),2)</f>
        <v>0</v>
      </c>
      <c r="U1327" s="1849"/>
      <c r="W1327" s="1848"/>
      <c r="X1327" s="1848"/>
      <c r="Y1327" s="1848"/>
    </row>
    <row r="1328" spans="2:25" hidden="1">
      <c r="B1328" s="1815" t="b">
        <f>AND(I1328=FALSE,N1327=0,Q1327=0,L1327="")</f>
        <v>1</v>
      </c>
      <c r="C1328" s="1844" t="str" cm="1">
        <f t="array" ref="C1328">_xlfn.IFS(
    L1328="", "",
    MONTH(L1328) &lt;= End_of_Year_Month, YEAR(L1328),
    TRUE, YEAR(L1328) + 1
)</f>
        <v/>
      </c>
      <c r="F1328" s="1857">
        <f>IF(L1328="",0,L1328)</f>
        <v>0</v>
      </c>
      <c r="G1328" s="1856">
        <f>-(N1328-Q1328)</f>
        <v>0</v>
      </c>
      <c r="I1328" s="1815" t="b">
        <f>K1328&lt;=Number_Payments</f>
        <v>0</v>
      </c>
      <c r="J1328" s="1855"/>
      <c r="K1328" s="1351">
        <f>K1327+1</f>
        <v>1202</v>
      </c>
      <c r="L1328" s="1854" t="str" cm="1">
        <f t="array" ref="L1328">_xlfn.IFS(
    I1327=FALSE, "",
    Payment_Frequency="Monthly", EDATE(L1327, 1),
    Payment_Frequency="Weekly", DATE(YEAR(L1327), MONTH(L1327), DAY(L1327) + 7),
    Payment_Frequency="Fortnightly", DATE(YEAR(L1327), MONTH(L1327), DAY(L1327) + 14),
    Payment_Frequency="Quarterly", DATE(YEAR(L1327), MONTH(L1327) + 3, DAY(L1327)),
    Payment_Frequency="Yearly", DATE(YEAR(L1327) + 1, MONTH(L1327), DAY(L1327)),
    TRUE, ""
)</f>
        <v/>
      </c>
      <c r="M1328" s="1853">
        <f>IF(ISERROR(L1328-L1327),0,L1328-L1327)</f>
        <v>0</v>
      </c>
      <c r="N1328" s="1851" cm="1">
        <f t="array" ref="N1328">_xlfn.IFS(
    AND(I1328=TRUE, K1328&lt;=No_Regular_Payments), Repay_Amt,
    AND(I1328=TRUE, K1328=No_Regular_Payments+1), Tm_Balloon_Amt,
   TRUE, 0
)</f>
        <v>0</v>
      </c>
      <c r="O1328" s="1850" cm="1">
        <f t="array" ref="O1328">_xlfn.IFS(
    M1328=0,0,
   ABS(N1328 - S1327 - P1328-Q1328) &lt; 1, N1328 - S1327-Q1328,
    TRUE, P1328
)</f>
        <v>0</v>
      </c>
      <c r="P1328" s="1852">
        <f>IF(M1328=0,0,ROUND(S1327*EXP(Int_Rate/365.25 * M1328)-S1327,2))</f>
        <v>0</v>
      </c>
      <c r="Q1328" s="1851" cm="1">
        <f t="array" ref="Q1328">_xlfn.IFS(
    AND(I1328=TRUE, K1328&lt;=No_Regular_Payments), Periodic_Admin_Charge,
   TRUE, 0
)</f>
        <v>0</v>
      </c>
      <c r="R1328" s="1850">
        <f>N1328-O1328-Q1328</f>
        <v>0</v>
      </c>
      <c r="S1328" s="1850">
        <f>ROUND(S1327-R1328,2)</f>
        <v>0</v>
      </c>
      <c r="T1328" s="1850">
        <f>ROUND(T1327-(N1328-Q1328),2)</f>
        <v>0</v>
      </c>
      <c r="U1328" s="1849"/>
      <c r="W1328" s="1848"/>
      <c r="X1328" s="1848"/>
      <c r="Y1328" s="1848"/>
    </row>
    <row r="1329" spans="2:25" hidden="1">
      <c r="B1329" s="1815" t="b">
        <f>AND(I1329=FALSE,N1328=0,Q1328=0,L1328="")</f>
        <v>1</v>
      </c>
      <c r="C1329" s="1844" t="str" cm="1">
        <f t="array" ref="C1329">_xlfn.IFS(
    L1329="", "",
    MONTH(L1329) &lt;= End_of_Year_Month, YEAR(L1329),
    TRUE, YEAR(L1329) + 1
)</f>
        <v/>
      </c>
      <c r="F1329" s="1857">
        <f>IF(L1329="",0,L1329)</f>
        <v>0</v>
      </c>
      <c r="G1329" s="1856">
        <f>-(N1329-Q1329)</f>
        <v>0</v>
      </c>
      <c r="I1329" s="1815" t="b">
        <f>K1329&lt;=Number_Payments</f>
        <v>0</v>
      </c>
      <c r="J1329" s="1855"/>
      <c r="K1329" s="1351">
        <f>K1328+1</f>
        <v>1203</v>
      </c>
      <c r="L1329" s="1854" t="str" cm="1">
        <f t="array" ref="L1329">_xlfn.IFS(
    I1328=FALSE, "",
    Payment_Frequency="Monthly", EDATE(L1328, 1),
    Payment_Frequency="Weekly", DATE(YEAR(L1328), MONTH(L1328), DAY(L1328) + 7),
    Payment_Frequency="Fortnightly", DATE(YEAR(L1328), MONTH(L1328), DAY(L1328) + 14),
    Payment_Frequency="Quarterly", DATE(YEAR(L1328), MONTH(L1328) + 3, DAY(L1328)),
    Payment_Frequency="Yearly", DATE(YEAR(L1328) + 1, MONTH(L1328), DAY(L1328)),
    TRUE, ""
)</f>
        <v/>
      </c>
      <c r="M1329" s="1853">
        <f>IF(ISERROR(L1329-L1328),0,L1329-L1328)</f>
        <v>0</v>
      </c>
      <c r="N1329" s="1851" cm="1">
        <f t="array" ref="N1329">_xlfn.IFS(
    AND(I1329=TRUE, K1329&lt;=No_Regular_Payments), Repay_Amt,
    AND(I1329=TRUE, K1329=No_Regular_Payments+1), Tm_Balloon_Amt,
   TRUE, 0
)</f>
        <v>0</v>
      </c>
      <c r="O1329" s="1850" cm="1">
        <f t="array" ref="O1329">_xlfn.IFS(
    M1329=0,0,
   ABS(N1329 - S1328 - P1329-Q1329) &lt; 1, N1329 - S1328-Q1329,
    TRUE, P1329
)</f>
        <v>0</v>
      </c>
      <c r="P1329" s="1852">
        <f>IF(M1329=0,0,ROUND(S1328*EXP(Int_Rate/365.25 * M1329)-S1328,2))</f>
        <v>0</v>
      </c>
      <c r="Q1329" s="1851" cm="1">
        <f t="array" ref="Q1329">_xlfn.IFS(
    AND(I1329=TRUE, K1329&lt;=No_Regular_Payments), Periodic_Admin_Charge,
   TRUE, 0
)</f>
        <v>0</v>
      </c>
      <c r="R1329" s="1850">
        <f>N1329-O1329-Q1329</f>
        <v>0</v>
      </c>
      <c r="S1329" s="1850">
        <f>ROUND(S1328-R1329,2)</f>
        <v>0</v>
      </c>
      <c r="T1329" s="1850">
        <f>ROUND(T1328-(N1329-Q1329),2)</f>
        <v>0</v>
      </c>
      <c r="U1329" s="1849"/>
      <c r="W1329" s="1848"/>
      <c r="X1329" s="1848"/>
      <c r="Y1329" s="1848"/>
    </row>
    <row r="1330" spans="2:25" hidden="1">
      <c r="B1330" s="1815" t="b">
        <f>AND(I1330=FALSE,N1329=0,Q1329=0,L1329="")</f>
        <v>1</v>
      </c>
      <c r="C1330" s="1844" t="str" cm="1">
        <f t="array" ref="C1330">_xlfn.IFS(
    L1330="", "",
    MONTH(L1330) &lt;= End_of_Year_Month, YEAR(L1330),
    TRUE, YEAR(L1330) + 1
)</f>
        <v/>
      </c>
      <c r="F1330" s="1857">
        <f>IF(L1330="",0,L1330)</f>
        <v>0</v>
      </c>
      <c r="G1330" s="1856">
        <f>-(N1330-Q1330)</f>
        <v>0</v>
      </c>
      <c r="I1330" s="1815" t="b">
        <f>K1330&lt;=Number_Payments</f>
        <v>0</v>
      </c>
      <c r="J1330" s="1855"/>
      <c r="K1330" s="1351">
        <f>K1329+1</f>
        <v>1204</v>
      </c>
      <c r="L1330" s="1854" t="str" cm="1">
        <f t="array" ref="L1330">_xlfn.IFS(
    I1329=FALSE, "",
    Payment_Frequency="Monthly", EDATE(L1329, 1),
    Payment_Frequency="Weekly", DATE(YEAR(L1329), MONTH(L1329), DAY(L1329) + 7),
    Payment_Frequency="Fortnightly", DATE(YEAR(L1329), MONTH(L1329), DAY(L1329) + 14),
    Payment_Frequency="Quarterly", DATE(YEAR(L1329), MONTH(L1329) + 3, DAY(L1329)),
    Payment_Frequency="Yearly", DATE(YEAR(L1329) + 1, MONTH(L1329), DAY(L1329)),
    TRUE, ""
)</f>
        <v/>
      </c>
      <c r="M1330" s="1853">
        <f>IF(ISERROR(L1330-L1329),0,L1330-L1329)</f>
        <v>0</v>
      </c>
      <c r="N1330" s="1851" cm="1">
        <f t="array" ref="N1330">_xlfn.IFS(
    AND(I1330=TRUE, K1330&lt;=No_Regular_Payments), Repay_Amt,
    AND(I1330=TRUE, K1330=No_Regular_Payments+1), Tm_Balloon_Amt,
   TRUE, 0
)</f>
        <v>0</v>
      </c>
      <c r="O1330" s="1850" cm="1">
        <f t="array" ref="O1330">_xlfn.IFS(
    M1330=0,0,
   ABS(N1330 - S1329 - P1330-Q1330) &lt; 1, N1330 - S1329-Q1330,
    TRUE, P1330
)</f>
        <v>0</v>
      </c>
      <c r="P1330" s="1852">
        <f>IF(M1330=0,0,ROUND(S1329*EXP(Int_Rate/365.25 * M1330)-S1329,2))</f>
        <v>0</v>
      </c>
      <c r="Q1330" s="1851" cm="1">
        <f t="array" ref="Q1330">_xlfn.IFS(
    AND(I1330=TRUE, K1330&lt;=No_Regular_Payments), Periodic_Admin_Charge,
   TRUE, 0
)</f>
        <v>0</v>
      </c>
      <c r="R1330" s="1850">
        <f>N1330-O1330-Q1330</f>
        <v>0</v>
      </c>
      <c r="S1330" s="1850">
        <f>ROUND(S1329-R1330,2)</f>
        <v>0</v>
      </c>
      <c r="T1330" s="1850">
        <f>ROUND(T1329-(N1330-Q1330),2)</f>
        <v>0</v>
      </c>
      <c r="U1330" s="1849"/>
      <c r="W1330" s="1848"/>
      <c r="X1330" s="1848"/>
      <c r="Y1330" s="1848"/>
    </row>
    <row r="1331" spans="2:25" hidden="1">
      <c r="B1331" s="1815" t="b">
        <f>AND(I1331=FALSE,N1330=0,Q1330=0,L1330="")</f>
        <v>1</v>
      </c>
      <c r="C1331" s="1844" t="str" cm="1">
        <f t="array" ref="C1331">_xlfn.IFS(
    L1331="", "",
    MONTH(L1331) &lt;= End_of_Year_Month, YEAR(L1331),
    TRUE, YEAR(L1331) + 1
)</f>
        <v/>
      </c>
      <c r="F1331" s="1857">
        <f>IF(L1331="",0,L1331)</f>
        <v>0</v>
      </c>
      <c r="G1331" s="1856">
        <f>-(N1331-Q1331)</f>
        <v>0</v>
      </c>
      <c r="I1331" s="1815" t="b">
        <f>K1331&lt;=Number_Payments</f>
        <v>0</v>
      </c>
      <c r="J1331" s="1855"/>
      <c r="K1331" s="1351">
        <f>K1330+1</f>
        <v>1205</v>
      </c>
      <c r="L1331" s="1854" t="str" cm="1">
        <f t="array" ref="L1331">_xlfn.IFS(
    I1330=FALSE, "",
    Payment_Frequency="Monthly", EDATE(L1330, 1),
    Payment_Frequency="Weekly", DATE(YEAR(L1330), MONTH(L1330), DAY(L1330) + 7),
    Payment_Frequency="Fortnightly", DATE(YEAR(L1330), MONTH(L1330), DAY(L1330) + 14),
    Payment_Frequency="Quarterly", DATE(YEAR(L1330), MONTH(L1330) + 3, DAY(L1330)),
    Payment_Frequency="Yearly", DATE(YEAR(L1330) + 1, MONTH(L1330), DAY(L1330)),
    TRUE, ""
)</f>
        <v/>
      </c>
      <c r="M1331" s="1853">
        <f>IF(ISERROR(L1331-L1330),0,L1331-L1330)</f>
        <v>0</v>
      </c>
      <c r="N1331" s="1851" cm="1">
        <f t="array" ref="N1331">_xlfn.IFS(
    AND(I1331=TRUE, K1331&lt;=No_Regular_Payments), Repay_Amt,
    AND(I1331=TRUE, K1331=No_Regular_Payments+1), Tm_Balloon_Amt,
   TRUE, 0
)</f>
        <v>0</v>
      </c>
      <c r="O1331" s="1850" cm="1">
        <f t="array" ref="O1331">_xlfn.IFS(
    M1331=0,0,
   ABS(N1331 - S1330 - P1331-Q1331) &lt; 1, N1331 - S1330-Q1331,
    TRUE, P1331
)</f>
        <v>0</v>
      </c>
      <c r="P1331" s="1852">
        <f>IF(M1331=0,0,ROUND(S1330*EXP(Int_Rate/365.25 * M1331)-S1330,2))</f>
        <v>0</v>
      </c>
      <c r="Q1331" s="1851" cm="1">
        <f t="array" ref="Q1331">_xlfn.IFS(
    AND(I1331=TRUE, K1331&lt;=No_Regular_Payments), Periodic_Admin_Charge,
   TRUE, 0
)</f>
        <v>0</v>
      </c>
      <c r="R1331" s="1850">
        <f>N1331-O1331-Q1331</f>
        <v>0</v>
      </c>
      <c r="S1331" s="1850">
        <f>ROUND(S1330-R1331,2)</f>
        <v>0</v>
      </c>
      <c r="T1331" s="1850">
        <f>ROUND(T1330-(N1331-Q1331),2)</f>
        <v>0</v>
      </c>
      <c r="U1331" s="1849"/>
      <c r="W1331" s="1848"/>
      <c r="X1331" s="1848"/>
      <c r="Y1331" s="1848"/>
    </row>
    <row r="1332" spans="2:25" hidden="1">
      <c r="B1332" s="1815" t="b">
        <f>AND(I1332=FALSE,N1331=0,Q1331=0,L1331="")</f>
        <v>1</v>
      </c>
      <c r="C1332" s="1844" t="str" cm="1">
        <f t="array" ref="C1332">_xlfn.IFS(
    L1332="", "",
    MONTH(L1332) &lt;= End_of_Year_Month, YEAR(L1332),
    TRUE, YEAR(L1332) + 1
)</f>
        <v/>
      </c>
      <c r="F1332" s="1857">
        <f>IF(L1332="",0,L1332)</f>
        <v>0</v>
      </c>
      <c r="G1332" s="1856">
        <f>-(N1332-Q1332)</f>
        <v>0</v>
      </c>
      <c r="I1332" s="1815" t="b">
        <f>K1332&lt;=Number_Payments</f>
        <v>0</v>
      </c>
      <c r="J1332" s="1855"/>
      <c r="K1332" s="1351">
        <f>K1331+1</f>
        <v>1206</v>
      </c>
      <c r="L1332" s="1854" t="str" cm="1">
        <f t="array" ref="L1332">_xlfn.IFS(
    I1331=FALSE, "",
    Payment_Frequency="Monthly", EDATE(L1331, 1),
    Payment_Frequency="Weekly", DATE(YEAR(L1331), MONTH(L1331), DAY(L1331) + 7),
    Payment_Frequency="Fortnightly", DATE(YEAR(L1331), MONTH(L1331), DAY(L1331) + 14),
    Payment_Frequency="Quarterly", DATE(YEAR(L1331), MONTH(L1331) + 3, DAY(L1331)),
    Payment_Frequency="Yearly", DATE(YEAR(L1331) + 1, MONTH(L1331), DAY(L1331)),
    TRUE, ""
)</f>
        <v/>
      </c>
      <c r="M1332" s="1853">
        <f>IF(ISERROR(L1332-L1331),0,L1332-L1331)</f>
        <v>0</v>
      </c>
      <c r="N1332" s="1851" cm="1">
        <f t="array" ref="N1332">_xlfn.IFS(
    AND(I1332=TRUE, K1332&lt;=No_Regular_Payments), Repay_Amt,
    AND(I1332=TRUE, K1332=No_Regular_Payments+1), Tm_Balloon_Amt,
   TRUE, 0
)</f>
        <v>0</v>
      </c>
      <c r="O1332" s="1850" cm="1">
        <f t="array" ref="O1332">_xlfn.IFS(
    M1332=0,0,
   ABS(N1332 - S1331 - P1332-Q1332) &lt; 1, N1332 - S1331-Q1332,
    TRUE, P1332
)</f>
        <v>0</v>
      </c>
      <c r="P1332" s="1852">
        <f>IF(M1332=0,0,ROUND(S1331*EXP(Int_Rate/365.25 * M1332)-S1331,2))</f>
        <v>0</v>
      </c>
      <c r="Q1332" s="1851" cm="1">
        <f t="array" ref="Q1332">_xlfn.IFS(
    AND(I1332=TRUE, K1332&lt;=No_Regular_Payments), Periodic_Admin_Charge,
   TRUE, 0
)</f>
        <v>0</v>
      </c>
      <c r="R1332" s="1850">
        <f>N1332-O1332-Q1332</f>
        <v>0</v>
      </c>
      <c r="S1332" s="1850">
        <f>ROUND(S1331-R1332,2)</f>
        <v>0</v>
      </c>
      <c r="T1332" s="1850">
        <f>ROUND(T1331-(N1332-Q1332),2)</f>
        <v>0</v>
      </c>
      <c r="U1332" s="1849"/>
      <c r="W1332" s="1848"/>
      <c r="X1332" s="1848"/>
      <c r="Y1332" s="1848"/>
    </row>
    <row r="1333" spans="2:25" hidden="1">
      <c r="B1333" s="1815" t="b">
        <f>AND(I1333=FALSE,N1332=0,Q1332=0,L1332="")</f>
        <v>1</v>
      </c>
      <c r="C1333" s="1844" t="str" cm="1">
        <f t="array" ref="C1333">_xlfn.IFS(
    L1333="", "",
    MONTH(L1333) &lt;= End_of_Year_Month, YEAR(L1333),
    TRUE, YEAR(L1333) + 1
)</f>
        <v/>
      </c>
      <c r="F1333" s="1857">
        <f>IF(L1333="",0,L1333)</f>
        <v>0</v>
      </c>
      <c r="G1333" s="1856">
        <f>-(N1333-Q1333)</f>
        <v>0</v>
      </c>
      <c r="I1333" s="1815" t="b">
        <f>K1333&lt;=Number_Payments</f>
        <v>0</v>
      </c>
      <c r="J1333" s="1855"/>
      <c r="K1333" s="1351">
        <f>K1332+1</f>
        <v>1207</v>
      </c>
      <c r="L1333" s="1854" t="str" cm="1">
        <f t="array" ref="L1333">_xlfn.IFS(
    I1332=FALSE, "",
    Payment_Frequency="Monthly", EDATE(L1332, 1),
    Payment_Frequency="Weekly", DATE(YEAR(L1332), MONTH(L1332), DAY(L1332) + 7),
    Payment_Frequency="Fortnightly", DATE(YEAR(L1332), MONTH(L1332), DAY(L1332) + 14),
    Payment_Frequency="Quarterly", DATE(YEAR(L1332), MONTH(L1332) + 3, DAY(L1332)),
    Payment_Frequency="Yearly", DATE(YEAR(L1332) + 1, MONTH(L1332), DAY(L1332)),
    TRUE, ""
)</f>
        <v/>
      </c>
      <c r="M1333" s="1853">
        <f>IF(ISERROR(L1333-L1332),0,L1333-L1332)</f>
        <v>0</v>
      </c>
      <c r="N1333" s="1851" cm="1">
        <f t="array" ref="N1333">_xlfn.IFS(
    AND(I1333=TRUE, K1333&lt;=No_Regular_Payments), Repay_Amt,
    AND(I1333=TRUE, K1333=No_Regular_Payments+1), Tm_Balloon_Amt,
   TRUE, 0
)</f>
        <v>0</v>
      </c>
      <c r="O1333" s="1850" cm="1">
        <f t="array" ref="O1333">_xlfn.IFS(
    M1333=0,0,
   ABS(N1333 - S1332 - P1333-Q1333) &lt; 1, N1333 - S1332-Q1333,
    TRUE, P1333
)</f>
        <v>0</v>
      </c>
      <c r="P1333" s="1852">
        <f>IF(M1333=0,0,ROUND(S1332*EXP(Int_Rate/365.25 * M1333)-S1332,2))</f>
        <v>0</v>
      </c>
      <c r="Q1333" s="1851" cm="1">
        <f t="array" ref="Q1333">_xlfn.IFS(
    AND(I1333=TRUE, K1333&lt;=No_Regular_Payments), Periodic_Admin_Charge,
   TRUE, 0
)</f>
        <v>0</v>
      </c>
      <c r="R1333" s="1850">
        <f>N1333-O1333-Q1333</f>
        <v>0</v>
      </c>
      <c r="S1333" s="1850">
        <f>ROUND(S1332-R1333,2)</f>
        <v>0</v>
      </c>
      <c r="T1333" s="1850">
        <f>ROUND(T1332-(N1333-Q1333),2)</f>
        <v>0</v>
      </c>
      <c r="U1333" s="1849"/>
      <c r="W1333" s="1848"/>
      <c r="X1333" s="1848"/>
      <c r="Y1333" s="1848"/>
    </row>
    <row r="1334" spans="2:25" hidden="1">
      <c r="B1334" s="1815" t="b">
        <f>AND(I1334=FALSE,N1333=0,Q1333=0,L1333="")</f>
        <v>1</v>
      </c>
      <c r="C1334" s="1844" t="str" cm="1">
        <f t="array" ref="C1334">_xlfn.IFS(
    L1334="", "",
    MONTH(L1334) &lt;= End_of_Year_Month, YEAR(L1334),
    TRUE, YEAR(L1334) + 1
)</f>
        <v/>
      </c>
      <c r="F1334" s="1857">
        <f>IF(L1334="",0,L1334)</f>
        <v>0</v>
      </c>
      <c r="G1334" s="1856">
        <f>-(N1334-Q1334)</f>
        <v>0</v>
      </c>
      <c r="I1334" s="1815" t="b">
        <f>K1334&lt;=Number_Payments</f>
        <v>0</v>
      </c>
      <c r="J1334" s="1855"/>
      <c r="K1334" s="1351">
        <f>K1333+1</f>
        <v>1208</v>
      </c>
      <c r="L1334" s="1854" t="str" cm="1">
        <f t="array" ref="L1334">_xlfn.IFS(
    I1333=FALSE, "",
    Payment_Frequency="Monthly", EDATE(L1333, 1),
    Payment_Frequency="Weekly", DATE(YEAR(L1333), MONTH(L1333), DAY(L1333) + 7),
    Payment_Frequency="Fortnightly", DATE(YEAR(L1333), MONTH(L1333), DAY(L1333) + 14),
    Payment_Frequency="Quarterly", DATE(YEAR(L1333), MONTH(L1333) + 3, DAY(L1333)),
    Payment_Frequency="Yearly", DATE(YEAR(L1333) + 1, MONTH(L1333), DAY(L1333)),
    TRUE, ""
)</f>
        <v/>
      </c>
      <c r="M1334" s="1853">
        <f>IF(ISERROR(L1334-L1333),0,L1334-L1333)</f>
        <v>0</v>
      </c>
      <c r="N1334" s="1851" cm="1">
        <f t="array" ref="N1334">_xlfn.IFS(
    AND(I1334=TRUE, K1334&lt;=No_Regular_Payments), Repay_Amt,
    AND(I1334=TRUE, K1334=No_Regular_Payments+1), Tm_Balloon_Amt,
   TRUE, 0
)</f>
        <v>0</v>
      </c>
      <c r="O1334" s="1850" cm="1">
        <f t="array" ref="O1334">_xlfn.IFS(
    M1334=0,0,
   ABS(N1334 - S1333 - P1334-Q1334) &lt; 1, N1334 - S1333-Q1334,
    TRUE, P1334
)</f>
        <v>0</v>
      </c>
      <c r="P1334" s="1852">
        <f>IF(M1334=0,0,ROUND(S1333*EXP(Int_Rate/365.25 * M1334)-S1333,2))</f>
        <v>0</v>
      </c>
      <c r="Q1334" s="1851" cm="1">
        <f t="array" ref="Q1334">_xlfn.IFS(
    AND(I1334=TRUE, K1334&lt;=No_Regular_Payments), Periodic_Admin_Charge,
   TRUE, 0
)</f>
        <v>0</v>
      </c>
      <c r="R1334" s="1850">
        <f>N1334-O1334-Q1334</f>
        <v>0</v>
      </c>
      <c r="S1334" s="1850">
        <f>ROUND(S1333-R1334,2)</f>
        <v>0</v>
      </c>
      <c r="T1334" s="1850">
        <f>ROUND(T1333-(N1334-Q1334),2)</f>
        <v>0</v>
      </c>
      <c r="U1334" s="1849"/>
      <c r="W1334" s="1848"/>
      <c r="X1334" s="1848"/>
      <c r="Y1334" s="1848"/>
    </row>
    <row r="1335" spans="2:25" hidden="1">
      <c r="B1335" s="1815" t="b">
        <f>AND(I1335=FALSE,N1334=0,Q1334=0,L1334="")</f>
        <v>1</v>
      </c>
      <c r="C1335" s="1844" t="str" cm="1">
        <f t="array" ref="C1335">_xlfn.IFS(
    L1335="", "",
    MONTH(L1335) &lt;= End_of_Year_Month, YEAR(L1335),
    TRUE, YEAR(L1335) + 1
)</f>
        <v/>
      </c>
      <c r="F1335" s="1857">
        <f>IF(L1335="",0,L1335)</f>
        <v>0</v>
      </c>
      <c r="G1335" s="1856">
        <f>-(N1335-Q1335)</f>
        <v>0</v>
      </c>
      <c r="I1335" s="1815" t="b">
        <f>K1335&lt;=Number_Payments</f>
        <v>0</v>
      </c>
      <c r="J1335" s="1855"/>
      <c r="K1335" s="1351">
        <f>K1334+1</f>
        <v>1209</v>
      </c>
      <c r="L1335" s="1854" t="str" cm="1">
        <f t="array" ref="L1335">_xlfn.IFS(
    I1334=FALSE, "",
    Payment_Frequency="Monthly", EDATE(L1334, 1),
    Payment_Frequency="Weekly", DATE(YEAR(L1334), MONTH(L1334), DAY(L1334) + 7),
    Payment_Frequency="Fortnightly", DATE(YEAR(L1334), MONTH(L1334), DAY(L1334) + 14),
    Payment_Frequency="Quarterly", DATE(YEAR(L1334), MONTH(L1334) + 3, DAY(L1334)),
    Payment_Frequency="Yearly", DATE(YEAR(L1334) + 1, MONTH(L1334), DAY(L1334)),
    TRUE, ""
)</f>
        <v/>
      </c>
      <c r="M1335" s="1853">
        <f>IF(ISERROR(L1335-L1334),0,L1335-L1334)</f>
        <v>0</v>
      </c>
      <c r="N1335" s="1851" cm="1">
        <f t="array" ref="N1335">_xlfn.IFS(
    AND(I1335=TRUE, K1335&lt;=No_Regular_Payments), Repay_Amt,
    AND(I1335=TRUE, K1335=No_Regular_Payments+1), Tm_Balloon_Amt,
   TRUE, 0
)</f>
        <v>0</v>
      </c>
      <c r="O1335" s="1850" cm="1">
        <f t="array" ref="O1335">_xlfn.IFS(
    M1335=0,0,
   ABS(N1335 - S1334 - P1335-Q1335) &lt; 1, N1335 - S1334-Q1335,
    TRUE, P1335
)</f>
        <v>0</v>
      </c>
      <c r="P1335" s="1852">
        <f>IF(M1335=0,0,ROUND(S1334*EXP(Int_Rate/365.25 * M1335)-S1334,2))</f>
        <v>0</v>
      </c>
      <c r="Q1335" s="1851" cm="1">
        <f t="array" ref="Q1335">_xlfn.IFS(
    AND(I1335=TRUE, K1335&lt;=No_Regular_Payments), Periodic_Admin_Charge,
   TRUE, 0
)</f>
        <v>0</v>
      </c>
      <c r="R1335" s="1850">
        <f>N1335-O1335-Q1335</f>
        <v>0</v>
      </c>
      <c r="S1335" s="1850">
        <f>ROUND(S1334-R1335,2)</f>
        <v>0</v>
      </c>
      <c r="T1335" s="1850">
        <f>ROUND(T1334-(N1335-Q1335),2)</f>
        <v>0</v>
      </c>
      <c r="U1335" s="1849"/>
      <c r="W1335" s="1848"/>
      <c r="X1335" s="1848"/>
      <c r="Y1335" s="1848"/>
    </row>
    <row r="1336" spans="2:25" hidden="1">
      <c r="B1336" s="1815" t="b">
        <f>AND(I1336=FALSE,N1335=0,Q1335=0,L1335="")</f>
        <v>1</v>
      </c>
      <c r="C1336" s="1844" t="str" cm="1">
        <f t="array" ref="C1336">_xlfn.IFS(
    L1336="", "",
    MONTH(L1336) &lt;= End_of_Year_Month, YEAR(L1336),
    TRUE, YEAR(L1336) + 1
)</f>
        <v/>
      </c>
      <c r="F1336" s="1857">
        <f>IF(L1336="",0,L1336)</f>
        <v>0</v>
      </c>
      <c r="G1336" s="1856">
        <f>-(N1336-Q1336)</f>
        <v>0</v>
      </c>
      <c r="I1336" s="1815" t="b">
        <f>K1336&lt;=Number_Payments</f>
        <v>0</v>
      </c>
      <c r="J1336" s="1855"/>
      <c r="K1336" s="1351">
        <f>K1335+1</f>
        <v>1210</v>
      </c>
      <c r="L1336" s="1854" t="str" cm="1">
        <f t="array" ref="L1336">_xlfn.IFS(
    I1335=FALSE, "",
    Payment_Frequency="Monthly", EDATE(L1335, 1),
    Payment_Frequency="Weekly", DATE(YEAR(L1335), MONTH(L1335), DAY(L1335) + 7),
    Payment_Frequency="Fortnightly", DATE(YEAR(L1335), MONTH(L1335), DAY(L1335) + 14),
    Payment_Frequency="Quarterly", DATE(YEAR(L1335), MONTH(L1335) + 3, DAY(L1335)),
    Payment_Frequency="Yearly", DATE(YEAR(L1335) + 1, MONTH(L1335), DAY(L1335)),
    TRUE, ""
)</f>
        <v/>
      </c>
      <c r="M1336" s="1853">
        <f>IF(ISERROR(L1336-L1335),0,L1336-L1335)</f>
        <v>0</v>
      </c>
      <c r="N1336" s="1851" cm="1">
        <f t="array" ref="N1336">_xlfn.IFS(
    AND(I1336=TRUE, K1336&lt;=No_Regular_Payments), Repay_Amt,
    AND(I1336=TRUE, K1336=No_Regular_Payments+1), Tm_Balloon_Amt,
   TRUE, 0
)</f>
        <v>0</v>
      </c>
      <c r="O1336" s="1850" cm="1">
        <f t="array" ref="O1336">_xlfn.IFS(
    M1336=0,0,
   ABS(N1336 - S1335 - P1336-Q1336) &lt; 1, N1336 - S1335-Q1336,
    TRUE, P1336
)</f>
        <v>0</v>
      </c>
      <c r="P1336" s="1852">
        <f>IF(M1336=0,0,ROUND(S1335*EXP(Int_Rate/365.25 * M1336)-S1335,2))</f>
        <v>0</v>
      </c>
      <c r="Q1336" s="1851" cm="1">
        <f t="array" ref="Q1336">_xlfn.IFS(
    AND(I1336=TRUE, K1336&lt;=No_Regular_Payments), Periodic_Admin_Charge,
   TRUE, 0
)</f>
        <v>0</v>
      </c>
      <c r="R1336" s="1850">
        <f>N1336-O1336-Q1336</f>
        <v>0</v>
      </c>
      <c r="S1336" s="1850">
        <f>ROUND(S1335-R1336,2)</f>
        <v>0</v>
      </c>
      <c r="T1336" s="1850">
        <f>ROUND(T1335-(N1336-Q1336),2)</f>
        <v>0</v>
      </c>
      <c r="U1336" s="1849"/>
      <c r="W1336" s="1848"/>
      <c r="X1336" s="1848"/>
      <c r="Y1336" s="1848"/>
    </row>
    <row r="1337" spans="2:25" hidden="1">
      <c r="B1337" s="1815" t="b">
        <f>AND(I1337=FALSE,N1336=0,Q1336=0,L1336="")</f>
        <v>1</v>
      </c>
      <c r="C1337" s="1844" t="str" cm="1">
        <f t="array" ref="C1337">_xlfn.IFS(
    L1337="", "",
    MONTH(L1337) &lt;= End_of_Year_Month, YEAR(L1337),
    TRUE, YEAR(L1337) + 1
)</f>
        <v/>
      </c>
      <c r="F1337" s="1857">
        <f>IF(L1337="",0,L1337)</f>
        <v>0</v>
      </c>
      <c r="G1337" s="1856">
        <f>-(N1337-Q1337)</f>
        <v>0</v>
      </c>
      <c r="I1337" s="1815" t="b">
        <f>K1337&lt;=Number_Payments</f>
        <v>0</v>
      </c>
      <c r="J1337" s="1855"/>
      <c r="K1337" s="1351">
        <f>K1336+1</f>
        <v>1211</v>
      </c>
      <c r="L1337" s="1854" t="str" cm="1">
        <f t="array" ref="L1337">_xlfn.IFS(
    I1336=FALSE, "",
    Payment_Frequency="Monthly", EDATE(L1336, 1),
    Payment_Frequency="Weekly", DATE(YEAR(L1336), MONTH(L1336), DAY(L1336) + 7),
    Payment_Frequency="Fortnightly", DATE(YEAR(L1336), MONTH(L1336), DAY(L1336) + 14),
    Payment_Frequency="Quarterly", DATE(YEAR(L1336), MONTH(L1336) + 3, DAY(L1336)),
    Payment_Frequency="Yearly", DATE(YEAR(L1336) + 1, MONTH(L1336), DAY(L1336)),
    TRUE, ""
)</f>
        <v/>
      </c>
      <c r="M1337" s="1853">
        <f>IF(ISERROR(L1337-L1336),0,L1337-L1336)</f>
        <v>0</v>
      </c>
      <c r="N1337" s="1851" cm="1">
        <f t="array" ref="N1337">_xlfn.IFS(
    AND(I1337=TRUE, K1337&lt;=No_Regular_Payments), Repay_Amt,
    AND(I1337=TRUE, K1337=No_Regular_Payments+1), Tm_Balloon_Amt,
   TRUE, 0
)</f>
        <v>0</v>
      </c>
      <c r="O1337" s="1850" cm="1">
        <f t="array" ref="O1337">_xlfn.IFS(
    M1337=0,0,
   ABS(N1337 - S1336 - P1337-Q1337) &lt; 1, N1337 - S1336-Q1337,
    TRUE, P1337
)</f>
        <v>0</v>
      </c>
      <c r="P1337" s="1852">
        <f>IF(M1337=0,0,ROUND(S1336*EXP(Int_Rate/365.25 * M1337)-S1336,2))</f>
        <v>0</v>
      </c>
      <c r="Q1337" s="1851" cm="1">
        <f t="array" ref="Q1337">_xlfn.IFS(
    AND(I1337=TRUE, K1337&lt;=No_Regular_Payments), Periodic_Admin_Charge,
   TRUE, 0
)</f>
        <v>0</v>
      </c>
      <c r="R1337" s="1850">
        <f>N1337-O1337-Q1337</f>
        <v>0</v>
      </c>
      <c r="S1337" s="1850">
        <f>ROUND(S1336-R1337,2)</f>
        <v>0</v>
      </c>
      <c r="T1337" s="1850">
        <f>ROUND(T1336-(N1337-Q1337),2)</f>
        <v>0</v>
      </c>
      <c r="U1337" s="1849"/>
      <c r="W1337" s="1848"/>
      <c r="X1337" s="1848"/>
      <c r="Y1337" s="1848"/>
    </row>
    <row r="1338" spans="2:25" hidden="1">
      <c r="B1338" s="1815" t="b">
        <f>AND(I1338=FALSE,N1337=0,Q1337=0,L1337="")</f>
        <v>1</v>
      </c>
      <c r="C1338" s="1844" t="str" cm="1">
        <f t="array" ref="C1338">_xlfn.IFS(
    L1338="", "",
    MONTH(L1338) &lt;= End_of_Year_Month, YEAR(L1338),
    TRUE, YEAR(L1338) + 1
)</f>
        <v/>
      </c>
      <c r="F1338" s="1857">
        <f>IF(L1338="",0,L1338)</f>
        <v>0</v>
      </c>
      <c r="G1338" s="1856">
        <f>-(N1338-Q1338)</f>
        <v>0</v>
      </c>
      <c r="I1338" s="1815" t="b">
        <f>K1338&lt;=Number_Payments</f>
        <v>0</v>
      </c>
      <c r="J1338" s="1855"/>
      <c r="K1338" s="1351">
        <f>K1337+1</f>
        <v>1212</v>
      </c>
      <c r="L1338" s="1854" t="str" cm="1">
        <f t="array" ref="L1338">_xlfn.IFS(
    I1337=FALSE, "",
    Payment_Frequency="Monthly", EDATE(L1337, 1),
    Payment_Frequency="Weekly", DATE(YEAR(L1337), MONTH(L1337), DAY(L1337) + 7),
    Payment_Frequency="Fortnightly", DATE(YEAR(L1337), MONTH(L1337), DAY(L1337) + 14),
    Payment_Frequency="Quarterly", DATE(YEAR(L1337), MONTH(L1337) + 3, DAY(L1337)),
    Payment_Frequency="Yearly", DATE(YEAR(L1337) + 1, MONTH(L1337), DAY(L1337)),
    TRUE, ""
)</f>
        <v/>
      </c>
      <c r="M1338" s="1853">
        <f>IF(ISERROR(L1338-L1337),0,L1338-L1337)</f>
        <v>0</v>
      </c>
      <c r="N1338" s="1851" cm="1">
        <f t="array" ref="N1338">_xlfn.IFS(
    AND(I1338=TRUE, K1338&lt;=No_Regular_Payments), Repay_Amt,
    AND(I1338=TRUE, K1338=No_Regular_Payments+1), Tm_Balloon_Amt,
   TRUE, 0
)</f>
        <v>0</v>
      </c>
      <c r="O1338" s="1850" cm="1">
        <f t="array" ref="O1338">_xlfn.IFS(
    M1338=0,0,
   ABS(N1338 - S1337 - P1338-Q1338) &lt; 1, N1338 - S1337-Q1338,
    TRUE, P1338
)</f>
        <v>0</v>
      </c>
      <c r="P1338" s="1852">
        <f>IF(M1338=0,0,ROUND(S1337*EXP(Int_Rate/365.25 * M1338)-S1337,2))</f>
        <v>0</v>
      </c>
      <c r="Q1338" s="1851" cm="1">
        <f t="array" ref="Q1338">_xlfn.IFS(
    AND(I1338=TRUE, K1338&lt;=No_Regular_Payments), Periodic_Admin_Charge,
   TRUE, 0
)</f>
        <v>0</v>
      </c>
      <c r="R1338" s="1850">
        <f>N1338-O1338-Q1338</f>
        <v>0</v>
      </c>
      <c r="S1338" s="1850">
        <f>ROUND(S1337-R1338,2)</f>
        <v>0</v>
      </c>
      <c r="T1338" s="1850">
        <f>ROUND(T1337-(N1338-Q1338),2)</f>
        <v>0</v>
      </c>
      <c r="U1338" s="1849"/>
      <c r="W1338" s="1848"/>
      <c r="X1338" s="1848"/>
      <c r="Y1338" s="1848"/>
    </row>
    <row r="1339" spans="2:25" hidden="1">
      <c r="B1339" s="1815" t="b">
        <f>AND(I1339=FALSE,N1338=0,Q1338=0,L1338="")</f>
        <v>1</v>
      </c>
      <c r="C1339" s="1844" t="str" cm="1">
        <f t="array" ref="C1339">_xlfn.IFS(
    L1339="", "",
    MONTH(L1339) &lt;= End_of_Year_Month, YEAR(L1339),
    TRUE, YEAR(L1339) + 1
)</f>
        <v/>
      </c>
      <c r="F1339" s="1857">
        <f>IF(L1339="",0,L1339)</f>
        <v>0</v>
      </c>
      <c r="G1339" s="1856">
        <f>-(N1339-Q1339)</f>
        <v>0</v>
      </c>
      <c r="I1339" s="1815" t="b">
        <f>K1339&lt;=Number_Payments</f>
        <v>0</v>
      </c>
      <c r="J1339" s="1855"/>
      <c r="K1339" s="1351">
        <f>K1338+1</f>
        <v>1213</v>
      </c>
      <c r="L1339" s="1854" t="str" cm="1">
        <f t="array" ref="L1339">_xlfn.IFS(
    I1338=FALSE, "",
    Payment_Frequency="Monthly", EDATE(L1338, 1),
    Payment_Frequency="Weekly", DATE(YEAR(L1338), MONTH(L1338), DAY(L1338) + 7),
    Payment_Frequency="Fortnightly", DATE(YEAR(L1338), MONTH(L1338), DAY(L1338) + 14),
    Payment_Frequency="Quarterly", DATE(YEAR(L1338), MONTH(L1338) + 3, DAY(L1338)),
    Payment_Frequency="Yearly", DATE(YEAR(L1338) + 1, MONTH(L1338), DAY(L1338)),
    TRUE, ""
)</f>
        <v/>
      </c>
      <c r="M1339" s="1853">
        <f>IF(ISERROR(L1339-L1338),0,L1339-L1338)</f>
        <v>0</v>
      </c>
      <c r="N1339" s="1851" cm="1">
        <f t="array" ref="N1339">_xlfn.IFS(
    AND(I1339=TRUE, K1339&lt;=No_Regular_Payments), Repay_Amt,
    AND(I1339=TRUE, K1339=No_Regular_Payments+1), Tm_Balloon_Amt,
   TRUE, 0
)</f>
        <v>0</v>
      </c>
      <c r="O1339" s="1850" cm="1">
        <f t="array" ref="O1339">_xlfn.IFS(
    M1339=0,0,
   ABS(N1339 - S1338 - P1339-Q1339) &lt; 1, N1339 - S1338-Q1339,
    TRUE, P1339
)</f>
        <v>0</v>
      </c>
      <c r="P1339" s="1852">
        <f>IF(M1339=0,0,ROUND(S1338*EXP(Int_Rate/365.25 * M1339)-S1338,2))</f>
        <v>0</v>
      </c>
      <c r="Q1339" s="1851" cm="1">
        <f t="array" ref="Q1339">_xlfn.IFS(
    AND(I1339=TRUE, K1339&lt;=No_Regular_Payments), Periodic_Admin_Charge,
   TRUE, 0
)</f>
        <v>0</v>
      </c>
      <c r="R1339" s="1850">
        <f>N1339-O1339-Q1339</f>
        <v>0</v>
      </c>
      <c r="S1339" s="1850">
        <f>ROUND(S1338-R1339,2)</f>
        <v>0</v>
      </c>
      <c r="T1339" s="1850">
        <f>ROUND(T1338-(N1339-Q1339),2)</f>
        <v>0</v>
      </c>
      <c r="U1339" s="1849"/>
      <c r="W1339" s="1848"/>
      <c r="X1339" s="1848"/>
      <c r="Y1339" s="1848"/>
    </row>
    <row r="1340" spans="2:25" hidden="1">
      <c r="B1340" s="1815" t="b">
        <f>AND(I1340=FALSE,N1339=0,Q1339=0,L1339="")</f>
        <v>1</v>
      </c>
      <c r="C1340" s="1844" t="str" cm="1">
        <f t="array" ref="C1340">_xlfn.IFS(
    L1340="", "",
    MONTH(L1340) &lt;= End_of_Year_Month, YEAR(L1340),
    TRUE, YEAR(L1340) + 1
)</f>
        <v/>
      </c>
      <c r="F1340" s="1857">
        <f>IF(L1340="",0,L1340)</f>
        <v>0</v>
      </c>
      <c r="G1340" s="1856">
        <f>-(N1340-Q1340)</f>
        <v>0</v>
      </c>
      <c r="I1340" s="1815" t="b">
        <f>K1340&lt;=Number_Payments</f>
        <v>0</v>
      </c>
      <c r="J1340" s="1855"/>
      <c r="K1340" s="1351">
        <f>K1339+1</f>
        <v>1214</v>
      </c>
      <c r="L1340" s="1854" t="str" cm="1">
        <f t="array" ref="L1340">_xlfn.IFS(
    I1339=FALSE, "",
    Payment_Frequency="Monthly", EDATE(L1339, 1),
    Payment_Frequency="Weekly", DATE(YEAR(L1339), MONTH(L1339), DAY(L1339) + 7),
    Payment_Frequency="Fortnightly", DATE(YEAR(L1339), MONTH(L1339), DAY(L1339) + 14),
    Payment_Frequency="Quarterly", DATE(YEAR(L1339), MONTH(L1339) + 3, DAY(L1339)),
    Payment_Frequency="Yearly", DATE(YEAR(L1339) + 1, MONTH(L1339), DAY(L1339)),
    TRUE, ""
)</f>
        <v/>
      </c>
      <c r="M1340" s="1853">
        <f>IF(ISERROR(L1340-L1339),0,L1340-L1339)</f>
        <v>0</v>
      </c>
      <c r="N1340" s="1851" cm="1">
        <f t="array" ref="N1340">_xlfn.IFS(
    AND(I1340=TRUE, K1340&lt;=No_Regular_Payments), Repay_Amt,
    AND(I1340=TRUE, K1340=No_Regular_Payments+1), Tm_Balloon_Amt,
   TRUE, 0
)</f>
        <v>0</v>
      </c>
      <c r="O1340" s="1850" cm="1">
        <f t="array" ref="O1340">_xlfn.IFS(
    M1340=0,0,
   ABS(N1340 - S1339 - P1340-Q1340) &lt; 1, N1340 - S1339-Q1340,
    TRUE, P1340
)</f>
        <v>0</v>
      </c>
      <c r="P1340" s="1852">
        <f>IF(M1340=0,0,ROUND(S1339*EXP(Int_Rate/365.25 * M1340)-S1339,2))</f>
        <v>0</v>
      </c>
      <c r="Q1340" s="1851" cm="1">
        <f t="array" ref="Q1340">_xlfn.IFS(
    AND(I1340=TRUE, K1340&lt;=No_Regular_Payments), Periodic_Admin_Charge,
   TRUE, 0
)</f>
        <v>0</v>
      </c>
      <c r="R1340" s="1850">
        <f>N1340-O1340-Q1340</f>
        <v>0</v>
      </c>
      <c r="S1340" s="1850">
        <f>ROUND(S1339-R1340,2)</f>
        <v>0</v>
      </c>
      <c r="T1340" s="1850">
        <f>ROUND(T1339-(N1340-Q1340),2)</f>
        <v>0</v>
      </c>
      <c r="U1340" s="1849"/>
      <c r="W1340" s="1848"/>
      <c r="X1340" s="1848"/>
      <c r="Y1340" s="1848"/>
    </row>
    <row r="1341" spans="2:25" hidden="1">
      <c r="B1341" s="1815" t="b">
        <f>AND(I1341=FALSE,N1340=0,Q1340=0,L1340="")</f>
        <v>1</v>
      </c>
      <c r="C1341" s="1844" t="str" cm="1">
        <f t="array" ref="C1341">_xlfn.IFS(
    L1341="", "",
    MONTH(L1341) &lt;= End_of_Year_Month, YEAR(L1341),
    TRUE, YEAR(L1341) + 1
)</f>
        <v/>
      </c>
      <c r="F1341" s="1857">
        <f>IF(L1341="",0,L1341)</f>
        <v>0</v>
      </c>
      <c r="G1341" s="1856">
        <f>-(N1341-Q1341)</f>
        <v>0</v>
      </c>
      <c r="I1341" s="1815" t="b">
        <f>K1341&lt;=Number_Payments</f>
        <v>0</v>
      </c>
      <c r="J1341" s="1855"/>
      <c r="K1341" s="1351">
        <f>K1340+1</f>
        <v>1215</v>
      </c>
      <c r="L1341" s="1854" t="str" cm="1">
        <f t="array" ref="L1341">_xlfn.IFS(
    I1340=FALSE, "",
    Payment_Frequency="Monthly", EDATE(L1340, 1),
    Payment_Frequency="Weekly", DATE(YEAR(L1340), MONTH(L1340), DAY(L1340) + 7),
    Payment_Frequency="Fortnightly", DATE(YEAR(L1340), MONTH(L1340), DAY(L1340) + 14),
    Payment_Frequency="Quarterly", DATE(YEAR(L1340), MONTH(L1340) + 3, DAY(L1340)),
    Payment_Frequency="Yearly", DATE(YEAR(L1340) + 1, MONTH(L1340), DAY(L1340)),
    TRUE, ""
)</f>
        <v/>
      </c>
      <c r="M1341" s="1853">
        <f>IF(ISERROR(L1341-L1340),0,L1341-L1340)</f>
        <v>0</v>
      </c>
      <c r="N1341" s="1851" cm="1">
        <f t="array" ref="N1341">_xlfn.IFS(
    AND(I1341=TRUE, K1341&lt;=No_Regular_Payments), Repay_Amt,
    AND(I1341=TRUE, K1341=No_Regular_Payments+1), Tm_Balloon_Amt,
   TRUE, 0
)</f>
        <v>0</v>
      </c>
      <c r="O1341" s="1850" cm="1">
        <f t="array" ref="O1341">_xlfn.IFS(
    M1341=0,0,
   ABS(N1341 - S1340 - P1341-Q1341) &lt; 1, N1341 - S1340-Q1341,
    TRUE, P1341
)</f>
        <v>0</v>
      </c>
      <c r="P1341" s="1852">
        <f>IF(M1341=0,0,ROUND(S1340*EXP(Int_Rate/365.25 * M1341)-S1340,2))</f>
        <v>0</v>
      </c>
      <c r="Q1341" s="1851" cm="1">
        <f t="array" ref="Q1341">_xlfn.IFS(
    AND(I1341=TRUE, K1341&lt;=No_Regular_Payments), Periodic_Admin_Charge,
   TRUE, 0
)</f>
        <v>0</v>
      </c>
      <c r="R1341" s="1850">
        <f>N1341-O1341-Q1341</f>
        <v>0</v>
      </c>
      <c r="S1341" s="1850">
        <f>ROUND(S1340-R1341,2)</f>
        <v>0</v>
      </c>
      <c r="T1341" s="1850">
        <f>ROUND(T1340-(N1341-Q1341),2)</f>
        <v>0</v>
      </c>
      <c r="U1341" s="1849"/>
      <c r="W1341" s="1848"/>
      <c r="X1341" s="1848"/>
      <c r="Y1341" s="1848"/>
    </row>
    <row r="1342" spans="2:25" hidden="1">
      <c r="B1342" s="1815" t="b">
        <f>AND(I1342=FALSE,N1341=0,Q1341=0,L1341="")</f>
        <v>1</v>
      </c>
      <c r="C1342" s="1844" t="str" cm="1">
        <f t="array" ref="C1342">_xlfn.IFS(
    L1342="", "",
    MONTH(L1342) &lt;= End_of_Year_Month, YEAR(L1342),
    TRUE, YEAR(L1342) + 1
)</f>
        <v/>
      </c>
      <c r="F1342" s="1857">
        <f>IF(L1342="",0,L1342)</f>
        <v>0</v>
      </c>
      <c r="G1342" s="1856">
        <f>-(N1342-Q1342)</f>
        <v>0</v>
      </c>
      <c r="I1342" s="1815" t="b">
        <f>K1342&lt;=Number_Payments</f>
        <v>0</v>
      </c>
      <c r="J1342" s="1855"/>
      <c r="K1342" s="1351">
        <f>K1341+1</f>
        <v>1216</v>
      </c>
      <c r="L1342" s="1854" t="str" cm="1">
        <f t="array" ref="L1342">_xlfn.IFS(
    I1341=FALSE, "",
    Payment_Frequency="Monthly", EDATE(L1341, 1),
    Payment_Frequency="Weekly", DATE(YEAR(L1341), MONTH(L1341), DAY(L1341) + 7),
    Payment_Frequency="Fortnightly", DATE(YEAR(L1341), MONTH(L1341), DAY(L1341) + 14),
    Payment_Frequency="Quarterly", DATE(YEAR(L1341), MONTH(L1341) + 3, DAY(L1341)),
    Payment_Frequency="Yearly", DATE(YEAR(L1341) + 1, MONTH(L1341), DAY(L1341)),
    TRUE, ""
)</f>
        <v/>
      </c>
      <c r="M1342" s="1853">
        <f>IF(ISERROR(L1342-L1341),0,L1342-L1341)</f>
        <v>0</v>
      </c>
      <c r="N1342" s="1851" cm="1">
        <f t="array" ref="N1342">_xlfn.IFS(
    AND(I1342=TRUE, K1342&lt;=No_Regular_Payments), Repay_Amt,
    AND(I1342=TRUE, K1342=No_Regular_Payments+1), Tm_Balloon_Amt,
   TRUE, 0
)</f>
        <v>0</v>
      </c>
      <c r="O1342" s="1850" cm="1">
        <f t="array" ref="O1342">_xlfn.IFS(
    M1342=0,0,
   ABS(N1342 - S1341 - P1342-Q1342) &lt; 1, N1342 - S1341-Q1342,
    TRUE, P1342
)</f>
        <v>0</v>
      </c>
      <c r="P1342" s="1852">
        <f>IF(M1342=0,0,ROUND(S1341*EXP(Int_Rate/365.25 * M1342)-S1341,2))</f>
        <v>0</v>
      </c>
      <c r="Q1342" s="1851" cm="1">
        <f t="array" ref="Q1342">_xlfn.IFS(
    AND(I1342=TRUE, K1342&lt;=No_Regular_Payments), Periodic_Admin_Charge,
   TRUE, 0
)</f>
        <v>0</v>
      </c>
      <c r="R1342" s="1850">
        <f>N1342-O1342-Q1342</f>
        <v>0</v>
      </c>
      <c r="S1342" s="1850">
        <f>ROUND(S1341-R1342,2)</f>
        <v>0</v>
      </c>
      <c r="T1342" s="1850">
        <f>ROUND(T1341-(N1342-Q1342),2)</f>
        <v>0</v>
      </c>
      <c r="U1342" s="1849"/>
      <c r="W1342" s="1848"/>
      <c r="X1342" s="1848"/>
      <c r="Y1342" s="1848"/>
    </row>
    <row r="1343" spans="2:25" hidden="1">
      <c r="B1343" s="1815" t="b">
        <f>AND(I1343=FALSE,N1342=0,Q1342=0,L1342="")</f>
        <v>1</v>
      </c>
      <c r="C1343" s="1844" t="str" cm="1">
        <f t="array" ref="C1343">_xlfn.IFS(
    L1343="", "",
    MONTH(L1343) &lt;= End_of_Year_Month, YEAR(L1343),
    TRUE, YEAR(L1343) + 1
)</f>
        <v/>
      </c>
      <c r="F1343" s="1857">
        <f>IF(L1343="",0,L1343)</f>
        <v>0</v>
      </c>
      <c r="G1343" s="1856">
        <f>-(N1343-Q1343)</f>
        <v>0</v>
      </c>
      <c r="I1343" s="1815" t="b">
        <f>K1343&lt;=Number_Payments</f>
        <v>0</v>
      </c>
      <c r="J1343" s="1855"/>
      <c r="K1343" s="1351">
        <f>K1342+1</f>
        <v>1217</v>
      </c>
      <c r="L1343" s="1854" t="str" cm="1">
        <f t="array" ref="L1343">_xlfn.IFS(
    I1342=FALSE, "",
    Payment_Frequency="Monthly", EDATE(L1342, 1),
    Payment_Frequency="Weekly", DATE(YEAR(L1342), MONTH(L1342), DAY(L1342) + 7),
    Payment_Frequency="Fortnightly", DATE(YEAR(L1342), MONTH(L1342), DAY(L1342) + 14),
    Payment_Frequency="Quarterly", DATE(YEAR(L1342), MONTH(L1342) + 3, DAY(L1342)),
    Payment_Frequency="Yearly", DATE(YEAR(L1342) + 1, MONTH(L1342), DAY(L1342)),
    TRUE, ""
)</f>
        <v/>
      </c>
      <c r="M1343" s="1853">
        <f>IF(ISERROR(L1343-L1342),0,L1343-L1342)</f>
        <v>0</v>
      </c>
      <c r="N1343" s="1851" cm="1">
        <f t="array" ref="N1343">_xlfn.IFS(
    AND(I1343=TRUE, K1343&lt;=No_Regular_Payments), Repay_Amt,
    AND(I1343=TRUE, K1343=No_Regular_Payments+1), Tm_Balloon_Amt,
   TRUE, 0
)</f>
        <v>0</v>
      </c>
      <c r="O1343" s="1850" cm="1">
        <f t="array" ref="O1343">_xlfn.IFS(
    M1343=0,0,
   ABS(N1343 - S1342 - P1343-Q1343) &lt; 1, N1343 - S1342-Q1343,
    TRUE, P1343
)</f>
        <v>0</v>
      </c>
      <c r="P1343" s="1852">
        <f>IF(M1343=0,0,ROUND(S1342*EXP(Int_Rate/365.25 * M1343)-S1342,2))</f>
        <v>0</v>
      </c>
      <c r="Q1343" s="1851" cm="1">
        <f t="array" ref="Q1343">_xlfn.IFS(
    AND(I1343=TRUE, K1343&lt;=No_Regular_Payments), Periodic_Admin_Charge,
   TRUE, 0
)</f>
        <v>0</v>
      </c>
      <c r="R1343" s="1850">
        <f>N1343-O1343-Q1343</f>
        <v>0</v>
      </c>
      <c r="S1343" s="1850">
        <f>ROUND(S1342-R1343,2)</f>
        <v>0</v>
      </c>
      <c r="T1343" s="1850">
        <f>ROUND(T1342-(N1343-Q1343),2)</f>
        <v>0</v>
      </c>
      <c r="U1343" s="1849"/>
      <c r="W1343" s="1848"/>
      <c r="X1343" s="1848"/>
      <c r="Y1343" s="1848"/>
    </row>
    <row r="1344" spans="2:25" hidden="1">
      <c r="B1344" s="1815" t="b">
        <f>AND(I1344=FALSE,N1343=0,Q1343=0,L1343="")</f>
        <v>1</v>
      </c>
      <c r="C1344" s="1844" t="str" cm="1">
        <f t="array" ref="C1344">_xlfn.IFS(
    L1344="", "",
    MONTH(L1344) &lt;= End_of_Year_Month, YEAR(L1344),
    TRUE, YEAR(L1344) + 1
)</f>
        <v/>
      </c>
      <c r="F1344" s="1857">
        <f>IF(L1344="",0,L1344)</f>
        <v>0</v>
      </c>
      <c r="G1344" s="1856">
        <f>-(N1344-Q1344)</f>
        <v>0</v>
      </c>
      <c r="I1344" s="1815" t="b">
        <f>K1344&lt;=Number_Payments</f>
        <v>0</v>
      </c>
      <c r="J1344" s="1855"/>
      <c r="K1344" s="1351">
        <f>K1343+1</f>
        <v>1218</v>
      </c>
      <c r="L1344" s="1854" t="str" cm="1">
        <f t="array" ref="L1344">_xlfn.IFS(
    I1343=FALSE, "",
    Payment_Frequency="Monthly", EDATE(L1343, 1),
    Payment_Frequency="Weekly", DATE(YEAR(L1343), MONTH(L1343), DAY(L1343) + 7),
    Payment_Frequency="Fortnightly", DATE(YEAR(L1343), MONTH(L1343), DAY(L1343) + 14),
    Payment_Frequency="Quarterly", DATE(YEAR(L1343), MONTH(L1343) + 3, DAY(L1343)),
    Payment_Frequency="Yearly", DATE(YEAR(L1343) + 1, MONTH(L1343), DAY(L1343)),
    TRUE, ""
)</f>
        <v/>
      </c>
      <c r="M1344" s="1853">
        <f>IF(ISERROR(L1344-L1343),0,L1344-L1343)</f>
        <v>0</v>
      </c>
      <c r="N1344" s="1851" cm="1">
        <f t="array" ref="N1344">_xlfn.IFS(
    AND(I1344=TRUE, K1344&lt;=No_Regular_Payments), Repay_Amt,
    AND(I1344=TRUE, K1344=No_Regular_Payments+1), Tm_Balloon_Amt,
   TRUE, 0
)</f>
        <v>0</v>
      </c>
      <c r="O1344" s="1850" cm="1">
        <f t="array" ref="O1344">_xlfn.IFS(
    M1344=0,0,
   ABS(N1344 - S1343 - P1344-Q1344) &lt; 1, N1344 - S1343-Q1344,
    TRUE, P1344
)</f>
        <v>0</v>
      </c>
      <c r="P1344" s="1852">
        <f>IF(M1344=0,0,ROUND(S1343*EXP(Int_Rate/365.25 * M1344)-S1343,2))</f>
        <v>0</v>
      </c>
      <c r="Q1344" s="1851" cm="1">
        <f t="array" ref="Q1344">_xlfn.IFS(
    AND(I1344=TRUE, K1344&lt;=No_Regular_Payments), Periodic_Admin_Charge,
   TRUE, 0
)</f>
        <v>0</v>
      </c>
      <c r="R1344" s="1850">
        <f>N1344-O1344-Q1344</f>
        <v>0</v>
      </c>
      <c r="S1344" s="1850">
        <f>ROUND(S1343-R1344,2)</f>
        <v>0</v>
      </c>
      <c r="T1344" s="1850">
        <f>ROUND(T1343-(N1344-Q1344),2)</f>
        <v>0</v>
      </c>
      <c r="U1344" s="1849"/>
      <c r="W1344" s="1848"/>
      <c r="X1344" s="1848"/>
      <c r="Y1344" s="1848"/>
    </row>
    <row r="1345" spans="2:25" hidden="1">
      <c r="B1345" s="1815" t="b">
        <f>AND(I1345=FALSE,N1344=0,Q1344=0,L1344="")</f>
        <v>1</v>
      </c>
      <c r="C1345" s="1844" t="str" cm="1">
        <f t="array" ref="C1345">_xlfn.IFS(
    L1345="", "",
    MONTH(L1345) &lt;= End_of_Year_Month, YEAR(L1345),
    TRUE, YEAR(L1345) + 1
)</f>
        <v/>
      </c>
      <c r="F1345" s="1857">
        <f>IF(L1345="",0,L1345)</f>
        <v>0</v>
      </c>
      <c r="G1345" s="1856">
        <f>-(N1345-Q1345)</f>
        <v>0</v>
      </c>
      <c r="I1345" s="1815" t="b">
        <f>K1345&lt;=Number_Payments</f>
        <v>0</v>
      </c>
      <c r="J1345" s="1855"/>
      <c r="K1345" s="1351">
        <f>K1344+1</f>
        <v>1219</v>
      </c>
      <c r="L1345" s="1854" t="str" cm="1">
        <f t="array" ref="L1345">_xlfn.IFS(
    I1344=FALSE, "",
    Payment_Frequency="Monthly", EDATE(L1344, 1),
    Payment_Frequency="Weekly", DATE(YEAR(L1344), MONTH(L1344), DAY(L1344) + 7),
    Payment_Frequency="Fortnightly", DATE(YEAR(L1344), MONTH(L1344), DAY(L1344) + 14),
    Payment_Frequency="Quarterly", DATE(YEAR(L1344), MONTH(L1344) + 3, DAY(L1344)),
    Payment_Frequency="Yearly", DATE(YEAR(L1344) + 1, MONTH(L1344), DAY(L1344)),
    TRUE, ""
)</f>
        <v/>
      </c>
      <c r="M1345" s="1853">
        <f>IF(ISERROR(L1345-L1344),0,L1345-L1344)</f>
        <v>0</v>
      </c>
      <c r="N1345" s="1851" cm="1">
        <f t="array" ref="N1345">_xlfn.IFS(
    AND(I1345=TRUE, K1345&lt;=No_Regular_Payments), Repay_Amt,
    AND(I1345=TRUE, K1345=No_Regular_Payments+1), Tm_Balloon_Amt,
   TRUE, 0
)</f>
        <v>0</v>
      </c>
      <c r="O1345" s="1850" cm="1">
        <f t="array" ref="O1345">_xlfn.IFS(
    M1345=0,0,
   ABS(N1345 - S1344 - P1345-Q1345) &lt; 1, N1345 - S1344-Q1345,
    TRUE, P1345
)</f>
        <v>0</v>
      </c>
      <c r="P1345" s="1852">
        <f>IF(M1345=0,0,ROUND(S1344*EXP(Int_Rate/365.25 * M1345)-S1344,2))</f>
        <v>0</v>
      </c>
      <c r="Q1345" s="1851" cm="1">
        <f t="array" ref="Q1345">_xlfn.IFS(
    AND(I1345=TRUE, K1345&lt;=No_Regular_Payments), Periodic_Admin_Charge,
   TRUE, 0
)</f>
        <v>0</v>
      </c>
      <c r="R1345" s="1850">
        <f>N1345-O1345-Q1345</f>
        <v>0</v>
      </c>
      <c r="S1345" s="1850">
        <f>ROUND(S1344-R1345,2)</f>
        <v>0</v>
      </c>
      <c r="T1345" s="1850">
        <f>ROUND(T1344-(N1345-Q1345),2)</f>
        <v>0</v>
      </c>
      <c r="U1345" s="1849"/>
      <c r="W1345" s="1848"/>
      <c r="X1345" s="1848"/>
      <c r="Y1345" s="1848"/>
    </row>
    <row r="1346" spans="2:25" hidden="1">
      <c r="B1346" s="1815" t="b">
        <f>AND(I1346=FALSE,N1345=0,Q1345=0,L1345="")</f>
        <v>1</v>
      </c>
      <c r="C1346" s="1844" t="str" cm="1">
        <f t="array" ref="C1346">_xlfn.IFS(
    L1346="", "",
    MONTH(L1346) &lt;= End_of_Year_Month, YEAR(L1346),
    TRUE, YEAR(L1346) + 1
)</f>
        <v/>
      </c>
      <c r="F1346" s="1857">
        <f>IF(L1346="",0,L1346)</f>
        <v>0</v>
      </c>
      <c r="G1346" s="1856">
        <f>-(N1346-Q1346)</f>
        <v>0</v>
      </c>
      <c r="I1346" s="1815" t="b">
        <f>K1346&lt;=Number_Payments</f>
        <v>0</v>
      </c>
      <c r="J1346" s="1855"/>
      <c r="K1346" s="1351">
        <f>K1345+1</f>
        <v>1220</v>
      </c>
      <c r="L1346" s="1854" t="str" cm="1">
        <f t="array" ref="L1346">_xlfn.IFS(
    I1345=FALSE, "",
    Payment_Frequency="Monthly", EDATE(L1345, 1),
    Payment_Frequency="Weekly", DATE(YEAR(L1345), MONTH(L1345), DAY(L1345) + 7),
    Payment_Frequency="Fortnightly", DATE(YEAR(L1345), MONTH(L1345), DAY(L1345) + 14),
    Payment_Frequency="Quarterly", DATE(YEAR(L1345), MONTH(L1345) + 3, DAY(L1345)),
    Payment_Frequency="Yearly", DATE(YEAR(L1345) + 1, MONTH(L1345), DAY(L1345)),
    TRUE, ""
)</f>
        <v/>
      </c>
      <c r="M1346" s="1853">
        <f>IF(ISERROR(L1346-L1345),0,L1346-L1345)</f>
        <v>0</v>
      </c>
      <c r="N1346" s="1851" cm="1">
        <f t="array" ref="N1346">_xlfn.IFS(
    AND(I1346=TRUE, K1346&lt;=No_Regular_Payments), Repay_Amt,
    AND(I1346=TRUE, K1346=No_Regular_Payments+1), Tm_Balloon_Amt,
   TRUE, 0
)</f>
        <v>0</v>
      </c>
      <c r="O1346" s="1850" cm="1">
        <f t="array" ref="O1346">_xlfn.IFS(
    M1346=0,0,
   ABS(N1346 - S1345 - P1346-Q1346) &lt; 1, N1346 - S1345-Q1346,
    TRUE, P1346
)</f>
        <v>0</v>
      </c>
      <c r="P1346" s="1852">
        <f>IF(M1346=0,0,ROUND(S1345*EXP(Int_Rate/365.25 * M1346)-S1345,2))</f>
        <v>0</v>
      </c>
      <c r="Q1346" s="1851" cm="1">
        <f t="array" ref="Q1346">_xlfn.IFS(
    AND(I1346=TRUE, K1346&lt;=No_Regular_Payments), Periodic_Admin_Charge,
   TRUE, 0
)</f>
        <v>0</v>
      </c>
      <c r="R1346" s="1850">
        <f>N1346-O1346-Q1346</f>
        <v>0</v>
      </c>
      <c r="S1346" s="1850">
        <f>ROUND(S1345-R1346,2)</f>
        <v>0</v>
      </c>
      <c r="T1346" s="1850">
        <f>ROUND(T1345-(N1346-Q1346),2)</f>
        <v>0</v>
      </c>
      <c r="U1346" s="1849"/>
      <c r="W1346" s="1848"/>
      <c r="X1346" s="1848"/>
      <c r="Y1346" s="1848"/>
    </row>
    <row r="1347" spans="2:25" hidden="1">
      <c r="B1347" s="1815" t="b">
        <f>AND(I1347=FALSE,N1346=0,Q1346=0,L1346="")</f>
        <v>1</v>
      </c>
      <c r="C1347" s="1844" t="str" cm="1">
        <f t="array" ref="C1347">_xlfn.IFS(
    L1347="", "",
    MONTH(L1347) &lt;= End_of_Year_Month, YEAR(L1347),
    TRUE, YEAR(L1347) + 1
)</f>
        <v/>
      </c>
      <c r="F1347" s="1857">
        <f>IF(L1347="",0,L1347)</f>
        <v>0</v>
      </c>
      <c r="G1347" s="1856">
        <f>-(N1347-Q1347)</f>
        <v>0</v>
      </c>
      <c r="I1347" s="1815" t="b">
        <f>K1347&lt;=Number_Payments</f>
        <v>0</v>
      </c>
      <c r="J1347" s="1855"/>
      <c r="K1347" s="1351">
        <f>K1346+1</f>
        <v>1221</v>
      </c>
      <c r="L1347" s="1854" t="str" cm="1">
        <f t="array" ref="L1347">_xlfn.IFS(
    I1346=FALSE, "",
    Payment_Frequency="Monthly", EDATE(L1346, 1),
    Payment_Frequency="Weekly", DATE(YEAR(L1346), MONTH(L1346), DAY(L1346) + 7),
    Payment_Frequency="Fortnightly", DATE(YEAR(L1346), MONTH(L1346), DAY(L1346) + 14),
    Payment_Frequency="Quarterly", DATE(YEAR(L1346), MONTH(L1346) + 3, DAY(L1346)),
    Payment_Frequency="Yearly", DATE(YEAR(L1346) + 1, MONTH(L1346), DAY(L1346)),
    TRUE, ""
)</f>
        <v/>
      </c>
      <c r="M1347" s="1853">
        <f>IF(ISERROR(L1347-L1346),0,L1347-L1346)</f>
        <v>0</v>
      </c>
      <c r="N1347" s="1851" cm="1">
        <f t="array" ref="N1347">_xlfn.IFS(
    AND(I1347=TRUE, K1347&lt;=No_Regular_Payments), Repay_Amt,
    AND(I1347=TRUE, K1347=No_Regular_Payments+1), Tm_Balloon_Amt,
   TRUE, 0
)</f>
        <v>0</v>
      </c>
      <c r="O1347" s="1850" cm="1">
        <f t="array" ref="O1347">_xlfn.IFS(
    M1347=0,0,
   ABS(N1347 - S1346 - P1347-Q1347) &lt; 1, N1347 - S1346-Q1347,
    TRUE, P1347
)</f>
        <v>0</v>
      </c>
      <c r="P1347" s="1852">
        <f>IF(M1347=0,0,ROUND(S1346*EXP(Int_Rate/365.25 * M1347)-S1346,2))</f>
        <v>0</v>
      </c>
      <c r="Q1347" s="1851" cm="1">
        <f t="array" ref="Q1347">_xlfn.IFS(
    AND(I1347=TRUE, K1347&lt;=No_Regular_Payments), Periodic_Admin_Charge,
   TRUE, 0
)</f>
        <v>0</v>
      </c>
      <c r="R1347" s="1850">
        <f>N1347-O1347-Q1347</f>
        <v>0</v>
      </c>
      <c r="S1347" s="1850">
        <f>ROUND(S1346-R1347,2)</f>
        <v>0</v>
      </c>
      <c r="T1347" s="1850">
        <f>ROUND(T1346-(N1347-Q1347),2)</f>
        <v>0</v>
      </c>
      <c r="U1347" s="1849"/>
      <c r="W1347" s="1848"/>
      <c r="X1347" s="1848"/>
      <c r="Y1347" s="1848"/>
    </row>
    <row r="1348" spans="2:25" hidden="1">
      <c r="B1348" s="1815" t="b">
        <f>AND(I1348=FALSE,N1347=0,Q1347=0,L1347="")</f>
        <v>1</v>
      </c>
      <c r="C1348" s="1844" t="str" cm="1">
        <f t="array" ref="C1348">_xlfn.IFS(
    L1348="", "",
    MONTH(L1348) &lt;= End_of_Year_Month, YEAR(L1348),
    TRUE, YEAR(L1348) + 1
)</f>
        <v/>
      </c>
      <c r="F1348" s="1857">
        <f>IF(L1348="",0,L1348)</f>
        <v>0</v>
      </c>
      <c r="G1348" s="1856">
        <f>-(N1348-Q1348)</f>
        <v>0</v>
      </c>
      <c r="I1348" s="1815" t="b">
        <f>K1348&lt;=Number_Payments</f>
        <v>0</v>
      </c>
      <c r="J1348" s="1855"/>
      <c r="K1348" s="1351">
        <f>K1347+1</f>
        <v>1222</v>
      </c>
      <c r="L1348" s="1854" t="str" cm="1">
        <f t="array" ref="L1348">_xlfn.IFS(
    I1347=FALSE, "",
    Payment_Frequency="Monthly", EDATE(L1347, 1),
    Payment_Frequency="Weekly", DATE(YEAR(L1347), MONTH(L1347), DAY(L1347) + 7),
    Payment_Frequency="Fortnightly", DATE(YEAR(L1347), MONTH(L1347), DAY(L1347) + 14),
    Payment_Frequency="Quarterly", DATE(YEAR(L1347), MONTH(L1347) + 3, DAY(L1347)),
    Payment_Frequency="Yearly", DATE(YEAR(L1347) + 1, MONTH(L1347), DAY(L1347)),
    TRUE, ""
)</f>
        <v/>
      </c>
      <c r="M1348" s="1853">
        <f>IF(ISERROR(L1348-L1347),0,L1348-L1347)</f>
        <v>0</v>
      </c>
      <c r="N1348" s="1851" cm="1">
        <f t="array" ref="N1348">_xlfn.IFS(
    AND(I1348=TRUE, K1348&lt;=No_Regular_Payments), Repay_Amt,
    AND(I1348=TRUE, K1348=No_Regular_Payments+1), Tm_Balloon_Amt,
   TRUE, 0
)</f>
        <v>0</v>
      </c>
      <c r="O1348" s="1850" cm="1">
        <f t="array" ref="O1348">_xlfn.IFS(
    M1348=0,0,
   ABS(N1348 - S1347 - P1348-Q1348) &lt; 1, N1348 - S1347-Q1348,
    TRUE, P1348
)</f>
        <v>0</v>
      </c>
      <c r="P1348" s="1852">
        <f>IF(M1348=0,0,ROUND(S1347*EXP(Int_Rate/365.25 * M1348)-S1347,2))</f>
        <v>0</v>
      </c>
      <c r="Q1348" s="1851" cm="1">
        <f t="array" ref="Q1348">_xlfn.IFS(
    AND(I1348=TRUE, K1348&lt;=No_Regular_Payments), Periodic_Admin_Charge,
   TRUE, 0
)</f>
        <v>0</v>
      </c>
      <c r="R1348" s="1850">
        <f>N1348-O1348-Q1348</f>
        <v>0</v>
      </c>
      <c r="S1348" s="1850">
        <f>ROUND(S1347-R1348,2)</f>
        <v>0</v>
      </c>
      <c r="T1348" s="1850">
        <f>ROUND(T1347-(N1348-Q1348),2)</f>
        <v>0</v>
      </c>
      <c r="U1348" s="1849"/>
      <c r="W1348" s="1848"/>
      <c r="X1348" s="1848"/>
      <c r="Y1348" s="1848"/>
    </row>
    <row r="1349" spans="2:25" hidden="1">
      <c r="B1349" s="1815" t="b">
        <f>AND(I1349=FALSE,N1348=0,Q1348=0,L1348="")</f>
        <v>1</v>
      </c>
      <c r="C1349" s="1844" t="str" cm="1">
        <f t="array" ref="C1349">_xlfn.IFS(
    L1349="", "",
    MONTH(L1349) &lt;= End_of_Year_Month, YEAR(L1349),
    TRUE, YEAR(L1349) + 1
)</f>
        <v/>
      </c>
      <c r="F1349" s="1857">
        <f>IF(L1349="",0,L1349)</f>
        <v>0</v>
      </c>
      <c r="G1349" s="1856">
        <f>-(N1349-Q1349)</f>
        <v>0</v>
      </c>
      <c r="I1349" s="1815" t="b">
        <f>K1349&lt;=Number_Payments</f>
        <v>0</v>
      </c>
      <c r="J1349" s="1855"/>
      <c r="K1349" s="1351">
        <f>K1348+1</f>
        <v>1223</v>
      </c>
      <c r="L1349" s="1854" t="str" cm="1">
        <f t="array" ref="L1349">_xlfn.IFS(
    I1348=FALSE, "",
    Payment_Frequency="Monthly", EDATE(L1348, 1),
    Payment_Frequency="Weekly", DATE(YEAR(L1348), MONTH(L1348), DAY(L1348) + 7),
    Payment_Frequency="Fortnightly", DATE(YEAR(L1348), MONTH(L1348), DAY(L1348) + 14),
    Payment_Frequency="Quarterly", DATE(YEAR(L1348), MONTH(L1348) + 3, DAY(L1348)),
    Payment_Frequency="Yearly", DATE(YEAR(L1348) + 1, MONTH(L1348), DAY(L1348)),
    TRUE, ""
)</f>
        <v/>
      </c>
      <c r="M1349" s="1853">
        <f>IF(ISERROR(L1349-L1348),0,L1349-L1348)</f>
        <v>0</v>
      </c>
      <c r="N1349" s="1851" cm="1">
        <f t="array" ref="N1349">_xlfn.IFS(
    AND(I1349=TRUE, K1349&lt;=No_Regular_Payments), Repay_Amt,
    AND(I1349=TRUE, K1349=No_Regular_Payments+1), Tm_Balloon_Amt,
   TRUE, 0
)</f>
        <v>0</v>
      </c>
      <c r="O1349" s="1850" cm="1">
        <f t="array" ref="O1349">_xlfn.IFS(
    M1349=0,0,
   ABS(N1349 - S1348 - P1349-Q1349) &lt; 1, N1349 - S1348-Q1349,
    TRUE, P1349
)</f>
        <v>0</v>
      </c>
      <c r="P1349" s="1852">
        <f>IF(M1349=0,0,ROUND(S1348*EXP(Int_Rate/365.25 * M1349)-S1348,2))</f>
        <v>0</v>
      </c>
      <c r="Q1349" s="1851" cm="1">
        <f t="array" ref="Q1349">_xlfn.IFS(
    AND(I1349=TRUE, K1349&lt;=No_Regular_Payments), Periodic_Admin_Charge,
   TRUE, 0
)</f>
        <v>0</v>
      </c>
      <c r="R1349" s="1850">
        <f>N1349-O1349-Q1349</f>
        <v>0</v>
      </c>
      <c r="S1349" s="1850">
        <f>ROUND(S1348-R1349,2)</f>
        <v>0</v>
      </c>
      <c r="T1349" s="1850">
        <f>ROUND(T1348-(N1349-Q1349),2)</f>
        <v>0</v>
      </c>
      <c r="U1349" s="1849"/>
      <c r="W1349" s="1848"/>
      <c r="X1349" s="1848"/>
      <c r="Y1349" s="1848"/>
    </row>
    <row r="1350" spans="2:25" hidden="1">
      <c r="B1350" s="1815" t="b">
        <f>AND(I1350=FALSE,N1349=0,Q1349=0,L1349="")</f>
        <v>1</v>
      </c>
      <c r="C1350" s="1844" t="str" cm="1">
        <f t="array" ref="C1350">_xlfn.IFS(
    L1350="", "",
    MONTH(L1350) &lt;= End_of_Year_Month, YEAR(L1350),
    TRUE, YEAR(L1350) + 1
)</f>
        <v/>
      </c>
      <c r="F1350" s="1857">
        <f>IF(L1350="",0,L1350)</f>
        <v>0</v>
      </c>
      <c r="G1350" s="1856">
        <f>-(N1350-Q1350)</f>
        <v>0</v>
      </c>
      <c r="I1350" s="1815" t="b">
        <f>K1350&lt;=Number_Payments</f>
        <v>0</v>
      </c>
      <c r="J1350" s="1855"/>
      <c r="K1350" s="1351">
        <f>K1349+1</f>
        <v>1224</v>
      </c>
      <c r="L1350" s="1854" t="str" cm="1">
        <f t="array" ref="L1350">_xlfn.IFS(
    I1349=FALSE, "",
    Payment_Frequency="Monthly", EDATE(L1349, 1),
    Payment_Frequency="Weekly", DATE(YEAR(L1349), MONTH(L1349), DAY(L1349) + 7),
    Payment_Frequency="Fortnightly", DATE(YEAR(L1349), MONTH(L1349), DAY(L1349) + 14),
    Payment_Frequency="Quarterly", DATE(YEAR(L1349), MONTH(L1349) + 3, DAY(L1349)),
    Payment_Frequency="Yearly", DATE(YEAR(L1349) + 1, MONTH(L1349), DAY(L1349)),
    TRUE, ""
)</f>
        <v/>
      </c>
      <c r="M1350" s="1853">
        <f>IF(ISERROR(L1350-L1349),0,L1350-L1349)</f>
        <v>0</v>
      </c>
      <c r="N1350" s="1851" cm="1">
        <f t="array" ref="N1350">_xlfn.IFS(
    AND(I1350=TRUE, K1350&lt;=No_Regular_Payments), Repay_Amt,
    AND(I1350=TRUE, K1350=No_Regular_Payments+1), Tm_Balloon_Amt,
   TRUE, 0
)</f>
        <v>0</v>
      </c>
      <c r="O1350" s="1850" cm="1">
        <f t="array" ref="O1350">_xlfn.IFS(
    M1350=0,0,
   ABS(N1350 - S1349 - P1350-Q1350) &lt; 1, N1350 - S1349-Q1350,
    TRUE, P1350
)</f>
        <v>0</v>
      </c>
      <c r="P1350" s="1852">
        <f>IF(M1350=0,0,ROUND(S1349*EXP(Int_Rate/365.25 * M1350)-S1349,2))</f>
        <v>0</v>
      </c>
      <c r="Q1350" s="1851" cm="1">
        <f t="array" ref="Q1350">_xlfn.IFS(
    AND(I1350=TRUE, K1350&lt;=No_Regular_Payments), Periodic_Admin_Charge,
   TRUE, 0
)</f>
        <v>0</v>
      </c>
      <c r="R1350" s="1850">
        <f>N1350-O1350-Q1350</f>
        <v>0</v>
      </c>
      <c r="S1350" s="1850">
        <f>ROUND(S1349-R1350,2)</f>
        <v>0</v>
      </c>
      <c r="T1350" s="1850">
        <f>ROUND(T1349-(N1350-Q1350),2)</f>
        <v>0</v>
      </c>
      <c r="U1350" s="1849"/>
      <c r="W1350" s="1848"/>
      <c r="X1350" s="1848"/>
      <c r="Y1350" s="1848"/>
    </row>
    <row r="1351" spans="2:25" hidden="1">
      <c r="B1351" s="1815" t="b">
        <f>AND(I1351=FALSE,N1350=0,Q1350=0,L1350="")</f>
        <v>1</v>
      </c>
      <c r="C1351" s="1844" t="str" cm="1">
        <f t="array" ref="C1351">_xlfn.IFS(
    L1351="", "",
    MONTH(L1351) &lt;= End_of_Year_Month, YEAR(L1351),
    TRUE, YEAR(L1351) + 1
)</f>
        <v/>
      </c>
      <c r="F1351" s="1857">
        <f>IF(L1351="",0,L1351)</f>
        <v>0</v>
      </c>
      <c r="G1351" s="1856">
        <f>-(N1351-Q1351)</f>
        <v>0</v>
      </c>
      <c r="I1351" s="1815" t="b">
        <f>K1351&lt;=Number_Payments</f>
        <v>0</v>
      </c>
      <c r="J1351" s="1855"/>
      <c r="K1351" s="1351">
        <f>K1350+1</f>
        <v>1225</v>
      </c>
      <c r="L1351" s="1854" t="str" cm="1">
        <f t="array" ref="L1351">_xlfn.IFS(
    I1350=FALSE, "",
    Payment_Frequency="Monthly", EDATE(L1350, 1),
    Payment_Frequency="Weekly", DATE(YEAR(L1350), MONTH(L1350), DAY(L1350) + 7),
    Payment_Frequency="Fortnightly", DATE(YEAR(L1350), MONTH(L1350), DAY(L1350) + 14),
    Payment_Frequency="Quarterly", DATE(YEAR(L1350), MONTH(L1350) + 3, DAY(L1350)),
    Payment_Frequency="Yearly", DATE(YEAR(L1350) + 1, MONTH(L1350), DAY(L1350)),
    TRUE, ""
)</f>
        <v/>
      </c>
      <c r="M1351" s="1853">
        <f>IF(ISERROR(L1351-L1350),0,L1351-L1350)</f>
        <v>0</v>
      </c>
      <c r="N1351" s="1851" cm="1">
        <f t="array" ref="N1351">_xlfn.IFS(
    AND(I1351=TRUE, K1351&lt;=No_Regular_Payments), Repay_Amt,
    AND(I1351=TRUE, K1351=No_Regular_Payments+1), Tm_Balloon_Amt,
   TRUE, 0
)</f>
        <v>0</v>
      </c>
      <c r="O1351" s="1850" cm="1">
        <f t="array" ref="O1351">_xlfn.IFS(
    M1351=0,0,
   ABS(N1351 - S1350 - P1351-Q1351) &lt; 1, N1351 - S1350-Q1351,
    TRUE, P1351
)</f>
        <v>0</v>
      </c>
      <c r="P1351" s="1852">
        <f>IF(M1351=0,0,ROUND(S1350*EXP(Int_Rate/365.25 * M1351)-S1350,2))</f>
        <v>0</v>
      </c>
      <c r="Q1351" s="1851" cm="1">
        <f t="array" ref="Q1351">_xlfn.IFS(
    AND(I1351=TRUE, K1351&lt;=No_Regular_Payments), Periodic_Admin_Charge,
   TRUE, 0
)</f>
        <v>0</v>
      </c>
      <c r="R1351" s="1850">
        <f>N1351-O1351-Q1351</f>
        <v>0</v>
      </c>
      <c r="S1351" s="1850">
        <f>ROUND(S1350-R1351,2)</f>
        <v>0</v>
      </c>
      <c r="T1351" s="1850">
        <f>ROUND(T1350-(N1351-Q1351),2)</f>
        <v>0</v>
      </c>
      <c r="U1351" s="1849"/>
      <c r="W1351" s="1848"/>
      <c r="X1351" s="1848"/>
      <c r="Y1351" s="1848"/>
    </row>
    <row r="1352" spans="2:25" hidden="1">
      <c r="B1352" s="1815" t="b">
        <f>AND(I1352=FALSE,N1351=0,Q1351=0,L1351="")</f>
        <v>1</v>
      </c>
      <c r="C1352" s="1844" t="str" cm="1">
        <f t="array" ref="C1352">_xlfn.IFS(
    L1352="", "",
    MONTH(L1352) &lt;= End_of_Year_Month, YEAR(L1352),
    TRUE, YEAR(L1352) + 1
)</f>
        <v/>
      </c>
      <c r="F1352" s="1857">
        <f>IF(L1352="",0,L1352)</f>
        <v>0</v>
      </c>
      <c r="G1352" s="1856">
        <f>-(N1352-Q1352)</f>
        <v>0</v>
      </c>
      <c r="I1352" s="1815" t="b">
        <f>K1352&lt;=Number_Payments</f>
        <v>0</v>
      </c>
      <c r="J1352" s="1855"/>
      <c r="K1352" s="1351">
        <f>K1351+1</f>
        <v>1226</v>
      </c>
      <c r="L1352" s="1854" t="str" cm="1">
        <f t="array" ref="L1352">_xlfn.IFS(
    I1351=FALSE, "",
    Payment_Frequency="Monthly", EDATE(L1351, 1),
    Payment_Frequency="Weekly", DATE(YEAR(L1351), MONTH(L1351), DAY(L1351) + 7),
    Payment_Frequency="Fortnightly", DATE(YEAR(L1351), MONTH(L1351), DAY(L1351) + 14),
    Payment_Frequency="Quarterly", DATE(YEAR(L1351), MONTH(L1351) + 3, DAY(L1351)),
    Payment_Frequency="Yearly", DATE(YEAR(L1351) + 1, MONTH(L1351), DAY(L1351)),
    TRUE, ""
)</f>
        <v/>
      </c>
      <c r="M1352" s="1853">
        <f>IF(ISERROR(L1352-L1351),0,L1352-L1351)</f>
        <v>0</v>
      </c>
      <c r="N1352" s="1851" cm="1">
        <f t="array" ref="N1352">_xlfn.IFS(
    AND(I1352=TRUE, K1352&lt;=No_Regular_Payments), Repay_Amt,
    AND(I1352=TRUE, K1352=No_Regular_Payments+1), Tm_Balloon_Amt,
   TRUE, 0
)</f>
        <v>0</v>
      </c>
      <c r="O1352" s="1850" cm="1">
        <f t="array" ref="O1352">_xlfn.IFS(
    M1352=0,0,
   ABS(N1352 - S1351 - P1352-Q1352) &lt; 1, N1352 - S1351-Q1352,
    TRUE, P1352
)</f>
        <v>0</v>
      </c>
      <c r="P1352" s="1852">
        <f>IF(M1352=0,0,ROUND(S1351*EXP(Int_Rate/365.25 * M1352)-S1351,2))</f>
        <v>0</v>
      </c>
      <c r="Q1352" s="1851" cm="1">
        <f t="array" ref="Q1352">_xlfn.IFS(
    AND(I1352=TRUE, K1352&lt;=No_Regular_Payments), Periodic_Admin_Charge,
   TRUE, 0
)</f>
        <v>0</v>
      </c>
      <c r="R1352" s="1850">
        <f>N1352-O1352-Q1352</f>
        <v>0</v>
      </c>
      <c r="S1352" s="1850">
        <f>ROUND(S1351-R1352,2)</f>
        <v>0</v>
      </c>
      <c r="T1352" s="1850">
        <f>ROUND(T1351-(N1352-Q1352),2)</f>
        <v>0</v>
      </c>
      <c r="U1352" s="1849"/>
      <c r="W1352" s="1848"/>
      <c r="X1352" s="1848"/>
      <c r="Y1352" s="1848"/>
    </row>
    <row r="1353" spans="2:25" hidden="1">
      <c r="B1353" s="1815" t="b">
        <f>AND(I1353=FALSE,N1352=0,Q1352=0,L1352="")</f>
        <v>1</v>
      </c>
      <c r="C1353" s="1844" t="str" cm="1">
        <f t="array" ref="C1353">_xlfn.IFS(
    L1353="", "",
    MONTH(L1353) &lt;= End_of_Year_Month, YEAR(L1353),
    TRUE, YEAR(L1353) + 1
)</f>
        <v/>
      </c>
      <c r="F1353" s="1857">
        <f>IF(L1353="",0,L1353)</f>
        <v>0</v>
      </c>
      <c r="G1353" s="1856">
        <f>-(N1353-Q1353)</f>
        <v>0</v>
      </c>
      <c r="I1353" s="1815" t="b">
        <f>K1353&lt;=Number_Payments</f>
        <v>0</v>
      </c>
      <c r="J1353" s="1855"/>
      <c r="K1353" s="1351">
        <f>K1352+1</f>
        <v>1227</v>
      </c>
      <c r="L1353" s="1854" t="str" cm="1">
        <f t="array" ref="L1353">_xlfn.IFS(
    I1352=FALSE, "",
    Payment_Frequency="Monthly", EDATE(L1352, 1),
    Payment_Frequency="Weekly", DATE(YEAR(L1352), MONTH(L1352), DAY(L1352) + 7),
    Payment_Frequency="Fortnightly", DATE(YEAR(L1352), MONTH(L1352), DAY(L1352) + 14),
    Payment_Frequency="Quarterly", DATE(YEAR(L1352), MONTH(L1352) + 3, DAY(L1352)),
    Payment_Frequency="Yearly", DATE(YEAR(L1352) + 1, MONTH(L1352), DAY(L1352)),
    TRUE, ""
)</f>
        <v/>
      </c>
      <c r="M1353" s="1853">
        <f>IF(ISERROR(L1353-L1352),0,L1353-L1352)</f>
        <v>0</v>
      </c>
      <c r="N1353" s="1851" cm="1">
        <f t="array" ref="N1353">_xlfn.IFS(
    AND(I1353=TRUE, K1353&lt;=No_Regular_Payments), Repay_Amt,
    AND(I1353=TRUE, K1353=No_Regular_Payments+1), Tm_Balloon_Amt,
   TRUE, 0
)</f>
        <v>0</v>
      </c>
      <c r="O1353" s="1850" cm="1">
        <f t="array" ref="O1353">_xlfn.IFS(
    M1353=0,0,
   ABS(N1353 - S1352 - P1353-Q1353) &lt; 1, N1353 - S1352-Q1353,
    TRUE, P1353
)</f>
        <v>0</v>
      </c>
      <c r="P1353" s="1852">
        <f>IF(M1353=0,0,ROUND(S1352*EXP(Int_Rate/365.25 * M1353)-S1352,2))</f>
        <v>0</v>
      </c>
      <c r="Q1353" s="1851" cm="1">
        <f t="array" ref="Q1353">_xlfn.IFS(
    AND(I1353=TRUE, K1353&lt;=No_Regular_Payments), Periodic_Admin_Charge,
   TRUE, 0
)</f>
        <v>0</v>
      </c>
      <c r="R1353" s="1850">
        <f>N1353-O1353-Q1353</f>
        <v>0</v>
      </c>
      <c r="S1353" s="1850">
        <f>ROUND(S1352-R1353,2)</f>
        <v>0</v>
      </c>
      <c r="T1353" s="1850">
        <f>ROUND(T1352-(N1353-Q1353),2)</f>
        <v>0</v>
      </c>
      <c r="U1353" s="1849"/>
      <c r="W1353" s="1848"/>
      <c r="X1353" s="1848"/>
      <c r="Y1353" s="1848"/>
    </row>
    <row r="1354" spans="2:25" hidden="1">
      <c r="B1354" s="1815" t="b">
        <f>AND(I1354=FALSE,N1353=0,Q1353=0,L1353="")</f>
        <v>1</v>
      </c>
      <c r="C1354" s="1844" t="str" cm="1">
        <f t="array" ref="C1354">_xlfn.IFS(
    L1354="", "",
    MONTH(L1354) &lt;= End_of_Year_Month, YEAR(L1354),
    TRUE, YEAR(L1354) + 1
)</f>
        <v/>
      </c>
      <c r="F1354" s="1857">
        <f>IF(L1354="",0,L1354)</f>
        <v>0</v>
      </c>
      <c r="G1354" s="1856">
        <f>-(N1354-Q1354)</f>
        <v>0</v>
      </c>
      <c r="I1354" s="1815" t="b">
        <f>K1354&lt;=Number_Payments</f>
        <v>0</v>
      </c>
      <c r="J1354" s="1855"/>
      <c r="K1354" s="1351">
        <f>K1353+1</f>
        <v>1228</v>
      </c>
      <c r="L1354" s="1854" t="str" cm="1">
        <f t="array" ref="L1354">_xlfn.IFS(
    I1353=FALSE, "",
    Payment_Frequency="Monthly", EDATE(L1353, 1),
    Payment_Frequency="Weekly", DATE(YEAR(L1353), MONTH(L1353), DAY(L1353) + 7),
    Payment_Frequency="Fortnightly", DATE(YEAR(L1353), MONTH(L1353), DAY(L1353) + 14),
    Payment_Frequency="Quarterly", DATE(YEAR(L1353), MONTH(L1353) + 3, DAY(L1353)),
    Payment_Frequency="Yearly", DATE(YEAR(L1353) + 1, MONTH(L1353), DAY(L1353)),
    TRUE, ""
)</f>
        <v/>
      </c>
      <c r="M1354" s="1853">
        <f>IF(ISERROR(L1354-L1353),0,L1354-L1353)</f>
        <v>0</v>
      </c>
      <c r="N1354" s="1851" cm="1">
        <f t="array" ref="N1354">_xlfn.IFS(
    AND(I1354=TRUE, K1354&lt;=No_Regular_Payments), Repay_Amt,
    AND(I1354=TRUE, K1354=No_Regular_Payments+1), Tm_Balloon_Amt,
   TRUE, 0
)</f>
        <v>0</v>
      </c>
      <c r="O1354" s="1850" cm="1">
        <f t="array" ref="O1354">_xlfn.IFS(
    M1354=0,0,
   ABS(N1354 - S1353 - P1354-Q1354) &lt; 1, N1354 - S1353-Q1354,
    TRUE, P1354
)</f>
        <v>0</v>
      </c>
      <c r="P1354" s="1852">
        <f>IF(M1354=0,0,ROUND(S1353*EXP(Int_Rate/365.25 * M1354)-S1353,2))</f>
        <v>0</v>
      </c>
      <c r="Q1354" s="1851" cm="1">
        <f t="array" ref="Q1354">_xlfn.IFS(
    AND(I1354=TRUE, K1354&lt;=No_Regular_Payments), Periodic_Admin_Charge,
   TRUE, 0
)</f>
        <v>0</v>
      </c>
      <c r="R1354" s="1850">
        <f>N1354-O1354-Q1354</f>
        <v>0</v>
      </c>
      <c r="S1354" s="1850">
        <f>ROUND(S1353-R1354,2)</f>
        <v>0</v>
      </c>
      <c r="T1354" s="1850">
        <f>ROUND(T1353-(N1354-Q1354),2)</f>
        <v>0</v>
      </c>
      <c r="U1354" s="1849"/>
      <c r="W1354" s="1848"/>
      <c r="X1354" s="1848"/>
      <c r="Y1354" s="1848"/>
    </row>
    <row r="1355" spans="2:25" hidden="1">
      <c r="B1355" s="1815" t="b">
        <f>AND(I1355=FALSE,N1354=0,Q1354=0,L1354="")</f>
        <v>1</v>
      </c>
      <c r="C1355" s="1844" t="str" cm="1">
        <f t="array" ref="C1355">_xlfn.IFS(
    L1355="", "",
    MONTH(L1355) &lt;= End_of_Year_Month, YEAR(L1355),
    TRUE, YEAR(L1355) + 1
)</f>
        <v/>
      </c>
      <c r="F1355" s="1857">
        <f>IF(L1355="",0,L1355)</f>
        <v>0</v>
      </c>
      <c r="G1355" s="1856">
        <f>-(N1355-Q1355)</f>
        <v>0</v>
      </c>
      <c r="I1355" s="1815" t="b">
        <f>K1355&lt;=Number_Payments</f>
        <v>0</v>
      </c>
      <c r="J1355" s="1855"/>
      <c r="K1355" s="1351">
        <f>K1354+1</f>
        <v>1229</v>
      </c>
      <c r="L1355" s="1854" t="str" cm="1">
        <f t="array" ref="L1355">_xlfn.IFS(
    I1354=FALSE, "",
    Payment_Frequency="Monthly", EDATE(L1354, 1),
    Payment_Frequency="Weekly", DATE(YEAR(L1354), MONTH(L1354), DAY(L1354) + 7),
    Payment_Frequency="Fortnightly", DATE(YEAR(L1354), MONTH(L1354), DAY(L1354) + 14),
    Payment_Frequency="Quarterly", DATE(YEAR(L1354), MONTH(L1354) + 3, DAY(L1354)),
    Payment_Frequency="Yearly", DATE(YEAR(L1354) + 1, MONTH(L1354), DAY(L1354)),
    TRUE, ""
)</f>
        <v/>
      </c>
      <c r="M1355" s="1853">
        <f>IF(ISERROR(L1355-L1354),0,L1355-L1354)</f>
        <v>0</v>
      </c>
      <c r="N1355" s="1851" cm="1">
        <f t="array" ref="N1355">_xlfn.IFS(
    AND(I1355=TRUE, K1355&lt;=No_Regular_Payments), Repay_Amt,
    AND(I1355=TRUE, K1355=No_Regular_Payments+1), Tm_Balloon_Amt,
   TRUE, 0
)</f>
        <v>0</v>
      </c>
      <c r="O1355" s="1850" cm="1">
        <f t="array" ref="O1355">_xlfn.IFS(
    M1355=0,0,
   ABS(N1355 - S1354 - P1355-Q1355) &lt; 1, N1355 - S1354-Q1355,
    TRUE, P1355
)</f>
        <v>0</v>
      </c>
      <c r="P1355" s="1852">
        <f>IF(M1355=0,0,ROUND(S1354*EXP(Int_Rate/365.25 * M1355)-S1354,2))</f>
        <v>0</v>
      </c>
      <c r="Q1355" s="1851" cm="1">
        <f t="array" ref="Q1355">_xlfn.IFS(
    AND(I1355=TRUE, K1355&lt;=No_Regular_Payments), Periodic_Admin_Charge,
   TRUE, 0
)</f>
        <v>0</v>
      </c>
      <c r="R1355" s="1850">
        <f>N1355-O1355-Q1355</f>
        <v>0</v>
      </c>
      <c r="S1355" s="1850">
        <f>ROUND(S1354-R1355,2)</f>
        <v>0</v>
      </c>
      <c r="T1355" s="1850">
        <f>ROUND(T1354-(N1355-Q1355),2)</f>
        <v>0</v>
      </c>
      <c r="U1355" s="1849"/>
      <c r="W1355" s="1848"/>
      <c r="X1355" s="1848"/>
      <c r="Y1355" s="1848"/>
    </row>
    <row r="1356" spans="2:25" hidden="1">
      <c r="B1356" s="1815" t="b">
        <f>AND(I1356=FALSE,N1355=0,Q1355=0,L1355="")</f>
        <v>1</v>
      </c>
      <c r="C1356" s="1844" t="str" cm="1">
        <f t="array" ref="C1356">_xlfn.IFS(
    L1356="", "",
    MONTH(L1356) &lt;= End_of_Year_Month, YEAR(L1356),
    TRUE, YEAR(L1356) + 1
)</f>
        <v/>
      </c>
      <c r="F1356" s="1857">
        <f>IF(L1356="",0,L1356)</f>
        <v>0</v>
      </c>
      <c r="G1356" s="1856">
        <f>-(N1356-Q1356)</f>
        <v>0</v>
      </c>
      <c r="I1356" s="1815" t="b">
        <f>K1356&lt;=Number_Payments</f>
        <v>0</v>
      </c>
      <c r="J1356" s="1855"/>
      <c r="K1356" s="1351">
        <f>K1355+1</f>
        <v>1230</v>
      </c>
      <c r="L1356" s="1854" t="str" cm="1">
        <f t="array" ref="L1356">_xlfn.IFS(
    I1355=FALSE, "",
    Payment_Frequency="Monthly", EDATE(L1355, 1),
    Payment_Frequency="Weekly", DATE(YEAR(L1355), MONTH(L1355), DAY(L1355) + 7),
    Payment_Frequency="Fortnightly", DATE(YEAR(L1355), MONTH(L1355), DAY(L1355) + 14),
    Payment_Frequency="Quarterly", DATE(YEAR(L1355), MONTH(L1355) + 3, DAY(L1355)),
    Payment_Frequency="Yearly", DATE(YEAR(L1355) + 1, MONTH(L1355), DAY(L1355)),
    TRUE, ""
)</f>
        <v/>
      </c>
      <c r="M1356" s="1853">
        <f>IF(ISERROR(L1356-L1355),0,L1356-L1355)</f>
        <v>0</v>
      </c>
      <c r="N1356" s="1851" cm="1">
        <f t="array" ref="N1356">_xlfn.IFS(
    AND(I1356=TRUE, K1356&lt;=No_Regular_Payments), Repay_Amt,
    AND(I1356=TRUE, K1356=No_Regular_Payments+1), Tm_Balloon_Amt,
   TRUE, 0
)</f>
        <v>0</v>
      </c>
      <c r="O1356" s="1850" cm="1">
        <f t="array" ref="O1356">_xlfn.IFS(
    M1356=0,0,
   ABS(N1356 - S1355 - P1356-Q1356) &lt; 1, N1356 - S1355-Q1356,
    TRUE, P1356
)</f>
        <v>0</v>
      </c>
      <c r="P1356" s="1852">
        <f>IF(M1356=0,0,ROUND(S1355*EXP(Int_Rate/365.25 * M1356)-S1355,2))</f>
        <v>0</v>
      </c>
      <c r="Q1356" s="1851" cm="1">
        <f t="array" ref="Q1356">_xlfn.IFS(
    AND(I1356=TRUE, K1356&lt;=No_Regular_Payments), Periodic_Admin_Charge,
   TRUE, 0
)</f>
        <v>0</v>
      </c>
      <c r="R1356" s="1850">
        <f>N1356-O1356-Q1356</f>
        <v>0</v>
      </c>
      <c r="S1356" s="1850">
        <f>ROUND(S1355-R1356,2)</f>
        <v>0</v>
      </c>
      <c r="T1356" s="1850">
        <f>ROUND(T1355-(N1356-Q1356),2)</f>
        <v>0</v>
      </c>
      <c r="U1356" s="1849"/>
      <c r="W1356" s="1848"/>
      <c r="X1356" s="1848"/>
      <c r="Y1356" s="1848"/>
    </row>
    <row r="1357" spans="2:25" hidden="1">
      <c r="B1357" s="1815" t="b">
        <f>AND(I1357=FALSE,N1356=0,Q1356=0,L1356="")</f>
        <v>1</v>
      </c>
      <c r="C1357" s="1844" t="str" cm="1">
        <f t="array" ref="C1357">_xlfn.IFS(
    L1357="", "",
    MONTH(L1357) &lt;= End_of_Year_Month, YEAR(L1357),
    TRUE, YEAR(L1357) + 1
)</f>
        <v/>
      </c>
      <c r="F1357" s="1857">
        <f>IF(L1357="",0,L1357)</f>
        <v>0</v>
      </c>
      <c r="G1357" s="1856">
        <f>-(N1357-Q1357)</f>
        <v>0</v>
      </c>
      <c r="I1357" s="1815" t="b">
        <f>K1357&lt;=Number_Payments</f>
        <v>0</v>
      </c>
      <c r="J1357" s="1855"/>
      <c r="K1357" s="1351">
        <f>K1356+1</f>
        <v>1231</v>
      </c>
      <c r="L1357" s="1854" t="str" cm="1">
        <f t="array" ref="L1357">_xlfn.IFS(
    I1356=FALSE, "",
    Payment_Frequency="Monthly", EDATE(L1356, 1),
    Payment_Frequency="Weekly", DATE(YEAR(L1356), MONTH(L1356), DAY(L1356) + 7),
    Payment_Frequency="Fortnightly", DATE(YEAR(L1356), MONTH(L1356), DAY(L1356) + 14),
    Payment_Frequency="Quarterly", DATE(YEAR(L1356), MONTH(L1356) + 3, DAY(L1356)),
    Payment_Frequency="Yearly", DATE(YEAR(L1356) + 1, MONTH(L1356), DAY(L1356)),
    TRUE, ""
)</f>
        <v/>
      </c>
      <c r="M1357" s="1853">
        <f>IF(ISERROR(L1357-L1356),0,L1357-L1356)</f>
        <v>0</v>
      </c>
      <c r="N1357" s="1851" cm="1">
        <f t="array" ref="N1357">_xlfn.IFS(
    AND(I1357=TRUE, K1357&lt;=No_Regular_Payments), Repay_Amt,
    AND(I1357=TRUE, K1357=No_Regular_Payments+1), Tm_Balloon_Amt,
   TRUE, 0
)</f>
        <v>0</v>
      </c>
      <c r="O1357" s="1850" cm="1">
        <f t="array" ref="O1357">_xlfn.IFS(
    M1357=0,0,
   ABS(N1357 - S1356 - P1357-Q1357) &lt; 1, N1357 - S1356-Q1357,
    TRUE, P1357
)</f>
        <v>0</v>
      </c>
      <c r="P1357" s="1852">
        <f>IF(M1357=0,0,ROUND(S1356*EXP(Int_Rate/365.25 * M1357)-S1356,2))</f>
        <v>0</v>
      </c>
      <c r="Q1357" s="1851" cm="1">
        <f t="array" ref="Q1357">_xlfn.IFS(
    AND(I1357=TRUE, K1357&lt;=No_Regular_Payments), Periodic_Admin_Charge,
   TRUE, 0
)</f>
        <v>0</v>
      </c>
      <c r="R1357" s="1850">
        <f>N1357-O1357-Q1357</f>
        <v>0</v>
      </c>
      <c r="S1357" s="1850">
        <f>ROUND(S1356-R1357,2)</f>
        <v>0</v>
      </c>
      <c r="T1357" s="1850">
        <f>ROUND(T1356-(N1357-Q1357),2)</f>
        <v>0</v>
      </c>
      <c r="U1357" s="1849"/>
      <c r="W1357" s="1848"/>
      <c r="X1357" s="1848"/>
      <c r="Y1357" s="1848"/>
    </row>
    <row r="1358" spans="2:25" hidden="1">
      <c r="B1358" s="1815" t="b">
        <f>AND(I1358=FALSE,N1357=0,Q1357=0,L1357="")</f>
        <v>1</v>
      </c>
      <c r="C1358" s="1844" t="str" cm="1">
        <f t="array" ref="C1358">_xlfn.IFS(
    L1358="", "",
    MONTH(L1358) &lt;= End_of_Year_Month, YEAR(L1358),
    TRUE, YEAR(L1358) + 1
)</f>
        <v/>
      </c>
      <c r="F1358" s="1857">
        <f>IF(L1358="",0,L1358)</f>
        <v>0</v>
      </c>
      <c r="G1358" s="1856">
        <f>-(N1358-Q1358)</f>
        <v>0</v>
      </c>
      <c r="I1358" s="1815" t="b">
        <f>K1358&lt;=Number_Payments</f>
        <v>0</v>
      </c>
      <c r="J1358" s="1855"/>
      <c r="K1358" s="1351">
        <f>K1357+1</f>
        <v>1232</v>
      </c>
      <c r="L1358" s="1854" t="str" cm="1">
        <f t="array" ref="L1358">_xlfn.IFS(
    I1357=FALSE, "",
    Payment_Frequency="Monthly", EDATE(L1357, 1),
    Payment_Frequency="Weekly", DATE(YEAR(L1357), MONTH(L1357), DAY(L1357) + 7),
    Payment_Frequency="Fortnightly", DATE(YEAR(L1357), MONTH(L1357), DAY(L1357) + 14),
    Payment_Frequency="Quarterly", DATE(YEAR(L1357), MONTH(L1357) + 3, DAY(L1357)),
    Payment_Frequency="Yearly", DATE(YEAR(L1357) + 1, MONTH(L1357), DAY(L1357)),
    TRUE, ""
)</f>
        <v/>
      </c>
      <c r="M1358" s="1853">
        <f>IF(ISERROR(L1358-L1357),0,L1358-L1357)</f>
        <v>0</v>
      </c>
      <c r="N1358" s="1851" cm="1">
        <f t="array" ref="N1358">_xlfn.IFS(
    AND(I1358=TRUE, K1358&lt;=No_Regular_Payments), Repay_Amt,
    AND(I1358=TRUE, K1358=No_Regular_Payments+1), Tm_Balloon_Amt,
   TRUE, 0
)</f>
        <v>0</v>
      </c>
      <c r="O1358" s="1850" cm="1">
        <f t="array" ref="O1358">_xlfn.IFS(
    M1358=0,0,
   ABS(N1358 - S1357 - P1358-Q1358) &lt; 1, N1358 - S1357-Q1358,
    TRUE, P1358
)</f>
        <v>0</v>
      </c>
      <c r="P1358" s="1852">
        <f>IF(M1358=0,0,ROUND(S1357*EXP(Int_Rate/365.25 * M1358)-S1357,2))</f>
        <v>0</v>
      </c>
      <c r="Q1358" s="1851" cm="1">
        <f t="array" ref="Q1358">_xlfn.IFS(
    AND(I1358=TRUE, K1358&lt;=No_Regular_Payments), Periodic_Admin_Charge,
   TRUE, 0
)</f>
        <v>0</v>
      </c>
      <c r="R1358" s="1850">
        <f>N1358-O1358-Q1358</f>
        <v>0</v>
      </c>
      <c r="S1358" s="1850">
        <f>ROUND(S1357-R1358,2)</f>
        <v>0</v>
      </c>
      <c r="T1358" s="1850">
        <f>ROUND(T1357-(N1358-Q1358),2)</f>
        <v>0</v>
      </c>
      <c r="U1358" s="1849"/>
      <c r="W1358" s="1848"/>
      <c r="X1358" s="1848"/>
      <c r="Y1358" s="1848"/>
    </row>
    <row r="1359" spans="2:25" hidden="1">
      <c r="B1359" s="1815" t="b">
        <f>AND(I1359=FALSE,N1358=0,Q1358=0,L1358="")</f>
        <v>1</v>
      </c>
      <c r="C1359" s="1844" t="str" cm="1">
        <f t="array" ref="C1359">_xlfn.IFS(
    L1359="", "",
    MONTH(L1359) &lt;= End_of_Year_Month, YEAR(L1359),
    TRUE, YEAR(L1359) + 1
)</f>
        <v/>
      </c>
      <c r="F1359" s="1857">
        <f>IF(L1359="",0,L1359)</f>
        <v>0</v>
      </c>
      <c r="G1359" s="1856">
        <f>-(N1359-Q1359)</f>
        <v>0</v>
      </c>
      <c r="I1359" s="1815" t="b">
        <f>K1359&lt;=Number_Payments</f>
        <v>0</v>
      </c>
      <c r="J1359" s="1855"/>
      <c r="K1359" s="1351">
        <f>K1358+1</f>
        <v>1233</v>
      </c>
      <c r="L1359" s="1854" t="str" cm="1">
        <f t="array" ref="L1359">_xlfn.IFS(
    I1358=FALSE, "",
    Payment_Frequency="Monthly", EDATE(L1358, 1),
    Payment_Frequency="Weekly", DATE(YEAR(L1358), MONTH(L1358), DAY(L1358) + 7),
    Payment_Frequency="Fortnightly", DATE(YEAR(L1358), MONTH(L1358), DAY(L1358) + 14),
    Payment_Frequency="Quarterly", DATE(YEAR(L1358), MONTH(L1358) + 3, DAY(L1358)),
    Payment_Frequency="Yearly", DATE(YEAR(L1358) + 1, MONTH(L1358), DAY(L1358)),
    TRUE, ""
)</f>
        <v/>
      </c>
      <c r="M1359" s="1853">
        <f>IF(ISERROR(L1359-L1358),0,L1359-L1358)</f>
        <v>0</v>
      </c>
      <c r="N1359" s="1851" cm="1">
        <f t="array" ref="N1359">_xlfn.IFS(
    AND(I1359=TRUE, K1359&lt;=No_Regular_Payments), Repay_Amt,
    AND(I1359=TRUE, K1359=No_Regular_Payments+1), Tm_Balloon_Amt,
   TRUE, 0
)</f>
        <v>0</v>
      </c>
      <c r="O1359" s="1850" cm="1">
        <f t="array" ref="O1359">_xlfn.IFS(
    M1359=0,0,
   ABS(N1359 - S1358 - P1359-Q1359) &lt; 1, N1359 - S1358-Q1359,
    TRUE, P1359
)</f>
        <v>0</v>
      </c>
      <c r="P1359" s="1852">
        <f>IF(M1359=0,0,ROUND(S1358*EXP(Int_Rate/365.25 * M1359)-S1358,2))</f>
        <v>0</v>
      </c>
      <c r="Q1359" s="1851" cm="1">
        <f t="array" ref="Q1359">_xlfn.IFS(
    AND(I1359=TRUE, K1359&lt;=No_Regular_Payments), Periodic_Admin_Charge,
   TRUE, 0
)</f>
        <v>0</v>
      </c>
      <c r="R1359" s="1850">
        <f>N1359-O1359-Q1359</f>
        <v>0</v>
      </c>
      <c r="S1359" s="1850">
        <f>ROUND(S1358-R1359,2)</f>
        <v>0</v>
      </c>
      <c r="T1359" s="1850">
        <f>ROUND(T1358-(N1359-Q1359),2)</f>
        <v>0</v>
      </c>
      <c r="U1359" s="1849"/>
      <c r="W1359" s="1848"/>
      <c r="X1359" s="1848"/>
      <c r="Y1359" s="1848"/>
    </row>
    <row r="1360" spans="2:25" hidden="1">
      <c r="B1360" s="1815" t="b">
        <f>AND(I1360=FALSE,N1359=0,Q1359=0,L1359="")</f>
        <v>1</v>
      </c>
      <c r="C1360" s="1844" t="str" cm="1">
        <f t="array" ref="C1360">_xlfn.IFS(
    L1360="", "",
    MONTH(L1360) &lt;= End_of_Year_Month, YEAR(L1360),
    TRUE, YEAR(L1360) + 1
)</f>
        <v/>
      </c>
      <c r="F1360" s="1857">
        <f>IF(L1360="",0,L1360)</f>
        <v>0</v>
      </c>
      <c r="G1360" s="1856">
        <f>-(N1360-Q1360)</f>
        <v>0</v>
      </c>
      <c r="I1360" s="1815" t="b">
        <f>K1360&lt;=Number_Payments</f>
        <v>0</v>
      </c>
      <c r="J1360" s="1855"/>
      <c r="K1360" s="1351">
        <f>K1359+1</f>
        <v>1234</v>
      </c>
      <c r="L1360" s="1854" t="str" cm="1">
        <f t="array" ref="L1360">_xlfn.IFS(
    I1359=FALSE, "",
    Payment_Frequency="Monthly", EDATE(L1359, 1),
    Payment_Frequency="Weekly", DATE(YEAR(L1359), MONTH(L1359), DAY(L1359) + 7),
    Payment_Frequency="Fortnightly", DATE(YEAR(L1359), MONTH(L1359), DAY(L1359) + 14),
    Payment_Frequency="Quarterly", DATE(YEAR(L1359), MONTH(L1359) + 3, DAY(L1359)),
    Payment_Frequency="Yearly", DATE(YEAR(L1359) + 1, MONTH(L1359), DAY(L1359)),
    TRUE, ""
)</f>
        <v/>
      </c>
      <c r="M1360" s="1853">
        <f>IF(ISERROR(L1360-L1359),0,L1360-L1359)</f>
        <v>0</v>
      </c>
      <c r="N1360" s="1851" cm="1">
        <f t="array" ref="N1360">_xlfn.IFS(
    AND(I1360=TRUE, K1360&lt;=No_Regular_Payments), Repay_Amt,
    AND(I1360=TRUE, K1360=No_Regular_Payments+1), Tm_Balloon_Amt,
   TRUE, 0
)</f>
        <v>0</v>
      </c>
      <c r="O1360" s="1850" cm="1">
        <f t="array" ref="O1360">_xlfn.IFS(
    M1360=0,0,
   ABS(N1360 - S1359 - P1360-Q1360) &lt; 1, N1360 - S1359-Q1360,
    TRUE, P1360
)</f>
        <v>0</v>
      </c>
      <c r="P1360" s="1852">
        <f>IF(M1360=0,0,ROUND(S1359*EXP(Int_Rate/365.25 * M1360)-S1359,2))</f>
        <v>0</v>
      </c>
      <c r="Q1360" s="1851" cm="1">
        <f t="array" ref="Q1360">_xlfn.IFS(
    AND(I1360=TRUE, K1360&lt;=No_Regular_Payments), Periodic_Admin_Charge,
   TRUE, 0
)</f>
        <v>0</v>
      </c>
      <c r="R1360" s="1850">
        <f>N1360-O1360-Q1360</f>
        <v>0</v>
      </c>
      <c r="S1360" s="1850">
        <f>ROUND(S1359-R1360,2)</f>
        <v>0</v>
      </c>
      <c r="T1360" s="1850">
        <f>ROUND(T1359-(N1360-Q1360),2)</f>
        <v>0</v>
      </c>
      <c r="U1360" s="1849"/>
      <c r="W1360" s="1848"/>
      <c r="X1360" s="1848"/>
      <c r="Y1360" s="1848"/>
    </row>
    <row r="1361" spans="2:25" hidden="1">
      <c r="B1361" s="1815" t="b">
        <f>AND(I1361=FALSE,N1360=0,Q1360=0,L1360="")</f>
        <v>1</v>
      </c>
      <c r="C1361" s="1844" t="str" cm="1">
        <f t="array" ref="C1361">_xlfn.IFS(
    L1361="", "",
    MONTH(L1361) &lt;= End_of_Year_Month, YEAR(L1361),
    TRUE, YEAR(L1361) + 1
)</f>
        <v/>
      </c>
      <c r="F1361" s="1857">
        <f>IF(L1361="",0,L1361)</f>
        <v>0</v>
      </c>
      <c r="G1361" s="1856">
        <f>-(N1361-Q1361)</f>
        <v>0</v>
      </c>
      <c r="I1361" s="1815" t="b">
        <f>K1361&lt;=Number_Payments</f>
        <v>0</v>
      </c>
      <c r="J1361" s="1855"/>
      <c r="K1361" s="1351">
        <f>K1360+1</f>
        <v>1235</v>
      </c>
      <c r="L1361" s="1854" t="str" cm="1">
        <f t="array" ref="L1361">_xlfn.IFS(
    I1360=FALSE, "",
    Payment_Frequency="Monthly", EDATE(L1360, 1),
    Payment_Frequency="Weekly", DATE(YEAR(L1360), MONTH(L1360), DAY(L1360) + 7),
    Payment_Frequency="Fortnightly", DATE(YEAR(L1360), MONTH(L1360), DAY(L1360) + 14),
    Payment_Frequency="Quarterly", DATE(YEAR(L1360), MONTH(L1360) + 3, DAY(L1360)),
    Payment_Frequency="Yearly", DATE(YEAR(L1360) + 1, MONTH(L1360), DAY(L1360)),
    TRUE, ""
)</f>
        <v/>
      </c>
      <c r="M1361" s="1853">
        <f>IF(ISERROR(L1361-L1360),0,L1361-L1360)</f>
        <v>0</v>
      </c>
      <c r="N1361" s="1851" cm="1">
        <f t="array" ref="N1361">_xlfn.IFS(
    AND(I1361=TRUE, K1361&lt;=No_Regular_Payments), Repay_Amt,
    AND(I1361=TRUE, K1361=No_Regular_Payments+1), Tm_Balloon_Amt,
   TRUE, 0
)</f>
        <v>0</v>
      </c>
      <c r="O1361" s="1850" cm="1">
        <f t="array" ref="O1361">_xlfn.IFS(
    M1361=0,0,
   ABS(N1361 - S1360 - P1361-Q1361) &lt; 1, N1361 - S1360-Q1361,
    TRUE, P1361
)</f>
        <v>0</v>
      </c>
      <c r="P1361" s="1852">
        <f>IF(M1361=0,0,ROUND(S1360*EXP(Int_Rate/365.25 * M1361)-S1360,2))</f>
        <v>0</v>
      </c>
      <c r="Q1361" s="1851" cm="1">
        <f t="array" ref="Q1361">_xlfn.IFS(
    AND(I1361=TRUE, K1361&lt;=No_Regular_Payments), Periodic_Admin_Charge,
   TRUE, 0
)</f>
        <v>0</v>
      </c>
      <c r="R1361" s="1850">
        <f>N1361-O1361-Q1361</f>
        <v>0</v>
      </c>
      <c r="S1361" s="1850">
        <f>ROUND(S1360-R1361,2)</f>
        <v>0</v>
      </c>
      <c r="T1361" s="1850">
        <f>ROUND(T1360-(N1361-Q1361),2)</f>
        <v>0</v>
      </c>
      <c r="U1361" s="1849"/>
      <c r="W1361" s="1848"/>
      <c r="X1361" s="1848"/>
      <c r="Y1361" s="1848"/>
    </row>
    <row r="1362" spans="2:25" hidden="1">
      <c r="B1362" s="1815" t="b">
        <f>AND(I1362=FALSE,N1361=0,Q1361=0,L1361="")</f>
        <v>1</v>
      </c>
      <c r="C1362" s="1844" t="str" cm="1">
        <f t="array" ref="C1362">_xlfn.IFS(
    L1362="", "",
    MONTH(L1362) &lt;= End_of_Year_Month, YEAR(L1362),
    TRUE, YEAR(L1362) + 1
)</f>
        <v/>
      </c>
      <c r="F1362" s="1857">
        <f>IF(L1362="",0,L1362)</f>
        <v>0</v>
      </c>
      <c r="G1362" s="1856">
        <f>-(N1362-Q1362)</f>
        <v>0</v>
      </c>
      <c r="I1362" s="1815" t="b">
        <f>K1362&lt;=Number_Payments</f>
        <v>0</v>
      </c>
      <c r="J1362" s="1855"/>
      <c r="K1362" s="1351">
        <f>K1361+1</f>
        <v>1236</v>
      </c>
      <c r="L1362" s="1854" t="str" cm="1">
        <f t="array" ref="L1362">_xlfn.IFS(
    I1361=FALSE, "",
    Payment_Frequency="Monthly", EDATE(L1361, 1),
    Payment_Frequency="Weekly", DATE(YEAR(L1361), MONTH(L1361), DAY(L1361) + 7),
    Payment_Frequency="Fortnightly", DATE(YEAR(L1361), MONTH(L1361), DAY(L1361) + 14),
    Payment_Frequency="Quarterly", DATE(YEAR(L1361), MONTH(L1361) + 3, DAY(L1361)),
    Payment_Frequency="Yearly", DATE(YEAR(L1361) + 1, MONTH(L1361), DAY(L1361)),
    TRUE, ""
)</f>
        <v/>
      </c>
      <c r="M1362" s="1853">
        <f>IF(ISERROR(L1362-L1361),0,L1362-L1361)</f>
        <v>0</v>
      </c>
      <c r="N1362" s="1851" cm="1">
        <f t="array" ref="N1362">_xlfn.IFS(
    AND(I1362=TRUE, K1362&lt;=No_Regular_Payments), Repay_Amt,
    AND(I1362=TRUE, K1362=No_Regular_Payments+1), Tm_Balloon_Amt,
   TRUE, 0
)</f>
        <v>0</v>
      </c>
      <c r="O1362" s="1850" cm="1">
        <f t="array" ref="O1362">_xlfn.IFS(
    M1362=0,0,
   ABS(N1362 - S1361 - P1362-Q1362) &lt; 1, N1362 - S1361-Q1362,
    TRUE, P1362
)</f>
        <v>0</v>
      </c>
      <c r="P1362" s="1852">
        <f>IF(M1362=0,0,ROUND(S1361*EXP(Int_Rate/365.25 * M1362)-S1361,2))</f>
        <v>0</v>
      </c>
      <c r="Q1362" s="1851" cm="1">
        <f t="array" ref="Q1362">_xlfn.IFS(
    AND(I1362=TRUE, K1362&lt;=No_Regular_Payments), Periodic_Admin_Charge,
   TRUE, 0
)</f>
        <v>0</v>
      </c>
      <c r="R1362" s="1850">
        <f>N1362-O1362-Q1362</f>
        <v>0</v>
      </c>
      <c r="S1362" s="1850">
        <f>ROUND(S1361-R1362,2)</f>
        <v>0</v>
      </c>
      <c r="T1362" s="1850">
        <f>ROUND(T1361-(N1362-Q1362),2)</f>
        <v>0</v>
      </c>
      <c r="U1362" s="1849"/>
      <c r="W1362" s="1848"/>
      <c r="X1362" s="1848"/>
      <c r="Y1362" s="1848"/>
    </row>
    <row r="1363" spans="2:25" hidden="1">
      <c r="B1363" s="1815" t="b">
        <f>AND(I1363=FALSE,N1362=0,Q1362=0,L1362="")</f>
        <v>1</v>
      </c>
      <c r="C1363" s="1844" t="str" cm="1">
        <f t="array" ref="C1363">_xlfn.IFS(
    L1363="", "",
    MONTH(L1363) &lt;= End_of_Year_Month, YEAR(L1363),
    TRUE, YEAR(L1363) + 1
)</f>
        <v/>
      </c>
      <c r="F1363" s="1857">
        <f>IF(L1363="",0,L1363)</f>
        <v>0</v>
      </c>
      <c r="G1363" s="1856">
        <f>-(N1363-Q1363)</f>
        <v>0</v>
      </c>
      <c r="I1363" s="1815" t="b">
        <f>K1363&lt;=Number_Payments</f>
        <v>0</v>
      </c>
      <c r="J1363" s="1855"/>
      <c r="K1363" s="1351">
        <f>K1362+1</f>
        <v>1237</v>
      </c>
      <c r="L1363" s="1854" t="str" cm="1">
        <f t="array" ref="L1363">_xlfn.IFS(
    I1362=FALSE, "",
    Payment_Frequency="Monthly", EDATE(L1362, 1),
    Payment_Frequency="Weekly", DATE(YEAR(L1362), MONTH(L1362), DAY(L1362) + 7),
    Payment_Frequency="Fortnightly", DATE(YEAR(L1362), MONTH(L1362), DAY(L1362) + 14),
    Payment_Frequency="Quarterly", DATE(YEAR(L1362), MONTH(L1362) + 3, DAY(L1362)),
    Payment_Frequency="Yearly", DATE(YEAR(L1362) + 1, MONTH(L1362), DAY(L1362)),
    TRUE, ""
)</f>
        <v/>
      </c>
      <c r="M1363" s="1853">
        <f>IF(ISERROR(L1363-L1362),0,L1363-L1362)</f>
        <v>0</v>
      </c>
      <c r="N1363" s="1851" cm="1">
        <f t="array" ref="N1363">_xlfn.IFS(
    AND(I1363=TRUE, K1363&lt;=No_Regular_Payments), Repay_Amt,
    AND(I1363=TRUE, K1363=No_Regular_Payments+1), Tm_Balloon_Amt,
   TRUE, 0
)</f>
        <v>0</v>
      </c>
      <c r="O1363" s="1850" cm="1">
        <f t="array" ref="O1363">_xlfn.IFS(
    M1363=0,0,
   ABS(N1363 - S1362 - P1363-Q1363) &lt; 1, N1363 - S1362-Q1363,
    TRUE, P1363
)</f>
        <v>0</v>
      </c>
      <c r="P1363" s="1852">
        <f>IF(M1363=0,0,ROUND(S1362*EXP(Int_Rate/365.25 * M1363)-S1362,2))</f>
        <v>0</v>
      </c>
      <c r="Q1363" s="1851" cm="1">
        <f t="array" ref="Q1363">_xlfn.IFS(
    AND(I1363=TRUE, K1363&lt;=No_Regular_Payments), Periodic_Admin_Charge,
   TRUE, 0
)</f>
        <v>0</v>
      </c>
      <c r="R1363" s="1850">
        <f>N1363-O1363-Q1363</f>
        <v>0</v>
      </c>
      <c r="S1363" s="1850">
        <f>ROUND(S1362-R1363,2)</f>
        <v>0</v>
      </c>
      <c r="T1363" s="1850">
        <f>ROUND(T1362-(N1363-Q1363),2)</f>
        <v>0</v>
      </c>
      <c r="U1363" s="1849"/>
      <c r="W1363" s="1848"/>
      <c r="X1363" s="1848"/>
      <c r="Y1363" s="1848"/>
    </row>
    <row r="1364" spans="2:25" hidden="1">
      <c r="B1364" s="1815" t="b">
        <f>AND(I1364=FALSE,N1363=0,Q1363=0,L1363="")</f>
        <v>1</v>
      </c>
      <c r="C1364" s="1844" t="str" cm="1">
        <f t="array" ref="C1364">_xlfn.IFS(
    L1364="", "",
    MONTH(L1364) &lt;= End_of_Year_Month, YEAR(L1364),
    TRUE, YEAR(L1364) + 1
)</f>
        <v/>
      </c>
      <c r="F1364" s="1857">
        <f>IF(L1364="",0,L1364)</f>
        <v>0</v>
      </c>
      <c r="G1364" s="1856">
        <f>-(N1364-Q1364)</f>
        <v>0</v>
      </c>
      <c r="I1364" s="1815" t="b">
        <f>K1364&lt;=Number_Payments</f>
        <v>0</v>
      </c>
      <c r="J1364" s="1855"/>
      <c r="K1364" s="1351">
        <f>K1363+1</f>
        <v>1238</v>
      </c>
      <c r="L1364" s="1854" t="str" cm="1">
        <f t="array" ref="L1364">_xlfn.IFS(
    I1363=FALSE, "",
    Payment_Frequency="Monthly", EDATE(L1363, 1),
    Payment_Frequency="Weekly", DATE(YEAR(L1363), MONTH(L1363), DAY(L1363) + 7),
    Payment_Frequency="Fortnightly", DATE(YEAR(L1363), MONTH(L1363), DAY(L1363) + 14),
    Payment_Frequency="Quarterly", DATE(YEAR(L1363), MONTH(L1363) + 3, DAY(L1363)),
    Payment_Frequency="Yearly", DATE(YEAR(L1363) + 1, MONTH(L1363), DAY(L1363)),
    TRUE, ""
)</f>
        <v/>
      </c>
      <c r="M1364" s="1853">
        <f>IF(ISERROR(L1364-L1363),0,L1364-L1363)</f>
        <v>0</v>
      </c>
      <c r="N1364" s="1851" cm="1">
        <f t="array" ref="N1364">_xlfn.IFS(
    AND(I1364=TRUE, K1364&lt;=No_Regular_Payments), Repay_Amt,
    AND(I1364=TRUE, K1364=No_Regular_Payments+1), Tm_Balloon_Amt,
   TRUE, 0
)</f>
        <v>0</v>
      </c>
      <c r="O1364" s="1850" cm="1">
        <f t="array" ref="O1364">_xlfn.IFS(
    M1364=0,0,
   ABS(N1364 - S1363 - P1364-Q1364) &lt; 1, N1364 - S1363-Q1364,
    TRUE, P1364
)</f>
        <v>0</v>
      </c>
      <c r="P1364" s="1852">
        <f>IF(M1364=0,0,ROUND(S1363*EXP(Int_Rate/365.25 * M1364)-S1363,2))</f>
        <v>0</v>
      </c>
      <c r="Q1364" s="1851" cm="1">
        <f t="array" ref="Q1364">_xlfn.IFS(
    AND(I1364=TRUE, K1364&lt;=No_Regular_Payments), Periodic_Admin_Charge,
   TRUE, 0
)</f>
        <v>0</v>
      </c>
      <c r="R1364" s="1850">
        <f>N1364-O1364-Q1364</f>
        <v>0</v>
      </c>
      <c r="S1364" s="1850">
        <f>ROUND(S1363-R1364,2)</f>
        <v>0</v>
      </c>
      <c r="T1364" s="1850">
        <f>ROUND(T1363-(N1364-Q1364),2)</f>
        <v>0</v>
      </c>
      <c r="U1364" s="1849"/>
      <c r="W1364" s="1848"/>
      <c r="X1364" s="1848"/>
      <c r="Y1364" s="1848"/>
    </row>
    <row r="1365" spans="2:25" hidden="1">
      <c r="B1365" s="1815" t="b">
        <f>AND(I1365=FALSE,N1364=0,Q1364=0,L1364="")</f>
        <v>1</v>
      </c>
      <c r="C1365" s="1844" t="str" cm="1">
        <f t="array" ref="C1365">_xlfn.IFS(
    L1365="", "",
    MONTH(L1365) &lt;= End_of_Year_Month, YEAR(L1365),
    TRUE, YEAR(L1365) + 1
)</f>
        <v/>
      </c>
      <c r="F1365" s="1857">
        <f>IF(L1365="",0,L1365)</f>
        <v>0</v>
      </c>
      <c r="G1365" s="1856">
        <f>-(N1365-Q1365)</f>
        <v>0</v>
      </c>
      <c r="I1365" s="1815" t="b">
        <f>K1365&lt;=Number_Payments</f>
        <v>0</v>
      </c>
      <c r="J1365" s="1855"/>
      <c r="K1365" s="1351">
        <f>K1364+1</f>
        <v>1239</v>
      </c>
      <c r="L1365" s="1854" t="str" cm="1">
        <f t="array" ref="L1365">_xlfn.IFS(
    I1364=FALSE, "",
    Payment_Frequency="Monthly", EDATE(L1364, 1),
    Payment_Frequency="Weekly", DATE(YEAR(L1364), MONTH(L1364), DAY(L1364) + 7),
    Payment_Frequency="Fortnightly", DATE(YEAR(L1364), MONTH(L1364), DAY(L1364) + 14),
    Payment_Frequency="Quarterly", DATE(YEAR(L1364), MONTH(L1364) + 3, DAY(L1364)),
    Payment_Frequency="Yearly", DATE(YEAR(L1364) + 1, MONTH(L1364), DAY(L1364)),
    TRUE, ""
)</f>
        <v/>
      </c>
      <c r="M1365" s="1853">
        <f>IF(ISERROR(L1365-L1364),0,L1365-L1364)</f>
        <v>0</v>
      </c>
      <c r="N1365" s="1851" cm="1">
        <f t="array" ref="N1365">_xlfn.IFS(
    AND(I1365=TRUE, K1365&lt;=No_Regular_Payments), Repay_Amt,
    AND(I1365=TRUE, K1365=No_Regular_Payments+1), Tm_Balloon_Amt,
   TRUE, 0
)</f>
        <v>0</v>
      </c>
      <c r="O1365" s="1850" cm="1">
        <f t="array" ref="O1365">_xlfn.IFS(
    M1365=0,0,
   ABS(N1365 - S1364 - P1365-Q1365) &lt; 1, N1365 - S1364-Q1365,
    TRUE, P1365
)</f>
        <v>0</v>
      </c>
      <c r="P1365" s="1852">
        <f>IF(M1365=0,0,ROUND(S1364*EXP(Int_Rate/365.25 * M1365)-S1364,2))</f>
        <v>0</v>
      </c>
      <c r="Q1365" s="1851" cm="1">
        <f t="array" ref="Q1365">_xlfn.IFS(
    AND(I1365=TRUE, K1365&lt;=No_Regular_Payments), Periodic_Admin_Charge,
   TRUE, 0
)</f>
        <v>0</v>
      </c>
      <c r="R1365" s="1850">
        <f>N1365-O1365-Q1365</f>
        <v>0</v>
      </c>
      <c r="S1365" s="1850">
        <f>ROUND(S1364-R1365,2)</f>
        <v>0</v>
      </c>
      <c r="T1365" s="1850">
        <f>ROUND(T1364-(N1365-Q1365),2)</f>
        <v>0</v>
      </c>
      <c r="U1365" s="1849"/>
      <c r="W1365" s="1848"/>
      <c r="X1365" s="1848"/>
      <c r="Y1365" s="1848"/>
    </row>
    <row r="1366" spans="2:25" hidden="1">
      <c r="B1366" s="1815" t="b">
        <f>AND(I1366=FALSE,N1365=0,Q1365=0,L1365="")</f>
        <v>1</v>
      </c>
      <c r="C1366" s="1844" t="str" cm="1">
        <f t="array" ref="C1366">_xlfn.IFS(
    L1366="", "",
    MONTH(L1366) &lt;= End_of_Year_Month, YEAR(L1366),
    TRUE, YEAR(L1366) + 1
)</f>
        <v/>
      </c>
      <c r="F1366" s="1857">
        <f>IF(L1366="",0,L1366)</f>
        <v>0</v>
      </c>
      <c r="G1366" s="1856">
        <f>-(N1366-Q1366)</f>
        <v>0</v>
      </c>
      <c r="I1366" s="1815" t="b">
        <f>K1366&lt;=Number_Payments</f>
        <v>0</v>
      </c>
      <c r="J1366" s="1855"/>
      <c r="K1366" s="1351">
        <f>K1365+1</f>
        <v>1240</v>
      </c>
      <c r="L1366" s="1854" t="str" cm="1">
        <f t="array" ref="L1366">_xlfn.IFS(
    I1365=FALSE, "",
    Payment_Frequency="Monthly", EDATE(L1365, 1),
    Payment_Frequency="Weekly", DATE(YEAR(L1365), MONTH(L1365), DAY(L1365) + 7),
    Payment_Frequency="Fortnightly", DATE(YEAR(L1365), MONTH(L1365), DAY(L1365) + 14),
    Payment_Frequency="Quarterly", DATE(YEAR(L1365), MONTH(L1365) + 3, DAY(L1365)),
    Payment_Frequency="Yearly", DATE(YEAR(L1365) + 1, MONTH(L1365), DAY(L1365)),
    TRUE, ""
)</f>
        <v/>
      </c>
      <c r="M1366" s="1853">
        <f>IF(ISERROR(L1366-L1365),0,L1366-L1365)</f>
        <v>0</v>
      </c>
      <c r="N1366" s="1851" cm="1">
        <f t="array" ref="N1366">_xlfn.IFS(
    AND(I1366=TRUE, K1366&lt;=No_Regular_Payments), Repay_Amt,
    AND(I1366=TRUE, K1366=No_Regular_Payments+1), Tm_Balloon_Amt,
   TRUE, 0
)</f>
        <v>0</v>
      </c>
      <c r="O1366" s="1850" cm="1">
        <f t="array" ref="O1366">_xlfn.IFS(
    M1366=0,0,
   ABS(N1366 - S1365 - P1366-Q1366) &lt; 1, N1366 - S1365-Q1366,
    TRUE, P1366
)</f>
        <v>0</v>
      </c>
      <c r="P1366" s="1852">
        <f>IF(M1366=0,0,ROUND(S1365*EXP(Int_Rate/365.25 * M1366)-S1365,2))</f>
        <v>0</v>
      </c>
      <c r="Q1366" s="1851" cm="1">
        <f t="array" ref="Q1366">_xlfn.IFS(
    AND(I1366=TRUE, K1366&lt;=No_Regular_Payments), Periodic_Admin_Charge,
   TRUE, 0
)</f>
        <v>0</v>
      </c>
      <c r="R1366" s="1850">
        <f>N1366-O1366-Q1366</f>
        <v>0</v>
      </c>
      <c r="S1366" s="1850">
        <f>ROUND(S1365-R1366,2)</f>
        <v>0</v>
      </c>
      <c r="T1366" s="1850">
        <f>ROUND(T1365-(N1366-Q1366),2)</f>
        <v>0</v>
      </c>
      <c r="U1366" s="1849"/>
      <c r="W1366" s="1848"/>
      <c r="X1366" s="1848"/>
      <c r="Y1366" s="1848"/>
    </row>
    <row r="1367" spans="2:25" hidden="1">
      <c r="B1367" s="1815" t="b">
        <f>AND(I1367=FALSE,N1366=0,Q1366=0,L1366="")</f>
        <v>1</v>
      </c>
      <c r="C1367" s="1844" t="str" cm="1">
        <f t="array" ref="C1367">_xlfn.IFS(
    L1367="", "",
    MONTH(L1367) &lt;= End_of_Year_Month, YEAR(L1367),
    TRUE, YEAR(L1367) + 1
)</f>
        <v/>
      </c>
      <c r="F1367" s="1857">
        <f>IF(L1367="",0,L1367)</f>
        <v>0</v>
      </c>
      <c r="G1367" s="1856">
        <f>-(N1367-Q1367)</f>
        <v>0</v>
      </c>
      <c r="I1367" s="1815" t="b">
        <f>K1367&lt;=Number_Payments</f>
        <v>0</v>
      </c>
      <c r="J1367" s="1855"/>
      <c r="K1367" s="1351">
        <f>K1366+1</f>
        <v>1241</v>
      </c>
      <c r="L1367" s="1854" t="str" cm="1">
        <f t="array" ref="L1367">_xlfn.IFS(
    I1366=FALSE, "",
    Payment_Frequency="Monthly", EDATE(L1366, 1),
    Payment_Frequency="Weekly", DATE(YEAR(L1366), MONTH(L1366), DAY(L1366) + 7),
    Payment_Frequency="Fortnightly", DATE(YEAR(L1366), MONTH(L1366), DAY(L1366) + 14),
    Payment_Frequency="Quarterly", DATE(YEAR(L1366), MONTH(L1366) + 3, DAY(L1366)),
    Payment_Frequency="Yearly", DATE(YEAR(L1366) + 1, MONTH(L1366), DAY(L1366)),
    TRUE, ""
)</f>
        <v/>
      </c>
      <c r="M1367" s="1853">
        <f>IF(ISERROR(L1367-L1366),0,L1367-L1366)</f>
        <v>0</v>
      </c>
      <c r="N1367" s="1851" cm="1">
        <f t="array" ref="N1367">_xlfn.IFS(
    AND(I1367=TRUE, K1367&lt;=No_Regular_Payments), Repay_Amt,
    AND(I1367=TRUE, K1367=No_Regular_Payments+1), Tm_Balloon_Amt,
   TRUE, 0
)</f>
        <v>0</v>
      </c>
      <c r="O1367" s="1850" cm="1">
        <f t="array" ref="O1367">_xlfn.IFS(
    M1367=0,0,
   ABS(N1367 - S1366 - P1367-Q1367) &lt; 1, N1367 - S1366-Q1367,
    TRUE, P1367
)</f>
        <v>0</v>
      </c>
      <c r="P1367" s="1852">
        <f>IF(M1367=0,0,ROUND(S1366*EXP(Int_Rate/365.25 * M1367)-S1366,2))</f>
        <v>0</v>
      </c>
      <c r="Q1367" s="1851" cm="1">
        <f t="array" ref="Q1367">_xlfn.IFS(
    AND(I1367=TRUE, K1367&lt;=No_Regular_Payments), Periodic_Admin_Charge,
   TRUE, 0
)</f>
        <v>0</v>
      </c>
      <c r="R1367" s="1850">
        <f>N1367-O1367-Q1367</f>
        <v>0</v>
      </c>
      <c r="S1367" s="1850">
        <f>ROUND(S1366-R1367,2)</f>
        <v>0</v>
      </c>
      <c r="T1367" s="1850">
        <f>ROUND(T1366-(N1367-Q1367),2)</f>
        <v>0</v>
      </c>
      <c r="U1367" s="1849"/>
      <c r="W1367" s="1848"/>
      <c r="X1367" s="1848"/>
      <c r="Y1367" s="1848"/>
    </row>
    <row r="1368" spans="2:25" hidden="1">
      <c r="B1368" s="1815" t="b">
        <f>AND(I1368=FALSE,N1367=0,Q1367=0,L1367="")</f>
        <v>1</v>
      </c>
      <c r="C1368" s="1844" t="str" cm="1">
        <f t="array" ref="C1368">_xlfn.IFS(
    L1368="", "",
    MONTH(L1368) &lt;= End_of_Year_Month, YEAR(L1368),
    TRUE, YEAR(L1368) + 1
)</f>
        <v/>
      </c>
      <c r="F1368" s="1857">
        <f>IF(L1368="",0,L1368)</f>
        <v>0</v>
      </c>
      <c r="G1368" s="1856">
        <f>-(N1368-Q1368)</f>
        <v>0</v>
      </c>
      <c r="I1368" s="1815" t="b">
        <f>K1368&lt;=Number_Payments</f>
        <v>0</v>
      </c>
      <c r="J1368" s="1855"/>
      <c r="K1368" s="1351">
        <f>K1367+1</f>
        <v>1242</v>
      </c>
      <c r="L1368" s="1854" t="str" cm="1">
        <f t="array" ref="L1368">_xlfn.IFS(
    I1367=FALSE, "",
    Payment_Frequency="Monthly", EDATE(L1367, 1),
    Payment_Frequency="Weekly", DATE(YEAR(L1367), MONTH(L1367), DAY(L1367) + 7),
    Payment_Frequency="Fortnightly", DATE(YEAR(L1367), MONTH(L1367), DAY(L1367) + 14),
    Payment_Frequency="Quarterly", DATE(YEAR(L1367), MONTH(L1367) + 3, DAY(L1367)),
    Payment_Frequency="Yearly", DATE(YEAR(L1367) + 1, MONTH(L1367), DAY(L1367)),
    TRUE, ""
)</f>
        <v/>
      </c>
      <c r="M1368" s="1853">
        <f>IF(ISERROR(L1368-L1367),0,L1368-L1367)</f>
        <v>0</v>
      </c>
      <c r="N1368" s="1851" cm="1">
        <f t="array" ref="N1368">_xlfn.IFS(
    AND(I1368=TRUE, K1368&lt;=No_Regular_Payments), Repay_Amt,
    AND(I1368=TRUE, K1368=No_Regular_Payments+1), Tm_Balloon_Amt,
   TRUE, 0
)</f>
        <v>0</v>
      </c>
      <c r="O1368" s="1850" cm="1">
        <f t="array" ref="O1368">_xlfn.IFS(
    M1368=0,0,
   ABS(N1368 - S1367 - P1368-Q1368) &lt; 1, N1368 - S1367-Q1368,
    TRUE, P1368
)</f>
        <v>0</v>
      </c>
      <c r="P1368" s="1852">
        <f>IF(M1368=0,0,ROUND(S1367*EXP(Int_Rate/365.25 * M1368)-S1367,2))</f>
        <v>0</v>
      </c>
      <c r="Q1368" s="1851" cm="1">
        <f t="array" ref="Q1368">_xlfn.IFS(
    AND(I1368=TRUE, K1368&lt;=No_Regular_Payments), Periodic_Admin_Charge,
   TRUE, 0
)</f>
        <v>0</v>
      </c>
      <c r="R1368" s="1850">
        <f>N1368-O1368-Q1368</f>
        <v>0</v>
      </c>
      <c r="S1368" s="1850">
        <f>ROUND(S1367-R1368,2)</f>
        <v>0</v>
      </c>
      <c r="T1368" s="1850">
        <f>ROUND(T1367-(N1368-Q1368),2)</f>
        <v>0</v>
      </c>
      <c r="U1368" s="1849"/>
      <c r="W1368" s="1848"/>
      <c r="X1368" s="1848"/>
      <c r="Y1368" s="1848"/>
    </row>
    <row r="1369" spans="2:25" hidden="1">
      <c r="B1369" s="1815" t="b">
        <f>AND(I1369=FALSE,N1368=0,Q1368=0,L1368="")</f>
        <v>1</v>
      </c>
      <c r="C1369" s="1844" t="str" cm="1">
        <f t="array" ref="C1369">_xlfn.IFS(
    L1369="", "",
    MONTH(L1369) &lt;= End_of_Year_Month, YEAR(L1369),
    TRUE, YEAR(L1369) + 1
)</f>
        <v/>
      </c>
      <c r="F1369" s="1857">
        <f>IF(L1369="",0,L1369)</f>
        <v>0</v>
      </c>
      <c r="G1369" s="1856">
        <f>-(N1369-Q1369)</f>
        <v>0</v>
      </c>
      <c r="I1369" s="1815" t="b">
        <f>K1369&lt;=Number_Payments</f>
        <v>0</v>
      </c>
      <c r="J1369" s="1855"/>
      <c r="K1369" s="1351">
        <f>K1368+1</f>
        <v>1243</v>
      </c>
      <c r="L1369" s="1854" t="str" cm="1">
        <f t="array" ref="L1369">_xlfn.IFS(
    I1368=FALSE, "",
    Payment_Frequency="Monthly", EDATE(L1368, 1),
    Payment_Frequency="Weekly", DATE(YEAR(L1368), MONTH(L1368), DAY(L1368) + 7),
    Payment_Frequency="Fortnightly", DATE(YEAR(L1368), MONTH(L1368), DAY(L1368) + 14),
    Payment_Frequency="Quarterly", DATE(YEAR(L1368), MONTH(L1368) + 3, DAY(L1368)),
    Payment_Frequency="Yearly", DATE(YEAR(L1368) + 1, MONTH(L1368), DAY(L1368)),
    TRUE, ""
)</f>
        <v/>
      </c>
      <c r="M1369" s="1853">
        <f>IF(ISERROR(L1369-L1368),0,L1369-L1368)</f>
        <v>0</v>
      </c>
      <c r="N1369" s="1851" cm="1">
        <f t="array" ref="N1369">_xlfn.IFS(
    AND(I1369=TRUE, K1369&lt;=No_Regular_Payments), Repay_Amt,
    AND(I1369=TRUE, K1369=No_Regular_Payments+1), Tm_Balloon_Amt,
   TRUE, 0
)</f>
        <v>0</v>
      </c>
      <c r="O1369" s="1850" cm="1">
        <f t="array" ref="O1369">_xlfn.IFS(
    M1369=0,0,
   ABS(N1369 - S1368 - P1369-Q1369) &lt; 1, N1369 - S1368-Q1369,
    TRUE, P1369
)</f>
        <v>0</v>
      </c>
      <c r="P1369" s="1852">
        <f>IF(M1369=0,0,ROUND(S1368*EXP(Int_Rate/365.25 * M1369)-S1368,2))</f>
        <v>0</v>
      </c>
      <c r="Q1369" s="1851" cm="1">
        <f t="array" ref="Q1369">_xlfn.IFS(
    AND(I1369=TRUE, K1369&lt;=No_Regular_Payments), Periodic_Admin_Charge,
   TRUE, 0
)</f>
        <v>0</v>
      </c>
      <c r="R1369" s="1850">
        <f>N1369-O1369-Q1369</f>
        <v>0</v>
      </c>
      <c r="S1369" s="1850">
        <f>ROUND(S1368-R1369,2)</f>
        <v>0</v>
      </c>
      <c r="T1369" s="1850">
        <f>ROUND(T1368-(N1369-Q1369),2)</f>
        <v>0</v>
      </c>
      <c r="U1369" s="1849"/>
      <c r="W1369" s="1848"/>
      <c r="X1369" s="1848"/>
      <c r="Y1369" s="1848"/>
    </row>
    <row r="1370" spans="2:25" hidden="1">
      <c r="B1370" s="1815" t="b">
        <f>AND(I1370=FALSE,N1369=0,Q1369=0,L1369="")</f>
        <v>1</v>
      </c>
      <c r="C1370" s="1844" t="str" cm="1">
        <f t="array" ref="C1370">_xlfn.IFS(
    L1370="", "",
    MONTH(L1370) &lt;= End_of_Year_Month, YEAR(L1370),
    TRUE, YEAR(L1370) + 1
)</f>
        <v/>
      </c>
      <c r="F1370" s="1857">
        <f>IF(L1370="",0,L1370)</f>
        <v>0</v>
      </c>
      <c r="G1370" s="1856">
        <f>-(N1370-Q1370)</f>
        <v>0</v>
      </c>
      <c r="I1370" s="1815" t="b">
        <f>K1370&lt;=Number_Payments</f>
        <v>0</v>
      </c>
      <c r="J1370" s="1855"/>
      <c r="K1370" s="1351">
        <f>K1369+1</f>
        <v>1244</v>
      </c>
      <c r="L1370" s="1854" t="str" cm="1">
        <f t="array" ref="L1370">_xlfn.IFS(
    I1369=FALSE, "",
    Payment_Frequency="Monthly", EDATE(L1369, 1),
    Payment_Frequency="Weekly", DATE(YEAR(L1369), MONTH(L1369), DAY(L1369) + 7),
    Payment_Frequency="Fortnightly", DATE(YEAR(L1369), MONTH(L1369), DAY(L1369) + 14),
    Payment_Frequency="Quarterly", DATE(YEAR(L1369), MONTH(L1369) + 3, DAY(L1369)),
    Payment_Frequency="Yearly", DATE(YEAR(L1369) + 1, MONTH(L1369), DAY(L1369)),
    TRUE, ""
)</f>
        <v/>
      </c>
      <c r="M1370" s="1853">
        <f>IF(ISERROR(L1370-L1369),0,L1370-L1369)</f>
        <v>0</v>
      </c>
      <c r="N1370" s="1851" cm="1">
        <f t="array" ref="N1370">_xlfn.IFS(
    AND(I1370=TRUE, K1370&lt;=No_Regular_Payments), Repay_Amt,
    AND(I1370=TRUE, K1370=No_Regular_Payments+1), Tm_Balloon_Amt,
   TRUE, 0
)</f>
        <v>0</v>
      </c>
      <c r="O1370" s="1850" cm="1">
        <f t="array" ref="O1370">_xlfn.IFS(
    M1370=0,0,
   ABS(N1370 - S1369 - P1370-Q1370) &lt; 1, N1370 - S1369-Q1370,
    TRUE, P1370
)</f>
        <v>0</v>
      </c>
      <c r="P1370" s="1852">
        <f>IF(M1370=0,0,ROUND(S1369*EXP(Int_Rate/365.25 * M1370)-S1369,2))</f>
        <v>0</v>
      </c>
      <c r="Q1370" s="1851" cm="1">
        <f t="array" ref="Q1370">_xlfn.IFS(
    AND(I1370=TRUE, K1370&lt;=No_Regular_Payments), Periodic_Admin_Charge,
   TRUE, 0
)</f>
        <v>0</v>
      </c>
      <c r="R1370" s="1850">
        <f>N1370-O1370-Q1370</f>
        <v>0</v>
      </c>
      <c r="S1370" s="1850">
        <f>ROUND(S1369-R1370,2)</f>
        <v>0</v>
      </c>
      <c r="T1370" s="1850">
        <f>ROUND(T1369-(N1370-Q1370),2)</f>
        <v>0</v>
      </c>
      <c r="U1370" s="1849"/>
      <c r="W1370" s="1848"/>
      <c r="X1370" s="1848"/>
      <c r="Y1370" s="1848"/>
    </row>
    <row r="1371" spans="2:25" hidden="1">
      <c r="B1371" s="1815" t="b">
        <f>AND(I1371=FALSE,N1370=0,Q1370=0,L1370="")</f>
        <v>1</v>
      </c>
      <c r="C1371" s="1844" t="str" cm="1">
        <f t="array" ref="C1371">_xlfn.IFS(
    L1371="", "",
    MONTH(L1371) &lt;= End_of_Year_Month, YEAR(L1371),
    TRUE, YEAR(L1371) + 1
)</f>
        <v/>
      </c>
      <c r="F1371" s="1857">
        <f>IF(L1371="",0,L1371)</f>
        <v>0</v>
      </c>
      <c r="G1371" s="1856">
        <f>-(N1371-Q1371)</f>
        <v>0</v>
      </c>
      <c r="I1371" s="1815" t="b">
        <f>K1371&lt;=Number_Payments</f>
        <v>0</v>
      </c>
      <c r="J1371" s="1855"/>
      <c r="K1371" s="1351">
        <f>K1370+1</f>
        <v>1245</v>
      </c>
      <c r="L1371" s="1854" t="str" cm="1">
        <f t="array" ref="L1371">_xlfn.IFS(
    I1370=FALSE, "",
    Payment_Frequency="Monthly", EDATE(L1370, 1),
    Payment_Frequency="Weekly", DATE(YEAR(L1370), MONTH(L1370), DAY(L1370) + 7),
    Payment_Frequency="Fortnightly", DATE(YEAR(L1370), MONTH(L1370), DAY(L1370) + 14),
    Payment_Frequency="Quarterly", DATE(YEAR(L1370), MONTH(L1370) + 3, DAY(L1370)),
    Payment_Frequency="Yearly", DATE(YEAR(L1370) + 1, MONTH(L1370), DAY(L1370)),
    TRUE, ""
)</f>
        <v/>
      </c>
      <c r="M1371" s="1853">
        <f>IF(ISERROR(L1371-L1370),0,L1371-L1370)</f>
        <v>0</v>
      </c>
      <c r="N1371" s="1851" cm="1">
        <f t="array" ref="N1371">_xlfn.IFS(
    AND(I1371=TRUE, K1371&lt;=No_Regular_Payments), Repay_Amt,
    AND(I1371=TRUE, K1371=No_Regular_Payments+1), Tm_Balloon_Amt,
   TRUE, 0
)</f>
        <v>0</v>
      </c>
      <c r="O1371" s="1850" cm="1">
        <f t="array" ref="O1371">_xlfn.IFS(
    M1371=0,0,
   ABS(N1371 - S1370 - P1371-Q1371) &lt; 1, N1371 - S1370-Q1371,
    TRUE, P1371
)</f>
        <v>0</v>
      </c>
      <c r="P1371" s="1852">
        <f>IF(M1371=0,0,ROUND(S1370*EXP(Int_Rate/365.25 * M1371)-S1370,2))</f>
        <v>0</v>
      </c>
      <c r="Q1371" s="1851" cm="1">
        <f t="array" ref="Q1371">_xlfn.IFS(
    AND(I1371=TRUE, K1371&lt;=No_Regular_Payments), Periodic_Admin_Charge,
   TRUE, 0
)</f>
        <v>0</v>
      </c>
      <c r="R1371" s="1850">
        <f>N1371-O1371-Q1371</f>
        <v>0</v>
      </c>
      <c r="S1371" s="1850">
        <f>ROUND(S1370-R1371,2)</f>
        <v>0</v>
      </c>
      <c r="T1371" s="1850">
        <f>ROUND(T1370-(N1371-Q1371),2)</f>
        <v>0</v>
      </c>
      <c r="U1371" s="1849"/>
      <c r="W1371" s="1848"/>
      <c r="X1371" s="1848"/>
      <c r="Y1371" s="1848"/>
    </row>
    <row r="1372" spans="2:25" hidden="1">
      <c r="B1372" s="1815" t="b">
        <f>AND(I1372=FALSE,N1371=0,Q1371=0,L1371="")</f>
        <v>1</v>
      </c>
      <c r="C1372" s="1844" t="str" cm="1">
        <f t="array" ref="C1372">_xlfn.IFS(
    L1372="", "",
    MONTH(L1372) &lt;= End_of_Year_Month, YEAR(L1372),
    TRUE, YEAR(L1372) + 1
)</f>
        <v/>
      </c>
      <c r="F1372" s="1857">
        <f>IF(L1372="",0,L1372)</f>
        <v>0</v>
      </c>
      <c r="G1372" s="1856">
        <f>-(N1372-Q1372)</f>
        <v>0</v>
      </c>
      <c r="I1372" s="1815" t="b">
        <f>K1372&lt;=Number_Payments</f>
        <v>0</v>
      </c>
      <c r="J1372" s="1855"/>
      <c r="K1372" s="1351">
        <f>K1371+1</f>
        <v>1246</v>
      </c>
      <c r="L1372" s="1854" t="str" cm="1">
        <f t="array" ref="L1372">_xlfn.IFS(
    I1371=FALSE, "",
    Payment_Frequency="Monthly", EDATE(L1371, 1),
    Payment_Frequency="Weekly", DATE(YEAR(L1371), MONTH(L1371), DAY(L1371) + 7),
    Payment_Frequency="Fortnightly", DATE(YEAR(L1371), MONTH(L1371), DAY(L1371) + 14),
    Payment_Frequency="Quarterly", DATE(YEAR(L1371), MONTH(L1371) + 3, DAY(L1371)),
    Payment_Frequency="Yearly", DATE(YEAR(L1371) + 1, MONTH(L1371), DAY(L1371)),
    TRUE, ""
)</f>
        <v/>
      </c>
      <c r="M1372" s="1853">
        <f>IF(ISERROR(L1372-L1371),0,L1372-L1371)</f>
        <v>0</v>
      </c>
      <c r="N1372" s="1851" cm="1">
        <f t="array" ref="N1372">_xlfn.IFS(
    AND(I1372=TRUE, K1372&lt;=No_Regular_Payments), Repay_Amt,
    AND(I1372=TRUE, K1372=No_Regular_Payments+1), Tm_Balloon_Amt,
   TRUE, 0
)</f>
        <v>0</v>
      </c>
      <c r="O1372" s="1850" cm="1">
        <f t="array" ref="O1372">_xlfn.IFS(
    M1372=0,0,
   ABS(N1372 - S1371 - P1372-Q1372) &lt; 1, N1372 - S1371-Q1372,
    TRUE, P1372
)</f>
        <v>0</v>
      </c>
      <c r="P1372" s="1852">
        <f>IF(M1372=0,0,ROUND(S1371*EXP(Int_Rate/365.25 * M1372)-S1371,2))</f>
        <v>0</v>
      </c>
      <c r="Q1372" s="1851" cm="1">
        <f t="array" ref="Q1372">_xlfn.IFS(
    AND(I1372=TRUE, K1372&lt;=No_Regular_Payments), Periodic_Admin_Charge,
   TRUE, 0
)</f>
        <v>0</v>
      </c>
      <c r="R1372" s="1850">
        <f>N1372-O1372-Q1372</f>
        <v>0</v>
      </c>
      <c r="S1372" s="1850">
        <f>ROUND(S1371-R1372,2)</f>
        <v>0</v>
      </c>
      <c r="T1372" s="1850">
        <f>ROUND(T1371-(N1372-Q1372),2)</f>
        <v>0</v>
      </c>
      <c r="U1372" s="1849"/>
      <c r="W1372" s="1848"/>
      <c r="X1372" s="1848"/>
      <c r="Y1372" s="1848"/>
    </row>
    <row r="1373" spans="2:25" hidden="1">
      <c r="B1373" s="1815" t="b">
        <f>AND(I1373=FALSE,N1372=0,Q1372=0,L1372="")</f>
        <v>1</v>
      </c>
      <c r="C1373" s="1844" t="str" cm="1">
        <f t="array" ref="C1373">_xlfn.IFS(
    L1373="", "",
    MONTH(L1373) &lt;= End_of_Year_Month, YEAR(L1373),
    TRUE, YEAR(L1373) + 1
)</f>
        <v/>
      </c>
      <c r="F1373" s="1857">
        <f>IF(L1373="",0,L1373)</f>
        <v>0</v>
      </c>
      <c r="G1373" s="1856">
        <f>-(N1373-Q1373)</f>
        <v>0</v>
      </c>
      <c r="I1373" s="1815" t="b">
        <f>K1373&lt;=Number_Payments</f>
        <v>0</v>
      </c>
      <c r="J1373" s="1855"/>
      <c r="K1373" s="1351">
        <f>K1372+1</f>
        <v>1247</v>
      </c>
      <c r="L1373" s="1854" t="str" cm="1">
        <f t="array" ref="L1373">_xlfn.IFS(
    I1372=FALSE, "",
    Payment_Frequency="Monthly", EDATE(L1372, 1),
    Payment_Frequency="Weekly", DATE(YEAR(L1372), MONTH(L1372), DAY(L1372) + 7),
    Payment_Frequency="Fortnightly", DATE(YEAR(L1372), MONTH(L1372), DAY(L1372) + 14),
    Payment_Frequency="Quarterly", DATE(YEAR(L1372), MONTH(L1372) + 3, DAY(L1372)),
    Payment_Frequency="Yearly", DATE(YEAR(L1372) + 1, MONTH(L1372), DAY(L1372)),
    TRUE, ""
)</f>
        <v/>
      </c>
      <c r="M1373" s="1853">
        <f>IF(ISERROR(L1373-L1372),0,L1373-L1372)</f>
        <v>0</v>
      </c>
      <c r="N1373" s="1851" cm="1">
        <f t="array" ref="N1373">_xlfn.IFS(
    AND(I1373=TRUE, K1373&lt;=No_Regular_Payments), Repay_Amt,
    AND(I1373=TRUE, K1373=No_Regular_Payments+1), Tm_Balloon_Amt,
   TRUE, 0
)</f>
        <v>0</v>
      </c>
      <c r="O1373" s="1850" cm="1">
        <f t="array" ref="O1373">_xlfn.IFS(
    M1373=0,0,
   ABS(N1373 - S1372 - P1373-Q1373) &lt; 1, N1373 - S1372-Q1373,
    TRUE, P1373
)</f>
        <v>0</v>
      </c>
      <c r="P1373" s="1852">
        <f>IF(M1373=0,0,ROUND(S1372*EXP(Int_Rate/365.25 * M1373)-S1372,2))</f>
        <v>0</v>
      </c>
      <c r="Q1373" s="1851" cm="1">
        <f t="array" ref="Q1373">_xlfn.IFS(
    AND(I1373=TRUE, K1373&lt;=No_Regular_Payments), Periodic_Admin_Charge,
   TRUE, 0
)</f>
        <v>0</v>
      </c>
      <c r="R1373" s="1850">
        <f>N1373-O1373-Q1373</f>
        <v>0</v>
      </c>
      <c r="S1373" s="1850">
        <f>ROUND(S1372-R1373,2)</f>
        <v>0</v>
      </c>
      <c r="T1373" s="1850">
        <f>ROUND(T1372-(N1373-Q1373),2)</f>
        <v>0</v>
      </c>
      <c r="U1373" s="1849"/>
      <c r="W1373" s="1848"/>
      <c r="X1373" s="1848"/>
      <c r="Y1373" s="1848"/>
    </row>
    <row r="1374" spans="2:25" hidden="1">
      <c r="B1374" s="1815" t="b">
        <f>AND(I1374=FALSE,N1373=0,Q1373=0,L1373="")</f>
        <v>1</v>
      </c>
      <c r="C1374" s="1844" t="str" cm="1">
        <f t="array" ref="C1374">_xlfn.IFS(
    L1374="", "",
    MONTH(L1374) &lt;= End_of_Year_Month, YEAR(L1374),
    TRUE, YEAR(L1374) + 1
)</f>
        <v/>
      </c>
      <c r="F1374" s="1857">
        <f>IF(L1374="",0,L1374)</f>
        <v>0</v>
      </c>
      <c r="G1374" s="1856">
        <f>-(N1374-Q1374)</f>
        <v>0</v>
      </c>
      <c r="I1374" s="1815" t="b">
        <f>K1374&lt;=Number_Payments</f>
        <v>0</v>
      </c>
      <c r="J1374" s="1855"/>
      <c r="K1374" s="1351">
        <f>K1373+1</f>
        <v>1248</v>
      </c>
      <c r="L1374" s="1854" t="str" cm="1">
        <f t="array" ref="L1374">_xlfn.IFS(
    I1373=FALSE, "",
    Payment_Frequency="Monthly", EDATE(L1373, 1),
    Payment_Frequency="Weekly", DATE(YEAR(L1373), MONTH(L1373), DAY(L1373) + 7),
    Payment_Frequency="Fortnightly", DATE(YEAR(L1373), MONTH(L1373), DAY(L1373) + 14),
    Payment_Frequency="Quarterly", DATE(YEAR(L1373), MONTH(L1373) + 3, DAY(L1373)),
    Payment_Frequency="Yearly", DATE(YEAR(L1373) + 1, MONTH(L1373), DAY(L1373)),
    TRUE, ""
)</f>
        <v/>
      </c>
      <c r="M1374" s="1853">
        <f>IF(ISERROR(L1374-L1373),0,L1374-L1373)</f>
        <v>0</v>
      </c>
      <c r="N1374" s="1851" cm="1">
        <f t="array" ref="N1374">_xlfn.IFS(
    AND(I1374=TRUE, K1374&lt;=No_Regular_Payments), Repay_Amt,
    AND(I1374=TRUE, K1374=No_Regular_Payments+1), Tm_Balloon_Amt,
   TRUE, 0
)</f>
        <v>0</v>
      </c>
      <c r="O1374" s="1850" cm="1">
        <f t="array" ref="O1374">_xlfn.IFS(
    M1374=0,0,
   ABS(N1374 - S1373 - P1374-Q1374) &lt; 1, N1374 - S1373-Q1374,
    TRUE, P1374
)</f>
        <v>0</v>
      </c>
      <c r="P1374" s="1852">
        <f>IF(M1374=0,0,ROUND(S1373*EXP(Int_Rate/365.25 * M1374)-S1373,2))</f>
        <v>0</v>
      </c>
      <c r="Q1374" s="1851" cm="1">
        <f t="array" ref="Q1374">_xlfn.IFS(
    AND(I1374=TRUE, K1374&lt;=No_Regular_Payments), Periodic_Admin_Charge,
   TRUE, 0
)</f>
        <v>0</v>
      </c>
      <c r="R1374" s="1850">
        <f>N1374-O1374-Q1374</f>
        <v>0</v>
      </c>
      <c r="S1374" s="1850">
        <f>ROUND(S1373-R1374,2)</f>
        <v>0</v>
      </c>
      <c r="T1374" s="1850">
        <f>ROUND(T1373-(N1374-Q1374),2)</f>
        <v>0</v>
      </c>
      <c r="U1374" s="1849"/>
      <c r="W1374" s="1848"/>
      <c r="X1374" s="1848"/>
      <c r="Y1374" s="1848"/>
    </row>
    <row r="1375" spans="2:25" hidden="1">
      <c r="B1375" s="1815" t="b">
        <f>AND(I1375=FALSE,N1374=0,Q1374=0,L1374="")</f>
        <v>1</v>
      </c>
      <c r="C1375" s="1844" t="str" cm="1">
        <f t="array" ref="C1375">_xlfn.IFS(
    L1375="", "",
    MONTH(L1375) &lt;= End_of_Year_Month, YEAR(L1375),
    TRUE, YEAR(L1375) + 1
)</f>
        <v/>
      </c>
      <c r="F1375" s="1857">
        <f>IF(L1375="",0,L1375)</f>
        <v>0</v>
      </c>
      <c r="G1375" s="1856">
        <f>-(N1375-Q1375)</f>
        <v>0</v>
      </c>
      <c r="I1375" s="1815" t="b">
        <f>K1375&lt;=Number_Payments</f>
        <v>0</v>
      </c>
      <c r="J1375" s="1855"/>
      <c r="K1375" s="1351">
        <f>K1374+1</f>
        <v>1249</v>
      </c>
      <c r="L1375" s="1854" t="str" cm="1">
        <f t="array" ref="L1375">_xlfn.IFS(
    I1374=FALSE, "",
    Payment_Frequency="Monthly", EDATE(L1374, 1),
    Payment_Frequency="Weekly", DATE(YEAR(L1374), MONTH(L1374), DAY(L1374) + 7),
    Payment_Frequency="Fortnightly", DATE(YEAR(L1374), MONTH(L1374), DAY(L1374) + 14),
    Payment_Frequency="Quarterly", DATE(YEAR(L1374), MONTH(L1374) + 3, DAY(L1374)),
    Payment_Frequency="Yearly", DATE(YEAR(L1374) + 1, MONTH(L1374), DAY(L1374)),
    TRUE, ""
)</f>
        <v/>
      </c>
      <c r="M1375" s="1853">
        <f>IF(ISERROR(L1375-L1374),0,L1375-L1374)</f>
        <v>0</v>
      </c>
      <c r="N1375" s="1851" cm="1">
        <f t="array" ref="N1375">_xlfn.IFS(
    AND(I1375=TRUE, K1375&lt;=No_Regular_Payments), Repay_Amt,
    AND(I1375=TRUE, K1375=No_Regular_Payments+1), Tm_Balloon_Amt,
   TRUE, 0
)</f>
        <v>0</v>
      </c>
      <c r="O1375" s="1850" cm="1">
        <f t="array" ref="O1375">_xlfn.IFS(
    M1375=0,0,
   ABS(N1375 - S1374 - P1375-Q1375) &lt; 1, N1375 - S1374-Q1375,
    TRUE, P1375
)</f>
        <v>0</v>
      </c>
      <c r="P1375" s="1852">
        <f>IF(M1375=0,0,ROUND(S1374*EXP(Int_Rate/365.25 * M1375)-S1374,2))</f>
        <v>0</v>
      </c>
      <c r="Q1375" s="1851" cm="1">
        <f t="array" ref="Q1375">_xlfn.IFS(
    AND(I1375=TRUE, K1375&lt;=No_Regular_Payments), Periodic_Admin_Charge,
   TRUE, 0
)</f>
        <v>0</v>
      </c>
      <c r="R1375" s="1850">
        <f>N1375-O1375-Q1375</f>
        <v>0</v>
      </c>
      <c r="S1375" s="1850">
        <f>ROUND(S1374-R1375,2)</f>
        <v>0</v>
      </c>
      <c r="T1375" s="1850">
        <f>ROUND(T1374-(N1375-Q1375),2)</f>
        <v>0</v>
      </c>
      <c r="U1375" s="1849"/>
      <c r="W1375" s="1848"/>
      <c r="X1375" s="1848"/>
      <c r="Y1375" s="1848"/>
    </row>
    <row r="1376" spans="2:25" hidden="1">
      <c r="B1376" s="1815" t="b">
        <f>AND(I1376=FALSE,N1375=0,Q1375=0,L1375="")</f>
        <v>1</v>
      </c>
      <c r="C1376" s="1844" t="str" cm="1">
        <f t="array" ref="C1376">_xlfn.IFS(
    L1376="", "",
    MONTH(L1376) &lt;= End_of_Year_Month, YEAR(L1376),
    TRUE, YEAR(L1376) + 1
)</f>
        <v/>
      </c>
      <c r="F1376" s="1857">
        <f>IF(L1376="",0,L1376)</f>
        <v>0</v>
      </c>
      <c r="G1376" s="1856">
        <f>-(N1376-Q1376)</f>
        <v>0</v>
      </c>
      <c r="I1376" s="1815" t="b">
        <f>K1376&lt;=Number_Payments</f>
        <v>0</v>
      </c>
      <c r="J1376" s="1855"/>
      <c r="K1376" s="1351">
        <f>K1375+1</f>
        <v>1250</v>
      </c>
      <c r="L1376" s="1854" t="str" cm="1">
        <f t="array" ref="L1376">_xlfn.IFS(
    I1375=FALSE, "",
    Payment_Frequency="Monthly", EDATE(L1375, 1),
    Payment_Frequency="Weekly", DATE(YEAR(L1375), MONTH(L1375), DAY(L1375) + 7),
    Payment_Frequency="Fortnightly", DATE(YEAR(L1375), MONTH(L1375), DAY(L1375) + 14),
    Payment_Frequency="Quarterly", DATE(YEAR(L1375), MONTH(L1375) + 3, DAY(L1375)),
    Payment_Frequency="Yearly", DATE(YEAR(L1375) + 1, MONTH(L1375), DAY(L1375)),
    TRUE, ""
)</f>
        <v/>
      </c>
      <c r="M1376" s="1853">
        <f>IF(ISERROR(L1376-L1375),0,L1376-L1375)</f>
        <v>0</v>
      </c>
      <c r="N1376" s="1851" cm="1">
        <f t="array" ref="N1376">_xlfn.IFS(
    AND(I1376=TRUE, K1376&lt;=No_Regular_Payments), Repay_Amt,
    AND(I1376=TRUE, K1376=No_Regular_Payments+1), Tm_Balloon_Amt,
   TRUE, 0
)</f>
        <v>0</v>
      </c>
      <c r="O1376" s="1850" cm="1">
        <f t="array" ref="O1376">_xlfn.IFS(
    M1376=0,0,
   ABS(N1376 - S1375 - P1376-Q1376) &lt; 1, N1376 - S1375-Q1376,
    TRUE, P1376
)</f>
        <v>0</v>
      </c>
      <c r="P1376" s="1852">
        <f>IF(M1376=0,0,ROUND(S1375*EXP(Int_Rate/365.25 * M1376)-S1375,2))</f>
        <v>0</v>
      </c>
      <c r="Q1376" s="1851" cm="1">
        <f t="array" ref="Q1376">_xlfn.IFS(
    AND(I1376=TRUE, K1376&lt;=No_Regular_Payments), Periodic_Admin_Charge,
   TRUE, 0
)</f>
        <v>0</v>
      </c>
      <c r="R1376" s="1850">
        <f>N1376-O1376-Q1376</f>
        <v>0</v>
      </c>
      <c r="S1376" s="1850">
        <f>ROUND(S1375-R1376,2)</f>
        <v>0</v>
      </c>
      <c r="T1376" s="1850">
        <f>ROUND(T1375-(N1376-Q1376),2)</f>
        <v>0</v>
      </c>
      <c r="U1376" s="1849"/>
      <c r="W1376" s="1848"/>
      <c r="X1376" s="1848"/>
      <c r="Y1376" s="1848"/>
    </row>
    <row r="1377" spans="2:25" hidden="1">
      <c r="B1377" s="1815" t="b">
        <f>AND(I1377=FALSE,N1376=0,Q1376=0,L1376="")</f>
        <v>1</v>
      </c>
      <c r="C1377" s="1844" t="str" cm="1">
        <f t="array" ref="C1377">_xlfn.IFS(
    L1377="", "",
    MONTH(L1377) &lt;= End_of_Year_Month, YEAR(L1377),
    TRUE, YEAR(L1377) + 1
)</f>
        <v/>
      </c>
      <c r="F1377" s="1857">
        <f>IF(L1377="",0,L1377)</f>
        <v>0</v>
      </c>
      <c r="G1377" s="1856">
        <f>-(N1377-Q1377)</f>
        <v>0</v>
      </c>
      <c r="I1377" s="1815" t="b">
        <f>K1377&lt;=Number_Payments</f>
        <v>0</v>
      </c>
      <c r="J1377" s="1855"/>
      <c r="K1377" s="1351">
        <f>K1376+1</f>
        <v>1251</v>
      </c>
      <c r="L1377" s="1854" t="str" cm="1">
        <f t="array" ref="L1377">_xlfn.IFS(
    I1376=FALSE, "",
    Payment_Frequency="Monthly", EDATE(L1376, 1),
    Payment_Frequency="Weekly", DATE(YEAR(L1376), MONTH(L1376), DAY(L1376) + 7),
    Payment_Frequency="Fortnightly", DATE(YEAR(L1376), MONTH(L1376), DAY(L1376) + 14),
    Payment_Frequency="Quarterly", DATE(YEAR(L1376), MONTH(L1376) + 3, DAY(L1376)),
    Payment_Frequency="Yearly", DATE(YEAR(L1376) + 1, MONTH(L1376), DAY(L1376)),
    TRUE, ""
)</f>
        <v/>
      </c>
      <c r="M1377" s="1853">
        <f>IF(ISERROR(L1377-L1376),0,L1377-L1376)</f>
        <v>0</v>
      </c>
      <c r="N1377" s="1851" cm="1">
        <f t="array" ref="N1377">_xlfn.IFS(
    AND(I1377=TRUE, K1377&lt;=No_Regular_Payments), Repay_Amt,
    AND(I1377=TRUE, K1377=No_Regular_Payments+1), Tm_Balloon_Amt,
   TRUE, 0
)</f>
        <v>0</v>
      </c>
      <c r="O1377" s="1850" cm="1">
        <f t="array" ref="O1377">_xlfn.IFS(
    M1377=0,0,
   ABS(N1377 - S1376 - P1377-Q1377) &lt; 1, N1377 - S1376-Q1377,
    TRUE, P1377
)</f>
        <v>0</v>
      </c>
      <c r="P1377" s="1852">
        <f>IF(M1377=0,0,ROUND(S1376*EXP(Int_Rate/365.25 * M1377)-S1376,2))</f>
        <v>0</v>
      </c>
      <c r="Q1377" s="1851" cm="1">
        <f t="array" ref="Q1377">_xlfn.IFS(
    AND(I1377=TRUE, K1377&lt;=No_Regular_Payments), Periodic_Admin_Charge,
   TRUE, 0
)</f>
        <v>0</v>
      </c>
      <c r="R1377" s="1850">
        <f>N1377-O1377-Q1377</f>
        <v>0</v>
      </c>
      <c r="S1377" s="1850">
        <f>ROUND(S1376-R1377,2)</f>
        <v>0</v>
      </c>
      <c r="T1377" s="1850">
        <f>ROUND(T1376-(N1377-Q1377),2)</f>
        <v>0</v>
      </c>
      <c r="U1377" s="1849"/>
      <c r="W1377" s="1848"/>
      <c r="X1377" s="1848"/>
      <c r="Y1377" s="1848"/>
    </row>
    <row r="1378" spans="2:25" hidden="1">
      <c r="B1378" s="1815" t="b">
        <f>AND(I1378=FALSE,N1377=0,Q1377=0,L1377="")</f>
        <v>1</v>
      </c>
      <c r="C1378" s="1844" t="str" cm="1">
        <f t="array" ref="C1378">_xlfn.IFS(
    L1378="", "",
    MONTH(L1378) &lt;= End_of_Year_Month, YEAR(L1378),
    TRUE, YEAR(L1378) + 1
)</f>
        <v/>
      </c>
      <c r="F1378" s="1857">
        <f>IF(L1378="",0,L1378)</f>
        <v>0</v>
      </c>
      <c r="G1378" s="1856">
        <f>-(N1378-Q1378)</f>
        <v>0</v>
      </c>
      <c r="I1378" s="1815" t="b">
        <f>K1378&lt;=Number_Payments</f>
        <v>0</v>
      </c>
      <c r="J1378" s="1855"/>
      <c r="K1378" s="1351">
        <f>K1377+1</f>
        <v>1252</v>
      </c>
      <c r="L1378" s="1854" t="str" cm="1">
        <f t="array" ref="L1378">_xlfn.IFS(
    I1377=FALSE, "",
    Payment_Frequency="Monthly", EDATE(L1377, 1),
    Payment_Frequency="Weekly", DATE(YEAR(L1377), MONTH(L1377), DAY(L1377) + 7),
    Payment_Frequency="Fortnightly", DATE(YEAR(L1377), MONTH(L1377), DAY(L1377) + 14),
    Payment_Frequency="Quarterly", DATE(YEAR(L1377), MONTH(L1377) + 3, DAY(L1377)),
    Payment_Frequency="Yearly", DATE(YEAR(L1377) + 1, MONTH(L1377), DAY(L1377)),
    TRUE, ""
)</f>
        <v/>
      </c>
      <c r="M1378" s="1853">
        <f>IF(ISERROR(L1378-L1377),0,L1378-L1377)</f>
        <v>0</v>
      </c>
      <c r="N1378" s="1851" cm="1">
        <f t="array" ref="N1378">_xlfn.IFS(
    AND(I1378=TRUE, K1378&lt;=No_Regular_Payments), Repay_Amt,
    AND(I1378=TRUE, K1378=No_Regular_Payments+1), Tm_Balloon_Amt,
   TRUE, 0
)</f>
        <v>0</v>
      </c>
      <c r="O1378" s="1850" cm="1">
        <f t="array" ref="O1378">_xlfn.IFS(
    M1378=0,0,
   ABS(N1378 - S1377 - P1378-Q1378) &lt; 1, N1378 - S1377-Q1378,
    TRUE, P1378
)</f>
        <v>0</v>
      </c>
      <c r="P1378" s="1852">
        <f>IF(M1378=0,0,ROUND(S1377*EXP(Int_Rate/365.25 * M1378)-S1377,2))</f>
        <v>0</v>
      </c>
      <c r="Q1378" s="1851" cm="1">
        <f t="array" ref="Q1378">_xlfn.IFS(
    AND(I1378=TRUE, K1378&lt;=No_Regular_Payments), Periodic_Admin_Charge,
   TRUE, 0
)</f>
        <v>0</v>
      </c>
      <c r="R1378" s="1850">
        <f>N1378-O1378-Q1378</f>
        <v>0</v>
      </c>
      <c r="S1378" s="1850">
        <f>ROUND(S1377-R1378,2)</f>
        <v>0</v>
      </c>
      <c r="T1378" s="1850">
        <f>ROUND(T1377-(N1378-Q1378),2)</f>
        <v>0</v>
      </c>
      <c r="U1378" s="1849"/>
      <c r="W1378" s="1848"/>
      <c r="X1378" s="1848"/>
      <c r="Y1378" s="1848"/>
    </row>
    <row r="1379" spans="2:25" hidden="1">
      <c r="B1379" s="1815" t="b">
        <f>AND(I1379=FALSE,N1378=0,Q1378=0,L1378="")</f>
        <v>1</v>
      </c>
      <c r="C1379" s="1844" t="str" cm="1">
        <f t="array" ref="C1379">_xlfn.IFS(
    L1379="", "",
    MONTH(L1379) &lt;= End_of_Year_Month, YEAR(L1379),
    TRUE, YEAR(L1379) + 1
)</f>
        <v/>
      </c>
      <c r="F1379" s="1857">
        <f>IF(L1379="",0,L1379)</f>
        <v>0</v>
      </c>
      <c r="G1379" s="1856">
        <f>-(N1379-Q1379)</f>
        <v>0</v>
      </c>
      <c r="I1379" s="1815" t="b">
        <f>K1379&lt;=Number_Payments</f>
        <v>0</v>
      </c>
      <c r="J1379" s="1855"/>
      <c r="K1379" s="1351">
        <f>K1378+1</f>
        <v>1253</v>
      </c>
      <c r="L1379" s="1854" t="str" cm="1">
        <f t="array" ref="L1379">_xlfn.IFS(
    I1378=FALSE, "",
    Payment_Frequency="Monthly", EDATE(L1378, 1),
    Payment_Frequency="Weekly", DATE(YEAR(L1378), MONTH(L1378), DAY(L1378) + 7),
    Payment_Frequency="Fortnightly", DATE(YEAR(L1378), MONTH(L1378), DAY(L1378) + 14),
    Payment_Frequency="Quarterly", DATE(YEAR(L1378), MONTH(L1378) + 3, DAY(L1378)),
    Payment_Frequency="Yearly", DATE(YEAR(L1378) + 1, MONTH(L1378), DAY(L1378)),
    TRUE, ""
)</f>
        <v/>
      </c>
      <c r="M1379" s="1853">
        <f>IF(ISERROR(L1379-L1378),0,L1379-L1378)</f>
        <v>0</v>
      </c>
      <c r="N1379" s="1851" cm="1">
        <f t="array" ref="N1379">_xlfn.IFS(
    AND(I1379=TRUE, K1379&lt;=No_Regular_Payments), Repay_Amt,
    AND(I1379=TRUE, K1379=No_Regular_Payments+1), Tm_Balloon_Amt,
   TRUE, 0
)</f>
        <v>0</v>
      </c>
      <c r="O1379" s="1850" cm="1">
        <f t="array" ref="O1379">_xlfn.IFS(
    M1379=0,0,
   ABS(N1379 - S1378 - P1379-Q1379) &lt; 1, N1379 - S1378-Q1379,
    TRUE, P1379
)</f>
        <v>0</v>
      </c>
      <c r="P1379" s="1852">
        <f>IF(M1379=0,0,ROUND(S1378*EXP(Int_Rate/365.25 * M1379)-S1378,2))</f>
        <v>0</v>
      </c>
      <c r="Q1379" s="1851" cm="1">
        <f t="array" ref="Q1379">_xlfn.IFS(
    AND(I1379=TRUE, K1379&lt;=No_Regular_Payments), Periodic_Admin_Charge,
   TRUE, 0
)</f>
        <v>0</v>
      </c>
      <c r="R1379" s="1850">
        <f>N1379-O1379-Q1379</f>
        <v>0</v>
      </c>
      <c r="S1379" s="1850">
        <f>ROUND(S1378-R1379,2)</f>
        <v>0</v>
      </c>
      <c r="T1379" s="1850">
        <f>ROUND(T1378-(N1379-Q1379),2)</f>
        <v>0</v>
      </c>
      <c r="U1379" s="1849"/>
      <c r="W1379" s="1848"/>
      <c r="X1379" s="1848"/>
      <c r="Y1379" s="1848"/>
    </row>
    <row r="1380" spans="2:25" hidden="1">
      <c r="B1380" s="1815" t="b">
        <f>AND(I1380=FALSE,N1379=0,Q1379=0,L1379="")</f>
        <v>1</v>
      </c>
      <c r="C1380" s="1844" t="str" cm="1">
        <f t="array" ref="C1380">_xlfn.IFS(
    L1380="", "",
    MONTH(L1380) &lt;= End_of_Year_Month, YEAR(L1380),
    TRUE, YEAR(L1380) + 1
)</f>
        <v/>
      </c>
      <c r="F1380" s="1857">
        <f>IF(L1380="",0,L1380)</f>
        <v>0</v>
      </c>
      <c r="G1380" s="1856">
        <f>-(N1380-Q1380)</f>
        <v>0</v>
      </c>
      <c r="I1380" s="1815" t="b">
        <f>K1380&lt;=Number_Payments</f>
        <v>0</v>
      </c>
      <c r="J1380" s="1855"/>
      <c r="K1380" s="1351">
        <f>K1379+1</f>
        <v>1254</v>
      </c>
      <c r="L1380" s="1854" t="str" cm="1">
        <f t="array" ref="L1380">_xlfn.IFS(
    I1379=FALSE, "",
    Payment_Frequency="Monthly", EDATE(L1379, 1),
    Payment_Frequency="Weekly", DATE(YEAR(L1379), MONTH(L1379), DAY(L1379) + 7),
    Payment_Frequency="Fortnightly", DATE(YEAR(L1379), MONTH(L1379), DAY(L1379) + 14),
    Payment_Frequency="Quarterly", DATE(YEAR(L1379), MONTH(L1379) + 3, DAY(L1379)),
    Payment_Frequency="Yearly", DATE(YEAR(L1379) + 1, MONTH(L1379), DAY(L1379)),
    TRUE, ""
)</f>
        <v/>
      </c>
      <c r="M1380" s="1853">
        <f>IF(ISERROR(L1380-L1379),0,L1380-L1379)</f>
        <v>0</v>
      </c>
      <c r="N1380" s="1851" cm="1">
        <f t="array" ref="N1380">_xlfn.IFS(
    AND(I1380=TRUE, K1380&lt;=No_Regular_Payments), Repay_Amt,
    AND(I1380=TRUE, K1380=No_Regular_Payments+1), Tm_Balloon_Amt,
   TRUE, 0
)</f>
        <v>0</v>
      </c>
      <c r="O1380" s="1850" cm="1">
        <f t="array" ref="O1380">_xlfn.IFS(
    M1380=0,0,
   ABS(N1380 - S1379 - P1380-Q1380) &lt; 1, N1380 - S1379-Q1380,
    TRUE, P1380
)</f>
        <v>0</v>
      </c>
      <c r="P1380" s="1852">
        <f>IF(M1380=0,0,ROUND(S1379*EXP(Int_Rate/365.25 * M1380)-S1379,2))</f>
        <v>0</v>
      </c>
      <c r="Q1380" s="1851" cm="1">
        <f t="array" ref="Q1380">_xlfn.IFS(
    AND(I1380=TRUE, K1380&lt;=No_Regular_Payments), Periodic_Admin_Charge,
   TRUE, 0
)</f>
        <v>0</v>
      </c>
      <c r="R1380" s="1850">
        <f>N1380-O1380-Q1380</f>
        <v>0</v>
      </c>
      <c r="S1380" s="1850">
        <f>ROUND(S1379-R1380,2)</f>
        <v>0</v>
      </c>
      <c r="T1380" s="1850">
        <f>ROUND(T1379-(N1380-Q1380),2)</f>
        <v>0</v>
      </c>
      <c r="U1380" s="1849"/>
      <c r="W1380" s="1848"/>
      <c r="X1380" s="1848"/>
      <c r="Y1380" s="1848"/>
    </row>
    <row r="1381" spans="2:25" hidden="1">
      <c r="B1381" s="1815" t="b">
        <f>AND(I1381=FALSE,N1380=0,Q1380=0,L1380="")</f>
        <v>1</v>
      </c>
      <c r="C1381" s="1844" t="str" cm="1">
        <f t="array" ref="C1381">_xlfn.IFS(
    L1381="", "",
    MONTH(L1381) &lt;= End_of_Year_Month, YEAR(L1381),
    TRUE, YEAR(L1381) + 1
)</f>
        <v/>
      </c>
      <c r="F1381" s="1857">
        <f>IF(L1381="",0,L1381)</f>
        <v>0</v>
      </c>
      <c r="G1381" s="1856">
        <f>-(N1381-Q1381)</f>
        <v>0</v>
      </c>
      <c r="I1381" s="1815" t="b">
        <f>K1381&lt;=Number_Payments</f>
        <v>0</v>
      </c>
      <c r="J1381" s="1855"/>
      <c r="K1381" s="1351">
        <f>K1380+1</f>
        <v>1255</v>
      </c>
      <c r="L1381" s="1854" t="str" cm="1">
        <f t="array" ref="L1381">_xlfn.IFS(
    I1380=FALSE, "",
    Payment_Frequency="Monthly", EDATE(L1380, 1),
    Payment_Frequency="Weekly", DATE(YEAR(L1380), MONTH(L1380), DAY(L1380) + 7),
    Payment_Frequency="Fortnightly", DATE(YEAR(L1380), MONTH(L1380), DAY(L1380) + 14),
    Payment_Frequency="Quarterly", DATE(YEAR(L1380), MONTH(L1380) + 3, DAY(L1380)),
    Payment_Frequency="Yearly", DATE(YEAR(L1380) + 1, MONTH(L1380), DAY(L1380)),
    TRUE, ""
)</f>
        <v/>
      </c>
      <c r="M1381" s="1853">
        <f>IF(ISERROR(L1381-L1380),0,L1381-L1380)</f>
        <v>0</v>
      </c>
      <c r="N1381" s="1851" cm="1">
        <f t="array" ref="N1381">_xlfn.IFS(
    AND(I1381=TRUE, K1381&lt;=No_Regular_Payments), Repay_Amt,
    AND(I1381=TRUE, K1381=No_Regular_Payments+1), Tm_Balloon_Amt,
   TRUE, 0
)</f>
        <v>0</v>
      </c>
      <c r="O1381" s="1850" cm="1">
        <f t="array" ref="O1381">_xlfn.IFS(
    M1381=0,0,
   ABS(N1381 - S1380 - P1381-Q1381) &lt; 1, N1381 - S1380-Q1381,
    TRUE, P1381
)</f>
        <v>0</v>
      </c>
      <c r="P1381" s="1852">
        <f>IF(M1381=0,0,ROUND(S1380*EXP(Int_Rate/365.25 * M1381)-S1380,2))</f>
        <v>0</v>
      </c>
      <c r="Q1381" s="1851" cm="1">
        <f t="array" ref="Q1381">_xlfn.IFS(
    AND(I1381=TRUE, K1381&lt;=No_Regular_Payments), Periodic_Admin_Charge,
   TRUE, 0
)</f>
        <v>0</v>
      </c>
      <c r="R1381" s="1850">
        <f>N1381-O1381-Q1381</f>
        <v>0</v>
      </c>
      <c r="S1381" s="1850">
        <f>ROUND(S1380-R1381,2)</f>
        <v>0</v>
      </c>
      <c r="T1381" s="1850">
        <f>ROUND(T1380-(N1381-Q1381),2)</f>
        <v>0</v>
      </c>
      <c r="U1381" s="1849"/>
      <c r="W1381" s="1848"/>
      <c r="X1381" s="1848"/>
      <c r="Y1381" s="1848"/>
    </row>
    <row r="1382" spans="2:25" hidden="1">
      <c r="B1382" s="1815" t="b">
        <f>AND(I1382=FALSE,N1381=0,Q1381=0,L1381="")</f>
        <v>1</v>
      </c>
      <c r="C1382" s="1844" t="str" cm="1">
        <f t="array" ref="C1382">_xlfn.IFS(
    L1382="", "",
    MONTH(L1382) &lt;= End_of_Year_Month, YEAR(L1382),
    TRUE, YEAR(L1382) + 1
)</f>
        <v/>
      </c>
      <c r="F1382" s="1857">
        <f>IF(L1382="",0,L1382)</f>
        <v>0</v>
      </c>
      <c r="G1382" s="1856">
        <f>-(N1382-Q1382)</f>
        <v>0</v>
      </c>
      <c r="I1382" s="1815" t="b">
        <f>K1382&lt;=Number_Payments</f>
        <v>0</v>
      </c>
      <c r="J1382" s="1855"/>
      <c r="K1382" s="1351">
        <f>K1381+1</f>
        <v>1256</v>
      </c>
      <c r="L1382" s="1854" t="str" cm="1">
        <f t="array" ref="L1382">_xlfn.IFS(
    I1381=FALSE, "",
    Payment_Frequency="Monthly", EDATE(L1381, 1),
    Payment_Frequency="Weekly", DATE(YEAR(L1381), MONTH(L1381), DAY(L1381) + 7),
    Payment_Frequency="Fortnightly", DATE(YEAR(L1381), MONTH(L1381), DAY(L1381) + 14),
    Payment_Frequency="Quarterly", DATE(YEAR(L1381), MONTH(L1381) + 3, DAY(L1381)),
    Payment_Frequency="Yearly", DATE(YEAR(L1381) + 1, MONTH(L1381), DAY(L1381)),
    TRUE, ""
)</f>
        <v/>
      </c>
      <c r="M1382" s="1853">
        <f>IF(ISERROR(L1382-L1381),0,L1382-L1381)</f>
        <v>0</v>
      </c>
      <c r="N1382" s="1851" cm="1">
        <f t="array" ref="N1382">_xlfn.IFS(
    AND(I1382=TRUE, K1382&lt;=No_Regular_Payments), Repay_Amt,
    AND(I1382=TRUE, K1382=No_Regular_Payments+1), Tm_Balloon_Amt,
   TRUE, 0
)</f>
        <v>0</v>
      </c>
      <c r="O1382" s="1850" cm="1">
        <f t="array" ref="O1382">_xlfn.IFS(
    M1382=0,0,
   ABS(N1382 - S1381 - P1382-Q1382) &lt; 1, N1382 - S1381-Q1382,
    TRUE, P1382
)</f>
        <v>0</v>
      </c>
      <c r="P1382" s="1852">
        <f>IF(M1382=0,0,ROUND(S1381*EXP(Int_Rate/365.25 * M1382)-S1381,2))</f>
        <v>0</v>
      </c>
      <c r="Q1382" s="1851" cm="1">
        <f t="array" ref="Q1382">_xlfn.IFS(
    AND(I1382=TRUE, K1382&lt;=No_Regular_Payments), Periodic_Admin_Charge,
   TRUE, 0
)</f>
        <v>0</v>
      </c>
      <c r="R1382" s="1850">
        <f>N1382-O1382-Q1382</f>
        <v>0</v>
      </c>
      <c r="S1382" s="1850">
        <f>ROUND(S1381-R1382,2)</f>
        <v>0</v>
      </c>
      <c r="T1382" s="1850">
        <f>ROUND(T1381-(N1382-Q1382),2)</f>
        <v>0</v>
      </c>
      <c r="U1382" s="1849"/>
      <c r="W1382" s="1848"/>
      <c r="X1382" s="1848"/>
      <c r="Y1382" s="1848"/>
    </row>
    <row r="1383" spans="2:25" hidden="1">
      <c r="B1383" s="1815" t="b">
        <f>AND(I1383=FALSE,N1382=0,Q1382=0,L1382="")</f>
        <v>1</v>
      </c>
      <c r="C1383" s="1844" t="str" cm="1">
        <f t="array" ref="C1383">_xlfn.IFS(
    L1383="", "",
    MONTH(L1383) &lt;= End_of_Year_Month, YEAR(L1383),
    TRUE, YEAR(L1383) + 1
)</f>
        <v/>
      </c>
      <c r="F1383" s="1857">
        <f>IF(L1383="",0,L1383)</f>
        <v>0</v>
      </c>
      <c r="G1383" s="1856">
        <f>-(N1383-Q1383)</f>
        <v>0</v>
      </c>
      <c r="I1383" s="1815" t="b">
        <f>K1383&lt;=Number_Payments</f>
        <v>0</v>
      </c>
      <c r="J1383" s="1855"/>
      <c r="K1383" s="1351">
        <f>K1382+1</f>
        <v>1257</v>
      </c>
      <c r="L1383" s="1854" t="str" cm="1">
        <f t="array" ref="L1383">_xlfn.IFS(
    I1382=FALSE, "",
    Payment_Frequency="Monthly", EDATE(L1382, 1),
    Payment_Frequency="Weekly", DATE(YEAR(L1382), MONTH(L1382), DAY(L1382) + 7),
    Payment_Frequency="Fortnightly", DATE(YEAR(L1382), MONTH(L1382), DAY(L1382) + 14),
    Payment_Frequency="Quarterly", DATE(YEAR(L1382), MONTH(L1382) + 3, DAY(L1382)),
    Payment_Frequency="Yearly", DATE(YEAR(L1382) + 1, MONTH(L1382), DAY(L1382)),
    TRUE, ""
)</f>
        <v/>
      </c>
      <c r="M1383" s="1853">
        <f>IF(ISERROR(L1383-L1382),0,L1383-L1382)</f>
        <v>0</v>
      </c>
      <c r="N1383" s="1851" cm="1">
        <f t="array" ref="N1383">_xlfn.IFS(
    AND(I1383=TRUE, K1383&lt;=No_Regular_Payments), Repay_Amt,
    AND(I1383=TRUE, K1383=No_Regular_Payments+1), Tm_Balloon_Amt,
   TRUE, 0
)</f>
        <v>0</v>
      </c>
      <c r="O1383" s="1850" cm="1">
        <f t="array" ref="O1383">_xlfn.IFS(
    M1383=0,0,
   ABS(N1383 - S1382 - P1383-Q1383) &lt; 1, N1383 - S1382-Q1383,
    TRUE, P1383
)</f>
        <v>0</v>
      </c>
      <c r="P1383" s="1852">
        <f>IF(M1383=0,0,ROUND(S1382*EXP(Int_Rate/365.25 * M1383)-S1382,2))</f>
        <v>0</v>
      </c>
      <c r="Q1383" s="1851" cm="1">
        <f t="array" ref="Q1383">_xlfn.IFS(
    AND(I1383=TRUE, K1383&lt;=No_Regular_Payments), Periodic_Admin_Charge,
   TRUE, 0
)</f>
        <v>0</v>
      </c>
      <c r="R1383" s="1850">
        <f>N1383-O1383-Q1383</f>
        <v>0</v>
      </c>
      <c r="S1383" s="1850">
        <f>ROUND(S1382-R1383,2)</f>
        <v>0</v>
      </c>
      <c r="T1383" s="1850">
        <f>ROUND(T1382-(N1383-Q1383),2)</f>
        <v>0</v>
      </c>
      <c r="U1383" s="1849"/>
      <c r="W1383" s="1848"/>
      <c r="X1383" s="1848"/>
      <c r="Y1383" s="1848"/>
    </row>
    <row r="1384" spans="2:25" hidden="1">
      <c r="B1384" s="1815" t="b">
        <f>AND(I1384=FALSE,N1383=0,Q1383=0,L1383="")</f>
        <v>1</v>
      </c>
      <c r="C1384" s="1844" t="str" cm="1">
        <f t="array" ref="C1384">_xlfn.IFS(
    L1384="", "",
    MONTH(L1384) &lt;= End_of_Year_Month, YEAR(L1384),
    TRUE, YEAR(L1384) + 1
)</f>
        <v/>
      </c>
      <c r="F1384" s="1857">
        <f>IF(L1384="",0,L1384)</f>
        <v>0</v>
      </c>
      <c r="G1384" s="1856">
        <f>-(N1384-Q1384)</f>
        <v>0</v>
      </c>
      <c r="I1384" s="1815" t="b">
        <f>K1384&lt;=Number_Payments</f>
        <v>0</v>
      </c>
      <c r="J1384" s="1855"/>
      <c r="K1384" s="1351">
        <f>K1383+1</f>
        <v>1258</v>
      </c>
      <c r="L1384" s="1854" t="str" cm="1">
        <f t="array" ref="L1384">_xlfn.IFS(
    I1383=FALSE, "",
    Payment_Frequency="Monthly", EDATE(L1383, 1),
    Payment_Frequency="Weekly", DATE(YEAR(L1383), MONTH(L1383), DAY(L1383) + 7),
    Payment_Frequency="Fortnightly", DATE(YEAR(L1383), MONTH(L1383), DAY(L1383) + 14),
    Payment_Frequency="Quarterly", DATE(YEAR(L1383), MONTH(L1383) + 3, DAY(L1383)),
    Payment_Frequency="Yearly", DATE(YEAR(L1383) + 1, MONTH(L1383), DAY(L1383)),
    TRUE, ""
)</f>
        <v/>
      </c>
      <c r="M1384" s="1853">
        <f>IF(ISERROR(L1384-L1383),0,L1384-L1383)</f>
        <v>0</v>
      </c>
      <c r="N1384" s="1851" cm="1">
        <f t="array" ref="N1384">_xlfn.IFS(
    AND(I1384=TRUE, K1384&lt;=No_Regular_Payments), Repay_Amt,
    AND(I1384=TRUE, K1384=No_Regular_Payments+1), Tm_Balloon_Amt,
   TRUE, 0
)</f>
        <v>0</v>
      </c>
      <c r="O1384" s="1850" cm="1">
        <f t="array" ref="O1384">_xlfn.IFS(
    M1384=0,0,
   ABS(N1384 - S1383 - P1384-Q1384) &lt; 1, N1384 - S1383-Q1384,
    TRUE, P1384
)</f>
        <v>0</v>
      </c>
      <c r="P1384" s="1852">
        <f>IF(M1384=0,0,ROUND(S1383*EXP(Int_Rate/365.25 * M1384)-S1383,2))</f>
        <v>0</v>
      </c>
      <c r="Q1384" s="1851" cm="1">
        <f t="array" ref="Q1384">_xlfn.IFS(
    AND(I1384=TRUE, K1384&lt;=No_Regular_Payments), Periodic_Admin_Charge,
   TRUE, 0
)</f>
        <v>0</v>
      </c>
      <c r="R1384" s="1850">
        <f>N1384-O1384-Q1384</f>
        <v>0</v>
      </c>
      <c r="S1384" s="1850">
        <f>ROUND(S1383-R1384,2)</f>
        <v>0</v>
      </c>
      <c r="T1384" s="1850">
        <f>ROUND(T1383-(N1384-Q1384),2)</f>
        <v>0</v>
      </c>
      <c r="U1384" s="1849"/>
      <c r="W1384" s="1848"/>
      <c r="X1384" s="1848"/>
      <c r="Y1384" s="1848"/>
    </row>
    <row r="1385" spans="2:25" hidden="1">
      <c r="B1385" s="1815" t="b">
        <f>AND(I1385=FALSE,N1384=0,Q1384=0,L1384="")</f>
        <v>1</v>
      </c>
      <c r="C1385" s="1844" t="str" cm="1">
        <f t="array" ref="C1385">_xlfn.IFS(
    L1385="", "",
    MONTH(L1385) &lt;= End_of_Year_Month, YEAR(L1385),
    TRUE, YEAR(L1385) + 1
)</f>
        <v/>
      </c>
      <c r="F1385" s="1857">
        <f>IF(L1385="",0,L1385)</f>
        <v>0</v>
      </c>
      <c r="G1385" s="1856">
        <f>-(N1385-Q1385)</f>
        <v>0</v>
      </c>
      <c r="I1385" s="1815" t="b">
        <f>K1385&lt;=Number_Payments</f>
        <v>0</v>
      </c>
      <c r="J1385" s="1855"/>
      <c r="K1385" s="1351">
        <f>K1384+1</f>
        <v>1259</v>
      </c>
      <c r="L1385" s="1854" t="str" cm="1">
        <f t="array" ref="L1385">_xlfn.IFS(
    I1384=FALSE, "",
    Payment_Frequency="Monthly", EDATE(L1384, 1),
    Payment_Frequency="Weekly", DATE(YEAR(L1384), MONTH(L1384), DAY(L1384) + 7),
    Payment_Frequency="Fortnightly", DATE(YEAR(L1384), MONTH(L1384), DAY(L1384) + 14),
    Payment_Frequency="Quarterly", DATE(YEAR(L1384), MONTH(L1384) + 3, DAY(L1384)),
    Payment_Frequency="Yearly", DATE(YEAR(L1384) + 1, MONTH(L1384), DAY(L1384)),
    TRUE, ""
)</f>
        <v/>
      </c>
      <c r="M1385" s="1853">
        <f>IF(ISERROR(L1385-L1384),0,L1385-L1384)</f>
        <v>0</v>
      </c>
      <c r="N1385" s="1851" cm="1">
        <f t="array" ref="N1385">_xlfn.IFS(
    AND(I1385=TRUE, K1385&lt;=No_Regular_Payments), Repay_Amt,
    AND(I1385=TRUE, K1385=No_Regular_Payments+1), Tm_Balloon_Amt,
   TRUE, 0
)</f>
        <v>0</v>
      </c>
      <c r="O1385" s="1850" cm="1">
        <f t="array" ref="O1385">_xlfn.IFS(
    M1385=0,0,
   ABS(N1385 - S1384 - P1385-Q1385) &lt; 1, N1385 - S1384-Q1385,
    TRUE, P1385
)</f>
        <v>0</v>
      </c>
      <c r="P1385" s="1852">
        <f>IF(M1385=0,0,ROUND(S1384*EXP(Int_Rate/365.25 * M1385)-S1384,2))</f>
        <v>0</v>
      </c>
      <c r="Q1385" s="1851" cm="1">
        <f t="array" ref="Q1385">_xlfn.IFS(
    AND(I1385=TRUE, K1385&lt;=No_Regular_Payments), Periodic_Admin_Charge,
   TRUE, 0
)</f>
        <v>0</v>
      </c>
      <c r="R1385" s="1850">
        <f>N1385-O1385-Q1385</f>
        <v>0</v>
      </c>
      <c r="S1385" s="1850">
        <f>ROUND(S1384-R1385,2)</f>
        <v>0</v>
      </c>
      <c r="T1385" s="1850">
        <f>ROUND(T1384-(N1385-Q1385),2)</f>
        <v>0</v>
      </c>
      <c r="U1385" s="1849"/>
      <c r="W1385" s="1848"/>
      <c r="X1385" s="1848"/>
      <c r="Y1385" s="1848"/>
    </row>
    <row r="1386" spans="2:25" hidden="1">
      <c r="B1386" s="1815" t="b">
        <f>AND(I1386=FALSE,N1385=0,Q1385=0,L1385="")</f>
        <v>1</v>
      </c>
      <c r="C1386" s="1844" t="str" cm="1">
        <f t="array" ref="C1386">_xlfn.IFS(
    L1386="", "",
    MONTH(L1386) &lt;= End_of_Year_Month, YEAR(L1386),
    TRUE, YEAR(L1386) + 1
)</f>
        <v/>
      </c>
      <c r="F1386" s="1857">
        <f>IF(L1386="",0,L1386)</f>
        <v>0</v>
      </c>
      <c r="G1386" s="1856">
        <f>-(N1386-Q1386)</f>
        <v>0</v>
      </c>
      <c r="I1386" s="1815" t="b">
        <f>K1386&lt;=Number_Payments</f>
        <v>0</v>
      </c>
      <c r="J1386" s="1855"/>
      <c r="K1386" s="1351">
        <f>K1385+1</f>
        <v>1260</v>
      </c>
      <c r="L1386" s="1854" t="str" cm="1">
        <f t="array" ref="L1386">_xlfn.IFS(
    I1385=FALSE, "",
    Payment_Frequency="Monthly", EDATE(L1385, 1),
    Payment_Frequency="Weekly", DATE(YEAR(L1385), MONTH(L1385), DAY(L1385) + 7),
    Payment_Frequency="Fortnightly", DATE(YEAR(L1385), MONTH(L1385), DAY(L1385) + 14),
    Payment_Frequency="Quarterly", DATE(YEAR(L1385), MONTH(L1385) + 3, DAY(L1385)),
    Payment_Frequency="Yearly", DATE(YEAR(L1385) + 1, MONTH(L1385), DAY(L1385)),
    TRUE, ""
)</f>
        <v/>
      </c>
      <c r="M1386" s="1853">
        <f>IF(ISERROR(L1386-L1385),0,L1386-L1385)</f>
        <v>0</v>
      </c>
      <c r="N1386" s="1851" cm="1">
        <f t="array" ref="N1386">_xlfn.IFS(
    AND(I1386=TRUE, K1386&lt;=No_Regular_Payments), Repay_Amt,
    AND(I1386=TRUE, K1386=No_Regular_Payments+1), Tm_Balloon_Amt,
   TRUE, 0
)</f>
        <v>0</v>
      </c>
      <c r="O1386" s="1850" cm="1">
        <f t="array" ref="O1386">_xlfn.IFS(
    M1386=0,0,
   ABS(N1386 - S1385 - P1386-Q1386) &lt; 1, N1386 - S1385-Q1386,
    TRUE, P1386
)</f>
        <v>0</v>
      </c>
      <c r="P1386" s="1852">
        <f>IF(M1386=0,0,ROUND(S1385*EXP(Int_Rate/365.25 * M1386)-S1385,2))</f>
        <v>0</v>
      </c>
      <c r="Q1386" s="1851" cm="1">
        <f t="array" ref="Q1386">_xlfn.IFS(
    AND(I1386=TRUE, K1386&lt;=No_Regular_Payments), Periodic_Admin_Charge,
   TRUE, 0
)</f>
        <v>0</v>
      </c>
      <c r="R1386" s="1850">
        <f>N1386-O1386-Q1386</f>
        <v>0</v>
      </c>
      <c r="S1386" s="1850">
        <f>ROUND(S1385-R1386,2)</f>
        <v>0</v>
      </c>
      <c r="T1386" s="1850">
        <f>ROUND(T1385-(N1386-Q1386),2)</f>
        <v>0</v>
      </c>
      <c r="U1386" s="1849"/>
      <c r="W1386" s="1848"/>
      <c r="X1386" s="1848"/>
      <c r="Y1386" s="1848"/>
    </row>
    <row r="1387" spans="2:25" hidden="1">
      <c r="B1387" s="1815" t="b">
        <f>AND(I1387=FALSE,N1386=0,Q1386=0,L1386="")</f>
        <v>1</v>
      </c>
      <c r="C1387" s="1844" t="str" cm="1">
        <f t="array" ref="C1387">_xlfn.IFS(
    L1387="", "",
    MONTH(L1387) &lt;= End_of_Year_Month, YEAR(L1387),
    TRUE, YEAR(L1387) + 1
)</f>
        <v/>
      </c>
      <c r="F1387" s="1857">
        <f>IF(L1387="",0,L1387)</f>
        <v>0</v>
      </c>
      <c r="G1387" s="1856">
        <f>-(N1387-Q1387)</f>
        <v>0</v>
      </c>
      <c r="I1387" s="1815" t="b">
        <f>K1387&lt;=Number_Payments</f>
        <v>0</v>
      </c>
      <c r="J1387" s="1855"/>
      <c r="K1387" s="1351">
        <f>K1386+1</f>
        <v>1261</v>
      </c>
      <c r="L1387" s="1854" t="str" cm="1">
        <f t="array" ref="L1387">_xlfn.IFS(
    I1386=FALSE, "",
    Payment_Frequency="Monthly", EDATE(L1386, 1),
    Payment_Frequency="Weekly", DATE(YEAR(L1386), MONTH(L1386), DAY(L1386) + 7),
    Payment_Frequency="Fortnightly", DATE(YEAR(L1386), MONTH(L1386), DAY(L1386) + 14),
    Payment_Frequency="Quarterly", DATE(YEAR(L1386), MONTH(L1386) + 3, DAY(L1386)),
    Payment_Frequency="Yearly", DATE(YEAR(L1386) + 1, MONTH(L1386), DAY(L1386)),
    TRUE, ""
)</f>
        <v/>
      </c>
      <c r="M1387" s="1853">
        <f>IF(ISERROR(L1387-L1386),0,L1387-L1386)</f>
        <v>0</v>
      </c>
      <c r="N1387" s="1851" cm="1">
        <f t="array" ref="N1387">_xlfn.IFS(
    AND(I1387=TRUE, K1387&lt;=No_Regular_Payments), Repay_Amt,
    AND(I1387=TRUE, K1387=No_Regular_Payments+1), Tm_Balloon_Amt,
   TRUE, 0
)</f>
        <v>0</v>
      </c>
      <c r="O1387" s="1850" cm="1">
        <f t="array" ref="O1387">_xlfn.IFS(
    M1387=0,0,
   ABS(N1387 - S1386 - P1387-Q1387) &lt; 1, N1387 - S1386-Q1387,
    TRUE, P1387
)</f>
        <v>0</v>
      </c>
      <c r="P1387" s="1852">
        <f>IF(M1387=0,0,ROUND(S1386*EXP(Int_Rate/365.25 * M1387)-S1386,2))</f>
        <v>0</v>
      </c>
      <c r="Q1387" s="1851" cm="1">
        <f t="array" ref="Q1387">_xlfn.IFS(
    AND(I1387=TRUE, K1387&lt;=No_Regular_Payments), Periodic_Admin_Charge,
   TRUE, 0
)</f>
        <v>0</v>
      </c>
      <c r="R1387" s="1850">
        <f>N1387-O1387-Q1387</f>
        <v>0</v>
      </c>
      <c r="S1387" s="1850">
        <f>ROUND(S1386-R1387,2)</f>
        <v>0</v>
      </c>
      <c r="T1387" s="1850">
        <f>ROUND(T1386-(N1387-Q1387),2)</f>
        <v>0</v>
      </c>
      <c r="U1387" s="1849"/>
      <c r="W1387" s="1848"/>
      <c r="X1387" s="1848"/>
      <c r="Y1387" s="1848"/>
    </row>
    <row r="1388" spans="2:25" hidden="1">
      <c r="B1388" s="1815" t="b">
        <f>AND(I1388=FALSE,N1387=0,Q1387=0,L1387="")</f>
        <v>1</v>
      </c>
      <c r="C1388" s="1844" t="str" cm="1">
        <f t="array" ref="C1388">_xlfn.IFS(
    L1388="", "",
    MONTH(L1388) &lt;= End_of_Year_Month, YEAR(L1388),
    TRUE, YEAR(L1388) + 1
)</f>
        <v/>
      </c>
      <c r="F1388" s="1857">
        <f>IF(L1388="",0,L1388)</f>
        <v>0</v>
      </c>
      <c r="G1388" s="1856">
        <f>-(N1388-Q1388)</f>
        <v>0</v>
      </c>
      <c r="I1388" s="1815" t="b">
        <f>K1388&lt;=Number_Payments</f>
        <v>0</v>
      </c>
      <c r="J1388" s="1855"/>
      <c r="K1388" s="1351">
        <f>K1387+1</f>
        <v>1262</v>
      </c>
      <c r="L1388" s="1854" t="str" cm="1">
        <f t="array" ref="L1388">_xlfn.IFS(
    I1387=FALSE, "",
    Payment_Frequency="Monthly", EDATE(L1387, 1),
    Payment_Frequency="Weekly", DATE(YEAR(L1387), MONTH(L1387), DAY(L1387) + 7),
    Payment_Frequency="Fortnightly", DATE(YEAR(L1387), MONTH(L1387), DAY(L1387) + 14),
    Payment_Frequency="Quarterly", DATE(YEAR(L1387), MONTH(L1387) + 3, DAY(L1387)),
    Payment_Frequency="Yearly", DATE(YEAR(L1387) + 1, MONTH(L1387), DAY(L1387)),
    TRUE, ""
)</f>
        <v/>
      </c>
      <c r="M1388" s="1853">
        <f>IF(ISERROR(L1388-L1387),0,L1388-L1387)</f>
        <v>0</v>
      </c>
      <c r="N1388" s="1851" cm="1">
        <f t="array" ref="N1388">_xlfn.IFS(
    AND(I1388=TRUE, K1388&lt;=No_Regular_Payments), Repay_Amt,
    AND(I1388=TRUE, K1388=No_Regular_Payments+1), Tm_Balloon_Amt,
   TRUE, 0
)</f>
        <v>0</v>
      </c>
      <c r="O1388" s="1850" cm="1">
        <f t="array" ref="O1388">_xlfn.IFS(
    M1388=0,0,
   ABS(N1388 - S1387 - P1388-Q1388) &lt; 1, N1388 - S1387-Q1388,
    TRUE, P1388
)</f>
        <v>0</v>
      </c>
      <c r="P1388" s="1852">
        <f>IF(M1388=0,0,ROUND(S1387*EXP(Int_Rate/365.25 * M1388)-S1387,2))</f>
        <v>0</v>
      </c>
      <c r="Q1388" s="1851" cm="1">
        <f t="array" ref="Q1388">_xlfn.IFS(
    AND(I1388=TRUE, K1388&lt;=No_Regular_Payments), Periodic_Admin_Charge,
   TRUE, 0
)</f>
        <v>0</v>
      </c>
      <c r="R1388" s="1850">
        <f>N1388-O1388-Q1388</f>
        <v>0</v>
      </c>
      <c r="S1388" s="1850">
        <f>ROUND(S1387-R1388,2)</f>
        <v>0</v>
      </c>
      <c r="T1388" s="1850">
        <f>ROUND(T1387-(N1388-Q1388),2)</f>
        <v>0</v>
      </c>
      <c r="U1388" s="1849"/>
      <c r="W1388" s="1848"/>
      <c r="X1388" s="1848"/>
      <c r="Y1388" s="1848"/>
    </row>
    <row r="1389" spans="2:25" hidden="1">
      <c r="B1389" s="1815" t="b">
        <f>AND(I1389=FALSE,N1388=0,Q1388=0,L1388="")</f>
        <v>1</v>
      </c>
      <c r="C1389" s="1844" t="str" cm="1">
        <f t="array" ref="C1389">_xlfn.IFS(
    L1389="", "",
    MONTH(L1389) &lt;= End_of_Year_Month, YEAR(L1389),
    TRUE, YEAR(L1389) + 1
)</f>
        <v/>
      </c>
      <c r="F1389" s="1857">
        <f>IF(L1389="",0,L1389)</f>
        <v>0</v>
      </c>
      <c r="G1389" s="1856">
        <f>-(N1389-Q1389)</f>
        <v>0</v>
      </c>
      <c r="I1389" s="1815" t="b">
        <f>K1389&lt;=Number_Payments</f>
        <v>0</v>
      </c>
      <c r="J1389" s="1855"/>
      <c r="K1389" s="1351">
        <f>K1388+1</f>
        <v>1263</v>
      </c>
      <c r="L1389" s="1854" t="str" cm="1">
        <f t="array" ref="L1389">_xlfn.IFS(
    I1388=FALSE, "",
    Payment_Frequency="Monthly", EDATE(L1388, 1),
    Payment_Frequency="Weekly", DATE(YEAR(L1388), MONTH(L1388), DAY(L1388) + 7),
    Payment_Frequency="Fortnightly", DATE(YEAR(L1388), MONTH(L1388), DAY(L1388) + 14),
    Payment_Frequency="Quarterly", DATE(YEAR(L1388), MONTH(L1388) + 3, DAY(L1388)),
    Payment_Frequency="Yearly", DATE(YEAR(L1388) + 1, MONTH(L1388), DAY(L1388)),
    TRUE, ""
)</f>
        <v/>
      </c>
      <c r="M1389" s="1853">
        <f>IF(ISERROR(L1389-L1388),0,L1389-L1388)</f>
        <v>0</v>
      </c>
      <c r="N1389" s="1851" cm="1">
        <f t="array" ref="N1389">_xlfn.IFS(
    AND(I1389=TRUE, K1389&lt;=No_Regular_Payments), Repay_Amt,
    AND(I1389=TRUE, K1389=No_Regular_Payments+1), Tm_Balloon_Amt,
   TRUE, 0
)</f>
        <v>0</v>
      </c>
      <c r="O1389" s="1850" cm="1">
        <f t="array" ref="O1389">_xlfn.IFS(
    M1389=0,0,
   ABS(N1389 - S1388 - P1389-Q1389) &lt; 1, N1389 - S1388-Q1389,
    TRUE, P1389
)</f>
        <v>0</v>
      </c>
      <c r="P1389" s="1852">
        <f>IF(M1389=0,0,ROUND(S1388*EXP(Int_Rate/365.25 * M1389)-S1388,2))</f>
        <v>0</v>
      </c>
      <c r="Q1389" s="1851" cm="1">
        <f t="array" ref="Q1389">_xlfn.IFS(
    AND(I1389=TRUE, K1389&lt;=No_Regular_Payments), Periodic_Admin_Charge,
   TRUE, 0
)</f>
        <v>0</v>
      </c>
      <c r="R1389" s="1850">
        <f>N1389-O1389-Q1389</f>
        <v>0</v>
      </c>
      <c r="S1389" s="1850">
        <f>ROUND(S1388-R1389,2)</f>
        <v>0</v>
      </c>
      <c r="T1389" s="1850">
        <f>ROUND(T1388-(N1389-Q1389),2)</f>
        <v>0</v>
      </c>
      <c r="U1389" s="1849"/>
      <c r="W1389" s="1848"/>
      <c r="X1389" s="1848"/>
      <c r="Y1389" s="1848"/>
    </row>
    <row r="1390" spans="2:25" hidden="1">
      <c r="B1390" s="1815" t="b">
        <f>AND(I1390=FALSE,N1389=0,Q1389=0,L1389="")</f>
        <v>1</v>
      </c>
      <c r="C1390" s="1844" t="str" cm="1">
        <f t="array" ref="C1390">_xlfn.IFS(
    L1390="", "",
    MONTH(L1390) &lt;= End_of_Year_Month, YEAR(L1390),
    TRUE, YEAR(L1390) + 1
)</f>
        <v/>
      </c>
      <c r="F1390" s="1857">
        <f>IF(L1390="",0,L1390)</f>
        <v>0</v>
      </c>
      <c r="G1390" s="1856">
        <f>-(N1390-Q1390)</f>
        <v>0</v>
      </c>
      <c r="I1390" s="1815" t="b">
        <f>K1390&lt;=Number_Payments</f>
        <v>0</v>
      </c>
      <c r="J1390" s="1855"/>
      <c r="K1390" s="1351">
        <f>K1389+1</f>
        <v>1264</v>
      </c>
      <c r="L1390" s="1854" t="str" cm="1">
        <f t="array" ref="L1390">_xlfn.IFS(
    I1389=FALSE, "",
    Payment_Frequency="Monthly", EDATE(L1389, 1),
    Payment_Frequency="Weekly", DATE(YEAR(L1389), MONTH(L1389), DAY(L1389) + 7),
    Payment_Frequency="Fortnightly", DATE(YEAR(L1389), MONTH(L1389), DAY(L1389) + 14),
    Payment_Frequency="Quarterly", DATE(YEAR(L1389), MONTH(L1389) + 3, DAY(L1389)),
    Payment_Frequency="Yearly", DATE(YEAR(L1389) + 1, MONTH(L1389), DAY(L1389)),
    TRUE, ""
)</f>
        <v/>
      </c>
      <c r="M1390" s="1853">
        <f>IF(ISERROR(L1390-L1389),0,L1390-L1389)</f>
        <v>0</v>
      </c>
      <c r="N1390" s="1851" cm="1">
        <f t="array" ref="N1390">_xlfn.IFS(
    AND(I1390=TRUE, K1390&lt;=No_Regular_Payments), Repay_Amt,
    AND(I1390=TRUE, K1390=No_Regular_Payments+1), Tm_Balloon_Amt,
   TRUE, 0
)</f>
        <v>0</v>
      </c>
      <c r="O1390" s="1850" cm="1">
        <f t="array" ref="O1390">_xlfn.IFS(
    M1390=0,0,
   ABS(N1390 - S1389 - P1390-Q1390) &lt; 1, N1390 - S1389-Q1390,
    TRUE, P1390
)</f>
        <v>0</v>
      </c>
      <c r="P1390" s="1852">
        <f>IF(M1390=0,0,ROUND(S1389*EXP(Int_Rate/365.25 * M1390)-S1389,2))</f>
        <v>0</v>
      </c>
      <c r="Q1390" s="1851" cm="1">
        <f t="array" ref="Q1390">_xlfn.IFS(
    AND(I1390=TRUE, K1390&lt;=No_Regular_Payments), Periodic_Admin_Charge,
   TRUE, 0
)</f>
        <v>0</v>
      </c>
      <c r="R1390" s="1850">
        <f>N1390-O1390-Q1390</f>
        <v>0</v>
      </c>
      <c r="S1390" s="1850">
        <f>ROUND(S1389-R1390,2)</f>
        <v>0</v>
      </c>
      <c r="T1390" s="1850">
        <f>ROUND(T1389-(N1390-Q1390),2)</f>
        <v>0</v>
      </c>
      <c r="U1390" s="1849"/>
      <c r="W1390" s="1848"/>
      <c r="X1390" s="1848"/>
      <c r="Y1390" s="1848"/>
    </row>
    <row r="1391" spans="2:25" hidden="1">
      <c r="B1391" s="1815" t="b">
        <f>AND(I1391=FALSE,N1390=0,Q1390=0,L1390="")</f>
        <v>1</v>
      </c>
      <c r="C1391" s="1844" t="str" cm="1">
        <f t="array" ref="C1391">_xlfn.IFS(
    L1391="", "",
    MONTH(L1391) &lt;= End_of_Year_Month, YEAR(L1391),
    TRUE, YEAR(L1391) + 1
)</f>
        <v/>
      </c>
      <c r="F1391" s="1857">
        <f>IF(L1391="",0,L1391)</f>
        <v>0</v>
      </c>
      <c r="G1391" s="1856">
        <f>-(N1391-Q1391)</f>
        <v>0</v>
      </c>
      <c r="I1391" s="1815" t="b">
        <f>K1391&lt;=Number_Payments</f>
        <v>0</v>
      </c>
      <c r="J1391" s="1855"/>
      <c r="K1391" s="1351">
        <f>K1390+1</f>
        <v>1265</v>
      </c>
      <c r="L1391" s="1854" t="str" cm="1">
        <f t="array" ref="L1391">_xlfn.IFS(
    I1390=FALSE, "",
    Payment_Frequency="Monthly", EDATE(L1390, 1),
    Payment_Frequency="Weekly", DATE(YEAR(L1390), MONTH(L1390), DAY(L1390) + 7),
    Payment_Frequency="Fortnightly", DATE(YEAR(L1390), MONTH(L1390), DAY(L1390) + 14),
    Payment_Frequency="Quarterly", DATE(YEAR(L1390), MONTH(L1390) + 3, DAY(L1390)),
    Payment_Frequency="Yearly", DATE(YEAR(L1390) + 1, MONTH(L1390), DAY(L1390)),
    TRUE, ""
)</f>
        <v/>
      </c>
      <c r="M1391" s="1853">
        <f>IF(ISERROR(L1391-L1390),0,L1391-L1390)</f>
        <v>0</v>
      </c>
      <c r="N1391" s="1851" cm="1">
        <f t="array" ref="N1391">_xlfn.IFS(
    AND(I1391=TRUE, K1391&lt;=No_Regular_Payments), Repay_Amt,
    AND(I1391=TRUE, K1391=No_Regular_Payments+1), Tm_Balloon_Amt,
   TRUE, 0
)</f>
        <v>0</v>
      </c>
      <c r="O1391" s="1850" cm="1">
        <f t="array" ref="O1391">_xlfn.IFS(
    M1391=0,0,
   ABS(N1391 - S1390 - P1391-Q1391) &lt; 1, N1391 - S1390-Q1391,
    TRUE, P1391
)</f>
        <v>0</v>
      </c>
      <c r="P1391" s="1852">
        <f>IF(M1391=0,0,ROUND(S1390*EXP(Int_Rate/365.25 * M1391)-S1390,2))</f>
        <v>0</v>
      </c>
      <c r="Q1391" s="1851" cm="1">
        <f t="array" ref="Q1391">_xlfn.IFS(
    AND(I1391=TRUE, K1391&lt;=No_Regular_Payments), Periodic_Admin_Charge,
   TRUE, 0
)</f>
        <v>0</v>
      </c>
      <c r="R1391" s="1850">
        <f>N1391-O1391-Q1391</f>
        <v>0</v>
      </c>
      <c r="S1391" s="1850">
        <f>ROUND(S1390-R1391,2)</f>
        <v>0</v>
      </c>
      <c r="T1391" s="1850">
        <f>ROUND(T1390-(N1391-Q1391),2)</f>
        <v>0</v>
      </c>
      <c r="U1391" s="1849"/>
      <c r="W1391" s="1848"/>
      <c r="X1391" s="1848"/>
      <c r="Y1391" s="1848"/>
    </row>
    <row r="1392" spans="2:25" hidden="1">
      <c r="B1392" s="1815" t="b">
        <f>AND(I1392=FALSE,N1391=0,Q1391=0,L1391="")</f>
        <v>1</v>
      </c>
      <c r="C1392" s="1844" t="str" cm="1">
        <f t="array" ref="C1392">_xlfn.IFS(
    L1392="", "",
    MONTH(L1392) &lt;= End_of_Year_Month, YEAR(L1392),
    TRUE, YEAR(L1392) + 1
)</f>
        <v/>
      </c>
      <c r="F1392" s="1857">
        <f>IF(L1392="",0,L1392)</f>
        <v>0</v>
      </c>
      <c r="G1392" s="1856">
        <f>-(N1392-Q1392)</f>
        <v>0</v>
      </c>
      <c r="I1392" s="1815" t="b">
        <f>K1392&lt;=Number_Payments</f>
        <v>0</v>
      </c>
      <c r="J1392" s="1855"/>
      <c r="K1392" s="1351">
        <f>K1391+1</f>
        <v>1266</v>
      </c>
      <c r="L1392" s="1854" t="str" cm="1">
        <f t="array" ref="L1392">_xlfn.IFS(
    I1391=FALSE, "",
    Payment_Frequency="Monthly", EDATE(L1391, 1),
    Payment_Frequency="Weekly", DATE(YEAR(L1391), MONTH(L1391), DAY(L1391) + 7),
    Payment_Frequency="Fortnightly", DATE(YEAR(L1391), MONTH(L1391), DAY(L1391) + 14),
    Payment_Frequency="Quarterly", DATE(YEAR(L1391), MONTH(L1391) + 3, DAY(L1391)),
    Payment_Frequency="Yearly", DATE(YEAR(L1391) + 1, MONTH(L1391), DAY(L1391)),
    TRUE, ""
)</f>
        <v/>
      </c>
      <c r="M1392" s="1853">
        <f>IF(ISERROR(L1392-L1391),0,L1392-L1391)</f>
        <v>0</v>
      </c>
      <c r="N1392" s="1851" cm="1">
        <f t="array" ref="N1392">_xlfn.IFS(
    AND(I1392=TRUE, K1392&lt;=No_Regular_Payments), Repay_Amt,
    AND(I1392=TRUE, K1392=No_Regular_Payments+1), Tm_Balloon_Amt,
   TRUE, 0
)</f>
        <v>0</v>
      </c>
      <c r="O1392" s="1850" cm="1">
        <f t="array" ref="O1392">_xlfn.IFS(
    M1392=0,0,
   ABS(N1392 - S1391 - P1392-Q1392) &lt; 1, N1392 - S1391-Q1392,
    TRUE, P1392
)</f>
        <v>0</v>
      </c>
      <c r="P1392" s="1852">
        <f>IF(M1392=0,0,ROUND(S1391*EXP(Int_Rate/365.25 * M1392)-S1391,2))</f>
        <v>0</v>
      </c>
      <c r="Q1392" s="1851" cm="1">
        <f t="array" ref="Q1392">_xlfn.IFS(
    AND(I1392=TRUE, K1392&lt;=No_Regular_Payments), Periodic_Admin_Charge,
   TRUE, 0
)</f>
        <v>0</v>
      </c>
      <c r="R1392" s="1850">
        <f>N1392-O1392-Q1392</f>
        <v>0</v>
      </c>
      <c r="S1392" s="1850">
        <f>ROUND(S1391-R1392,2)</f>
        <v>0</v>
      </c>
      <c r="T1392" s="1850">
        <f>ROUND(T1391-(N1392-Q1392),2)</f>
        <v>0</v>
      </c>
      <c r="U1392" s="1849"/>
      <c r="W1392" s="1848"/>
      <c r="X1392" s="1848"/>
      <c r="Y1392" s="1848"/>
    </row>
    <row r="1393" spans="2:25" hidden="1">
      <c r="B1393" s="1815" t="b">
        <f>AND(I1393=FALSE,N1392=0,Q1392=0,L1392="")</f>
        <v>1</v>
      </c>
      <c r="C1393" s="1844" t="str" cm="1">
        <f t="array" ref="C1393">_xlfn.IFS(
    L1393="", "",
    MONTH(L1393) &lt;= End_of_Year_Month, YEAR(L1393),
    TRUE, YEAR(L1393) + 1
)</f>
        <v/>
      </c>
      <c r="F1393" s="1857">
        <f>IF(L1393="",0,L1393)</f>
        <v>0</v>
      </c>
      <c r="G1393" s="1856">
        <f>-(N1393-Q1393)</f>
        <v>0</v>
      </c>
      <c r="I1393" s="1815" t="b">
        <f>K1393&lt;=Number_Payments</f>
        <v>0</v>
      </c>
      <c r="J1393" s="1855"/>
      <c r="K1393" s="1351">
        <f>K1392+1</f>
        <v>1267</v>
      </c>
      <c r="L1393" s="1854" t="str" cm="1">
        <f t="array" ref="L1393">_xlfn.IFS(
    I1392=FALSE, "",
    Payment_Frequency="Monthly", EDATE(L1392, 1),
    Payment_Frequency="Weekly", DATE(YEAR(L1392), MONTH(L1392), DAY(L1392) + 7),
    Payment_Frequency="Fortnightly", DATE(YEAR(L1392), MONTH(L1392), DAY(L1392) + 14),
    Payment_Frequency="Quarterly", DATE(YEAR(L1392), MONTH(L1392) + 3, DAY(L1392)),
    Payment_Frequency="Yearly", DATE(YEAR(L1392) + 1, MONTH(L1392), DAY(L1392)),
    TRUE, ""
)</f>
        <v/>
      </c>
      <c r="M1393" s="1853">
        <f>IF(ISERROR(L1393-L1392),0,L1393-L1392)</f>
        <v>0</v>
      </c>
      <c r="N1393" s="1851" cm="1">
        <f t="array" ref="N1393">_xlfn.IFS(
    AND(I1393=TRUE, K1393&lt;=No_Regular_Payments), Repay_Amt,
    AND(I1393=TRUE, K1393=No_Regular_Payments+1), Tm_Balloon_Amt,
   TRUE, 0
)</f>
        <v>0</v>
      </c>
      <c r="O1393" s="1850" cm="1">
        <f t="array" ref="O1393">_xlfn.IFS(
    M1393=0,0,
   ABS(N1393 - S1392 - P1393-Q1393) &lt; 1, N1393 - S1392-Q1393,
    TRUE, P1393
)</f>
        <v>0</v>
      </c>
      <c r="P1393" s="1852">
        <f>IF(M1393=0,0,ROUND(S1392*EXP(Int_Rate/365.25 * M1393)-S1392,2))</f>
        <v>0</v>
      </c>
      <c r="Q1393" s="1851" cm="1">
        <f t="array" ref="Q1393">_xlfn.IFS(
    AND(I1393=TRUE, K1393&lt;=No_Regular_Payments), Periodic_Admin_Charge,
   TRUE, 0
)</f>
        <v>0</v>
      </c>
      <c r="R1393" s="1850">
        <f>N1393-O1393-Q1393</f>
        <v>0</v>
      </c>
      <c r="S1393" s="1850">
        <f>ROUND(S1392-R1393,2)</f>
        <v>0</v>
      </c>
      <c r="T1393" s="1850">
        <f>ROUND(T1392-(N1393-Q1393),2)</f>
        <v>0</v>
      </c>
      <c r="U1393" s="1849"/>
      <c r="W1393" s="1848"/>
      <c r="X1393" s="1848"/>
      <c r="Y1393" s="1848"/>
    </row>
    <row r="1394" spans="2:25" hidden="1">
      <c r="B1394" s="1815" t="b">
        <f>AND(I1394=FALSE,N1393=0,Q1393=0,L1393="")</f>
        <v>1</v>
      </c>
      <c r="C1394" s="1844" t="str" cm="1">
        <f t="array" ref="C1394">_xlfn.IFS(
    L1394="", "",
    MONTH(L1394) &lt;= End_of_Year_Month, YEAR(L1394),
    TRUE, YEAR(L1394) + 1
)</f>
        <v/>
      </c>
      <c r="F1394" s="1857">
        <f>IF(L1394="",0,L1394)</f>
        <v>0</v>
      </c>
      <c r="G1394" s="1856">
        <f>-(N1394-Q1394)</f>
        <v>0</v>
      </c>
      <c r="I1394" s="1815" t="b">
        <f>K1394&lt;=Number_Payments</f>
        <v>0</v>
      </c>
      <c r="J1394" s="1855"/>
      <c r="K1394" s="1351">
        <f>K1393+1</f>
        <v>1268</v>
      </c>
      <c r="L1394" s="1854" t="str" cm="1">
        <f t="array" ref="L1394">_xlfn.IFS(
    I1393=FALSE, "",
    Payment_Frequency="Monthly", EDATE(L1393, 1),
    Payment_Frequency="Weekly", DATE(YEAR(L1393), MONTH(L1393), DAY(L1393) + 7),
    Payment_Frequency="Fortnightly", DATE(YEAR(L1393), MONTH(L1393), DAY(L1393) + 14),
    Payment_Frequency="Quarterly", DATE(YEAR(L1393), MONTH(L1393) + 3, DAY(L1393)),
    Payment_Frequency="Yearly", DATE(YEAR(L1393) + 1, MONTH(L1393), DAY(L1393)),
    TRUE, ""
)</f>
        <v/>
      </c>
      <c r="M1394" s="1853">
        <f>IF(ISERROR(L1394-L1393),0,L1394-L1393)</f>
        <v>0</v>
      </c>
      <c r="N1394" s="1851" cm="1">
        <f t="array" ref="N1394">_xlfn.IFS(
    AND(I1394=TRUE, K1394&lt;=No_Regular_Payments), Repay_Amt,
    AND(I1394=TRUE, K1394=No_Regular_Payments+1), Tm_Balloon_Amt,
   TRUE, 0
)</f>
        <v>0</v>
      </c>
      <c r="O1394" s="1850" cm="1">
        <f t="array" ref="O1394">_xlfn.IFS(
    M1394=0,0,
   ABS(N1394 - S1393 - P1394-Q1394) &lt; 1, N1394 - S1393-Q1394,
    TRUE, P1394
)</f>
        <v>0</v>
      </c>
      <c r="P1394" s="1852">
        <f>IF(M1394=0,0,ROUND(S1393*EXP(Int_Rate/365.25 * M1394)-S1393,2))</f>
        <v>0</v>
      </c>
      <c r="Q1394" s="1851" cm="1">
        <f t="array" ref="Q1394">_xlfn.IFS(
    AND(I1394=TRUE, K1394&lt;=No_Regular_Payments), Periodic_Admin_Charge,
   TRUE, 0
)</f>
        <v>0</v>
      </c>
      <c r="R1394" s="1850">
        <f>N1394-O1394-Q1394</f>
        <v>0</v>
      </c>
      <c r="S1394" s="1850">
        <f>ROUND(S1393-R1394,2)</f>
        <v>0</v>
      </c>
      <c r="T1394" s="1850">
        <f>ROUND(T1393-(N1394-Q1394),2)</f>
        <v>0</v>
      </c>
      <c r="U1394" s="1849"/>
      <c r="W1394" s="1848"/>
      <c r="X1394" s="1848"/>
      <c r="Y1394" s="1848"/>
    </row>
    <row r="1395" spans="2:25" hidden="1">
      <c r="B1395" s="1815" t="b">
        <f>AND(I1395=FALSE,N1394=0,Q1394=0,L1394="")</f>
        <v>1</v>
      </c>
      <c r="C1395" s="1844" t="str" cm="1">
        <f t="array" ref="C1395">_xlfn.IFS(
    L1395="", "",
    MONTH(L1395) &lt;= End_of_Year_Month, YEAR(L1395),
    TRUE, YEAR(L1395) + 1
)</f>
        <v/>
      </c>
      <c r="F1395" s="1857">
        <f>IF(L1395="",0,L1395)</f>
        <v>0</v>
      </c>
      <c r="G1395" s="1856">
        <f>-(N1395-Q1395)</f>
        <v>0</v>
      </c>
      <c r="I1395" s="1815" t="b">
        <f>K1395&lt;=Number_Payments</f>
        <v>0</v>
      </c>
      <c r="J1395" s="1855"/>
      <c r="K1395" s="1351">
        <f>K1394+1</f>
        <v>1269</v>
      </c>
      <c r="L1395" s="1854" t="str" cm="1">
        <f t="array" ref="L1395">_xlfn.IFS(
    I1394=FALSE, "",
    Payment_Frequency="Monthly", EDATE(L1394, 1),
    Payment_Frequency="Weekly", DATE(YEAR(L1394), MONTH(L1394), DAY(L1394) + 7),
    Payment_Frequency="Fortnightly", DATE(YEAR(L1394), MONTH(L1394), DAY(L1394) + 14),
    Payment_Frequency="Quarterly", DATE(YEAR(L1394), MONTH(L1394) + 3, DAY(L1394)),
    Payment_Frequency="Yearly", DATE(YEAR(L1394) + 1, MONTH(L1394), DAY(L1394)),
    TRUE, ""
)</f>
        <v/>
      </c>
      <c r="M1395" s="1853">
        <f>IF(ISERROR(L1395-L1394),0,L1395-L1394)</f>
        <v>0</v>
      </c>
      <c r="N1395" s="1851" cm="1">
        <f t="array" ref="N1395">_xlfn.IFS(
    AND(I1395=TRUE, K1395&lt;=No_Regular_Payments), Repay_Amt,
    AND(I1395=TRUE, K1395=No_Regular_Payments+1), Tm_Balloon_Amt,
   TRUE, 0
)</f>
        <v>0</v>
      </c>
      <c r="O1395" s="1850" cm="1">
        <f t="array" ref="O1395">_xlfn.IFS(
    M1395=0,0,
   ABS(N1395 - S1394 - P1395-Q1395) &lt; 1, N1395 - S1394-Q1395,
    TRUE, P1395
)</f>
        <v>0</v>
      </c>
      <c r="P1395" s="1852">
        <f>IF(M1395=0,0,ROUND(S1394*EXP(Int_Rate/365.25 * M1395)-S1394,2))</f>
        <v>0</v>
      </c>
      <c r="Q1395" s="1851" cm="1">
        <f t="array" ref="Q1395">_xlfn.IFS(
    AND(I1395=TRUE, K1395&lt;=No_Regular_Payments), Periodic_Admin_Charge,
   TRUE, 0
)</f>
        <v>0</v>
      </c>
      <c r="R1395" s="1850">
        <f>N1395-O1395-Q1395</f>
        <v>0</v>
      </c>
      <c r="S1395" s="1850">
        <f>ROUND(S1394-R1395,2)</f>
        <v>0</v>
      </c>
      <c r="T1395" s="1850">
        <f>ROUND(T1394-(N1395-Q1395),2)</f>
        <v>0</v>
      </c>
      <c r="U1395" s="1849"/>
      <c r="W1395" s="1848"/>
      <c r="X1395" s="1848"/>
      <c r="Y1395" s="1848"/>
    </row>
    <row r="1396" spans="2:25" hidden="1">
      <c r="B1396" s="1815" t="b">
        <f>AND(I1396=FALSE,N1395=0,Q1395=0,L1395="")</f>
        <v>1</v>
      </c>
      <c r="C1396" s="1844" t="str" cm="1">
        <f t="array" ref="C1396">_xlfn.IFS(
    L1396="", "",
    MONTH(L1396) &lt;= End_of_Year_Month, YEAR(L1396),
    TRUE, YEAR(L1396) + 1
)</f>
        <v/>
      </c>
      <c r="F1396" s="1857">
        <f>IF(L1396="",0,L1396)</f>
        <v>0</v>
      </c>
      <c r="G1396" s="1856">
        <f>-(N1396-Q1396)</f>
        <v>0</v>
      </c>
      <c r="I1396" s="1815" t="b">
        <f>K1396&lt;=Number_Payments</f>
        <v>0</v>
      </c>
      <c r="J1396" s="1855"/>
      <c r="K1396" s="1351">
        <f>K1395+1</f>
        <v>1270</v>
      </c>
      <c r="L1396" s="1854" t="str" cm="1">
        <f t="array" ref="L1396">_xlfn.IFS(
    I1395=FALSE, "",
    Payment_Frequency="Monthly", EDATE(L1395, 1),
    Payment_Frequency="Weekly", DATE(YEAR(L1395), MONTH(L1395), DAY(L1395) + 7),
    Payment_Frequency="Fortnightly", DATE(YEAR(L1395), MONTH(L1395), DAY(L1395) + 14),
    Payment_Frequency="Quarterly", DATE(YEAR(L1395), MONTH(L1395) + 3, DAY(L1395)),
    Payment_Frequency="Yearly", DATE(YEAR(L1395) + 1, MONTH(L1395), DAY(L1395)),
    TRUE, ""
)</f>
        <v/>
      </c>
      <c r="M1396" s="1853">
        <f>IF(ISERROR(L1396-L1395),0,L1396-L1395)</f>
        <v>0</v>
      </c>
      <c r="N1396" s="1851" cm="1">
        <f t="array" ref="N1396">_xlfn.IFS(
    AND(I1396=TRUE, K1396&lt;=No_Regular_Payments), Repay_Amt,
    AND(I1396=TRUE, K1396=No_Regular_Payments+1), Tm_Balloon_Amt,
   TRUE, 0
)</f>
        <v>0</v>
      </c>
      <c r="O1396" s="1850" cm="1">
        <f t="array" ref="O1396">_xlfn.IFS(
    M1396=0,0,
   ABS(N1396 - S1395 - P1396-Q1396) &lt; 1, N1396 - S1395-Q1396,
    TRUE, P1396
)</f>
        <v>0</v>
      </c>
      <c r="P1396" s="1852">
        <f>IF(M1396=0,0,ROUND(S1395*EXP(Int_Rate/365.25 * M1396)-S1395,2))</f>
        <v>0</v>
      </c>
      <c r="Q1396" s="1851" cm="1">
        <f t="array" ref="Q1396">_xlfn.IFS(
    AND(I1396=TRUE, K1396&lt;=No_Regular_Payments), Periodic_Admin_Charge,
   TRUE, 0
)</f>
        <v>0</v>
      </c>
      <c r="R1396" s="1850">
        <f>N1396-O1396-Q1396</f>
        <v>0</v>
      </c>
      <c r="S1396" s="1850">
        <f>ROUND(S1395-R1396,2)</f>
        <v>0</v>
      </c>
      <c r="T1396" s="1850">
        <f>ROUND(T1395-(N1396-Q1396),2)</f>
        <v>0</v>
      </c>
      <c r="U1396" s="1849"/>
      <c r="W1396" s="1848"/>
      <c r="X1396" s="1848"/>
      <c r="Y1396" s="1848"/>
    </row>
    <row r="1397" spans="2:25" hidden="1">
      <c r="B1397" s="1815" t="b">
        <f>AND(I1397=FALSE,N1396=0,Q1396=0,L1396="")</f>
        <v>1</v>
      </c>
      <c r="C1397" s="1844" t="str" cm="1">
        <f t="array" ref="C1397">_xlfn.IFS(
    L1397="", "",
    MONTH(L1397) &lt;= End_of_Year_Month, YEAR(L1397),
    TRUE, YEAR(L1397) + 1
)</f>
        <v/>
      </c>
      <c r="F1397" s="1857">
        <f>IF(L1397="",0,L1397)</f>
        <v>0</v>
      </c>
      <c r="G1397" s="1856">
        <f>-(N1397-Q1397)</f>
        <v>0</v>
      </c>
      <c r="I1397" s="1815" t="b">
        <f>K1397&lt;=Number_Payments</f>
        <v>0</v>
      </c>
      <c r="J1397" s="1855"/>
      <c r="K1397" s="1351">
        <f>K1396+1</f>
        <v>1271</v>
      </c>
      <c r="L1397" s="1854" t="str" cm="1">
        <f t="array" ref="L1397">_xlfn.IFS(
    I1396=FALSE, "",
    Payment_Frequency="Monthly", EDATE(L1396, 1),
    Payment_Frequency="Weekly", DATE(YEAR(L1396), MONTH(L1396), DAY(L1396) + 7),
    Payment_Frequency="Fortnightly", DATE(YEAR(L1396), MONTH(L1396), DAY(L1396) + 14),
    Payment_Frequency="Quarterly", DATE(YEAR(L1396), MONTH(L1396) + 3, DAY(L1396)),
    Payment_Frequency="Yearly", DATE(YEAR(L1396) + 1, MONTH(L1396), DAY(L1396)),
    TRUE, ""
)</f>
        <v/>
      </c>
      <c r="M1397" s="1853">
        <f>IF(ISERROR(L1397-L1396),0,L1397-L1396)</f>
        <v>0</v>
      </c>
      <c r="N1397" s="1851" cm="1">
        <f t="array" ref="N1397">_xlfn.IFS(
    AND(I1397=TRUE, K1397&lt;=No_Regular_Payments), Repay_Amt,
    AND(I1397=TRUE, K1397=No_Regular_Payments+1), Tm_Balloon_Amt,
   TRUE, 0
)</f>
        <v>0</v>
      </c>
      <c r="O1397" s="1850" cm="1">
        <f t="array" ref="O1397">_xlfn.IFS(
    M1397=0,0,
   ABS(N1397 - S1396 - P1397-Q1397) &lt; 1, N1397 - S1396-Q1397,
    TRUE, P1397
)</f>
        <v>0</v>
      </c>
      <c r="P1397" s="1852">
        <f>IF(M1397=0,0,ROUND(S1396*EXP(Int_Rate/365.25 * M1397)-S1396,2))</f>
        <v>0</v>
      </c>
      <c r="Q1397" s="1851" cm="1">
        <f t="array" ref="Q1397">_xlfn.IFS(
    AND(I1397=TRUE, K1397&lt;=No_Regular_Payments), Periodic_Admin_Charge,
   TRUE, 0
)</f>
        <v>0</v>
      </c>
      <c r="R1397" s="1850">
        <f>N1397-O1397-Q1397</f>
        <v>0</v>
      </c>
      <c r="S1397" s="1850">
        <f>ROUND(S1396-R1397,2)</f>
        <v>0</v>
      </c>
      <c r="T1397" s="1850">
        <f>ROUND(T1396-(N1397-Q1397),2)</f>
        <v>0</v>
      </c>
      <c r="U1397" s="1849"/>
      <c r="W1397" s="1848"/>
      <c r="X1397" s="1848"/>
      <c r="Y1397" s="1848"/>
    </row>
    <row r="1398" spans="2:25" hidden="1">
      <c r="B1398" s="1815" t="b">
        <f>AND(I1398=FALSE,N1397=0,Q1397=0,L1397="")</f>
        <v>1</v>
      </c>
      <c r="C1398" s="1844" t="str" cm="1">
        <f t="array" ref="C1398">_xlfn.IFS(
    L1398="", "",
    MONTH(L1398) &lt;= End_of_Year_Month, YEAR(L1398),
    TRUE, YEAR(L1398) + 1
)</f>
        <v/>
      </c>
      <c r="F1398" s="1857">
        <f>IF(L1398="",0,L1398)</f>
        <v>0</v>
      </c>
      <c r="G1398" s="1856">
        <f>-(N1398-Q1398)</f>
        <v>0</v>
      </c>
      <c r="I1398" s="1815" t="b">
        <f>K1398&lt;=Number_Payments</f>
        <v>0</v>
      </c>
      <c r="J1398" s="1855"/>
      <c r="K1398" s="1351">
        <f>K1397+1</f>
        <v>1272</v>
      </c>
      <c r="L1398" s="1854" t="str" cm="1">
        <f t="array" ref="L1398">_xlfn.IFS(
    I1397=FALSE, "",
    Payment_Frequency="Monthly", EDATE(L1397, 1),
    Payment_Frequency="Weekly", DATE(YEAR(L1397), MONTH(L1397), DAY(L1397) + 7),
    Payment_Frequency="Fortnightly", DATE(YEAR(L1397), MONTH(L1397), DAY(L1397) + 14),
    Payment_Frequency="Quarterly", DATE(YEAR(L1397), MONTH(L1397) + 3, DAY(L1397)),
    Payment_Frequency="Yearly", DATE(YEAR(L1397) + 1, MONTH(L1397), DAY(L1397)),
    TRUE, ""
)</f>
        <v/>
      </c>
      <c r="M1398" s="1853">
        <f>IF(ISERROR(L1398-L1397),0,L1398-L1397)</f>
        <v>0</v>
      </c>
      <c r="N1398" s="1851" cm="1">
        <f t="array" ref="N1398">_xlfn.IFS(
    AND(I1398=TRUE, K1398&lt;=No_Regular_Payments), Repay_Amt,
    AND(I1398=TRUE, K1398=No_Regular_Payments+1), Tm_Balloon_Amt,
   TRUE, 0
)</f>
        <v>0</v>
      </c>
      <c r="O1398" s="1850" cm="1">
        <f t="array" ref="O1398">_xlfn.IFS(
    M1398=0,0,
   ABS(N1398 - S1397 - P1398-Q1398) &lt; 1, N1398 - S1397-Q1398,
    TRUE, P1398
)</f>
        <v>0</v>
      </c>
      <c r="P1398" s="1852">
        <f>IF(M1398=0,0,ROUND(S1397*EXP(Int_Rate/365.25 * M1398)-S1397,2))</f>
        <v>0</v>
      </c>
      <c r="Q1398" s="1851" cm="1">
        <f t="array" ref="Q1398">_xlfn.IFS(
    AND(I1398=TRUE, K1398&lt;=No_Regular_Payments), Periodic_Admin_Charge,
   TRUE, 0
)</f>
        <v>0</v>
      </c>
      <c r="R1398" s="1850">
        <f>N1398-O1398-Q1398</f>
        <v>0</v>
      </c>
      <c r="S1398" s="1850">
        <f>ROUND(S1397-R1398,2)</f>
        <v>0</v>
      </c>
      <c r="T1398" s="1850">
        <f>ROUND(T1397-(N1398-Q1398),2)</f>
        <v>0</v>
      </c>
      <c r="U1398" s="1849"/>
      <c r="W1398" s="1848"/>
      <c r="X1398" s="1848"/>
      <c r="Y1398" s="1848"/>
    </row>
    <row r="1399" spans="2:25" hidden="1">
      <c r="B1399" s="1815" t="b">
        <f>AND(I1399=FALSE,N1398=0,Q1398=0,L1398="")</f>
        <v>1</v>
      </c>
      <c r="C1399" s="1844" t="str" cm="1">
        <f t="array" ref="C1399">_xlfn.IFS(
    L1399="", "",
    MONTH(L1399) &lt;= End_of_Year_Month, YEAR(L1399),
    TRUE, YEAR(L1399) + 1
)</f>
        <v/>
      </c>
      <c r="F1399" s="1857">
        <f>IF(L1399="",0,L1399)</f>
        <v>0</v>
      </c>
      <c r="G1399" s="1856">
        <f>-(N1399-Q1399)</f>
        <v>0</v>
      </c>
      <c r="I1399" s="1815" t="b">
        <f>K1399&lt;=Number_Payments</f>
        <v>0</v>
      </c>
      <c r="J1399" s="1855"/>
      <c r="K1399" s="1351">
        <f>K1398+1</f>
        <v>1273</v>
      </c>
      <c r="L1399" s="1854" t="str" cm="1">
        <f t="array" ref="L1399">_xlfn.IFS(
    I1398=FALSE, "",
    Payment_Frequency="Monthly", EDATE(L1398, 1),
    Payment_Frequency="Weekly", DATE(YEAR(L1398), MONTH(L1398), DAY(L1398) + 7),
    Payment_Frequency="Fortnightly", DATE(YEAR(L1398), MONTH(L1398), DAY(L1398) + 14),
    Payment_Frequency="Quarterly", DATE(YEAR(L1398), MONTH(L1398) + 3, DAY(L1398)),
    Payment_Frequency="Yearly", DATE(YEAR(L1398) + 1, MONTH(L1398), DAY(L1398)),
    TRUE, ""
)</f>
        <v/>
      </c>
      <c r="M1399" s="1853">
        <f>IF(ISERROR(L1399-L1398),0,L1399-L1398)</f>
        <v>0</v>
      </c>
      <c r="N1399" s="1851" cm="1">
        <f t="array" ref="N1399">_xlfn.IFS(
    AND(I1399=TRUE, K1399&lt;=No_Regular_Payments), Repay_Amt,
    AND(I1399=TRUE, K1399=No_Regular_Payments+1), Tm_Balloon_Amt,
   TRUE, 0
)</f>
        <v>0</v>
      </c>
      <c r="O1399" s="1850" cm="1">
        <f t="array" ref="O1399">_xlfn.IFS(
    M1399=0,0,
   ABS(N1399 - S1398 - P1399-Q1399) &lt; 1, N1399 - S1398-Q1399,
    TRUE, P1399
)</f>
        <v>0</v>
      </c>
      <c r="P1399" s="1852">
        <f>IF(M1399=0,0,ROUND(S1398*EXP(Int_Rate/365.25 * M1399)-S1398,2))</f>
        <v>0</v>
      </c>
      <c r="Q1399" s="1851" cm="1">
        <f t="array" ref="Q1399">_xlfn.IFS(
    AND(I1399=TRUE, K1399&lt;=No_Regular_Payments), Periodic_Admin_Charge,
   TRUE, 0
)</f>
        <v>0</v>
      </c>
      <c r="R1399" s="1850">
        <f>N1399-O1399-Q1399</f>
        <v>0</v>
      </c>
      <c r="S1399" s="1850">
        <f>ROUND(S1398-R1399,2)</f>
        <v>0</v>
      </c>
      <c r="T1399" s="1850">
        <f>ROUND(T1398-(N1399-Q1399),2)</f>
        <v>0</v>
      </c>
      <c r="U1399" s="1849"/>
      <c r="W1399" s="1848"/>
      <c r="X1399" s="1848"/>
      <c r="Y1399" s="1848"/>
    </row>
    <row r="1400" spans="2:25" hidden="1">
      <c r="B1400" s="1815" t="b">
        <f>AND(I1400=FALSE,N1399=0,Q1399=0,L1399="")</f>
        <v>1</v>
      </c>
      <c r="C1400" s="1844" t="str" cm="1">
        <f t="array" ref="C1400">_xlfn.IFS(
    L1400="", "",
    MONTH(L1400) &lt;= End_of_Year_Month, YEAR(L1400),
    TRUE, YEAR(L1400) + 1
)</f>
        <v/>
      </c>
      <c r="F1400" s="1857">
        <f>IF(L1400="",0,L1400)</f>
        <v>0</v>
      </c>
      <c r="G1400" s="1856">
        <f>-(N1400-Q1400)</f>
        <v>0</v>
      </c>
      <c r="I1400" s="1815" t="b">
        <f>K1400&lt;=Number_Payments</f>
        <v>0</v>
      </c>
      <c r="J1400" s="1855"/>
      <c r="K1400" s="1351">
        <f>K1399+1</f>
        <v>1274</v>
      </c>
      <c r="L1400" s="1854" t="str" cm="1">
        <f t="array" ref="L1400">_xlfn.IFS(
    I1399=FALSE, "",
    Payment_Frequency="Monthly", EDATE(L1399, 1),
    Payment_Frequency="Weekly", DATE(YEAR(L1399), MONTH(L1399), DAY(L1399) + 7),
    Payment_Frequency="Fortnightly", DATE(YEAR(L1399), MONTH(L1399), DAY(L1399) + 14),
    Payment_Frequency="Quarterly", DATE(YEAR(L1399), MONTH(L1399) + 3, DAY(L1399)),
    Payment_Frequency="Yearly", DATE(YEAR(L1399) + 1, MONTH(L1399), DAY(L1399)),
    TRUE, ""
)</f>
        <v/>
      </c>
      <c r="M1400" s="1853">
        <f>IF(ISERROR(L1400-L1399),0,L1400-L1399)</f>
        <v>0</v>
      </c>
      <c r="N1400" s="1851" cm="1">
        <f t="array" ref="N1400">_xlfn.IFS(
    AND(I1400=TRUE, K1400&lt;=No_Regular_Payments), Repay_Amt,
    AND(I1400=TRUE, K1400=No_Regular_Payments+1), Tm_Balloon_Amt,
   TRUE, 0
)</f>
        <v>0</v>
      </c>
      <c r="O1400" s="1850" cm="1">
        <f t="array" ref="O1400">_xlfn.IFS(
    M1400=0,0,
   ABS(N1400 - S1399 - P1400-Q1400) &lt; 1, N1400 - S1399-Q1400,
    TRUE, P1400
)</f>
        <v>0</v>
      </c>
      <c r="P1400" s="1852">
        <f>IF(M1400=0,0,ROUND(S1399*EXP(Int_Rate/365.25 * M1400)-S1399,2))</f>
        <v>0</v>
      </c>
      <c r="Q1400" s="1851" cm="1">
        <f t="array" ref="Q1400">_xlfn.IFS(
    AND(I1400=TRUE, K1400&lt;=No_Regular_Payments), Periodic_Admin_Charge,
   TRUE, 0
)</f>
        <v>0</v>
      </c>
      <c r="R1400" s="1850">
        <f>N1400-O1400-Q1400</f>
        <v>0</v>
      </c>
      <c r="S1400" s="1850">
        <f>ROUND(S1399-R1400,2)</f>
        <v>0</v>
      </c>
      <c r="T1400" s="1850">
        <f>ROUND(T1399-(N1400-Q1400),2)</f>
        <v>0</v>
      </c>
      <c r="U1400" s="1849"/>
      <c r="W1400" s="1848"/>
      <c r="X1400" s="1848"/>
      <c r="Y1400" s="1848"/>
    </row>
    <row r="1401" spans="2:25" hidden="1">
      <c r="B1401" s="1815" t="b">
        <f>AND(I1401=FALSE,N1400=0,Q1400=0,L1400="")</f>
        <v>1</v>
      </c>
      <c r="C1401" s="1844" t="str" cm="1">
        <f t="array" ref="C1401">_xlfn.IFS(
    L1401="", "",
    MONTH(L1401) &lt;= End_of_Year_Month, YEAR(L1401),
    TRUE, YEAR(L1401) + 1
)</f>
        <v/>
      </c>
      <c r="F1401" s="1857">
        <f>IF(L1401="",0,L1401)</f>
        <v>0</v>
      </c>
      <c r="G1401" s="1856">
        <f>-(N1401-Q1401)</f>
        <v>0</v>
      </c>
      <c r="I1401" s="1815" t="b">
        <f>K1401&lt;=Number_Payments</f>
        <v>0</v>
      </c>
      <c r="J1401" s="1855"/>
      <c r="K1401" s="1351">
        <f>K1400+1</f>
        <v>1275</v>
      </c>
      <c r="L1401" s="1854" t="str" cm="1">
        <f t="array" ref="L1401">_xlfn.IFS(
    I1400=FALSE, "",
    Payment_Frequency="Monthly", EDATE(L1400, 1),
    Payment_Frequency="Weekly", DATE(YEAR(L1400), MONTH(L1400), DAY(L1400) + 7),
    Payment_Frequency="Fortnightly", DATE(YEAR(L1400), MONTH(L1400), DAY(L1400) + 14),
    Payment_Frequency="Quarterly", DATE(YEAR(L1400), MONTH(L1400) + 3, DAY(L1400)),
    Payment_Frequency="Yearly", DATE(YEAR(L1400) + 1, MONTH(L1400), DAY(L1400)),
    TRUE, ""
)</f>
        <v/>
      </c>
      <c r="M1401" s="1853">
        <f>IF(ISERROR(L1401-L1400),0,L1401-L1400)</f>
        <v>0</v>
      </c>
      <c r="N1401" s="1851" cm="1">
        <f t="array" ref="N1401">_xlfn.IFS(
    AND(I1401=TRUE, K1401&lt;=No_Regular_Payments), Repay_Amt,
    AND(I1401=TRUE, K1401=No_Regular_Payments+1), Tm_Balloon_Amt,
   TRUE, 0
)</f>
        <v>0</v>
      </c>
      <c r="O1401" s="1850" cm="1">
        <f t="array" ref="O1401">_xlfn.IFS(
    M1401=0,0,
   ABS(N1401 - S1400 - P1401-Q1401) &lt; 1, N1401 - S1400-Q1401,
    TRUE, P1401
)</f>
        <v>0</v>
      </c>
      <c r="P1401" s="1852">
        <f>IF(M1401=0,0,ROUND(S1400*EXP(Int_Rate/365.25 * M1401)-S1400,2))</f>
        <v>0</v>
      </c>
      <c r="Q1401" s="1851" cm="1">
        <f t="array" ref="Q1401">_xlfn.IFS(
    AND(I1401=TRUE, K1401&lt;=No_Regular_Payments), Periodic_Admin_Charge,
   TRUE, 0
)</f>
        <v>0</v>
      </c>
      <c r="R1401" s="1850">
        <f>N1401-O1401-Q1401</f>
        <v>0</v>
      </c>
      <c r="S1401" s="1850">
        <f>ROUND(S1400-R1401,2)</f>
        <v>0</v>
      </c>
      <c r="T1401" s="1850">
        <f>ROUND(T1400-(N1401-Q1401),2)</f>
        <v>0</v>
      </c>
      <c r="U1401" s="1849"/>
      <c r="W1401" s="1848"/>
      <c r="X1401" s="1848"/>
      <c r="Y1401" s="1848"/>
    </row>
    <row r="1402" spans="2:25" hidden="1">
      <c r="B1402" s="1815" t="b">
        <f>AND(I1402=FALSE,N1401=0,Q1401=0,L1401="")</f>
        <v>1</v>
      </c>
      <c r="C1402" s="1844" t="str" cm="1">
        <f t="array" ref="C1402">_xlfn.IFS(
    L1402="", "",
    MONTH(L1402) &lt;= End_of_Year_Month, YEAR(L1402),
    TRUE, YEAR(L1402) + 1
)</f>
        <v/>
      </c>
      <c r="F1402" s="1857">
        <f>IF(L1402="",0,L1402)</f>
        <v>0</v>
      </c>
      <c r="G1402" s="1856">
        <f>-(N1402-Q1402)</f>
        <v>0</v>
      </c>
      <c r="I1402" s="1815" t="b">
        <f>K1402&lt;=Number_Payments</f>
        <v>0</v>
      </c>
      <c r="J1402" s="1855"/>
      <c r="K1402" s="1351">
        <f>K1401+1</f>
        <v>1276</v>
      </c>
      <c r="L1402" s="1854" t="str" cm="1">
        <f t="array" ref="L1402">_xlfn.IFS(
    I1401=FALSE, "",
    Payment_Frequency="Monthly", EDATE(L1401, 1),
    Payment_Frequency="Weekly", DATE(YEAR(L1401), MONTH(L1401), DAY(L1401) + 7),
    Payment_Frequency="Fortnightly", DATE(YEAR(L1401), MONTH(L1401), DAY(L1401) + 14),
    Payment_Frequency="Quarterly", DATE(YEAR(L1401), MONTH(L1401) + 3, DAY(L1401)),
    Payment_Frequency="Yearly", DATE(YEAR(L1401) + 1, MONTH(L1401), DAY(L1401)),
    TRUE, ""
)</f>
        <v/>
      </c>
      <c r="M1402" s="1853">
        <f>IF(ISERROR(L1402-L1401),0,L1402-L1401)</f>
        <v>0</v>
      </c>
      <c r="N1402" s="1851" cm="1">
        <f t="array" ref="N1402">_xlfn.IFS(
    AND(I1402=TRUE, K1402&lt;=No_Regular_Payments), Repay_Amt,
    AND(I1402=TRUE, K1402=No_Regular_Payments+1), Tm_Balloon_Amt,
   TRUE, 0
)</f>
        <v>0</v>
      </c>
      <c r="O1402" s="1850" cm="1">
        <f t="array" ref="O1402">_xlfn.IFS(
    M1402=0,0,
   ABS(N1402 - S1401 - P1402-Q1402) &lt; 1, N1402 - S1401-Q1402,
    TRUE, P1402
)</f>
        <v>0</v>
      </c>
      <c r="P1402" s="1852">
        <f>IF(M1402=0,0,ROUND(S1401*EXP(Int_Rate/365.25 * M1402)-S1401,2))</f>
        <v>0</v>
      </c>
      <c r="Q1402" s="1851" cm="1">
        <f t="array" ref="Q1402">_xlfn.IFS(
    AND(I1402=TRUE, K1402&lt;=No_Regular_Payments), Periodic_Admin_Charge,
   TRUE, 0
)</f>
        <v>0</v>
      </c>
      <c r="R1402" s="1850">
        <f>N1402-O1402-Q1402</f>
        <v>0</v>
      </c>
      <c r="S1402" s="1850">
        <f>ROUND(S1401-R1402,2)</f>
        <v>0</v>
      </c>
      <c r="T1402" s="1850">
        <f>ROUND(T1401-(N1402-Q1402),2)</f>
        <v>0</v>
      </c>
      <c r="U1402" s="1849"/>
      <c r="W1402" s="1848"/>
      <c r="X1402" s="1848"/>
      <c r="Y1402" s="1848"/>
    </row>
    <row r="1403" spans="2:25" hidden="1">
      <c r="B1403" s="1815" t="b">
        <f>AND(I1403=FALSE,N1402=0,Q1402=0,L1402="")</f>
        <v>1</v>
      </c>
      <c r="C1403" s="1844" t="str" cm="1">
        <f t="array" ref="C1403">_xlfn.IFS(
    L1403="", "",
    MONTH(L1403) &lt;= End_of_Year_Month, YEAR(L1403),
    TRUE, YEAR(L1403) + 1
)</f>
        <v/>
      </c>
      <c r="F1403" s="1857">
        <f>IF(L1403="",0,L1403)</f>
        <v>0</v>
      </c>
      <c r="G1403" s="1856">
        <f>-(N1403-Q1403)</f>
        <v>0</v>
      </c>
      <c r="I1403" s="1815" t="b">
        <f>K1403&lt;=Number_Payments</f>
        <v>0</v>
      </c>
      <c r="J1403" s="1855"/>
      <c r="K1403" s="1351">
        <f>K1402+1</f>
        <v>1277</v>
      </c>
      <c r="L1403" s="1854" t="str" cm="1">
        <f t="array" ref="L1403">_xlfn.IFS(
    I1402=FALSE, "",
    Payment_Frequency="Monthly", EDATE(L1402, 1),
    Payment_Frequency="Weekly", DATE(YEAR(L1402), MONTH(L1402), DAY(L1402) + 7),
    Payment_Frequency="Fortnightly", DATE(YEAR(L1402), MONTH(L1402), DAY(L1402) + 14),
    Payment_Frequency="Quarterly", DATE(YEAR(L1402), MONTH(L1402) + 3, DAY(L1402)),
    Payment_Frequency="Yearly", DATE(YEAR(L1402) + 1, MONTH(L1402), DAY(L1402)),
    TRUE, ""
)</f>
        <v/>
      </c>
      <c r="M1403" s="1853">
        <f>IF(ISERROR(L1403-L1402),0,L1403-L1402)</f>
        <v>0</v>
      </c>
      <c r="N1403" s="1851" cm="1">
        <f t="array" ref="N1403">_xlfn.IFS(
    AND(I1403=TRUE, K1403&lt;=No_Regular_Payments), Repay_Amt,
    AND(I1403=TRUE, K1403=No_Regular_Payments+1), Tm_Balloon_Amt,
   TRUE, 0
)</f>
        <v>0</v>
      </c>
      <c r="O1403" s="1850" cm="1">
        <f t="array" ref="O1403">_xlfn.IFS(
    M1403=0,0,
   ABS(N1403 - S1402 - P1403-Q1403) &lt; 1, N1403 - S1402-Q1403,
    TRUE, P1403
)</f>
        <v>0</v>
      </c>
      <c r="P1403" s="1852">
        <f>IF(M1403=0,0,ROUND(S1402*EXP(Int_Rate/365.25 * M1403)-S1402,2))</f>
        <v>0</v>
      </c>
      <c r="Q1403" s="1851" cm="1">
        <f t="array" ref="Q1403">_xlfn.IFS(
    AND(I1403=TRUE, K1403&lt;=No_Regular_Payments), Periodic_Admin_Charge,
   TRUE, 0
)</f>
        <v>0</v>
      </c>
      <c r="R1403" s="1850">
        <f>N1403-O1403-Q1403</f>
        <v>0</v>
      </c>
      <c r="S1403" s="1850">
        <f>ROUND(S1402-R1403,2)</f>
        <v>0</v>
      </c>
      <c r="T1403" s="1850">
        <f>ROUND(T1402-(N1403-Q1403),2)</f>
        <v>0</v>
      </c>
      <c r="U1403" s="1849"/>
      <c r="W1403" s="1848"/>
      <c r="X1403" s="1848"/>
      <c r="Y1403" s="1848"/>
    </row>
    <row r="1404" spans="2:25" hidden="1">
      <c r="B1404" s="1815" t="b">
        <f>AND(I1404=FALSE,N1403=0,Q1403=0,L1403="")</f>
        <v>1</v>
      </c>
      <c r="C1404" s="1844" t="str" cm="1">
        <f t="array" ref="C1404">_xlfn.IFS(
    L1404="", "",
    MONTH(L1404) &lt;= End_of_Year_Month, YEAR(L1404),
    TRUE, YEAR(L1404) + 1
)</f>
        <v/>
      </c>
      <c r="F1404" s="1857">
        <f>IF(L1404="",0,L1404)</f>
        <v>0</v>
      </c>
      <c r="G1404" s="1856">
        <f>-(N1404-Q1404)</f>
        <v>0</v>
      </c>
      <c r="I1404" s="1815" t="b">
        <f>K1404&lt;=Number_Payments</f>
        <v>0</v>
      </c>
      <c r="J1404" s="1855"/>
      <c r="K1404" s="1351">
        <f>K1403+1</f>
        <v>1278</v>
      </c>
      <c r="L1404" s="1854" t="str" cm="1">
        <f t="array" ref="L1404">_xlfn.IFS(
    I1403=FALSE, "",
    Payment_Frequency="Monthly", EDATE(L1403, 1),
    Payment_Frequency="Weekly", DATE(YEAR(L1403), MONTH(L1403), DAY(L1403) + 7),
    Payment_Frequency="Fortnightly", DATE(YEAR(L1403), MONTH(L1403), DAY(L1403) + 14),
    Payment_Frequency="Quarterly", DATE(YEAR(L1403), MONTH(L1403) + 3, DAY(L1403)),
    Payment_Frequency="Yearly", DATE(YEAR(L1403) + 1, MONTH(L1403), DAY(L1403)),
    TRUE, ""
)</f>
        <v/>
      </c>
      <c r="M1404" s="1853">
        <f>IF(ISERROR(L1404-L1403),0,L1404-L1403)</f>
        <v>0</v>
      </c>
      <c r="N1404" s="1851" cm="1">
        <f t="array" ref="N1404">_xlfn.IFS(
    AND(I1404=TRUE, K1404&lt;=No_Regular_Payments), Repay_Amt,
    AND(I1404=TRUE, K1404=No_Regular_Payments+1), Tm_Balloon_Amt,
   TRUE, 0
)</f>
        <v>0</v>
      </c>
      <c r="O1404" s="1850" cm="1">
        <f t="array" ref="O1404">_xlfn.IFS(
    M1404=0,0,
   ABS(N1404 - S1403 - P1404-Q1404) &lt; 1, N1404 - S1403-Q1404,
    TRUE, P1404
)</f>
        <v>0</v>
      </c>
      <c r="P1404" s="1852">
        <f>IF(M1404=0,0,ROUND(S1403*EXP(Int_Rate/365.25 * M1404)-S1403,2))</f>
        <v>0</v>
      </c>
      <c r="Q1404" s="1851" cm="1">
        <f t="array" ref="Q1404">_xlfn.IFS(
    AND(I1404=TRUE, K1404&lt;=No_Regular_Payments), Periodic_Admin_Charge,
   TRUE, 0
)</f>
        <v>0</v>
      </c>
      <c r="R1404" s="1850">
        <f>N1404-O1404-Q1404</f>
        <v>0</v>
      </c>
      <c r="S1404" s="1850">
        <f>ROUND(S1403-R1404,2)</f>
        <v>0</v>
      </c>
      <c r="T1404" s="1850">
        <f>ROUND(T1403-(N1404-Q1404),2)</f>
        <v>0</v>
      </c>
      <c r="U1404" s="1849"/>
      <c r="W1404" s="1848"/>
      <c r="X1404" s="1848"/>
      <c r="Y1404" s="1848"/>
    </row>
    <row r="1405" spans="2:25" hidden="1">
      <c r="B1405" s="1815" t="b">
        <f>AND(I1405=FALSE,N1404=0,Q1404=0,L1404="")</f>
        <v>1</v>
      </c>
      <c r="C1405" s="1844" t="str" cm="1">
        <f t="array" ref="C1405">_xlfn.IFS(
    L1405="", "",
    MONTH(L1405) &lt;= End_of_Year_Month, YEAR(L1405),
    TRUE, YEAR(L1405) + 1
)</f>
        <v/>
      </c>
      <c r="F1405" s="1857">
        <f>IF(L1405="",0,L1405)</f>
        <v>0</v>
      </c>
      <c r="G1405" s="1856">
        <f>-(N1405-Q1405)</f>
        <v>0</v>
      </c>
      <c r="I1405" s="1815" t="b">
        <f>K1405&lt;=Number_Payments</f>
        <v>0</v>
      </c>
      <c r="J1405" s="1855"/>
      <c r="K1405" s="1351">
        <f>K1404+1</f>
        <v>1279</v>
      </c>
      <c r="L1405" s="1854" t="str" cm="1">
        <f t="array" ref="L1405">_xlfn.IFS(
    I1404=FALSE, "",
    Payment_Frequency="Monthly", EDATE(L1404, 1),
    Payment_Frequency="Weekly", DATE(YEAR(L1404), MONTH(L1404), DAY(L1404) + 7),
    Payment_Frequency="Fortnightly", DATE(YEAR(L1404), MONTH(L1404), DAY(L1404) + 14),
    Payment_Frequency="Quarterly", DATE(YEAR(L1404), MONTH(L1404) + 3, DAY(L1404)),
    Payment_Frequency="Yearly", DATE(YEAR(L1404) + 1, MONTH(L1404), DAY(L1404)),
    TRUE, ""
)</f>
        <v/>
      </c>
      <c r="M1405" s="1853">
        <f>IF(ISERROR(L1405-L1404),0,L1405-L1404)</f>
        <v>0</v>
      </c>
      <c r="N1405" s="1851" cm="1">
        <f t="array" ref="N1405">_xlfn.IFS(
    AND(I1405=TRUE, K1405&lt;=No_Regular_Payments), Repay_Amt,
    AND(I1405=TRUE, K1405=No_Regular_Payments+1), Tm_Balloon_Amt,
   TRUE, 0
)</f>
        <v>0</v>
      </c>
      <c r="O1405" s="1850" cm="1">
        <f t="array" ref="O1405">_xlfn.IFS(
    M1405=0,0,
   ABS(N1405 - S1404 - P1405-Q1405) &lt; 1, N1405 - S1404-Q1405,
    TRUE, P1405
)</f>
        <v>0</v>
      </c>
      <c r="P1405" s="1852">
        <f>IF(M1405=0,0,ROUND(S1404*EXP(Int_Rate/365.25 * M1405)-S1404,2))</f>
        <v>0</v>
      </c>
      <c r="Q1405" s="1851" cm="1">
        <f t="array" ref="Q1405">_xlfn.IFS(
    AND(I1405=TRUE, K1405&lt;=No_Regular_Payments), Periodic_Admin_Charge,
   TRUE, 0
)</f>
        <v>0</v>
      </c>
      <c r="R1405" s="1850">
        <f>N1405-O1405-Q1405</f>
        <v>0</v>
      </c>
      <c r="S1405" s="1850">
        <f>ROUND(S1404-R1405,2)</f>
        <v>0</v>
      </c>
      <c r="T1405" s="1850">
        <f>ROUND(T1404-(N1405-Q1405),2)</f>
        <v>0</v>
      </c>
      <c r="U1405" s="1849"/>
      <c r="W1405" s="1848"/>
      <c r="X1405" s="1848"/>
      <c r="Y1405" s="1848"/>
    </row>
    <row r="1406" spans="2:25" hidden="1">
      <c r="B1406" s="1815" t="b">
        <f>AND(I1406=FALSE,N1405=0,Q1405=0,L1405="")</f>
        <v>1</v>
      </c>
      <c r="C1406" s="1844" t="str" cm="1">
        <f t="array" ref="C1406">_xlfn.IFS(
    L1406="", "",
    MONTH(L1406) &lt;= End_of_Year_Month, YEAR(L1406),
    TRUE, YEAR(L1406) + 1
)</f>
        <v/>
      </c>
      <c r="F1406" s="1857">
        <f>IF(L1406="",0,L1406)</f>
        <v>0</v>
      </c>
      <c r="G1406" s="1856">
        <f>-(N1406-Q1406)</f>
        <v>0</v>
      </c>
      <c r="I1406" s="1815" t="b">
        <f>K1406&lt;=Number_Payments</f>
        <v>0</v>
      </c>
      <c r="J1406" s="1855"/>
      <c r="K1406" s="1351">
        <f>K1405+1</f>
        <v>1280</v>
      </c>
      <c r="L1406" s="1854" t="str" cm="1">
        <f t="array" ref="L1406">_xlfn.IFS(
    I1405=FALSE, "",
    Payment_Frequency="Monthly", EDATE(L1405, 1),
    Payment_Frequency="Weekly", DATE(YEAR(L1405), MONTH(L1405), DAY(L1405) + 7),
    Payment_Frequency="Fortnightly", DATE(YEAR(L1405), MONTH(L1405), DAY(L1405) + 14),
    Payment_Frequency="Quarterly", DATE(YEAR(L1405), MONTH(L1405) + 3, DAY(L1405)),
    Payment_Frequency="Yearly", DATE(YEAR(L1405) + 1, MONTH(L1405), DAY(L1405)),
    TRUE, ""
)</f>
        <v/>
      </c>
      <c r="M1406" s="1853">
        <f>IF(ISERROR(L1406-L1405),0,L1406-L1405)</f>
        <v>0</v>
      </c>
      <c r="N1406" s="1851" cm="1">
        <f t="array" ref="N1406">_xlfn.IFS(
    AND(I1406=TRUE, K1406&lt;=No_Regular_Payments), Repay_Amt,
    AND(I1406=TRUE, K1406=No_Regular_Payments+1), Tm_Balloon_Amt,
   TRUE, 0
)</f>
        <v>0</v>
      </c>
      <c r="O1406" s="1850" cm="1">
        <f t="array" ref="O1406">_xlfn.IFS(
    M1406=0,0,
   ABS(N1406 - S1405 - P1406-Q1406) &lt; 1, N1406 - S1405-Q1406,
    TRUE, P1406
)</f>
        <v>0</v>
      </c>
      <c r="P1406" s="1852">
        <f>IF(M1406=0,0,ROUND(S1405*EXP(Int_Rate/365.25 * M1406)-S1405,2))</f>
        <v>0</v>
      </c>
      <c r="Q1406" s="1851" cm="1">
        <f t="array" ref="Q1406">_xlfn.IFS(
    AND(I1406=TRUE, K1406&lt;=No_Regular_Payments), Periodic_Admin_Charge,
   TRUE, 0
)</f>
        <v>0</v>
      </c>
      <c r="R1406" s="1850">
        <f>N1406-O1406-Q1406</f>
        <v>0</v>
      </c>
      <c r="S1406" s="1850">
        <f>ROUND(S1405-R1406,2)</f>
        <v>0</v>
      </c>
      <c r="T1406" s="1850">
        <f>ROUND(T1405-(N1406-Q1406),2)</f>
        <v>0</v>
      </c>
      <c r="U1406" s="1849"/>
      <c r="W1406" s="1848"/>
      <c r="X1406" s="1848"/>
      <c r="Y1406" s="1848"/>
    </row>
    <row r="1407" spans="2:25" hidden="1">
      <c r="B1407" s="1815" t="b">
        <f>AND(I1407=FALSE,N1406=0,Q1406=0,L1406="")</f>
        <v>1</v>
      </c>
      <c r="C1407" s="1844" t="str" cm="1">
        <f t="array" ref="C1407">_xlfn.IFS(
    L1407="", "",
    MONTH(L1407) &lt;= End_of_Year_Month, YEAR(L1407),
    TRUE, YEAR(L1407) + 1
)</f>
        <v/>
      </c>
      <c r="F1407" s="1857">
        <f>IF(L1407="",0,L1407)</f>
        <v>0</v>
      </c>
      <c r="G1407" s="1856">
        <f>-(N1407-Q1407)</f>
        <v>0</v>
      </c>
      <c r="I1407" s="1815" t="b">
        <f>K1407&lt;=Number_Payments</f>
        <v>0</v>
      </c>
      <c r="J1407" s="1855"/>
      <c r="K1407" s="1351">
        <f>K1406+1</f>
        <v>1281</v>
      </c>
      <c r="L1407" s="1854" t="str" cm="1">
        <f t="array" ref="L1407">_xlfn.IFS(
    I1406=FALSE, "",
    Payment_Frequency="Monthly", EDATE(L1406, 1),
    Payment_Frequency="Weekly", DATE(YEAR(L1406), MONTH(L1406), DAY(L1406) + 7),
    Payment_Frequency="Fortnightly", DATE(YEAR(L1406), MONTH(L1406), DAY(L1406) + 14),
    Payment_Frequency="Quarterly", DATE(YEAR(L1406), MONTH(L1406) + 3, DAY(L1406)),
    Payment_Frequency="Yearly", DATE(YEAR(L1406) + 1, MONTH(L1406), DAY(L1406)),
    TRUE, ""
)</f>
        <v/>
      </c>
      <c r="M1407" s="1853">
        <f>IF(ISERROR(L1407-L1406),0,L1407-L1406)</f>
        <v>0</v>
      </c>
      <c r="N1407" s="1851" cm="1">
        <f t="array" ref="N1407">_xlfn.IFS(
    AND(I1407=TRUE, K1407&lt;=No_Regular_Payments), Repay_Amt,
    AND(I1407=TRUE, K1407=No_Regular_Payments+1), Tm_Balloon_Amt,
   TRUE, 0
)</f>
        <v>0</v>
      </c>
      <c r="O1407" s="1850" cm="1">
        <f t="array" ref="O1407">_xlfn.IFS(
    M1407=0,0,
   ABS(N1407 - S1406 - P1407-Q1407) &lt; 1, N1407 - S1406-Q1407,
    TRUE, P1407
)</f>
        <v>0</v>
      </c>
      <c r="P1407" s="1852">
        <f>IF(M1407=0,0,ROUND(S1406*EXP(Int_Rate/365.25 * M1407)-S1406,2))</f>
        <v>0</v>
      </c>
      <c r="Q1407" s="1851" cm="1">
        <f t="array" ref="Q1407">_xlfn.IFS(
    AND(I1407=TRUE, K1407&lt;=No_Regular_Payments), Periodic_Admin_Charge,
   TRUE, 0
)</f>
        <v>0</v>
      </c>
      <c r="R1407" s="1850">
        <f>N1407-O1407-Q1407</f>
        <v>0</v>
      </c>
      <c r="S1407" s="1850">
        <f>ROUND(S1406-R1407,2)</f>
        <v>0</v>
      </c>
      <c r="T1407" s="1850">
        <f>ROUND(T1406-(N1407-Q1407),2)</f>
        <v>0</v>
      </c>
      <c r="U1407" s="1849"/>
      <c r="W1407" s="1848"/>
      <c r="X1407" s="1848"/>
      <c r="Y1407" s="1848"/>
    </row>
    <row r="1408" spans="2:25" hidden="1">
      <c r="B1408" s="1815" t="b">
        <f>AND(I1408=FALSE,N1407=0,Q1407=0,L1407="")</f>
        <v>1</v>
      </c>
      <c r="C1408" s="1844" t="str" cm="1">
        <f t="array" ref="C1408">_xlfn.IFS(
    L1408="", "",
    MONTH(L1408) &lt;= End_of_Year_Month, YEAR(L1408),
    TRUE, YEAR(L1408) + 1
)</f>
        <v/>
      </c>
      <c r="F1408" s="1857">
        <f>IF(L1408="",0,L1408)</f>
        <v>0</v>
      </c>
      <c r="G1408" s="1856">
        <f>-(N1408-Q1408)</f>
        <v>0</v>
      </c>
      <c r="I1408" s="1815" t="b">
        <f>K1408&lt;=Number_Payments</f>
        <v>0</v>
      </c>
      <c r="J1408" s="1855"/>
      <c r="K1408" s="1351">
        <f>K1407+1</f>
        <v>1282</v>
      </c>
      <c r="L1408" s="1854" t="str" cm="1">
        <f t="array" ref="L1408">_xlfn.IFS(
    I1407=FALSE, "",
    Payment_Frequency="Monthly", EDATE(L1407, 1),
    Payment_Frequency="Weekly", DATE(YEAR(L1407), MONTH(L1407), DAY(L1407) + 7),
    Payment_Frequency="Fortnightly", DATE(YEAR(L1407), MONTH(L1407), DAY(L1407) + 14),
    Payment_Frequency="Quarterly", DATE(YEAR(L1407), MONTH(L1407) + 3, DAY(L1407)),
    Payment_Frequency="Yearly", DATE(YEAR(L1407) + 1, MONTH(L1407), DAY(L1407)),
    TRUE, ""
)</f>
        <v/>
      </c>
      <c r="M1408" s="1853">
        <f>IF(ISERROR(L1408-L1407),0,L1408-L1407)</f>
        <v>0</v>
      </c>
      <c r="N1408" s="1851" cm="1">
        <f t="array" ref="N1408">_xlfn.IFS(
    AND(I1408=TRUE, K1408&lt;=No_Regular_Payments), Repay_Amt,
    AND(I1408=TRUE, K1408=No_Regular_Payments+1), Tm_Balloon_Amt,
   TRUE, 0
)</f>
        <v>0</v>
      </c>
      <c r="O1408" s="1850" cm="1">
        <f t="array" ref="O1408">_xlfn.IFS(
    M1408=0,0,
   ABS(N1408 - S1407 - P1408-Q1408) &lt; 1, N1408 - S1407-Q1408,
    TRUE, P1408
)</f>
        <v>0</v>
      </c>
      <c r="P1408" s="1852">
        <f>IF(M1408=0,0,ROUND(S1407*EXP(Int_Rate/365.25 * M1408)-S1407,2))</f>
        <v>0</v>
      </c>
      <c r="Q1408" s="1851" cm="1">
        <f t="array" ref="Q1408">_xlfn.IFS(
    AND(I1408=TRUE, K1408&lt;=No_Regular_Payments), Periodic_Admin_Charge,
   TRUE, 0
)</f>
        <v>0</v>
      </c>
      <c r="R1408" s="1850">
        <f>N1408-O1408-Q1408</f>
        <v>0</v>
      </c>
      <c r="S1408" s="1850">
        <f>ROUND(S1407-R1408,2)</f>
        <v>0</v>
      </c>
      <c r="T1408" s="1850">
        <f>ROUND(T1407-(N1408-Q1408),2)</f>
        <v>0</v>
      </c>
      <c r="U1408" s="1849"/>
      <c r="W1408" s="1848"/>
      <c r="X1408" s="1848"/>
      <c r="Y1408" s="1848"/>
    </row>
    <row r="1409" spans="2:25" hidden="1">
      <c r="B1409" s="1815" t="b">
        <f>AND(I1409=FALSE,N1408=0,Q1408=0,L1408="")</f>
        <v>1</v>
      </c>
      <c r="C1409" s="1844" t="str" cm="1">
        <f t="array" ref="C1409">_xlfn.IFS(
    L1409="", "",
    MONTH(L1409) &lt;= End_of_Year_Month, YEAR(L1409),
    TRUE, YEAR(L1409) + 1
)</f>
        <v/>
      </c>
      <c r="F1409" s="1857">
        <f>IF(L1409="",0,L1409)</f>
        <v>0</v>
      </c>
      <c r="G1409" s="1856">
        <f>-(N1409-Q1409)</f>
        <v>0</v>
      </c>
      <c r="I1409" s="1815" t="b">
        <f>K1409&lt;=Number_Payments</f>
        <v>0</v>
      </c>
      <c r="J1409" s="1855"/>
      <c r="K1409" s="1351">
        <f>K1408+1</f>
        <v>1283</v>
      </c>
      <c r="L1409" s="1854" t="str" cm="1">
        <f t="array" ref="L1409">_xlfn.IFS(
    I1408=FALSE, "",
    Payment_Frequency="Monthly", EDATE(L1408, 1),
    Payment_Frequency="Weekly", DATE(YEAR(L1408), MONTH(L1408), DAY(L1408) + 7),
    Payment_Frequency="Fortnightly", DATE(YEAR(L1408), MONTH(L1408), DAY(L1408) + 14),
    Payment_Frequency="Quarterly", DATE(YEAR(L1408), MONTH(L1408) + 3, DAY(L1408)),
    Payment_Frequency="Yearly", DATE(YEAR(L1408) + 1, MONTH(L1408), DAY(L1408)),
    TRUE, ""
)</f>
        <v/>
      </c>
      <c r="M1409" s="1853">
        <f>IF(ISERROR(L1409-L1408),0,L1409-L1408)</f>
        <v>0</v>
      </c>
      <c r="N1409" s="1851" cm="1">
        <f t="array" ref="N1409">_xlfn.IFS(
    AND(I1409=TRUE, K1409&lt;=No_Regular_Payments), Repay_Amt,
    AND(I1409=TRUE, K1409=No_Regular_Payments+1), Tm_Balloon_Amt,
   TRUE, 0
)</f>
        <v>0</v>
      </c>
      <c r="O1409" s="1850" cm="1">
        <f t="array" ref="O1409">_xlfn.IFS(
    M1409=0,0,
   ABS(N1409 - S1408 - P1409-Q1409) &lt; 1, N1409 - S1408-Q1409,
    TRUE, P1409
)</f>
        <v>0</v>
      </c>
      <c r="P1409" s="1852">
        <f>IF(M1409=0,0,ROUND(S1408*EXP(Int_Rate/365.25 * M1409)-S1408,2))</f>
        <v>0</v>
      </c>
      <c r="Q1409" s="1851" cm="1">
        <f t="array" ref="Q1409">_xlfn.IFS(
    AND(I1409=TRUE, K1409&lt;=No_Regular_Payments), Periodic_Admin_Charge,
   TRUE, 0
)</f>
        <v>0</v>
      </c>
      <c r="R1409" s="1850">
        <f>N1409-O1409-Q1409</f>
        <v>0</v>
      </c>
      <c r="S1409" s="1850">
        <f>ROUND(S1408-R1409,2)</f>
        <v>0</v>
      </c>
      <c r="T1409" s="1850">
        <f>ROUND(T1408-(N1409-Q1409),2)</f>
        <v>0</v>
      </c>
      <c r="U1409" s="1849"/>
      <c r="W1409" s="1848"/>
      <c r="X1409" s="1848"/>
      <c r="Y1409" s="1848"/>
    </row>
    <row r="1410" spans="2:25" hidden="1">
      <c r="B1410" s="1815" t="b">
        <f>AND(I1410=FALSE,N1409=0,Q1409=0,L1409="")</f>
        <v>1</v>
      </c>
      <c r="C1410" s="1844" t="str" cm="1">
        <f t="array" ref="C1410">_xlfn.IFS(
    L1410="", "",
    MONTH(L1410) &lt;= End_of_Year_Month, YEAR(L1410),
    TRUE, YEAR(L1410) + 1
)</f>
        <v/>
      </c>
      <c r="F1410" s="1857">
        <f>IF(L1410="",0,L1410)</f>
        <v>0</v>
      </c>
      <c r="G1410" s="1856">
        <f>-(N1410-Q1410)</f>
        <v>0</v>
      </c>
      <c r="I1410" s="1815" t="b">
        <f>K1410&lt;=Number_Payments</f>
        <v>0</v>
      </c>
      <c r="J1410" s="1855"/>
      <c r="K1410" s="1351">
        <f>K1409+1</f>
        <v>1284</v>
      </c>
      <c r="L1410" s="1854" t="str" cm="1">
        <f t="array" ref="L1410">_xlfn.IFS(
    I1409=FALSE, "",
    Payment_Frequency="Monthly", EDATE(L1409, 1),
    Payment_Frequency="Weekly", DATE(YEAR(L1409), MONTH(L1409), DAY(L1409) + 7),
    Payment_Frequency="Fortnightly", DATE(YEAR(L1409), MONTH(L1409), DAY(L1409) + 14),
    Payment_Frequency="Quarterly", DATE(YEAR(L1409), MONTH(L1409) + 3, DAY(L1409)),
    Payment_Frequency="Yearly", DATE(YEAR(L1409) + 1, MONTH(L1409), DAY(L1409)),
    TRUE, ""
)</f>
        <v/>
      </c>
      <c r="M1410" s="1853">
        <f>IF(ISERROR(L1410-L1409),0,L1410-L1409)</f>
        <v>0</v>
      </c>
      <c r="N1410" s="1851" cm="1">
        <f t="array" ref="N1410">_xlfn.IFS(
    AND(I1410=TRUE, K1410&lt;=No_Regular_Payments), Repay_Amt,
    AND(I1410=TRUE, K1410=No_Regular_Payments+1), Tm_Balloon_Amt,
   TRUE, 0
)</f>
        <v>0</v>
      </c>
      <c r="O1410" s="1850" cm="1">
        <f t="array" ref="O1410">_xlfn.IFS(
    M1410=0,0,
   ABS(N1410 - S1409 - P1410-Q1410) &lt; 1, N1410 - S1409-Q1410,
    TRUE, P1410
)</f>
        <v>0</v>
      </c>
      <c r="P1410" s="1852">
        <f>IF(M1410=0,0,ROUND(S1409*EXP(Int_Rate/365.25 * M1410)-S1409,2))</f>
        <v>0</v>
      </c>
      <c r="Q1410" s="1851" cm="1">
        <f t="array" ref="Q1410">_xlfn.IFS(
    AND(I1410=TRUE, K1410&lt;=No_Regular_Payments), Periodic_Admin_Charge,
   TRUE, 0
)</f>
        <v>0</v>
      </c>
      <c r="R1410" s="1850">
        <f>N1410-O1410-Q1410</f>
        <v>0</v>
      </c>
      <c r="S1410" s="1850">
        <f>ROUND(S1409-R1410,2)</f>
        <v>0</v>
      </c>
      <c r="T1410" s="1850">
        <f>ROUND(T1409-(N1410-Q1410),2)</f>
        <v>0</v>
      </c>
      <c r="U1410" s="1849"/>
      <c r="W1410" s="1848"/>
      <c r="X1410" s="1848"/>
      <c r="Y1410" s="1848"/>
    </row>
    <row r="1411" spans="2:25" hidden="1">
      <c r="B1411" s="1815" t="b">
        <f>AND(I1411=FALSE,N1410=0,Q1410=0,L1410="")</f>
        <v>1</v>
      </c>
      <c r="C1411" s="1844" t="str" cm="1">
        <f t="array" ref="C1411">_xlfn.IFS(
    L1411="", "",
    MONTH(L1411) &lt;= End_of_Year_Month, YEAR(L1411),
    TRUE, YEAR(L1411) + 1
)</f>
        <v/>
      </c>
      <c r="F1411" s="1857">
        <f>IF(L1411="",0,L1411)</f>
        <v>0</v>
      </c>
      <c r="G1411" s="1856">
        <f>-(N1411-Q1411)</f>
        <v>0</v>
      </c>
      <c r="I1411" s="1815" t="b">
        <f>K1411&lt;=Number_Payments</f>
        <v>0</v>
      </c>
      <c r="J1411" s="1855"/>
      <c r="K1411" s="1351">
        <f>K1410+1</f>
        <v>1285</v>
      </c>
      <c r="L1411" s="1854" t="str" cm="1">
        <f t="array" ref="L1411">_xlfn.IFS(
    I1410=FALSE, "",
    Payment_Frequency="Monthly", EDATE(L1410, 1),
    Payment_Frequency="Weekly", DATE(YEAR(L1410), MONTH(L1410), DAY(L1410) + 7),
    Payment_Frequency="Fortnightly", DATE(YEAR(L1410), MONTH(L1410), DAY(L1410) + 14),
    Payment_Frequency="Quarterly", DATE(YEAR(L1410), MONTH(L1410) + 3, DAY(L1410)),
    Payment_Frequency="Yearly", DATE(YEAR(L1410) + 1, MONTH(L1410), DAY(L1410)),
    TRUE, ""
)</f>
        <v/>
      </c>
      <c r="M1411" s="1853">
        <f>IF(ISERROR(L1411-L1410),0,L1411-L1410)</f>
        <v>0</v>
      </c>
      <c r="N1411" s="1851" cm="1">
        <f t="array" ref="N1411">_xlfn.IFS(
    AND(I1411=TRUE, K1411&lt;=No_Regular_Payments), Repay_Amt,
    AND(I1411=TRUE, K1411=No_Regular_Payments+1), Tm_Balloon_Amt,
   TRUE, 0
)</f>
        <v>0</v>
      </c>
      <c r="O1411" s="1850" cm="1">
        <f t="array" ref="O1411">_xlfn.IFS(
    M1411=0,0,
   ABS(N1411 - S1410 - P1411-Q1411) &lt; 1, N1411 - S1410-Q1411,
    TRUE, P1411
)</f>
        <v>0</v>
      </c>
      <c r="P1411" s="1852">
        <f>IF(M1411=0,0,ROUND(S1410*EXP(Int_Rate/365.25 * M1411)-S1410,2))</f>
        <v>0</v>
      </c>
      <c r="Q1411" s="1851" cm="1">
        <f t="array" ref="Q1411">_xlfn.IFS(
    AND(I1411=TRUE, K1411&lt;=No_Regular_Payments), Periodic_Admin_Charge,
   TRUE, 0
)</f>
        <v>0</v>
      </c>
      <c r="R1411" s="1850">
        <f>N1411-O1411-Q1411</f>
        <v>0</v>
      </c>
      <c r="S1411" s="1850">
        <f>ROUND(S1410-R1411,2)</f>
        <v>0</v>
      </c>
      <c r="T1411" s="1850">
        <f>ROUND(T1410-(N1411-Q1411),2)</f>
        <v>0</v>
      </c>
      <c r="U1411" s="1849"/>
      <c r="W1411" s="1848"/>
      <c r="X1411" s="1848"/>
      <c r="Y1411" s="1848"/>
    </row>
    <row r="1412" spans="2:25" hidden="1">
      <c r="B1412" s="1815" t="b">
        <f>AND(I1412=FALSE,N1411=0,Q1411=0,L1411="")</f>
        <v>1</v>
      </c>
      <c r="C1412" s="1844" t="str" cm="1">
        <f t="array" ref="C1412">_xlfn.IFS(
    L1412="", "",
    MONTH(L1412) &lt;= End_of_Year_Month, YEAR(L1412),
    TRUE, YEAR(L1412) + 1
)</f>
        <v/>
      </c>
      <c r="F1412" s="1857">
        <f>IF(L1412="",0,L1412)</f>
        <v>0</v>
      </c>
      <c r="G1412" s="1856">
        <f>-(N1412-Q1412)</f>
        <v>0</v>
      </c>
      <c r="I1412" s="1815" t="b">
        <f>K1412&lt;=Number_Payments</f>
        <v>0</v>
      </c>
      <c r="J1412" s="1855"/>
      <c r="K1412" s="1351">
        <f>K1411+1</f>
        <v>1286</v>
      </c>
      <c r="L1412" s="1854" t="str" cm="1">
        <f t="array" ref="L1412">_xlfn.IFS(
    I1411=FALSE, "",
    Payment_Frequency="Monthly", EDATE(L1411, 1),
    Payment_Frequency="Weekly", DATE(YEAR(L1411), MONTH(L1411), DAY(L1411) + 7),
    Payment_Frequency="Fortnightly", DATE(YEAR(L1411), MONTH(L1411), DAY(L1411) + 14),
    Payment_Frequency="Quarterly", DATE(YEAR(L1411), MONTH(L1411) + 3, DAY(L1411)),
    Payment_Frequency="Yearly", DATE(YEAR(L1411) + 1, MONTH(L1411), DAY(L1411)),
    TRUE, ""
)</f>
        <v/>
      </c>
      <c r="M1412" s="1853">
        <f>IF(ISERROR(L1412-L1411),0,L1412-L1411)</f>
        <v>0</v>
      </c>
      <c r="N1412" s="1851" cm="1">
        <f t="array" ref="N1412">_xlfn.IFS(
    AND(I1412=TRUE, K1412&lt;=No_Regular_Payments), Repay_Amt,
    AND(I1412=TRUE, K1412=No_Regular_Payments+1), Tm_Balloon_Amt,
   TRUE, 0
)</f>
        <v>0</v>
      </c>
      <c r="O1412" s="1850" cm="1">
        <f t="array" ref="O1412">_xlfn.IFS(
    M1412=0,0,
   ABS(N1412 - S1411 - P1412-Q1412) &lt; 1, N1412 - S1411-Q1412,
    TRUE, P1412
)</f>
        <v>0</v>
      </c>
      <c r="P1412" s="1852">
        <f>IF(M1412=0,0,ROUND(S1411*EXP(Int_Rate/365.25 * M1412)-S1411,2))</f>
        <v>0</v>
      </c>
      <c r="Q1412" s="1851" cm="1">
        <f t="array" ref="Q1412">_xlfn.IFS(
    AND(I1412=TRUE, K1412&lt;=No_Regular_Payments), Periodic_Admin_Charge,
   TRUE, 0
)</f>
        <v>0</v>
      </c>
      <c r="R1412" s="1850">
        <f>N1412-O1412-Q1412</f>
        <v>0</v>
      </c>
      <c r="S1412" s="1850">
        <f>ROUND(S1411-R1412,2)</f>
        <v>0</v>
      </c>
      <c r="T1412" s="1850">
        <f>ROUND(T1411-(N1412-Q1412),2)</f>
        <v>0</v>
      </c>
      <c r="U1412" s="1849"/>
      <c r="W1412" s="1848"/>
      <c r="X1412" s="1848"/>
      <c r="Y1412" s="1848"/>
    </row>
    <row r="1413" spans="2:25" hidden="1">
      <c r="B1413" s="1815" t="b">
        <f>AND(I1413=FALSE,N1412=0,Q1412=0,L1412="")</f>
        <v>1</v>
      </c>
      <c r="C1413" s="1844" t="str" cm="1">
        <f t="array" ref="C1413">_xlfn.IFS(
    L1413="", "",
    MONTH(L1413) &lt;= End_of_Year_Month, YEAR(L1413),
    TRUE, YEAR(L1413) + 1
)</f>
        <v/>
      </c>
      <c r="F1413" s="1857">
        <f>IF(L1413="",0,L1413)</f>
        <v>0</v>
      </c>
      <c r="G1413" s="1856">
        <f>-(N1413-Q1413)</f>
        <v>0</v>
      </c>
      <c r="I1413" s="1815" t="b">
        <f>K1413&lt;=Number_Payments</f>
        <v>0</v>
      </c>
      <c r="J1413" s="1855"/>
      <c r="K1413" s="1351">
        <f>K1412+1</f>
        <v>1287</v>
      </c>
      <c r="L1413" s="1854" t="str" cm="1">
        <f t="array" ref="L1413">_xlfn.IFS(
    I1412=FALSE, "",
    Payment_Frequency="Monthly", EDATE(L1412, 1),
    Payment_Frequency="Weekly", DATE(YEAR(L1412), MONTH(L1412), DAY(L1412) + 7),
    Payment_Frequency="Fortnightly", DATE(YEAR(L1412), MONTH(L1412), DAY(L1412) + 14),
    Payment_Frequency="Quarterly", DATE(YEAR(L1412), MONTH(L1412) + 3, DAY(L1412)),
    Payment_Frequency="Yearly", DATE(YEAR(L1412) + 1, MONTH(L1412), DAY(L1412)),
    TRUE, ""
)</f>
        <v/>
      </c>
      <c r="M1413" s="1853">
        <f>IF(ISERROR(L1413-L1412),0,L1413-L1412)</f>
        <v>0</v>
      </c>
      <c r="N1413" s="1851" cm="1">
        <f t="array" ref="N1413">_xlfn.IFS(
    AND(I1413=TRUE, K1413&lt;=No_Regular_Payments), Repay_Amt,
    AND(I1413=TRUE, K1413=No_Regular_Payments+1), Tm_Balloon_Amt,
   TRUE, 0
)</f>
        <v>0</v>
      </c>
      <c r="O1413" s="1850" cm="1">
        <f t="array" ref="O1413">_xlfn.IFS(
    M1413=0,0,
   ABS(N1413 - S1412 - P1413-Q1413) &lt; 1, N1413 - S1412-Q1413,
    TRUE, P1413
)</f>
        <v>0</v>
      </c>
      <c r="P1413" s="1852">
        <f>IF(M1413=0,0,ROUND(S1412*EXP(Int_Rate/365.25 * M1413)-S1412,2))</f>
        <v>0</v>
      </c>
      <c r="Q1413" s="1851" cm="1">
        <f t="array" ref="Q1413">_xlfn.IFS(
    AND(I1413=TRUE, K1413&lt;=No_Regular_Payments), Periodic_Admin_Charge,
   TRUE, 0
)</f>
        <v>0</v>
      </c>
      <c r="R1413" s="1850">
        <f>N1413-O1413-Q1413</f>
        <v>0</v>
      </c>
      <c r="S1413" s="1850">
        <f>ROUND(S1412-R1413,2)</f>
        <v>0</v>
      </c>
      <c r="T1413" s="1850">
        <f>ROUND(T1412-(N1413-Q1413),2)</f>
        <v>0</v>
      </c>
      <c r="U1413" s="1849"/>
      <c r="W1413" s="1848"/>
      <c r="X1413" s="1848"/>
      <c r="Y1413" s="1848"/>
    </row>
    <row r="1414" spans="2:25" hidden="1">
      <c r="B1414" s="1815" t="b">
        <f>AND(I1414=FALSE,N1413=0,Q1413=0,L1413="")</f>
        <v>1</v>
      </c>
      <c r="C1414" s="1844" t="str" cm="1">
        <f t="array" ref="C1414">_xlfn.IFS(
    L1414="", "",
    MONTH(L1414) &lt;= End_of_Year_Month, YEAR(L1414),
    TRUE, YEAR(L1414) + 1
)</f>
        <v/>
      </c>
      <c r="F1414" s="1857">
        <f>IF(L1414="",0,L1414)</f>
        <v>0</v>
      </c>
      <c r="G1414" s="1856">
        <f>-(N1414-Q1414)</f>
        <v>0</v>
      </c>
      <c r="I1414" s="1815" t="b">
        <f>K1414&lt;=Number_Payments</f>
        <v>0</v>
      </c>
      <c r="J1414" s="1855"/>
      <c r="K1414" s="1351">
        <f>K1413+1</f>
        <v>1288</v>
      </c>
      <c r="L1414" s="1854" t="str" cm="1">
        <f t="array" ref="L1414">_xlfn.IFS(
    I1413=FALSE, "",
    Payment_Frequency="Monthly", EDATE(L1413, 1),
    Payment_Frequency="Weekly", DATE(YEAR(L1413), MONTH(L1413), DAY(L1413) + 7),
    Payment_Frequency="Fortnightly", DATE(YEAR(L1413), MONTH(L1413), DAY(L1413) + 14),
    Payment_Frequency="Quarterly", DATE(YEAR(L1413), MONTH(L1413) + 3, DAY(L1413)),
    Payment_Frequency="Yearly", DATE(YEAR(L1413) + 1, MONTH(L1413), DAY(L1413)),
    TRUE, ""
)</f>
        <v/>
      </c>
      <c r="M1414" s="1853">
        <f>IF(ISERROR(L1414-L1413),0,L1414-L1413)</f>
        <v>0</v>
      </c>
      <c r="N1414" s="1851" cm="1">
        <f t="array" ref="N1414">_xlfn.IFS(
    AND(I1414=TRUE, K1414&lt;=No_Regular_Payments), Repay_Amt,
    AND(I1414=TRUE, K1414=No_Regular_Payments+1), Tm_Balloon_Amt,
   TRUE, 0
)</f>
        <v>0</v>
      </c>
      <c r="O1414" s="1850" cm="1">
        <f t="array" ref="O1414">_xlfn.IFS(
    M1414=0,0,
   ABS(N1414 - S1413 - P1414-Q1414) &lt; 1, N1414 - S1413-Q1414,
    TRUE, P1414
)</f>
        <v>0</v>
      </c>
      <c r="P1414" s="1852">
        <f>IF(M1414=0,0,ROUND(S1413*EXP(Int_Rate/365.25 * M1414)-S1413,2))</f>
        <v>0</v>
      </c>
      <c r="Q1414" s="1851" cm="1">
        <f t="array" ref="Q1414">_xlfn.IFS(
    AND(I1414=TRUE, K1414&lt;=No_Regular_Payments), Periodic_Admin_Charge,
   TRUE, 0
)</f>
        <v>0</v>
      </c>
      <c r="R1414" s="1850">
        <f>N1414-O1414-Q1414</f>
        <v>0</v>
      </c>
      <c r="S1414" s="1850">
        <f>ROUND(S1413-R1414,2)</f>
        <v>0</v>
      </c>
      <c r="T1414" s="1850">
        <f>ROUND(T1413-(N1414-Q1414),2)</f>
        <v>0</v>
      </c>
      <c r="U1414" s="1849"/>
      <c r="W1414" s="1848"/>
      <c r="X1414" s="1848"/>
      <c r="Y1414" s="1848"/>
    </row>
    <row r="1415" spans="2:25" hidden="1">
      <c r="B1415" s="1815" t="b">
        <f>AND(I1415=FALSE,N1414=0,Q1414=0,L1414="")</f>
        <v>1</v>
      </c>
      <c r="C1415" s="1844" t="str" cm="1">
        <f t="array" ref="C1415">_xlfn.IFS(
    L1415="", "",
    MONTH(L1415) &lt;= End_of_Year_Month, YEAR(L1415),
    TRUE, YEAR(L1415) + 1
)</f>
        <v/>
      </c>
      <c r="F1415" s="1857">
        <f>IF(L1415="",0,L1415)</f>
        <v>0</v>
      </c>
      <c r="G1415" s="1856">
        <f>-(N1415-Q1415)</f>
        <v>0</v>
      </c>
      <c r="I1415" s="1815" t="b">
        <f>K1415&lt;=Number_Payments</f>
        <v>0</v>
      </c>
      <c r="J1415" s="1855"/>
      <c r="K1415" s="1351">
        <f>K1414+1</f>
        <v>1289</v>
      </c>
      <c r="L1415" s="1854" t="str" cm="1">
        <f t="array" ref="L1415">_xlfn.IFS(
    I1414=FALSE, "",
    Payment_Frequency="Monthly", EDATE(L1414, 1),
    Payment_Frequency="Weekly", DATE(YEAR(L1414), MONTH(L1414), DAY(L1414) + 7),
    Payment_Frequency="Fortnightly", DATE(YEAR(L1414), MONTH(L1414), DAY(L1414) + 14),
    Payment_Frequency="Quarterly", DATE(YEAR(L1414), MONTH(L1414) + 3, DAY(L1414)),
    Payment_Frequency="Yearly", DATE(YEAR(L1414) + 1, MONTH(L1414), DAY(L1414)),
    TRUE, ""
)</f>
        <v/>
      </c>
      <c r="M1415" s="1853">
        <f>IF(ISERROR(L1415-L1414),0,L1415-L1414)</f>
        <v>0</v>
      </c>
      <c r="N1415" s="1851" cm="1">
        <f t="array" ref="N1415">_xlfn.IFS(
    AND(I1415=TRUE, K1415&lt;=No_Regular_Payments), Repay_Amt,
    AND(I1415=TRUE, K1415=No_Regular_Payments+1), Tm_Balloon_Amt,
   TRUE, 0
)</f>
        <v>0</v>
      </c>
      <c r="O1415" s="1850" cm="1">
        <f t="array" ref="O1415">_xlfn.IFS(
    M1415=0,0,
   ABS(N1415 - S1414 - P1415-Q1415) &lt; 1, N1415 - S1414-Q1415,
    TRUE, P1415
)</f>
        <v>0</v>
      </c>
      <c r="P1415" s="1852">
        <f>IF(M1415=0,0,ROUND(S1414*EXP(Int_Rate/365.25 * M1415)-S1414,2))</f>
        <v>0</v>
      </c>
      <c r="Q1415" s="1851" cm="1">
        <f t="array" ref="Q1415">_xlfn.IFS(
    AND(I1415=TRUE, K1415&lt;=No_Regular_Payments), Periodic_Admin_Charge,
   TRUE, 0
)</f>
        <v>0</v>
      </c>
      <c r="R1415" s="1850">
        <f>N1415-O1415-Q1415</f>
        <v>0</v>
      </c>
      <c r="S1415" s="1850">
        <f>ROUND(S1414-R1415,2)</f>
        <v>0</v>
      </c>
      <c r="T1415" s="1850">
        <f>ROUND(T1414-(N1415-Q1415),2)</f>
        <v>0</v>
      </c>
      <c r="U1415" s="1849"/>
      <c r="W1415" s="1848"/>
      <c r="X1415" s="1848"/>
      <c r="Y1415" s="1848"/>
    </row>
    <row r="1416" spans="2:25" hidden="1">
      <c r="B1416" s="1815" t="b">
        <f>AND(I1416=FALSE,N1415=0,Q1415=0,L1415="")</f>
        <v>1</v>
      </c>
      <c r="C1416" s="1844" t="str" cm="1">
        <f t="array" ref="C1416">_xlfn.IFS(
    L1416="", "",
    MONTH(L1416) &lt;= End_of_Year_Month, YEAR(L1416),
    TRUE, YEAR(L1416) + 1
)</f>
        <v/>
      </c>
      <c r="F1416" s="1857">
        <f>IF(L1416="",0,L1416)</f>
        <v>0</v>
      </c>
      <c r="G1416" s="1856">
        <f>-(N1416-Q1416)</f>
        <v>0</v>
      </c>
      <c r="I1416" s="1815" t="b">
        <f>K1416&lt;=Number_Payments</f>
        <v>0</v>
      </c>
      <c r="J1416" s="1855"/>
      <c r="K1416" s="1351">
        <f>K1415+1</f>
        <v>1290</v>
      </c>
      <c r="L1416" s="1854" t="str" cm="1">
        <f t="array" ref="L1416">_xlfn.IFS(
    I1415=FALSE, "",
    Payment_Frequency="Monthly", EDATE(L1415, 1),
    Payment_Frequency="Weekly", DATE(YEAR(L1415), MONTH(L1415), DAY(L1415) + 7),
    Payment_Frequency="Fortnightly", DATE(YEAR(L1415), MONTH(L1415), DAY(L1415) + 14),
    Payment_Frequency="Quarterly", DATE(YEAR(L1415), MONTH(L1415) + 3, DAY(L1415)),
    Payment_Frequency="Yearly", DATE(YEAR(L1415) + 1, MONTH(L1415), DAY(L1415)),
    TRUE, ""
)</f>
        <v/>
      </c>
      <c r="M1416" s="1853">
        <f>IF(ISERROR(L1416-L1415),0,L1416-L1415)</f>
        <v>0</v>
      </c>
      <c r="N1416" s="1851" cm="1">
        <f t="array" ref="N1416">_xlfn.IFS(
    AND(I1416=TRUE, K1416&lt;=No_Regular_Payments), Repay_Amt,
    AND(I1416=TRUE, K1416=No_Regular_Payments+1), Tm_Balloon_Amt,
   TRUE, 0
)</f>
        <v>0</v>
      </c>
      <c r="O1416" s="1850" cm="1">
        <f t="array" ref="O1416">_xlfn.IFS(
    M1416=0,0,
   ABS(N1416 - S1415 - P1416-Q1416) &lt; 1, N1416 - S1415-Q1416,
    TRUE, P1416
)</f>
        <v>0</v>
      </c>
      <c r="P1416" s="1852">
        <f>IF(M1416=0,0,ROUND(S1415*EXP(Int_Rate/365.25 * M1416)-S1415,2))</f>
        <v>0</v>
      </c>
      <c r="Q1416" s="1851" cm="1">
        <f t="array" ref="Q1416">_xlfn.IFS(
    AND(I1416=TRUE, K1416&lt;=No_Regular_Payments), Periodic_Admin_Charge,
   TRUE, 0
)</f>
        <v>0</v>
      </c>
      <c r="R1416" s="1850">
        <f>N1416-O1416-Q1416</f>
        <v>0</v>
      </c>
      <c r="S1416" s="1850">
        <f>ROUND(S1415-R1416,2)</f>
        <v>0</v>
      </c>
      <c r="T1416" s="1850">
        <f>ROUND(T1415-(N1416-Q1416),2)</f>
        <v>0</v>
      </c>
      <c r="U1416" s="1849"/>
      <c r="W1416" s="1848"/>
      <c r="X1416" s="1848"/>
      <c r="Y1416" s="1848"/>
    </row>
    <row r="1417" spans="2:25" hidden="1">
      <c r="B1417" s="1815" t="b">
        <f>AND(I1417=FALSE,N1416=0,Q1416=0,L1416="")</f>
        <v>1</v>
      </c>
      <c r="C1417" s="1844" t="str" cm="1">
        <f t="array" ref="C1417">_xlfn.IFS(
    L1417="", "",
    MONTH(L1417) &lt;= End_of_Year_Month, YEAR(L1417),
    TRUE, YEAR(L1417) + 1
)</f>
        <v/>
      </c>
      <c r="F1417" s="1857">
        <f>IF(L1417="",0,L1417)</f>
        <v>0</v>
      </c>
      <c r="G1417" s="1856">
        <f>-(N1417-Q1417)</f>
        <v>0</v>
      </c>
      <c r="I1417" s="1815" t="b">
        <f>K1417&lt;=Number_Payments</f>
        <v>0</v>
      </c>
      <c r="J1417" s="1855"/>
      <c r="K1417" s="1351">
        <f>K1416+1</f>
        <v>1291</v>
      </c>
      <c r="L1417" s="1854" t="str" cm="1">
        <f t="array" ref="L1417">_xlfn.IFS(
    I1416=FALSE, "",
    Payment_Frequency="Monthly", EDATE(L1416, 1),
    Payment_Frequency="Weekly", DATE(YEAR(L1416), MONTH(L1416), DAY(L1416) + 7),
    Payment_Frequency="Fortnightly", DATE(YEAR(L1416), MONTH(L1416), DAY(L1416) + 14),
    Payment_Frequency="Quarterly", DATE(YEAR(L1416), MONTH(L1416) + 3, DAY(L1416)),
    Payment_Frequency="Yearly", DATE(YEAR(L1416) + 1, MONTH(L1416), DAY(L1416)),
    TRUE, ""
)</f>
        <v/>
      </c>
      <c r="M1417" s="1853">
        <f>IF(ISERROR(L1417-L1416),0,L1417-L1416)</f>
        <v>0</v>
      </c>
      <c r="N1417" s="1851" cm="1">
        <f t="array" ref="N1417">_xlfn.IFS(
    AND(I1417=TRUE, K1417&lt;=No_Regular_Payments), Repay_Amt,
    AND(I1417=TRUE, K1417=No_Regular_Payments+1), Tm_Balloon_Amt,
   TRUE, 0
)</f>
        <v>0</v>
      </c>
      <c r="O1417" s="1850" cm="1">
        <f t="array" ref="O1417">_xlfn.IFS(
    M1417=0,0,
   ABS(N1417 - S1416 - P1417-Q1417) &lt; 1, N1417 - S1416-Q1417,
    TRUE, P1417
)</f>
        <v>0</v>
      </c>
      <c r="P1417" s="1852">
        <f>IF(M1417=0,0,ROUND(S1416*EXP(Int_Rate/365.25 * M1417)-S1416,2))</f>
        <v>0</v>
      </c>
      <c r="Q1417" s="1851" cm="1">
        <f t="array" ref="Q1417">_xlfn.IFS(
    AND(I1417=TRUE, K1417&lt;=No_Regular_Payments), Periodic_Admin_Charge,
   TRUE, 0
)</f>
        <v>0</v>
      </c>
      <c r="R1417" s="1850">
        <f>N1417-O1417-Q1417</f>
        <v>0</v>
      </c>
      <c r="S1417" s="1850">
        <f>ROUND(S1416-R1417,2)</f>
        <v>0</v>
      </c>
      <c r="T1417" s="1850">
        <f>ROUND(T1416-(N1417-Q1417),2)</f>
        <v>0</v>
      </c>
      <c r="U1417" s="1849"/>
      <c r="W1417" s="1848"/>
      <c r="X1417" s="1848"/>
      <c r="Y1417" s="1848"/>
    </row>
    <row r="1418" spans="2:25" hidden="1">
      <c r="B1418" s="1815" t="b">
        <f>AND(I1418=FALSE,N1417=0,Q1417=0,L1417="")</f>
        <v>1</v>
      </c>
      <c r="C1418" s="1844" t="str" cm="1">
        <f t="array" ref="C1418">_xlfn.IFS(
    L1418="", "",
    MONTH(L1418) &lt;= End_of_Year_Month, YEAR(L1418),
    TRUE, YEAR(L1418) + 1
)</f>
        <v/>
      </c>
      <c r="F1418" s="1857">
        <f>IF(L1418="",0,L1418)</f>
        <v>0</v>
      </c>
      <c r="G1418" s="1856">
        <f>-(N1418-Q1418)</f>
        <v>0</v>
      </c>
      <c r="I1418" s="1815" t="b">
        <f>K1418&lt;=Number_Payments</f>
        <v>0</v>
      </c>
      <c r="J1418" s="1855"/>
      <c r="K1418" s="1351">
        <f>K1417+1</f>
        <v>1292</v>
      </c>
      <c r="L1418" s="1854" t="str" cm="1">
        <f t="array" ref="L1418">_xlfn.IFS(
    I1417=FALSE, "",
    Payment_Frequency="Monthly", EDATE(L1417, 1),
    Payment_Frequency="Weekly", DATE(YEAR(L1417), MONTH(L1417), DAY(L1417) + 7),
    Payment_Frequency="Fortnightly", DATE(YEAR(L1417), MONTH(L1417), DAY(L1417) + 14),
    Payment_Frequency="Quarterly", DATE(YEAR(L1417), MONTH(L1417) + 3, DAY(L1417)),
    Payment_Frequency="Yearly", DATE(YEAR(L1417) + 1, MONTH(L1417), DAY(L1417)),
    TRUE, ""
)</f>
        <v/>
      </c>
      <c r="M1418" s="1853">
        <f>IF(ISERROR(L1418-L1417),0,L1418-L1417)</f>
        <v>0</v>
      </c>
      <c r="N1418" s="1851" cm="1">
        <f t="array" ref="N1418">_xlfn.IFS(
    AND(I1418=TRUE, K1418&lt;=No_Regular_Payments), Repay_Amt,
    AND(I1418=TRUE, K1418=No_Regular_Payments+1), Tm_Balloon_Amt,
   TRUE, 0
)</f>
        <v>0</v>
      </c>
      <c r="O1418" s="1850" cm="1">
        <f t="array" ref="O1418">_xlfn.IFS(
    M1418=0,0,
   ABS(N1418 - S1417 - P1418-Q1418) &lt; 1, N1418 - S1417-Q1418,
    TRUE, P1418
)</f>
        <v>0</v>
      </c>
      <c r="P1418" s="1852">
        <f>IF(M1418=0,0,ROUND(S1417*EXP(Int_Rate/365.25 * M1418)-S1417,2))</f>
        <v>0</v>
      </c>
      <c r="Q1418" s="1851" cm="1">
        <f t="array" ref="Q1418">_xlfn.IFS(
    AND(I1418=TRUE, K1418&lt;=No_Regular_Payments), Periodic_Admin_Charge,
   TRUE, 0
)</f>
        <v>0</v>
      </c>
      <c r="R1418" s="1850">
        <f>N1418-O1418-Q1418</f>
        <v>0</v>
      </c>
      <c r="S1418" s="1850">
        <f>ROUND(S1417-R1418,2)</f>
        <v>0</v>
      </c>
      <c r="T1418" s="1850">
        <f>ROUND(T1417-(N1418-Q1418),2)</f>
        <v>0</v>
      </c>
      <c r="U1418" s="1849"/>
      <c r="W1418" s="1848"/>
      <c r="X1418" s="1848"/>
      <c r="Y1418" s="1848"/>
    </row>
    <row r="1419" spans="2:25" hidden="1">
      <c r="B1419" s="1815" t="b">
        <f>AND(I1419=FALSE,N1418=0,Q1418=0,L1418="")</f>
        <v>1</v>
      </c>
      <c r="C1419" s="1844" t="str" cm="1">
        <f t="array" ref="C1419">_xlfn.IFS(
    L1419="", "",
    MONTH(L1419) &lt;= End_of_Year_Month, YEAR(L1419),
    TRUE, YEAR(L1419) + 1
)</f>
        <v/>
      </c>
      <c r="F1419" s="1857">
        <f>IF(L1419="",0,L1419)</f>
        <v>0</v>
      </c>
      <c r="G1419" s="1856">
        <f>-(N1419-Q1419)</f>
        <v>0</v>
      </c>
      <c r="I1419" s="1815" t="b">
        <f>K1419&lt;=Number_Payments</f>
        <v>0</v>
      </c>
      <c r="J1419" s="1855"/>
      <c r="K1419" s="1351">
        <f>K1418+1</f>
        <v>1293</v>
      </c>
      <c r="L1419" s="1854" t="str" cm="1">
        <f t="array" ref="L1419">_xlfn.IFS(
    I1418=FALSE, "",
    Payment_Frequency="Monthly", EDATE(L1418, 1),
    Payment_Frequency="Weekly", DATE(YEAR(L1418), MONTH(L1418), DAY(L1418) + 7),
    Payment_Frequency="Fortnightly", DATE(YEAR(L1418), MONTH(L1418), DAY(L1418) + 14),
    Payment_Frequency="Quarterly", DATE(YEAR(L1418), MONTH(L1418) + 3, DAY(L1418)),
    Payment_Frequency="Yearly", DATE(YEAR(L1418) + 1, MONTH(L1418), DAY(L1418)),
    TRUE, ""
)</f>
        <v/>
      </c>
      <c r="M1419" s="1853">
        <f>IF(ISERROR(L1419-L1418),0,L1419-L1418)</f>
        <v>0</v>
      </c>
      <c r="N1419" s="1851" cm="1">
        <f t="array" ref="N1419">_xlfn.IFS(
    AND(I1419=TRUE, K1419&lt;=No_Regular_Payments), Repay_Amt,
    AND(I1419=TRUE, K1419=No_Regular_Payments+1), Tm_Balloon_Amt,
   TRUE, 0
)</f>
        <v>0</v>
      </c>
      <c r="O1419" s="1850" cm="1">
        <f t="array" ref="O1419">_xlfn.IFS(
    M1419=0,0,
   ABS(N1419 - S1418 - P1419-Q1419) &lt; 1, N1419 - S1418-Q1419,
    TRUE, P1419
)</f>
        <v>0</v>
      </c>
      <c r="P1419" s="1852">
        <f>IF(M1419=0,0,ROUND(S1418*EXP(Int_Rate/365.25 * M1419)-S1418,2))</f>
        <v>0</v>
      </c>
      <c r="Q1419" s="1851" cm="1">
        <f t="array" ref="Q1419">_xlfn.IFS(
    AND(I1419=TRUE, K1419&lt;=No_Regular_Payments), Periodic_Admin_Charge,
   TRUE, 0
)</f>
        <v>0</v>
      </c>
      <c r="R1419" s="1850">
        <f>N1419-O1419-Q1419</f>
        <v>0</v>
      </c>
      <c r="S1419" s="1850">
        <f>ROUND(S1418-R1419,2)</f>
        <v>0</v>
      </c>
      <c r="T1419" s="1850">
        <f>ROUND(T1418-(N1419-Q1419),2)</f>
        <v>0</v>
      </c>
      <c r="U1419" s="1849"/>
      <c r="W1419" s="1848"/>
      <c r="X1419" s="1848"/>
      <c r="Y1419" s="1848"/>
    </row>
    <row r="1420" spans="2:25" hidden="1">
      <c r="B1420" s="1815" t="b">
        <f>AND(I1420=FALSE,N1419=0,Q1419=0,L1419="")</f>
        <v>1</v>
      </c>
      <c r="C1420" s="1844" t="str" cm="1">
        <f t="array" ref="C1420">_xlfn.IFS(
    L1420="", "",
    MONTH(L1420) &lt;= End_of_Year_Month, YEAR(L1420),
    TRUE, YEAR(L1420) + 1
)</f>
        <v/>
      </c>
      <c r="F1420" s="1857">
        <f>IF(L1420="",0,L1420)</f>
        <v>0</v>
      </c>
      <c r="G1420" s="1856">
        <f>-(N1420-Q1420)</f>
        <v>0</v>
      </c>
      <c r="I1420" s="1815" t="b">
        <f>K1420&lt;=Number_Payments</f>
        <v>0</v>
      </c>
      <c r="J1420" s="1855"/>
      <c r="K1420" s="1351">
        <f>K1419+1</f>
        <v>1294</v>
      </c>
      <c r="L1420" s="1854" t="str" cm="1">
        <f t="array" ref="L1420">_xlfn.IFS(
    I1419=FALSE, "",
    Payment_Frequency="Monthly", EDATE(L1419, 1),
    Payment_Frequency="Weekly", DATE(YEAR(L1419), MONTH(L1419), DAY(L1419) + 7),
    Payment_Frequency="Fortnightly", DATE(YEAR(L1419), MONTH(L1419), DAY(L1419) + 14),
    Payment_Frequency="Quarterly", DATE(YEAR(L1419), MONTH(L1419) + 3, DAY(L1419)),
    Payment_Frequency="Yearly", DATE(YEAR(L1419) + 1, MONTH(L1419), DAY(L1419)),
    TRUE, ""
)</f>
        <v/>
      </c>
      <c r="M1420" s="1853">
        <f>IF(ISERROR(L1420-L1419),0,L1420-L1419)</f>
        <v>0</v>
      </c>
      <c r="N1420" s="1851" cm="1">
        <f t="array" ref="N1420">_xlfn.IFS(
    AND(I1420=TRUE, K1420&lt;=No_Regular_Payments), Repay_Amt,
    AND(I1420=TRUE, K1420=No_Regular_Payments+1), Tm_Balloon_Amt,
   TRUE, 0
)</f>
        <v>0</v>
      </c>
      <c r="O1420" s="1850" cm="1">
        <f t="array" ref="O1420">_xlfn.IFS(
    M1420=0,0,
   ABS(N1420 - S1419 - P1420-Q1420) &lt; 1, N1420 - S1419-Q1420,
    TRUE, P1420
)</f>
        <v>0</v>
      </c>
      <c r="P1420" s="1852">
        <f>IF(M1420=0,0,ROUND(S1419*EXP(Int_Rate/365.25 * M1420)-S1419,2))</f>
        <v>0</v>
      </c>
      <c r="Q1420" s="1851" cm="1">
        <f t="array" ref="Q1420">_xlfn.IFS(
    AND(I1420=TRUE, K1420&lt;=No_Regular_Payments), Periodic_Admin_Charge,
   TRUE, 0
)</f>
        <v>0</v>
      </c>
      <c r="R1420" s="1850">
        <f>N1420-O1420-Q1420</f>
        <v>0</v>
      </c>
      <c r="S1420" s="1850">
        <f>ROUND(S1419-R1420,2)</f>
        <v>0</v>
      </c>
      <c r="T1420" s="1850">
        <f>ROUND(T1419-(N1420-Q1420),2)</f>
        <v>0</v>
      </c>
      <c r="U1420" s="1849"/>
      <c r="W1420" s="1848"/>
      <c r="X1420" s="1848"/>
      <c r="Y1420" s="1848"/>
    </row>
    <row r="1421" spans="2:25" hidden="1">
      <c r="B1421" s="1815" t="b">
        <f>AND(I1421=FALSE,N1420=0,Q1420=0,L1420="")</f>
        <v>1</v>
      </c>
      <c r="C1421" s="1844" t="str" cm="1">
        <f t="array" ref="C1421">_xlfn.IFS(
    L1421="", "",
    MONTH(L1421) &lt;= End_of_Year_Month, YEAR(L1421),
    TRUE, YEAR(L1421) + 1
)</f>
        <v/>
      </c>
      <c r="F1421" s="1857">
        <f>IF(L1421="",0,L1421)</f>
        <v>0</v>
      </c>
      <c r="G1421" s="1856">
        <f>-(N1421-Q1421)</f>
        <v>0</v>
      </c>
      <c r="I1421" s="1815" t="b">
        <f>K1421&lt;=Number_Payments</f>
        <v>0</v>
      </c>
      <c r="J1421" s="1855"/>
      <c r="K1421" s="1351">
        <f>K1420+1</f>
        <v>1295</v>
      </c>
      <c r="L1421" s="1854" t="str" cm="1">
        <f t="array" ref="L1421">_xlfn.IFS(
    I1420=FALSE, "",
    Payment_Frequency="Monthly", EDATE(L1420, 1),
    Payment_Frequency="Weekly", DATE(YEAR(L1420), MONTH(L1420), DAY(L1420) + 7),
    Payment_Frequency="Fortnightly", DATE(YEAR(L1420), MONTH(L1420), DAY(L1420) + 14),
    Payment_Frequency="Quarterly", DATE(YEAR(L1420), MONTH(L1420) + 3, DAY(L1420)),
    Payment_Frequency="Yearly", DATE(YEAR(L1420) + 1, MONTH(L1420), DAY(L1420)),
    TRUE, ""
)</f>
        <v/>
      </c>
      <c r="M1421" s="1853">
        <f>IF(ISERROR(L1421-L1420),0,L1421-L1420)</f>
        <v>0</v>
      </c>
      <c r="N1421" s="1851" cm="1">
        <f t="array" ref="N1421">_xlfn.IFS(
    AND(I1421=TRUE, K1421&lt;=No_Regular_Payments), Repay_Amt,
    AND(I1421=TRUE, K1421=No_Regular_Payments+1), Tm_Balloon_Amt,
   TRUE, 0
)</f>
        <v>0</v>
      </c>
      <c r="O1421" s="1850" cm="1">
        <f t="array" ref="O1421">_xlfn.IFS(
    M1421=0,0,
   ABS(N1421 - S1420 - P1421-Q1421) &lt; 1, N1421 - S1420-Q1421,
    TRUE, P1421
)</f>
        <v>0</v>
      </c>
      <c r="P1421" s="1852">
        <f>IF(M1421=0,0,ROUND(S1420*EXP(Int_Rate/365.25 * M1421)-S1420,2))</f>
        <v>0</v>
      </c>
      <c r="Q1421" s="1851" cm="1">
        <f t="array" ref="Q1421">_xlfn.IFS(
    AND(I1421=TRUE, K1421&lt;=No_Regular_Payments), Periodic_Admin_Charge,
   TRUE, 0
)</f>
        <v>0</v>
      </c>
      <c r="R1421" s="1850">
        <f>N1421-O1421-Q1421</f>
        <v>0</v>
      </c>
      <c r="S1421" s="1850">
        <f>ROUND(S1420-R1421,2)</f>
        <v>0</v>
      </c>
      <c r="T1421" s="1850">
        <f>ROUND(T1420-(N1421-Q1421),2)</f>
        <v>0</v>
      </c>
      <c r="U1421" s="1849"/>
      <c r="W1421" s="1848"/>
      <c r="X1421" s="1848"/>
      <c r="Y1421" s="1848"/>
    </row>
    <row r="1422" spans="2:25" hidden="1">
      <c r="B1422" s="1815" t="b">
        <f>AND(I1422=FALSE,N1421=0,Q1421=0,L1421="")</f>
        <v>1</v>
      </c>
      <c r="C1422" s="1844" t="str" cm="1">
        <f t="array" ref="C1422">_xlfn.IFS(
    L1422="", "",
    MONTH(L1422) &lt;= End_of_Year_Month, YEAR(L1422),
    TRUE, YEAR(L1422) + 1
)</f>
        <v/>
      </c>
      <c r="F1422" s="1857">
        <f>IF(L1422="",0,L1422)</f>
        <v>0</v>
      </c>
      <c r="G1422" s="1856">
        <f>-(N1422-Q1422)</f>
        <v>0</v>
      </c>
      <c r="I1422" s="1815" t="b">
        <f>K1422&lt;=Number_Payments</f>
        <v>0</v>
      </c>
      <c r="J1422" s="1855"/>
      <c r="K1422" s="1351">
        <f>K1421+1</f>
        <v>1296</v>
      </c>
      <c r="L1422" s="1854" t="str" cm="1">
        <f t="array" ref="L1422">_xlfn.IFS(
    I1421=FALSE, "",
    Payment_Frequency="Monthly", EDATE(L1421, 1),
    Payment_Frequency="Weekly", DATE(YEAR(L1421), MONTH(L1421), DAY(L1421) + 7),
    Payment_Frequency="Fortnightly", DATE(YEAR(L1421), MONTH(L1421), DAY(L1421) + 14),
    Payment_Frequency="Quarterly", DATE(YEAR(L1421), MONTH(L1421) + 3, DAY(L1421)),
    Payment_Frequency="Yearly", DATE(YEAR(L1421) + 1, MONTH(L1421), DAY(L1421)),
    TRUE, ""
)</f>
        <v/>
      </c>
      <c r="M1422" s="1853">
        <f>IF(ISERROR(L1422-L1421),0,L1422-L1421)</f>
        <v>0</v>
      </c>
      <c r="N1422" s="1851" cm="1">
        <f t="array" ref="N1422">_xlfn.IFS(
    AND(I1422=TRUE, K1422&lt;=No_Regular_Payments), Repay_Amt,
    AND(I1422=TRUE, K1422=No_Regular_Payments+1), Tm_Balloon_Amt,
   TRUE, 0
)</f>
        <v>0</v>
      </c>
      <c r="O1422" s="1850" cm="1">
        <f t="array" ref="O1422">_xlfn.IFS(
    M1422=0,0,
   ABS(N1422 - S1421 - P1422-Q1422) &lt; 1, N1422 - S1421-Q1422,
    TRUE, P1422
)</f>
        <v>0</v>
      </c>
      <c r="P1422" s="1852">
        <f>IF(M1422=0,0,ROUND(S1421*EXP(Int_Rate/365.25 * M1422)-S1421,2))</f>
        <v>0</v>
      </c>
      <c r="Q1422" s="1851" cm="1">
        <f t="array" ref="Q1422">_xlfn.IFS(
    AND(I1422=TRUE, K1422&lt;=No_Regular_Payments), Periodic_Admin_Charge,
   TRUE, 0
)</f>
        <v>0</v>
      </c>
      <c r="R1422" s="1850">
        <f>N1422-O1422-Q1422</f>
        <v>0</v>
      </c>
      <c r="S1422" s="1850">
        <f>ROUND(S1421-R1422,2)</f>
        <v>0</v>
      </c>
      <c r="T1422" s="1850">
        <f>ROUND(T1421-(N1422-Q1422),2)</f>
        <v>0</v>
      </c>
      <c r="U1422" s="1849"/>
      <c r="W1422" s="1848"/>
      <c r="X1422" s="1848"/>
      <c r="Y1422" s="1848"/>
    </row>
    <row r="1423" spans="2:25" hidden="1">
      <c r="B1423" s="1815" t="b">
        <f>AND(I1423=FALSE,N1422=0,Q1422=0,L1422="")</f>
        <v>1</v>
      </c>
      <c r="C1423" s="1844" t="str" cm="1">
        <f t="array" ref="C1423">_xlfn.IFS(
    L1423="", "",
    MONTH(L1423) &lt;= End_of_Year_Month, YEAR(L1423),
    TRUE, YEAR(L1423) + 1
)</f>
        <v/>
      </c>
      <c r="F1423" s="1857">
        <f>IF(L1423="",0,L1423)</f>
        <v>0</v>
      </c>
      <c r="G1423" s="1856">
        <f>-(N1423-Q1423)</f>
        <v>0</v>
      </c>
      <c r="I1423" s="1815" t="b">
        <f>K1423&lt;=Number_Payments</f>
        <v>0</v>
      </c>
      <c r="J1423" s="1855"/>
      <c r="K1423" s="1351">
        <f>K1422+1</f>
        <v>1297</v>
      </c>
      <c r="L1423" s="1854" t="str" cm="1">
        <f t="array" ref="L1423">_xlfn.IFS(
    I1422=FALSE, "",
    Payment_Frequency="Monthly", EDATE(L1422, 1),
    Payment_Frequency="Weekly", DATE(YEAR(L1422), MONTH(L1422), DAY(L1422) + 7),
    Payment_Frequency="Fortnightly", DATE(YEAR(L1422), MONTH(L1422), DAY(L1422) + 14),
    Payment_Frequency="Quarterly", DATE(YEAR(L1422), MONTH(L1422) + 3, DAY(L1422)),
    Payment_Frequency="Yearly", DATE(YEAR(L1422) + 1, MONTH(L1422), DAY(L1422)),
    TRUE, ""
)</f>
        <v/>
      </c>
      <c r="M1423" s="1853">
        <f>IF(ISERROR(L1423-L1422),0,L1423-L1422)</f>
        <v>0</v>
      </c>
      <c r="N1423" s="1851" cm="1">
        <f t="array" ref="N1423">_xlfn.IFS(
    AND(I1423=TRUE, K1423&lt;=No_Regular_Payments), Repay_Amt,
    AND(I1423=TRUE, K1423=No_Regular_Payments+1), Tm_Balloon_Amt,
   TRUE, 0
)</f>
        <v>0</v>
      </c>
      <c r="O1423" s="1850" cm="1">
        <f t="array" ref="O1423">_xlfn.IFS(
    M1423=0,0,
   ABS(N1423 - S1422 - P1423-Q1423) &lt; 1, N1423 - S1422-Q1423,
    TRUE, P1423
)</f>
        <v>0</v>
      </c>
      <c r="P1423" s="1852">
        <f>IF(M1423=0,0,ROUND(S1422*EXP(Int_Rate/365.25 * M1423)-S1422,2))</f>
        <v>0</v>
      </c>
      <c r="Q1423" s="1851" cm="1">
        <f t="array" ref="Q1423">_xlfn.IFS(
    AND(I1423=TRUE, K1423&lt;=No_Regular_Payments), Periodic_Admin_Charge,
   TRUE, 0
)</f>
        <v>0</v>
      </c>
      <c r="R1423" s="1850">
        <f>N1423-O1423-Q1423</f>
        <v>0</v>
      </c>
      <c r="S1423" s="1850">
        <f>ROUND(S1422-R1423,2)</f>
        <v>0</v>
      </c>
      <c r="T1423" s="1850">
        <f>ROUND(T1422-(N1423-Q1423),2)</f>
        <v>0</v>
      </c>
      <c r="U1423" s="1849"/>
      <c r="W1423" s="1848"/>
      <c r="X1423" s="1848"/>
      <c r="Y1423" s="1848"/>
    </row>
    <row r="1424" spans="2:25" hidden="1">
      <c r="B1424" s="1815" t="b">
        <f>AND(I1424=FALSE,N1423=0,Q1423=0,L1423="")</f>
        <v>1</v>
      </c>
      <c r="C1424" s="1844" t="str" cm="1">
        <f t="array" ref="C1424">_xlfn.IFS(
    L1424="", "",
    MONTH(L1424) &lt;= End_of_Year_Month, YEAR(L1424),
    TRUE, YEAR(L1424) + 1
)</f>
        <v/>
      </c>
      <c r="F1424" s="1857">
        <f>IF(L1424="",0,L1424)</f>
        <v>0</v>
      </c>
      <c r="G1424" s="1856">
        <f>-(N1424-Q1424)</f>
        <v>0</v>
      </c>
      <c r="I1424" s="1815" t="b">
        <f>K1424&lt;=Number_Payments</f>
        <v>0</v>
      </c>
      <c r="J1424" s="1855"/>
      <c r="K1424" s="1351">
        <f>K1423+1</f>
        <v>1298</v>
      </c>
      <c r="L1424" s="1854" t="str" cm="1">
        <f t="array" ref="L1424">_xlfn.IFS(
    I1423=FALSE, "",
    Payment_Frequency="Monthly", EDATE(L1423, 1),
    Payment_Frequency="Weekly", DATE(YEAR(L1423), MONTH(L1423), DAY(L1423) + 7),
    Payment_Frequency="Fortnightly", DATE(YEAR(L1423), MONTH(L1423), DAY(L1423) + 14),
    Payment_Frequency="Quarterly", DATE(YEAR(L1423), MONTH(L1423) + 3, DAY(L1423)),
    Payment_Frequency="Yearly", DATE(YEAR(L1423) + 1, MONTH(L1423), DAY(L1423)),
    TRUE, ""
)</f>
        <v/>
      </c>
      <c r="M1424" s="1853">
        <f>IF(ISERROR(L1424-L1423),0,L1424-L1423)</f>
        <v>0</v>
      </c>
      <c r="N1424" s="1851" cm="1">
        <f t="array" ref="N1424">_xlfn.IFS(
    AND(I1424=TRUE, K1424&lt;=No_Regular_Payments), Repay_Amt,
    AND(I1424=TRUE, K1424=No_Regular_Payments+1), Tm_Balloon_Amt,
   TRUE, 0
)</f>
        <v>0</v>
      </c>
      <c r="O1424" s="1850" cm="1">
        <f t="array" ref="O1424">_xlfn.IFS(
    M1424=0,0,
   ABS(N1424 - S1423 - P1424-Q1424) &lt; 1, N1424 - S1423-Q1424,
    TRUE, P1424
)</f>
        <v>0</v>
      </c>
      <c r="P1424" s="1852">
        <f>IF(M1424=0,0,ROUND(S1423*EXP(Int_Rate/365.25 * M1424)-S1423,2))</f>
        <v>0</v>
      </c>
      <c r="Q1424" s="1851" cm="1">
        <f t="array" ref="Q1424">_xlfn.IFS(
    AND(I1424=TRUE, K1424&lt;=No_Regular_Payments), Periodic_Admin_Charge,
   TRUE, 0
)</f>
        <v>0</v>
      </c>
      <c r="R1424" s="1850">
        <f>N1424-O1424-Q1424</f>
        <v>0</v>
      </c>
      <c r="S1424" s="1850">
        <f>ROUND(S1423-R1424,2)</f>
        <v>0</v>
      </c>
      <c r="T1424" s="1850">
        <f>ROUND(T1423-(N1424-Q1424),2)</f>
        <v>0</v>
      </c>
      <c r="U1424" s="1849"/>
      <c r="W1424" s="1848"/>
      <c r="X1424" s="1848"/>
      <c r="Y1424" s="1848"/>
    </row>
    <row r="1425" spans="2:25" hidden="1">
      <c r="B1425" s="1815" t="b">
        <f>AND(I1425=FALSE,N1424=0,Q1424=0,L1424="")</f>
        <v>1</v>
      </c>
      <c r="C1425" s="1844" t="str" cm="1">
        <f t="array" ref="C1425">_xlfn.IFS(
    L1425="", "",
    MONTH(L1425) &lt;= End_of_Year_Month, YEAR(L1425),
    TRUE, YEAR(L1425) + 1
)</f>
        <v/>
      </c>
      <c r="F1425" s="1857">
        <f>IF(L1425="",0,L1425)</f>
        <v>0</v>
      </c>
      <c r="G1425" s="1856">
        <f>-(N1425-Q1425)</f>
        <v>0</v>
      </c>
      <c r="I1425" s="1815" t="b">
        <f>K1425&lt;=Number_Payments</f>
        <v>0</v>
      </c>
      <c r="J1425" s="1855"/>
      <c r="K1425" s="1351">
        <f>K1424+1</f>
        <v>1299</v>
      </c>
      <c r="L1425" s="1854" t="str" cm="1">
        <f t="array" ref="L1425">_xlfn.IFS(
    I1424=FALSE, "",
    Payment_Frequency="Monthly", EDATE(L1424, 1),
    Payment_Frequency="Weekly", DATE(YEAR(L1424), MONTH(L1424), DAY(L1424) + 7),
    Payment_Frequency="Fortnightly", DATE(YEAR(L1424), MONTH(L1424), DAY(L1424) + 14),
    Payment_Frequency="Quarterly", DATE(YEAR(L1424), MONTH(L1424) + 3, DAY(L1424)),
    Payment_Frequency="Yearly", DATE(YEAR(L1424) + 1, MONTH(L1424), DAY(L1424)),
    TRUE, ""
)</f>
        <v/>
      </c>
      <c r="M1425" s="1853">
        <f>IF(ISERROR(L1425-L1424),0,L1425-L1424)</f>
        <v>0</v>
      </c>
      <c r="N1425" s="1851" cm="1">
        <f t="array" ref="N1425">_xlfn.IFS(
    AND(I1425=TRUE, K1425&lt;=No_Regular_Payments), Repay_Amt,
    AND(I1425=TRUE, K1425=No_Regular_Payments+1), Tm_Balloon_Amt,
   TRUE, 0
)</f>
        <v>0</v>
      </c>
      <c r="O1425" s="1850" cm="1">
        <f t="array" ref="O1425">_xlfn.IFS(
    M1425=0,0,
   ABS(N1425 - S1424 - P1425-Q1425) &lt; 1, N1425 - S1424-Q1425,
    TRUE, P1425
)</f>
        <v>0</v>
      </c>
      <c r="P1425" s="1852">
        <f>IF(M1425=0,0,ROUND(S1424*EXP(Int_Rate/365.25 * M1425)-S1424,2))</f>
        <v>0</v>
      </c>
      <c r="Q1425" s="1851" cm="1">
        <f t="array" ref="Q1425">_xlfn.IFS(
    AND(I1425=TRUE, K1425&lt;=No_Regular_Payments), Periodic_Admin_Charge,
   TRUE, 0
)</f>
        <v>0</v>
      </c>
      <c r="R1425" s="1850">
        <f>N1425-O1425-Q1425</f>
        <v>0</v>
      </c>
      <c r="S1425" s="1850">
        <f>ROUND(S1424-R1425,2)</f>
        <v>0</v>
      </c>
      <c r="T1425" s="1850">
        <f>ROUND(T1424-(N1425-Q1425),2)</f>
        <v>0</v>
      </c>
      <c r="U1425" s="1849"/>
      <c r="W1425" s="1848"/>
      <c r="X1425" s="1848"/>
      <c r="Y1425" s="1848"/>
    </row>
    <row r="1426" spans="2:25" hidden="1">
      <c r="B1426" s="1815" t="b">
        <f>AND(I1426=FALSE,N1425=0,Q1425=0,L1425="")</f>
        <v>1</v>
      </c>
      <c r="C1426" s="1844" t="str" cm="1">
        <f t="array" ref="C1426">_xlfn.IFS(
    L1426="", "",
    MONTH(L1426) &lt;= End_of_Year_Month, YEAR(L1426),
    TRUE, YEAR(L1426) + 1
)</f>
        <v/>
      </c>
      <c r="F1426" s="1857">
        <f>IF(L1426="",0,L1426)</f>
        <v>0</v>
      </c>
      <c r="G1426" s="1856">
        <f>-(N1426-Q1426)</f>
        <v>0</v>
      </c>
      <c r="I1426" s="1815" t="b">
        <f>K1426&lt;=Number_Payments</f>
        <v>0</v>
      </c>
      <c r="J1426" s="1855"/>
      <c r="K1426" s="1351">
        <f>K1425+1</f>
        <v>1300</v>
      </c>
      <c r="L1426" s="1854" t="str" cm="1">
        <f t="array" ref="L1426">_xlfn.IFS(
    I1425=FALSE, "",
    Payment_Frequency="Monthly", EDATE(L1425, 1),
    Payment_Frequency="Weekly", DATE(YEAR(L1425), MONTH(L1425), DAY(L1425) + 7),
    Payment_Frequency="Fortnightly", DATE(YEAR(L1425), MONTH(L1425), DAY(L1425) + 14),
    Payment_Frequency="Quarterly", DATE(YEAR(L1425), MONTH(L1425) + 3, DAY(L1425)),
    Payment_Frequency="Yearly", DATE(YEAR(L1425) + 1, MONTH(L1425), DAY(L1425)),
    TRUE, ""
)</f>
        <v/>
      </c>
      <c r="M1426" s="1853">
        <f>IF(ISERROR(L1426-L1425),0,L1426-L1425)</f>
        <v>0</v>
      </c>
      <c r="N1426" s="1851" cm="1">
        <f t="array" ref="N1426">_xlfn.IFS(
    AND(I1426=TRUE, K1426&lt;=No_Regular_Payments), Repay_Amt,
    AND(I1426=TRUE, K1426=No_Regular_Payments+1), Tm_Balloon_Amt,
   TRUE, 0
)</f>
        <v>0</v>
      </c>
      <c r="O1426" s="1850" cm="1">
        <f t="array" ref="O1426">_xlfn.IFS(
    M1426=0,0,
   ABS(N1426 - S1425 - P1426-Q1426) &lt; 1, N1426 - S1425-Q1426,
    TRUE, P1426
)</f>
        <v>0</v>
      </c>
      <c r="P1426" s="1852">
        <f>IF(M1426=0,0,ROUND(S1425*EXP(Int_Rate/365.25 * M1426)-S1425,2))</f>
        <v>0</v>
      </c>
      <c r="Q1426" s="1851" cm="1">
        <f t="array" ref="Q1426">_xlfn.IFS(
    AND(I1426=TRUE, K1426&lt;=No_Regular_Payments), Periodic_Admin_Charge,
   TRUE, 0
)</f>
        <v>0</v>
      </c>
      <c r="R1426" s="1850">
        <f>N1426-O1426-Q1426</f>
        <v>0</v>
      </c>
      <c r="S1426" s="1850">
        <f>ROUND(S1425-R1426,2)</f>
        <v>0</v>
      </c>
      <c r="T1426" s="1850">
        <f>ROUND(T1425-(N1426-Q1426),2)</f>
        <v>0</v>
      </c>
      <c r="U1426" s="1849"/>
      <c r="W1426" s="1848"/>
      <c r="X1426" s="1848"/>
      <c r="Y1426" s="1848"/>
    </row>
    <row r="1427" spans="2:25" hidden="1">
      <c r="B1427" s="1815" t="b">
        <f>AND(I1427=FALSE,N1426=0,Q1426=0,L1426="")</f>
        <v>1</v>
      </c>
      <c r="C1427" s="1844" t="str" cm="1">
        <f t="array" ref="C1427">_xlfn.IFS(
    L1427="", "",
    MONTH(L1427) &lt;= End_of_Year_Month, YEAR(L1427),
    TRUE, YEAR(L1427) + 1
)</f>
        <v/>
      </c>
      <c r="F1427" s="1857">
        <f>IF(L1427="",0,L1427)</f>
        <v>0</v>
      </c>
      <c r="G1427" s="1856">
        <f>-(N1427-Q1427)</f>
        <v>0</v>
      </c>
      <c r="I1427" s="1815" t="b">
        <f>K1427&lt;=Number_Payments</f>
        <v>0</v>
      </c>
      <c r="J1427" s="1855"/>
      <c r="K1427" s="1351">
        <f>K1426+1</f>
        <v>1301</v>
      </c>
      <c r="L1427" s="1854" t="str" cm="1">
        <f t="array" ref="L1427">_xlfn.IFS(
    I1426=FALSE, "",
    Payment_Frequency="Monthly", EDATE(L1426, 1),
    Payment_Frequency="Weekly", DATE(YEAR(L1426), MONTH(L1426), DAY(L1426) + 7),
    Payment_Frequency="Fortnightly", DATE(YEAR(L1426), MONTH(L1426), DAY(L1426) + 14),
    Payment_Frequency="Quarterly", DATE(YEAR(L1426), MONTH(L1426) + 3, DAY(L1426)),
    Payment_Frequency="Yearly", DATE(YEAR(L1426) + 1, MONTH(L1426), DAY(L1426)),
    TRUE, ""
)</f>
        <v/>
      </c>
      <c r="M1427" s="1853">
        <f>IF(ISERROR(L1427-L1426),0,L1427-L1426)</f>
        <v>0</v>
      </c>
      <c r="N1427" s="1851" cm="1">
        <f t="array" ref="N1427">_xlfn.IFS(
    AND(I1427=TRUE, K1427&lt;=No_Regular_Payments), Repay_Amt,
    AND(I1427=TRUE, K1427=No_Regular_Payments+1), Tm_Balloon_Amt,
   TRUE, 0
)</f>
        <v>0</v>
      </c>
      <c r="O1427" s="1850" cm="1">
        <f t="array" ref="O1427">_xlfn.IFS(
    M1427=0,0,
   ABS(N1427 - S1426 - P1427-Q1427) &lt; 1, N1427 - S1426-Q1427,
    TRUE, P1427
)</f>
        <v>0</v>
      </c>
      <c r="P1427" s="1852">
        <f>IF(M1427=0,0,ROUND(S1426*EXP(Int_Rate/365.25 * M1427)-S1426,2))</f>
        <v>0</v>
      </c>
      <c r="Q1427" s="1851" cm="1">
        <f t="array" ref="Q1427">_xlfn.IFS(
    AND(I1427=TRUE, K1427&lt;=No_Regular_Payments), Periodic_Admin_Charge,
   TRUE, 0
)</f>
        <v>0</v>
      </c>
      <c r="R1427" s="1850">
        <f>N1427-O1427-Q1427</f>
        <v>0</v>
      </c>
      <c r="S1427" s="1850">
        <f>ROUND(S1426-R1427,2)</f>
        <v>0</v>
      </c>
      <c r="T1427" s="1850">
        <f>ROUND(T1426-(N1427-Q1427),2)</f>
        <v>0</v>
      </c>
      <c r="U1427" s="1849"/>
      <c r="W1427" s="1848"/>
      <c r="X1427" s="1848"/>
      <c r="Y1427" s="1848"/>
    </row>
    <row r="1428" spans="2:25" hidden="1">
      <c r="B1428" s="1815" t="b">
        <f>AND(I1428=FALSE,N1427=0,Q1427=0,L1427="")</f>
        <v>1</v>
      </c>
      <c r="C1428" s="1844" t="str" cm="1">
        <f t="array" ref="C1428">_xlfn.IFS(
    L1428="", "",
    MONTH(L1428) &lt;= End_of_Year_Month, YEAR(L1428),
    TRUE, YEAR(L1428) + 1
)</f>
        <v/>
      </c>
      <c r="F1428" s="1857">
        <f>IF(L1428="",0,L1428)</f>
        <v>0</v>
      </c>
      <c r="G1428" s="1856">
        <f>-(N1428-Q1428)</f>
        <v>0</v>
      </c>
      <c r="I1428" s="1815" t="b">
        <f>K1428&lt;=Number_Payments</f>
        <v>0</v>
      </c>
      <c r="J1428" s="1855"/>
      <c r="K1428" s="1351">
        <f>K1427+1</f>
        <v>1302</v>
      </c>
      <c r="L1428" s="1854" t="str" cm="1">
        <f t="array" ref="L1428">_xlfn.IFS(
    I1427=FALSE, "",
    Payment_Frequency="Monthly", EDATE(L1427, 1),
    Payment_Frequency="Weekly", DATE(YEAR(L1427), MONTH(L1427), DAY(L1427) + 7),
    Payment_Frequency="Fortnightly", DATE(YEAR(L1427), MONTH(L1427), DAY(L1427) + 14),
    Payment_Frequency="Quarterly", DATE(YEAR(L1427), MONTH(L1427) + 3, DAY(L1427)),
    Payment_Frequency="Yearly", DATE(YEAR(L1427) + 1, MONTH(L1427), DAY(L1427)),
    TRUE, ""
)</f>
        <v/>
      </c>
      <c r="M1428" s="1853">
        <f>IF(ISERROR(L1428-L1427),0,L1428-L1427)</f>
        <v>0</v>
      </c>
      <c r="N1428" s="1851" cm="1">
        <f t="array" ref="N1428">_xlfn.IFS(
    AND(I1428=TRUE, K1428&lt;=No_Regular_Payments), Repay_Amt,
    AND(I1428=TRUE, K1428=No_Regular_Payments+1), Tm_Balloon_Amt,
   TRUE, 0
)</f>
        <v>0</v>
      </c>
      <c r="O1428" s="1850" cm="1">
        <f t="array" ref="O1428">_xlfn.IFS(
    M1428=0,0,
   ABS(N1428 - S1427 - P1428-Q1428) &lt; 1, N1428 - S1427-Q1428,
    TRUE, P1428
)</f>
        <v>0</v>
      </c>
      <c r="P1428" s="1852">
        <f>IF(M1428=0,0,ROUND(S1427*EXP(Int_Rate/365.25 * M1428)-S1427,2))</f>
        <v>0</v>
      </c>
      <c r="Q1428" s="1851" cm="1">
        <f t="array" ref="Q1428">_xlfn.IFS(
    AND(I1428=TRUE, K1428&lt;=No_Regular_Payments), Periodic_Admin_Charge,
   TRUE, 0
)</f>
        <v>0</v>
      </c>
      <c r="R1428" s="1850">
        <f>N1428-O1428-Q1428</f>
        <v>0</v>
      </c>
      <c r="S1428" s="1850">
        <f>ROUND(S1427-R1428,2)</f>
        <v>0</v>
      </c>
      <c r="T1428" s="1850">
        <f>ROUND(T1427-(N1428-Q1428),2)</f>
        <v>0</v>
      </c>
      <c r="U1428" s="1849"/>
      <c r="W1428" s="1848"/>
      <c r="X1428" s="1848"/>
      <c r="Y1428" s="1848"/>
    </row>
    <row r="1429" spans="2:25" hidden="1">
      <c r="B1429" s="1815" t="b">
        <f>AND(I1429=FALSE,N1428=0,Q1428=0,L1428="")</f>
        <v>1</v>
      </c>
      <c r="C1429" s="1844" t="str" cm="1">
        <f t="array" ref="C1429">_xlfn.IFS(
    L1429="", "",
    MONTH(L1429) &lt;= End_of_Year_Month, YEAR(L1429),
    TRUE, YEAR(L1429) + 1
)</f>
        <v/>
      </c>
      <c r="F1429" s="1857">
        <f>IF(L1429="",0,L1429)</f>
        <v>0</v>
      </c>
      <c r="G1429" s="1856">
        <f>-(N1429-Q1429)</f>
        <v>0</v>
      </c>
      <c r="I1429" s="1815" t="b">
        <f>K1429&lt;=Number_Payments</f>
        <v>0</v>
      </c>
      <c r="J1429" s="1855"/>
      <c r="K1429" s="1351">
        <f>K1428+1</f>
        <v>1303</v>
      </c>
      <c r="L1429" s="1854" t="str" cm="1">
        <f t="array" ref="L1429">_xlfn.IFS(
    I1428=FALSE, "",
    Payment_Frequency="Monthly", EDATE(L1428, 1),
    Payment_Frequency="Weekly", DATE(YEAR(L1428), MONTH(L1428), DAY(L1428) + 7),
    Payment_Frequency="Fortnightly", DATE(YEAR(L1428), MONTH(L1428), DAY(L1428) + 14),
    Payment_Frequency="Quarterly", DATE(YEAR(L1428), MONTH(L1428) + 3, DAY(L1428)),
    Payment_Frequency="Yearly", DATE(YEAR(L1428) + 1, MONTH(L1428), DAY(L1428)),
    TRUE, ""
)</f>
        <v/>
      </c>
      <c r="M1429" s="1853">
        <f>IF(ISERROR(L1429-L1428),0,L1429-L1428)</f>
        <v>0</v>
      </c>
      <c r="N1429" s="1851" cm="1">
        <f t="array" ref="N1429">_xlfn.IFS(
    AND(I1429=TRUE, K1429&lt;=No_Regular_Payments), Repay_Amt,
    AND(I1429=TRUE, K1429=No_Regular_Payments+1), Tm_Balloon_Amt,
   TRUE, 0
)</f>
        <v>0</v>
      </c>
      <c r="O1429" s="1850" cm="1">
        <f t="array" ref="O1429">_xlfn.IFS(
    M1429=0,0,
   ABS(N1429 - S1428 - P1429-Q1429) &lt; 1, N1429 - S1428-Q1429,
    TRUE, P1429
)</f>
        <v>0</v>
      </c>
      <c r="P1429" s="1852">
        <f>IF(M1429=0,0,ROUND(S1428*EXP(Int_Rate/365.25 * M1429)-S1428,2))</f>
        <v>0</v>
      </c>
      <c r="Q1429" s="1851" cm="1">
        <f t="array" ref="Q1429">_xlfn.IFS(
    AND(I1429=TRUE, K1429&lt;=No_Regular_Payments), Periodic_Admin_Charge,
   TRUE, 0
)</f>
        <v>0</v>
      </c>
      <c r="R1429" s="1850">
        <f>N1429-O1429-Q1429</f>
        <v>0</v>
      </c>
      <c r="S1429" s="1850">
        <f>ROUND(S1428-R1429,2)</f>
        <v>0</v>
      </c>
      <c r="T1429" s="1850">
        <f>ROUND(T1428-(N1429-Q1429),2)</f>
        <v>0</v>
      </c>
      <c r="U1429" s="1849"/>
      <c r="W1429" s="1848"/>
      <c r="X1429" s="1848"/>
      <c r="Y1429" s="1848"/>
    </row>
    <row r="1430" spans="2:25" hidden="1">
      <c r="B1430" s="1815" t="b">
        <f>AND(I1430=FALSE,N1429=0,Q1429=0,L1429="")</f>
        <v>1</v>
      </c>
      <c r="C1430" s="1844" t="str" cm="1">
        <f t="array" ref="C1430">_xlfn.IFS(
    L1430="", "",
    MONTH(L1430) &lt;= End_of_Year_Month, YEAR(L1430),
    TRUE, YEAR(L1430) + 1
)</f>
        <v/>
      </c>
      <c r="F1430" s="1857">
        <f>IF(L1430="",0,L1430)</f>
        <v>0</v>
      </c>
      <c r="G1430" s="1856">
        <f>-(N1430-Q1430)</f>
        <v>0</v>
      </c>
      <c r="I1430" s="1815" t="b">
        <f>K1430&lt;=Number_Payments</f>
        <v>0</v>
      </c>
      <c r="J1430" s="1855"/>
      <c r="K1430" s="1351">
        <f>K1429+1</f>
        <v>1304</v>
      </c>
      <c r="L1430" s="1854" t="str" cm="1">
        <f t="array" ref="L1430">_xlfn.IFS(
    I1429=FALSE, "",
    Payment_Frequency="Monthly", EDATE(L1429, 1),
    Payment_Frequency="Weekly", DATE(YEAR(L1429), MONTH(L1429), DAY(L1429) + 7),
    Payment_Frequency="Fortnightly", DATE(YEAR(L1429), MONTH(L1429), DAY(L1429) + 14),
    Payment_Frequency="Quarterly", DATE(YEAR(L1429), MONTH(L1429) + 3, DAY(L1429)),
    Payment_Frequency="Yearly", DATE(YEAR(L1429) + 1, MONTH(L1429), DAY(L1429)),
    TRUE, ""
)</f>
        <v/>
      </c>
      <c r="M1430" s="1853">
        <f>IF(ISERROR(L1430-L1429),0,L1430-L1429)</f>
        <v>0</v>
      </c>
      <c r="N1430" s="1851" cm="1">
        <f t="array" ref="N1430">_xlfn.IFS(
    AND(I1430=TRUE, K1430&lt;=No_Regular_Payments), Repay_Amt,
    AND(I1430=TRUE, K1430=No_Regular_Payments+1), Tm_Balloon_Amt,
   TRUE, 0
)</f>
        <v>0</v>
      </c>
      <c r="O1430" s="1850" cm="1">
        <f t="array" ref="O1430">_xlfn.IFS(
    M1430=0,0,
   ABS(N1430 - S1429 - P1430-Q1430) &lt; 1, N1430 - S1429-Q1430,
    TRUE, P1430
)</f>
        <v>0</v>
      </c>
      <c r="P1430" s="1852">
        <f>IF(M1430=0,0,ROUND(S1429*EXP(Int_Rate/365.25 * M1430)-S1429,2))</f>
        <v>0</v>
      </c>
      <c r="Q1430" s="1851" cm="1">
        <f t="array" ref="Q1430">_xlfn.IFS(
    AND(I1430=TRUE, K1430&lt;=No_Regular_Payments), Periodic_Admin_Charge,
   TRUE, 0
)</f>
        <v>0</v>
      </c>
      <c r="R1430" s="1850">
        <f>N1430-O1430-Q1430</f>
        <v>0</v>
      </c>
      <c r="S1430" s="1850">
        <f>ROUND(S1429-R1430,2)</f>
        <v>0</v>
      </c>
      <c r="T1430" s="1850">
        <f>ROUND(T1429-(N1430-Q1430),2)</f>
        <v>0</v>
      </c>
      <c r="U1430" s="1849"/>
      <c r="W1430" s="1848"/>
      <c r="X1430" s="1848"/>
      <c r="Y1430" s="1848"/>
    </row>
    <row r="1431" spans="2:25" hidden="1">
      <c r="B1431" s="1815" t="b">
        <f>AND(I1431=FALSE,N1430=0,Q1430=0,L1430="")</f>
        <v>1</v>
      </c>
      <c r="C1431" s="1844" t="str" cm="1">
        <f t="array" ref="C1431">_xlfn.IFS(
    L1431="", "",
    MONTH(L1431) &lt;= End_of_Year_Month, YEAR(L1431),
    TRUE, YEAR(L1431) + 1
)</f>
        <v/>
      </c>
      <c r="F1431" s="1857">
        <f>IF(L1431="",0,L1431)</f>
        <v>0</v>
      </c>
      <c r="G1431" s="1856">
        <f>-(N1431-Q1431)</f>
        <v>0</v>
      </c>
      <c r="I1431" s="1815" t="b">
        <f>K1431&lt;=Number_Payments</f>
        <v>0</v>
      </c>
      <c r="J1431" s="1855"/>
      <c r="K1431" s="1351">
        <f>K1430+1</f>
        <v>1305</v>
      </c>
      <c r="L1431" s="1854" t="str" cm="1">
        <f t="array" ref="L1431">_xlfn.IFS(
    I1430=FALSE, "",
    Payment_Frequency="Monthly", EDATE(L1430, 1),
    Payment_Frequency="Weekly", DATE(YEAR(L1430), MONTH(L1430), DAY(L1430) + 7),
    Payment_Frequency="Fortnightly", DATE(YEAR(L1430), MONTH(L1430), DAY(L1430) + 14),
    Payment_Frequency="Quarterly", DATE(YEAR(L1430), MONTH(L1430) + 3, DAY(L1430)),
    Payment_Frequency="Yearly", DATE(YEAR(L1430) + 1, MONTH(L1430), DAY(L1430)),
    TRUE, ""
)</f>
        <v/>
      </c>
      <c r="M1431" s="1853">
        <f>IF(ISERROR(L1431-L1430),0,L1431-L1430)</f>
        <v>0</v>
      </c>
      <c r="N1431" s="1851" cm="1">
        <f t="array" ref="N1431">_xlfn.IFS(
    AND(I1431=TRUE, K1431&lt;=No_Regular_Payments), Repay_Amt,
    AND(I1431=TRUE, K1431=No_Regular_Payments+1), Tm_Balloon_Amt,
   TRUE, 0
)</f>
        <v>0</v>
      </c>
      <c r="O1431" s="1850" cm="1">
        <f t="array" ref="O1431">_xlfn.IFS(
    M1431=0,0,
   ABS(N1431 - S1430 - P1431-Q1431) &lt; 1, N1431 - S1430-Q1431,
    TRUE, P1431
)</f>
        <v>0</v>
      </c>
      <c r="P1431" s="1852">
        <f>IF(M1431=0,0,ROUND(S1430*EXP(Int_Rate/365.25 * M1431)-S1430,2))</f>
        <v>0</v>
      </c>
      <c r="Q1431" s="1851" cm="1">
        <f t="array" ref="Q1431">_xlfn.IFS(
    AND(I1431=TRUE, K1431&lt;=No_Regular_Payments), Periodic_Admin_Charge,
   TRUE, 0
)</f>
        <v>0</v>
      </c>
      <c r="R1431" s="1850">
        <f>N1431-O1431-Q1431</f>
        <v>0</v>
      </c>
      <c r="S1431" s="1850">
        <f>ROUND(S1430-R1431,2)</f>
        <v>0</v>
      </c>
      <c r="T1431" s="1850">
        <f>ROUND(T1430-(N1431-Q1431),2)</f>
        <v>0</v>
      </c>
      <c r="U1431" s="1849"/>
      <c r="W1431" s="1848"/>
      <c r="X1431" s="1848"/>
      <c r="Y1431" s="1848"/>
    </row>
    <row r="1432" spans="2:25" hidden="1">
      <c r="B1432" s="1815" t="b">
        <f>AND(I1432=FALSE,N1431=0,Q1431=0,L1431="")</f>
        <v>1</v>
      </c>
      <c r="C1432" s="1844" t="str" cm="1">
        <f t="array" ref="C1432">_xlfn.IFS(
    L1432="", "",
    MONTH(L1432) &lt;= End_of_Year_Month, YEAR(L1432),
    TRUE, YEAR(L1432) + 1
)</f>
        <v/>
      </c>
      <c r="F1432" s="1857">
        <f>IF(L1432="",0,L1432)</f>
        <v>0</v>
      </c>
      <c r="G1432" s="1856">
        <f>-(N1432-Q1432)</f>
        <v>0</v>
      </c>
      <c r="I1432" s="1815" t="b">
        <f>K1432&lt;=Number_Payments</f>
        <v>0</v>
      </c>
      <c r="J1432" s="1855"/>
      <c r="K1432" s="1351">
        <f>K1431+1</f>
        <v>1306</v>
      </c>
      <c r="L1432" s="1854" t="str" cm="1">
        <f t="array" ref="L1432">_xlfn.IFS(
    I1431=FALSE, "",
    Payment_Frequency="Monthly", EDATE(L1431, 1),
    Payment_Frequency="Weekly", DATE(YEAR(L1431), MONTH(L1431), DAY(L1431) + 7),
    Payment_Frequency="Fortnightly", DATE(YEAR(L1431), MONTH(L1431), DAY(L1431) + 14),
    Payment_Frequency="Quarterly", DATE(YEAR(L1431), MONTH(L1431) + 3, DAY(L1431)),
    Payment_Frequency="Yearly", DATE(YEAR(L1431) + 1, MONTH(L1431), DAY(L1431)),
    TRUE, ""
)</f>
        <v/>
      </c>
      <c r="M1432" s="1853">
        <f>IF(ISERROR(L1432-L1431),0,L1432-L1431)</f>
        <v>0</v>
      </c>
      <c r="N1432" s="1851" cm="1">
        <f t="array" ref="N1432">_xlfn.IFS(
    AND(I1432=TRUE, K1432&lt;=No_Regular_Payments), Repay_Amt,
    AND(I1432=TRUE, K1432=No_Regular_Payments+1), Tm_Balloon_Amt,
   TRUE, 0
)</f>
        <v>0</v>
      </c>
      <c r="O1432" s="1850" cm="1">
        <f t="array" ref="O1432">_xlfn.IFS(
    M1432=0,0,
   ABS(N1432 - S1431 - P1432-Q1432) &lt; 1, N1432 - S1431-Q1432,
    TRUE, P1432
)</f>
        <v>0</v>
      </c>
      <c r="P1432" s="1852">
        <f>IF(M1432=0,0,ROUND(S1431*EXP(Int_Rate/365.25 * M1432)-S1431,2))</f>
        <v>0</v>
      </c>
      <c r="Q1432" s="1851" cm="1">
        <f t="array" ref="Q1432">_xlfn.IFS(
    AND(I1432=TRUE, K1432&lt;=No_Regular_Payments), Periodic_Admin_Charge,
   TRUE, 0
)</f>
        <v>0</v>
      </c>
      <c r="R1432" s="1850">
        <f>N1432-O1432-Q1432</f>
        <v>0</v>
      </c>
      <c r="S1432" s="1850">
        <f>ROUND(S1431-R1432,2)</f>
        <v>0</v>
      </c>
      <c r="T1432" s="1850">
        <f>ROUND(T1431-(N1432-Q1432),2)</f>
        <v>0</v>
      </c>
      <c r="U1432" s="1849"/>
      <c r="W1432" s="1848"/>
      <c r="X1432" s="1848"/>
      <c r="Y1432" s="1848"/>
    </row>
    <row r="1433" spans="2:25" hidden="1">
      <c r="B1433" s="1815" t="b">
        <f>AND(I1433=FALSE,N1432=0,Q1432=0,L1432="")</f>
        <v>1</v>
      </c>
      <c r="C1433" s="1844" t="str" cm="1">
        <f t="array" ref="C1433">_xlfn.IFS(
    L1433="", "",
    MONTH(L1433) &lt;= End_of_Year_Month, YEAR(L1433),
    TRUE, YEAR(L1433) + 1
)</f>
        <v/>
      </c>
      <c r="F1433" s="1857">
        <f>IF(L1433="",0,L1433)</f>
        <v>0</v>
      </c>
      <c r="G1433" s="1856">
        <f>-(N1433-Q1433)</f>
        <v>0</v>
      </c>
      <c r="I1433" s="1815" t="b">
        <f>K1433&lt;=Number_Payments</f>
        <v>0</v>
      </c>
      <c r="J1433" s="1855"/>
      <c r="K1433" s="1351">
        <f>K1432+1</f>
        <v>1307</v>
      </c>
      <c r="L1433" s="1854" t="str" cm="1">
        <f t="array" ref="L1433">_xlfn.IFS(
    I1432=FALSE, "",
    Payment_Frequency="Monthly", EDATE(L1432, 1),
    Payment_Frequency="Weekly", DATE(YEAR(L1432), MONTH(L1432), DAY(L1432) + 7),
    Payment_Frequency="Fortnightly", DATE(YEAR(L1432), MONTH(L1432), DAY(L1432) + 14),
    Payment_Frequency="Quarterly", DATE(YEAR(L1432), MONTH(L1432) + 3, DAY(L1432)),
    Payment_Frequency="Yearly", DATE(YEAR(L1432) + 1, MONTH(L1432), DAY(L1432)),
    TRUE, ""
)</f>
        <v/>
      </c>
      <c r="M1433" s="1853">
        <f>IF(ISERROR(L1433-L1432),0,L1433-L1432)</f>
        <v>0</v>
      </c>
      <c r="N1433" s="1851" cm="1">
        <f t="array" ref="N1433">_xlfn.IFS(
    AND(I1433=TRUE, K1433&lt;=No_Regular_Payments), Repay_Amt,
    AND(I1433=TRUE, K1433=No_Regular_Payments+1), Tm_Balloon_Amt,
   TRUE, 0
)</f>
        <v>0</v>
      </c>
      <c r="O1433" s="1850" cm="1">
        <f t="array" ref="O1433">_xlfn.IFS(
    M1433=0,0,
   ABS(N1433 - S1432 - P1433-Q1433) &lt; 1, N1433 - S1432-Q1433,
    TRUE, P1433
)</f>
        <v>0</v>
      </c>
      <c r="P1433" s="1852">
        <f>IF(M1433=0,0,ROUND(S1432*EXP(Int_Rate/365.25 * M1433)-S1432,2))</f>
        <v>0</v>
      </c>
      <c r="Q1433" s="1851" cm="1">
        <f t="array" ref="Q1433">_xlfn.IFS(
    AND(I1433=TRUE, K1433&lt;=No_Regular_Payments), Periodic_Admin_Charge,
   TRUE, 0
)</f>
        <v>0</v>
      </c>
      <c r="R1433" s="1850">
        <f>N1433-O1433-Q1433</f>
        <v>0</v>
      </c>
      <c r="S1433" s="1850">
        <f>ROUND(S1432-R1433,2)</f>
        <v>0</v>
      </c>
      <c r="T1433" s="1850">
        <f>ROUND(T1432-(N1433-Q1433),2)</f>
        <v>0</v>
      </c>
      <c r="U1433" s="1849"/>
      <c r="W1433" s="1848"/>
      <c r="X1433" s="1848"/>
      <c r="Y1433" s="1848"/>
    </row>
    <row r="1434" spans="2:25" hidden="1">
      <c r="B1434" s="1815" t="b">
        <f>AND(I1434=FALSE,N1433=0,Q1433=0,L1433="")</f>
        <v>1</v>
      </c>
      <c r="C1434" s="1844" t="str" cm="1">
        <f t="array" ref="C1434">_xlfn.IFS(
    L1434="", "",
    MONTH(L1434) &lt;= End_of_Year_Month, YEAR(L1434),
    TRUE, YEAR(L1434) + 1
)</f>
        <v/>
      </c>
      <c r="F1434" s="1857">
        <f>IF(L1434="",0,L1434)</f>
        <v>0</v>
      </c>
      <c r="G1434" s="1856">
        <f>-(N1434-Q1434)</f>
        <v>0</v>
      </c>
      <c r="I1434" s="1815" t="b">
        <f>K1434&lt;=Number_Payments</f>
        <v>0</v>
      </c>
      <c r="J1434" s="1855"/>
      <c r="K1434" s="1351">
        <f>K1433+1</f>
        <v>1308</v>
      </c>
      <c r="L1434" s="1854" t="str" cm="1">
        <f t="array" ref="L1434">_xlfn.IFS(
    I1433=FALSE, "",
    Payment_Frequency="Monthly", EDATE(L1433, 1),
    Payment_Frequency="Weekly", DATE(YEAR(L1433), MONTH(L1433), DAY(L1433) + 7),
    Payment_Frequency="Fortnightly", DATE(YEAR(L1433), MONTH(L1433), DAY(L1433) + 14),
    Payment_Frequency="Quarterly", DATE(YEAR(L1433), MONTH(L1433) + 3, DAY(L1433)),
    Payment_Frequency="Yearly", DATE(YEAR(L1433) + 1, MONTH(L1433), DAY(L1433)),
    TRUE, ""
)</f>
        <v/>
      </c>
      <c r="M1434" s="1853">
        <f>IF(ISERROR(L1434-L1433),0,L1434-L1433)</f>
        <v>0</v>
      </c>
      <c r="N1434" s="1851" cm="1">
        <f t="array" ref="N1434">_xlfn.IFS(
    AND(I1434=TRUE, K1434&lt;=No_Regular_Payments), Repay_Amt,
    AND(I1434=TRUE, K1434=No_Regular_Payments+1), Tm_Balloon_Amt,
   TRUE, 0
)</f>
        <v>0</v>
      </c>
      <c r="O1434" s="1850" cm="1">
        <f t="array" ref="O1434">_xlfn.IFS(
    M1434=0,0,
   ABS(N1434 - S1433 - P1434-Q1434) &lt; 1, N1434 - S1433-Q1434,
    TRUE, P1434
)</f>
        <v>0</v>
      </c>
      <c r="P1434" s="1852">
        <f>IF(M1434=0,0,ROUND(S1433*EXP(Int_Rate/365.25 * M1434)-S1433,2))</f>
        <v>0</v>
      </c>
      <c r="Q1434" s="1851" cm="1">
        <f t="array" ref="Q1434">_xlfn.IFS(
    AND(I1434=TRUE, K1434&lt;=No_Regular_Payments), Periodic_Admin_Charge,
   TRUE, 0
)</f>
        <v>0</v>
      </c>
      <c r="R1434" s="1850">
        <f>N1434-O1434-Q1434</f>
        <v>0</v>
      </c>
      <c r="S1434" s="1850">
        <f>ROUND(S1433-R1434,2)</f>
        <v>0</v>
      </c>
      <c r="T1434" s="1850">
        <f>ROUND(T1433-(N1434-Q1434),2)</f>
        <v>0</v>
      </c>
      <c r="U1434" s="1849"/>
      <c r="W1434" s="1848"/>
      <c r="X1434" s="1848"/>
      <c r="Y1434" s="1848"/>
    </row>
    <row r="1435" spans="2:25" hidden="1">
      <c r="B1435" s="1815" t="b">
        <f>AND(I1435=FALSE,N1434=0,Q1434=0,L1434="")</f>
        <v>1</v>
      </c>
      <c r="C1435" s="1844" t="str" cm="1">
        <f t="array" ref="C1435">_xlfn.IFS(
    L1435="", "",
    MONTH(L1435) &lt;= End_of_Year_Month, YEAR(L1435),
    TRUE, YEAR(L1435) + 1
)</f>
        <v/>
      </c>
      <c r="F1435" s="1857">
        <f>IF(L1435="",0,L1435)</f>
        <v>0</v>
      </c>
      <c r="G1435" s="1856">
        <f>-(N1435-Q1435)</f>
        <v>0</v>
      </c>
      <c r="I1435" s="1815" t="b">
        <f>K1435&lt;=Number_Payments</f>
        <v>0</v>
      </c>
      <c r="J1435" s="1855"/>
      <c r="K1435" s="1351">
        <f>K1434+1</f>
        <v>1309</v>
      </c>
      <c r="L1435" s="1854" t="str" cm="1">
        <f t="array" ref="L1435">_xlfn.IFS(
    I1434=FALSE, "",
    Payment_Frequency="Monthly", EDATE(L1434, 1),
    Payment_Frequency="Weekly", DATE(YEAR(L1434), MONTH(L1434), DAY(L1434) + 7),
    Payment_Frequency="Fortnightly", DATE(YEAR(L1434), MONTH(L1434), DAY(L1434) + 14),
    Payment_Frequency="Quarterly", DATE(YEAR(L1434), MONTH(L1434) + 3, DAY(L1434)),
    Payment_Frequency="Yearly", DATE(YEAR(L1434) + 1, MONTH(L1434), DAY(L1434)),
    TRUE, ""
)</f>
        <v/>
      </c>
      <c r="M1435" s="1853">
        <f>IF(ISERROR(L1435-L1434),0,L1435-L1434)</f>
        <v>0</v>
      </c>
      <c r="N1435" s="1851" cm="1">
        <f t="array" ref="N1435">_xlfn.IFS(
    AND(I1435=TRUE, K1435&lt;=No_Regular_Payments), Repay_Amt,
    AND(I1435=TRUE, K1435=No_Regular_Payments+1), Tm_Balloon_Amt,
   TRUE, 0
)</f>
        <v>0</v>
      </c>
      <c r="O1435" s="1850" cm="1">
        <f t="array" ref="O1435">_xlfn.IFS(
    M1435=0,0,
   ABS(N1435 - S1434 - P1435-Q1435) &lt; 1, N1435 - S1434-Q1435,
    TRUE, P1435
)</f>
        <v>0</v>
      </c>
      <c r="P1435" s="1852">
        <f>IF(M1435=0,0,ROUND(S1434*EXP(Int_Rate/365.25 * M1435)-S1434,2))</f>
        <v>0</v>
      </c>
      <c r="Q1435" s="1851" cm="1">
        <f t="array" ref="Q1435">_xlfn.IFS(
    AND(I1435=TRUE, K1435&lt;=No_Regular_Payments), Periodic_Admin_Charge,
   TRUE, 0
)</f>
        <v>0</v>
      </c>
      <c r="R1435" s="1850">
        <f>N1435-O1435-Q1435</f>
        <v>0</v>
      </c>
      <c r="S1435" s="1850">
        <f>ROUND(S1434-R1435,2)</f>
        <v>0</v>
      </c>
      <c r="T1435" s="1850">
        <f>ROUND(T1434-(N1435-Q1435),2)</f>
        <v>0</v>
      </c>
      <c r="U1435" s="1849"/>
      <c r="W1435" s="1848"/>
      <c r="X1435" s="1848"/>
      <c r="Y1435" s="1848"/>
    </row>
    <row r="1436" spans="2:25" hidden="1">
      <c r="B1436" s="1815" t="b">
        <f>AND(I1436=FALSE,N1435=0,Q1435=0,L1435="")</f>
        <v>1</v>
      </c>
      <c r="C1436" s="1844" t="str" cm="1">
        <f t="array" ref="C1436">_xlfn.IFS(
    L1436="", "",
    MONTH(L1436) &lt;= End_of_Year_Month, YEAR(L1436),
    TRUE, YEAR(L1436) + 1
)</f>
        <v/>
      </c>
      <c r="F1436" s="1857">
        <f>IF(L1436="",0,L1436)</f>
        <v>0</v>
      </c>
      <c r="G1436" s="1856">
        <f>-(N1436-Q1436)</f>
        <v>0</v>
      </c>
      <c r="I1436" s="1815" t="b">
        <f>K1436&lt;=Number_Payments</f>
        <v>0</v>
      </c>
      <c r="J1436" s="1855"/>
      <c r="K1436" s="1351">
        <f>K1435+1</f>
        <v>1310</v>
      </c>
      <c r="L1436" s="1854" t="str" cm="1">
        <f t="array" ref="L1436">_xlfn.IFS(
    I1435=FALSE, "",
    Payment_Frequency="Monthly", EDATE(L1435, 1),
    Payment_Frequency="Weekly", DATE(YEAR(L1435), MONTH(L1435), DAY(L1435) + 7),
    Payment_Frequency="Fortnightly", DATE(YEAR(L1435), MONTH(L1435), DAY(L1435) + 14),
    Payment_Frequency="Quarterly", DATE(YEAR(L1435), MONTH(L1435) + 3, DAY(L1435)),
    Payment_Frequency="Yearly", DATE(YEAR(L1435) + 1, MONTH(L1435), DAY(L1435)),
    TRUE, ""
)</f>
        <v/>
      </c>
      <c r="M1436" s="1853">
        <f>IF(ISERROR(L1436-L1435),0,L1436-L1435)</f>
        <v>0</v>
      </c>
      <c r="N1436" s="1851" cm="1">
        <f t="array" ref="N1436">_xlfn.IFS(
    AND(I1436=TRUE, K1436&lt;=No_Regular_Payments), Repay_Amt,
    AND(I1436=TRUE, K1436=No_Regular_Payments+1), Tm_Balloon_Amt,
   TRUE, 0
)</f>
        <v>0</v>
      </c>
      <c r="O1436" s="1850" cm="1">
        <f t="array" ref="O1436">_xlfn.IFS(
    M1436=0,0,
   ABS(N1436 - S1435 - P1436-Q1436) &lt; 1, N1436 - S1435-Q1436,
    TRUE, P1436
)</f>
        <v>0</v>
      </c>
      <c r="P1436" s="1852">
        <f>IF(M1436=0,0,ROUND(S1435*EXP(Int_Rate/365.25 * M1436)-S1435,2))</f>
        <v>0</v>
      </c>
      <c r="Q1436" s="1851" cm="1">
        <f t="array" ref="Q1436">_xlfn.IFS(
    AND(I1436=TRUE, K1436&lt;=No_Regular_Payments), Periodic_Admin_Charge,
   TRUE, 0
)</f>
        <v>0</v>
      </c>
      <c r="R1436" s="1850">
        <f>N1436-O1436-Q1436</f>
        <v>0</v>
      </c>
      <c r="S1436" s="1850">
        <f>ROUND(S1435-R1436,2)</f>
        <v>0</v>
      </c>
      <c r="T1436" s="1850">
        <f>ROUND(T1435-(N1436-Q1436),2)</f>
        <v>0</v>
      </c>
      <c r="U1436" s="1849"/>
      <c r="W1436" s="1848"/>
      <c r="X1436" s="1848"/>
      <c r="Y1436" s="1848"/>
    </row>
    <row r="1437" spans="2:25" hidden="1">
      <c r="B1437" s="1815" t="b">
        <f>AND(I1437=FALSE,N1436=0,Q1436=0,L1436="")</f>
        <v>1</v>
      </c>
      <c r="C1437" s="1844" t="str" cm="1">
        <f t="array" ref="C1437">_xlfn.IFS(
    L1437="", "",
    MONTH(L1437) &lt;= End_of_Year_Month, YEAR(L1437),
    TRUE, YEAR(L1437) + 1
)</f>
        <v/>
      </c>
      <c r="F1437" s="1857">
        <f>IF(L1437="",0,L1437)</f>
        <v>0</v>
      </c>
      <c r="G1437" s="1856">
        <f>-(N1437-Q1437)</f>
        <v>0</v>
      </c>
      <c r="I1437" s="1815" t="b">
        <f>K1437&lt;=Number_Payments</f>
        <v>0</v>
      </c>
      <c r="J1437" s="1855"/>
      <c r="K1437" s="1351">
        <f>K1436+1</f>
        <v>1311</v>
      </c>
      <c r="L1437" s="1854" t="str" cm="1">
        <f t="array" ref="L1437">_xlfn.IFS(
    I1436=FALSE, "",
    Payment_Frequency="Monthly", EDATE(L1436, 1),
    Payment_Frequency="Weekly", DATE(YEAR(L1436), MONTH(L1436), DAY(L1436) + 7),
    Payment_Frequency="Fortnightly", DATE(YEAR(L1436), MONTH(L1436), DAY(L1436) + 14),
    Payment_Frequency="Quarterly", DATE(YEAR(L1436), MONTH(L1436) + 3, DAY(L1436)),
    Payment_Frequency="Yearly", DATE(YEAR(L1436) + 1, MONTH(L1436), DAY(L1436)),
    TRUE, ""
)</f>
        <v/>
      </c>
      <c r="M1437" s="1853">
        <f>IF(ISERROR(L1437-L1436),0,L1437-L1436)</f>
        <v>0</v>
      </c>
      <c r="N1437" s="1851" cm="1">
        <f t="array" ref="N1437">_xlfn.IFS(
    AND(I1437=TRUE, K1437&lt;=No_Regular_Payments), Repay_Amt,
    AND(I1437=TRUE, K1437=No_Regular_Payments+1), Tm_Balloon_Amt,
   TRUE, 0
)</f>
        <v>0</v>
      </c>
      <c r="O1437" s="1850" cm="1">
        <f t="array" ref="O1437">_xlfn.IFS(
    M1437=0,0,
   ABS(N1437 - S1436 - P1437-Q1437) &lt; 1, N1437 - S1436-Q1437,
    TRUE, P1437
)</f>
        <v>0</v>
      </c>
      <c r="P1437" s="1852">
        <f>IF(M1437=0,0,ROUND(S1436*EXP(Int_Rate/365.25 * M1437)-S1436,2))</f>
        <v>0</v>
      </c>
      <c r="Q1437" s="1851" cm="1">
        <f t="array" ref="Q1437">_xlfn.IFS(
    AND(I1437=TRUE, K1437&lt;=No_Regular_Payments), Periodic_Admin_Charge,
   TRUE, 0
)</f>
        <v>0</v>
      </c>
      <c r="R1437" s="1850">
        <f>N1437-O1437-Q1437</f>
        <v>0</v>
      </c>
      <c r="S1437" s="1850">
        <f>ROUND(S1436-R1437,2)</f>
        <v>0</v>
      </c>
      <c r="T1437" s="1850">
        <f>ROUND(T1436-(N1437-Q1437),2)</f>
        <v>0</v>
      </c>
      <c r="U1437" s="1849"/>
      <c r="W1437" s="1848"/>
      <c r="X1437" s="1848"/>
      <c r="Y1437" s="1848"/>
    </row>
    <row r="1438" spans="2:25" hidden="1">
      <c r="B1438" s="1815" t="b">
        <f>AND(I1438=FALSE,N1437=0,Q1437=0,L1437="")</f>
        <v>1</v>
      </c>
      <c r="C1438" s="1844" t="str" cm="1">
        <f t="array" ref="C1438">_xlfn.IFS(
    L1438="", "",
    MONTH(L1438) &lt;= End_of_Year_Month, YEAR(L1438),
    TRUE, YEAR(L1438) + 1
)</f>
        <v/>
      </c>
      <c r="F1438" s="1857">
        <f>IF(L1438="",0,L1438)</f>
        <v>0</v>
      </c>
      <c r="G1438" s="1856">
        <f>-(N1438-Q1438)</f>
        <v>0</v>
      </c>
      <c r="I1438" s="1815" t="b">
        <f>K1438&lt;=Number_Payments</f>
        <v>0</v>
      </c>
      <c r="J1438" s="1855"/>
      <c r="K1438" s="1351">
        <f>K1437+1</f>
        <v>1312</v>
      </c>
      <c r="L1438" s="1854" t="str" cm="1">
        <f t="array" ref="L1438">_xlfn.IFS(
    I1437=FALSE, "",
    Payment_Frequency="Monthly", EDATE(L1437, 1),
    Payment_Frequency="Weekly", DATE(YEAR(L1437), MONTH(L1437), DAY(L1437) + 7),
    Payment_Frequency="Fortnightly", DATE(YEAR(L1437), MONTH(L1437), DAY(L1437) + 14),
    Payment_Frequency="Quarterly", DATE(YEAR(L1437), MONTH(L1437) + 3, DAY(L1437)),
    Payment_Frequency="Yearly", DATE(YEAR(L1437) + 1, MONTH(L1437), DAY(L1437)),
    TRUE, ""
)</f>
        <v/>
      </c>
      <c r="M1438" s="1853">
        <f>IF(ISERROR(L1438-L1437),0,L1438-L1437)</f>
        <v>0</v>
      </c>
      <c r="N1438" s="1851" cm="1">
        <f t="array" ref="N1438">_xlfn.IFS(
    AND(I1438=TRUE, K1438&lt;=No_Regular_Payments), Repay_Amt,
    AND(I1438=TRUE, K1438=No_Regular_Payments+1), Tm_Balloon_Amt,
   TRUE, 0
)</f>
        <v>0</v>
      </c>
      <c r="O1438" s="1850" cm="1">
        <f t="array" ref="O1438">_xlfn.IFS(
    M1438=0,0,
   ABS(N1438 - S1437 - P1438-Q1438) &lt; 1, N1438 - S1437-Q1438,
    TRUE, P1438
)</f>
        <v>0</v>
      </c>
      <c r="P1438" s="1852">
        <f>IF(M1438=0,0,ROUND(S1437*EXP(Int_Rate/365.25 * M1438)-S1437,2))</f>
        <v>0</v>
      </c>
      <c r="Q1438" s="1851" cm="1">
        <f t="array" ref="Q1438">_xlfn.IFS(
    AND(I1438=TRUE, K1438&lt;=No_Regular_Payments), Periodic_Admin_Charge,
   TRUE, 0
)</f>
        <v>0</v>
      </c>
      <c r="R1438" s="1850">
        <f>N1438-O1438-Q1438</f>
        <v>0</v>
      </c>
      <c r="S1438" s="1850">
        <f>ROUND(S1437-R1438,2)</f>
        <v>0</v>
      </c>
      <c r="T1438" s="1850">
        <f>ROUND(T1437-(N1438-Q1438),2)</f>
        <v>0</v>
      </c>
      <c r="U1438" s="1849"/>
      <c r="W1438" s="1848"/>
      <c r="X1438" s="1848"/>
      <c r="Y1438" s="1848"/>
    </row>
    <row r="1439" spans="2:25" hidden="1">
      <c r="B1439" s="1815" t="b">
        <f>AND(I1439=FALSE,N1438=0,Q1438=0,L1438="")</f>
        <v>1</v>
      </c>
      <c r="C1439" s="1844" t="str" cm="1">
        <f t="array" ref="C1439">_xlfn.IFS(
    L1439="", "",
    MONTH(L1439) &lt;= End_of_Year_Month, YEAR(L1439),
    TRUE, YEAR(L1439) + 1
)</f>
        <v/>
      </c>
      <c r="F1439" s="1857">
        <f>IF(L1439="",0,L1439)</f>
        <v>0</v>
      </c>
      <c r="G1439" s="1856">
        <f>-(N1439-Q1439)</f>
        <v>0</v>
      </c>
      <c r="I1439" s="1815" t="b">
        <f>K1439&lt;=Number_Payments</f>
        <v>0</v>
      </c>
      <c r="J1439" s="1855"/>
      <c r="K1439" s="1351">
        <f>K1438+1</f>
        <v>1313</v>
      </c>
      <c r="L1439" s="1854" t="str" cm="1">
        <f t="array" ref="L1439">_xlfn.IFS(
    I1438=FALSE, "",
    Payment_Frequency="Monthly", EDATE(L1438, 1),
    Payment_Frequency="Weekly", DATE(YEAR(L1438), MONTH(L1438), DAY(L1438) + 7),
    Payment_Frequency="Fortnightly", DATE(YEAR(L1438), MONTH(L1438), DAY(L1438) + 14),
    Payment_Frequency="Quarterly", DATE(YEAR(L1438), MONTH(L1438) + 3, DAY(L1438)),
    Payment_Frequency="Yearly", DATE(YEAR(L1438) + 1, MONTH(L1438), DAY(L1438)),
    TRUE, ""
)</f>
        <v/>
      </c>
      <c r="M1439" s="1853">
        <f>IF(ISERROR(L1439-L1438),0,L1439-L1438)</f>
        <v>0</v>
      </c>
      <c r="N1439" s="1851" cm="1">
        <f t="array" ref="N1439">_xlfn.IFS(
    AND(I1439=TRUE, K1439&lt;=No_Regular_Payments), Repay_Amt,
    AND(I1439=TRUE, K1439=No_Regular_Payments+1), Tm_Balloon_Amt,
   TRUE, 0
)</f>
        <v>0</v>
      </c>
      <c r="O1439" s="1850" cm="1">
        <f t="array" ref="O1439">_xlfn.IFS(
    M1439=0,0,
   ABS(N1439 - S1438 - P1439-Q1439) &lt; 1, N1439 - S1438-Q1439,
    TRUE, P1439
)</f>
        <v>0</v>
      </c>
      <c r="P1439" s="1852">
        <f>IF(M1439=0,0,ROUND(S1438*EXP(Int_Rate/365.25 * M1439)-S1438,2))</f>
        <v>0</v>
      </c>
      <c r="Q1439" s="1851" cm="1">
        <f t="array" ref="Q1439">_xlfn.IFS(
    AND(I1439=TRUE, K1439&lt;=No_Regular_Payments), Periodic_Admin_Charge,
   TRUE, 0
)</f>
        <v>0</v>
      </c>
      <c r="R1439" s="1850">
        <f>N1439-O1439-Q1439</f>
        <v>0</v>
      </c>
      <c r="S1439" s="1850">
        <f>ROUND(S1438-R1439,2)</f>
        <v>0</v>
      </c>
      <c r="T1439" s="1850">
        <f>ROUND(T1438-(N1439-Q1439),2)</f>
        <v>0</v>
      </c>
      <c r="U1439" s="1849"/>
      <c r="W1439" s="1848"/>
      <c r="X1439" s="1848"/>
      <c r="Y1439" s="1848"/>
    </row>
    <row r="1440" spans="2:25" hidden="1">
      <c r="B1440" s="1815" t="b">
        <f>AND(I1440=FALSE,N1439=0,Q1439=0,L1439="")</f>
        <v>1</v>
      </c>
      <c r="C1440" s="1844" t="str" cm="1">
        <f t="array" ref="C1440">_xlfn.IFS(
    L1440="", "",
    MONTH(L1440) &lt;= End_of_Year_Month, YEAR(L1440),
    TRUE, YEAR(L1440) + 1
)</f>
        <v/>
      </c>
      <c r="F1440" s="1857">
        <f>IF(L1440="",0,L1440)</f>
        <v>0</v>
      </c>
      <c r="G1440" s="1856">
        <f>-(N1440-Q1440)</f>
        <v>0</v>
      </c>
      <c r="I1440" s="1815" t="b">
        <f>K1440&lt;=Number_Payments</f>
        <v>0</v>
      </c>
      <c r="J1440" s="1855"/>
      <c r="K1440" s="1351">
        <f>K1439+1</f>
        <v>1314</v>
      </c>
      <c r="L1440" s="1854" t="str" cm="1">
        <f t="array" ref="L1440">_xlfn.IFS(
    I1439=FALSE, "",
    Payment_Frequency="Monthly", EDATE(L1439, 1),
    Payment_Frequency="Weekly", DATE(YEAR(L1439), MONTH(L1439), DAY(L1439) + 7),
    Payment_Frequency="Fortnightly", DATE(YEAR(L1439), MONTH(L1439), DAY(L1439) + 14),
    Payment_Frequency="Quarterly", DATE(YEAR(L1439), MONTH(L1439) + 3, DAY(L1439)),
    Payment_Frequency="Yearly", DATE(YEAR(L1439) + 1, MONTH(L1439), DAY(L1439)),
    TRUE, ""
)</f>
        <v/>
      </c>
      <c r="M1440" s="1853">
        <f>IF(ISERROR(L1440-L1439),0,L1440-L1439)</f>
        <v>0</v>
      </c>
      <c r="N1440" s="1851" cm="1">
        <f t="array" ref="N1440">_xlfn.IFS(
    AND(I1440=TRUE, K1440&lt;=No_Regular_Payments), Repay_Amt,
    AND(I1440=TRUE, K1440=No_Regular_Payments+1), Tm_Balloon_Amt,
   TRUE, 0
)</f>
        <v>0</v>
      </c>
      <c r="O1440" s="1850" cm="1">
        <f t="array" ref="O1440">_xlfn.IFS(
    M1440=0,0,
   ABS(N1440 - S1439 - P1440-Q1440) &lt; 1, N1440 - S1439-Q1440,
    TRUE, P1440
)</f>
        <v>0</v>
      </c>
      <c r="P1440" s="1852">
        <f>IF(M1440=0,0,ROUND(S1439*EXP(Int_Rate/365.25 * M1440)-S1439,2))</f>
        <v>0</v>
      </c>
      <c r="Q1440" s="1851" cm="1">
        <f t="array" ref="Q1440">_xlfn.IFS(
    AND(I1440=TRUE, K1440&lt;=No_Regular_Payments), Periodic_Admin_Charge,
   TRUE, 0
)</f>
        <v>0</v>
      </c>
      <c r="R1440" s="1850">
        <f>N1440-O1440-Q1440</f>
        <v>0</v>
      </c>
      <c r="S1440" s="1850">
        <f>ROUND(S1439-R1440,2)</f>
        <v>0</v>
      </c>
      <c r="T1440" s="1850">
        <f>ROUND(T1439-(N1440-Q1440),2)</f>
        <v>0</v>
      </c>
      <c r="U1440" s="1849"/>
      <c r="W1440" s="1848"/>
      <c r="X1440" s="1848"/>
      <c r="Y1440" s="1848"/>
    </row>
    <row r="1441" spans="2:25" hidden="1">
      <c r="B1441" s="1815" t="b">
        <f>AND(I1441=FALSE,N1440=0,Q1440=0,L1440="")</f>
        <v>1</v>
      </c>
      <c r="C1441" s="1844" t="str" cm="1">
        <f t="array" ref="C1441">_xlfn.IFS(
    L1441="", "",
    MONTH(L1441) &lt;= End_of_Year_Month, YEAR(L1441),
    TRUE, YEAR(L1441) + 1
)</f>
        <v/>
      </c>
      <c r="F1441" s="1857">
        <f>IF(L1441="",0,L1441)</f>
        <v>0</v>
      </c>
      <c r="G1441" s="1856">
        <f>-(N1441-Q1441)</f>
        <v>0</v>
      </c>
      <c r="I1441" s="1815" t="b">
        <f>K1441&lt;=Number_Payments</f>
        <v>0</v>
      </c>
      <c r="J1441" s="1855"/>
      <c r="K1441" s="1351">
        <f>K1440+1</f>
        <v>1315</v>
      </c>
      <c r="L1441" s="1854" t="str" cm="1">
        <f t="array" ref="L1441">_xlfn.IFS(
    I1440=FALSE, "",
    Payment_Frequency="Monthly", EDATE(L1440, 1),
    Payment_Frequency="Weekly", DATE(YEAR(L1440), MONTH(L1440), DAY(L1440) + 7),
    Payment_Frequency="Fortnightly", DATE(YEAR(L1440), MONTH(L1440), DAY(L1440) + 14),
    Payment_Frequency="Quarterly", DATE(YEAR(L1440), MONTH(L1440) + 3, DAY(L1440)),
    Payment_Frequency="Yearly", DATE(YEAR(L1440) + 1, MONTH(L1440), DAY(L1440)),
    TRUE, ""
)</f>
        <v/>
      </c>
      <c r="M1441" s="1853">
        <f>IF(ISERROR(L1441-L1440),0,L1441-L1440)</f>
        <v>0</v>
      </c>
      <c r="N1441" s="1851" cm="1">
        <f t="array" ref="N1441">_xlfn.IFS(
    AND(I1441=TRUE, K1441&lt;=No_Regular_Payments), Repay_Amt,
    AND(I1441=TRUE, K1441=No_Regular_Payments+1), Tm_Balloon_Amt,
   TRUE, 0
)</f>
        <v>0</v>
      </c>
      <c r="O1441" s="1850" cm="1">
        <f t="array" ref="O1441">_xlfn.IFS(
    M1441=0,0,
   ABS(N1441 - S1440 - P1441-Q1441) &lt; 1, N1441 - S1440-Q1441,
    TRUE, P1441
)</f>
        <v>0</v>
      </c>
      <c r="P1441" s="1852">
        <f>IF(M1441=0,0,ROUND(S1440*EXP(Int_Rate/365.25 * M1441)-S1440,2))</f>
        <v>0</v>
      </c>
      <c r="Q1441" s="1851" cm="1">
        <f t="array" ref="Q1441">_xlfn.IFS(
    AND(I1441=TRUE, K1441&lt;=No_Regular_Payments), Periodic_Admin_Charge,
   TRUE, 0
)</f>
        <v>0</v>
      </c>
      <c r="R1441" s="1850">
        <f>N1441-O1441-Q1441</f>
        <v>0</v>
      </c>
      <c r="S1441" s="1850">
        <f>ROUND(S1440-R1441,2)</f>
        <v>0</v>
      </c>
      <c r="T1441" s="1850">
        <f>ROUND(T1440-(N1441-Q1441),2)</f>
        <v>0</v>
      </c>
      <c r="U1441" s="1849"/>
      <c r="W1441" s="1848"/>
      <c r="X1441" s="1848"/>
      <c r="Y1441" s="1848"/>
    </row>
    <row r="1442" spans="2:25" hidden="1">
      <c r="B1442" s="1815" t="b">
        <f>AND(I1442=FALSE,N1441=0,Q1441=0,L1441="")</f>
        <v>1</v>
      </c>
      <c r="C1442" s="1844" t="str" cm="1">
        <f t="array" ref="C1442">_xlfn.IFS(
    L1442="", "",
    MONTH(L1442) &lt;= End_of_Year_Month, YEAR(L1442),
    TRUE, YEAR(L1442) + 1
)</f>
        <v/>
      </c>
      <c r="F1442" s="1857">
        <f>IF(L1442="",0,L1442)</f>
        <v>0</v>
      </c>
      <c r="G1442" s="1856">
        <f>-(N1442-Q1442)</f>
        <v>0</v>
      </c>
      <c r="I1442" s="1815" t="b">
        <f>K1442&lt;=Number_Payments</f>
        <v>0</v>
      </c>
      <c r="J1442" s="1855"/>
      <c r="K1442" s="1351">
        <f>K1441+1</f>
        <v>1316</v>
      </c>
      <c r="L1442" s="1854" t="str" cm="1">
        <f t="array" ref="L1442">_xlfn.IFS(
    I1441=FALSE, "",
    Payment_Frequency="Monthly", EDATE(L1441, 1),
    Payment_Frequency="Weekly", DATE(YEAR(L1441), MONTH(L1441), DAY(L1441) + 7),
    Payment_Frequency="Fortnightly", DATE(YEAR(L1441), MONTH(L1441), DAY(L1441) + 14),
    Payment_Frequency="Quarterly", DATE(YEAR(L1441), MONTH(L1441) + 3, DAY(L1441)),
    Payment_Frequency="Yearly", DATE(YEAR(L1441) + 1, MONTH(L1441), DAY(L1441)),
    TRUE, ""
)</f>
        <v/>
      </c>
      <c r="M1442" s="1853">
        <f>IF(ISERROR(L1442-L1441),0,L1442-L1441)</f>
        <v>0</v>
      </c>
      <c r="N1442" s="1851" cm="1">
        <f t="array" ref="N1442">_xlfn.IFS(
    AND(I1442=TRUE, K1442&lt;=No_Regular_Payments), Repay_Amt,
    AND(I1442=TRUE, K1442=No_Regular_Payments+1), Tm_Balloon_Amt,
   TRUE, 0
)</f>
        <v>0</v>
      </c>
      <c r="O1442" s="1850" cm="1">
        <f t="array" ref="O1442">_xlfn.IFS(
    M1442=0,0,
   ABS(N1442 - S1441 - P1442-Q1442) &lt; 1, N1442 - S1441-Q1442,
    TRUE, P1442
)</f>
        <v>0</v>
      </c>
      <c r="P1442" s="1852">
        <f>IF(M1442=0,0,ROUND(S1441*EXP(Int_Rate/365.25 * M1442)-S1441,2))</f>
        <v>0</v>
      </c>
      <c r="Q1442" s="1851" cm="1">
        <f t="array" ref="Q1442">_xlfn.IFS(
    AND(I1442=TRUE, K1442&lt;=No_Regular_Payments), Periodic_Admin_Charge,
   TRUE, 0
)</f>
        <v>0</v>
      </c>
      <c r="R1442" s="1850">
        <f>N1442-O1442-Q1442</f>
        <v>0</v>
      </c>
      <c r="S1442" s="1850">
        <f>ROUND(S1441-R1442,2)</f>
        <v>0</v>
      </c>
      <c r="T1442" s="1850">
        <f>ROUND(T1441-(N1442-Q1442),2)</f>
        <v>0</v>
      </c>
      <c r="U1442" s="1849"/>
      <c r="W1442" s="1848"/>
      <c r="X1442" s="1848"/>
      <c r="Y1442" s="1848"/>
    </row>
    <row r="1443" spans="2:25" hidden="1">
      <c r="B1443" s="1815" t="b">
        <f>AND(I1443=FALSE,N1442=0,Q1442=0,L1442="")</f>
        <v>1</v>
      </c>
      <c r="C1443" s="1844" t="str" cm="1">
        <f t="array" ref="C1443">_xlfn.IFS(
    L1443="", "",
    MONTH(L1443) &lt;= End_of_Year_Month, YEAR(L1443),
    TRUE, YEAR(L1443) + 1
)</f>
        <v/>
      </c>
      <c r="F1443" s="1857">
        <f>IF(L1443="",0,L1443)</f>
        <v>0</v>
      </c>
      <c r="G1443" s="1856">
        <f>-(N1443-Q1443)</f>
        <v>0</v>
      </c>
      <c r="I1443" s="1815" t="b">
        <f>K1443&lt;=Number_Payments</f>
        <v>0</v>
      </c>
      <c r="J1443" s="1855"/>
      <c r="K1443" s="1351">
        <f>K1442+1</f>
        <v>1317</v>
      </c>
      <c r="L1443" s="1854" t="str" cm="1">
        <f t="array" ref="L1443">_xlfn.IFS(
    I1442=FALSE, "",
    Payment_Frequency="Monthly", EDATE(L1442, 1),
    Payment_Frequency="Weekly", DATE(YEAR(L1442), MONTH(L1442), DAY(L1442) + 7),
    Payment_Frequency="Fortnightly", DATE(YEAR(L1442), MONTH(L1442), DAY(L1442) + 14),
    Payment_Frequency="Quarterly", DATE(YEAR(L1442), MONTH(L1442) + 3, DAY(L1442)),
    Payment_Frequency="Yearly", DATE(YEAR(L1442) + 1, MONTH(L1442), DAY(L1442)),
    TRUE, ""
)</f>
        <v/>
      </c>
      <c r="M1443" s="1853">
        <f>IF(ISERROR(L1443-L1442),0,L1443-L1442)</f>
        <v>0</v>
      </c>
      <c r="N1443" s="1851" cm="1">
        <f t="array" ref="N1443">_xlfn.IFS(
    AND(I1443=TRUE, K1443&lt;=No_Regular_Payments), Repay_Amt,
    AND(I1443=TRUE, K1443=No_Regular_Payments+1), Tm_Balloon_Amt,
   TRUE, 0
)</f>
        <v>0</v>
      </c>
      <c r="O1443" s="1850" cm="1">
        <f t="array" ref="O1443">_xlfn.IFS(
    M1443=0,0,
   ABS(N1443 - S1442 - P1443-Q1443) &lt; 1, N1443 - S1442-Q1443,
    TRUE, P1443
)</f>
        <v>0</v>
      </c>
      <c r="P1443" s="1852">
        <f>IF(M1443=0,0,ROUND(S1442*EXP(Int_Rate/365.25 * M1443)-S1442,2))</f>
        <v>0</v>
      </c>
      <c r="Q1443" s="1851" cm="1">
        <f t="array" ref="Q1443">_xlfn.IFS(
    AND(I1443=TRUE, K1443&lt;=No_Regular_Payments), Periodic_Admin_Charge,
   TRUE, 0
)</f>
        <v>0</v>
      </c>
      <c r="R1443" s="1850">
        <f>N1443-O1443-Q1443</f>
        <v>0</v>
      </c>
      <c r="S1443" s="1850">
        <f>ROUND(S1442-R1443,2)</f>
        <v>0</v>
      </c>
      <c r="T1443" s="1850">
        <f>ROUND(T1442-(N1443-Q1443),2)</f>
        <v>0</v>
      </c>
      <c r="U1443" s="1849"/>
      <c r="W1443" s="1848"/>
      <c r="X1443" s="1848"/>
      <c r="Y1443" s="1848"/>
    </row>
    <row r="1444" spans="2:25" hidden="1">
      <c r="B1444" s="1815" t="b">
        <f>AND(I1444=FALSE,N1443=0,Q1443=0,L1443="")</f>
        <v>1</v>
      </c>
      <c r="C1444" s="1844" t="str" cm="1">
        <f t="array" ref="C1444">_xlfn.IFS(
    L1444="", "",
    MONTH(L1444) &lt;= End_of_Year_Month, YEAR(L1444),
    TRUE, YEAR(L1444) + 1
)</f>
        <v/>
      </c>
      <c r="F1444" s="1857">
        <f>IF(L1444="",0,L1444)</f>
        <v>0</v>
      </c>
      <c r="G1444" s="1856">
        <f>-(N1444-Q1444)</f>
        <v>0</v>
      </c>
      <c r="I1444" s="1815" t="b">
        <f>K1444&lt;=Number_Payments</f>
        <v>0</v>
      </c>
      <c r="J1444" s="1855"/>
      <c r="K1444" s="1351">
        <f>K1443+1</f>
        <v>1318</v>
      </c>
      <c r="L1444" s="1854" t="str" cm="1">
        <f t="array" ref="L1444">_xlfn.IFS(
    I1443=FALSE, "",
    Payment_Frequency="Monthly", EDATE(L1443, 1),
    Payment_Frequency="Weekly", DATE(YEAR(L1443), MONTH(L1443), DAY(L1443) + 7),
    Payment_Frequency="Fortnightly", DATE(YEAR(L1443), MONTH(L1443), DAY(L1443) + 14),
    Payment_Frequency="Quarterly", DATE(YEAR(L1443), MONTH(L1443) + 3, DAY(L1443)),
    Payment_Frequency="Yearly", DATE(YEAR(L1443) + 1, MONTH(L1443), DAY(L1443)),
    TRUE, ""
)</f>
        <v/>
      </c>
      <c r="M1444" s="1853">
        <f>IF(ISERROR(L1444-L1443),0,L1444-L1443)</f>
        <v>0</v>
      </c>
      <c r="N1444" s="1851" cm="1">
        <f t="array" ref="N1444">_xlfn.IFS(
    AND(I1444=TRUE, K1444&lt;=No_Regular_Payments), Repay_Amt,
    AND(I1444=TRUE, K1444=No_Regular_Payments+1), Tm_Balloon_Amt,
   TRUE, 0
)</f>
        <v>0</v>
      </c>
      <c r="O1444" s="1850" cm="1">
        <f t="array" ref="O1444">_xlfn.IFS(
    M1444=0,0,
   ABS(N1444 - S1443 - P1444-Q1444) &lt; 1, N1444 - S1443-Q1444,
    TRUE, P1444
)</f>
        <v>0</v>
      </c>
      <c r="P1444" s="1852">
        <f>IF(M1444=0,0,ROUND(S1443*EXP(Int_Rate/365.25 * M1444)-S1443,2))</f>
        <v>0</v>
      </c>
      <c r="Q1444" s="1851" cm="1">
        <f t="array" ref="Q1444">_xlfn.IFS(
    AND(I1444=TRUE, K1444&lt;=No_Regular_Payments), Periodic_Admin_Charge,
   TRUE, 0
)</f>
        <v>0</v>
      </c>
      <c r="R1444" s="1850">
        <f>N1444-O1444-Q1444</f>
        <v>0</v>
      </c>
      <c r="S1444" s="1850">
        <f>ROUND(S1443-R1444,2)</f>
        <v>0</v>
      </c>
      <c r="T1444" s="1850">
        <f>ROUND(T1443-(N1444-Q1444),2)</f>
        <v>0</v>
      </c>
      <c r="U1444" s="1849"/>
      <c r="W1444" s="1848"/>
      <c r="X1444" s="1848"/>
      <c r="Y1444" s="1848"/>
    </row>
    <row r="1445" spans="2:25" hidden="1">
      <c r="B1445" s="1815" t="b">
        <f>AND(I1445=FALSE,N1444=0,Q1444=0,L1444="")</f>
        <v>1</v>
      </c>
      <c r="C1445" s="1844" t="str" cm="1">
        <f t="array" ref="C1445">_xlfn.IFS(
    L1445="", "",
    MONTH(L1445) &lt;= End_of_Year_Month, YEAR(L1445),
    TRUE, YEAR(L1445) + 1
)</f>
        <v/>
      </c>
      <c r="F1445" s="1857">
        <f>IF(L1445="",0,L1445)</f>
        <v>0</v>
      </c>
      <c r="G1445" s="1856">
        <f>-(N1445-Q1445)</f>
        <v>0</v>
      </c>
      <c r="I1445" s="1815" t="b">
        <f>K1445&lt;=Number_Payments</f>
        <v>0</v>
      </c>
      <c r="J1445" s="1855"/>
      <c r="K1445" s="1351">
        <f>K1444+1</f>
        <v>1319</v>
      </c>
      <c r="L1445" s="1854" t="str" cm="1">
        <f t="array" ref="L1445">_xlfn.IFS(
    I1444=FALSE, "",
    Payment_Frequency="Monthly", EDATE(L1444, 1),
    Payment_Frequency="Weekly", DATE(YEAR(L1444), MONTH(L1444), DAY(L1444) + 7),
    Payment_Frequency="Fortnightly", DATE(YEAR(L1444), MONTH(L1444), DAY(L1444) + 14),
    Payment_Frequency="Quarterly", DATE(YEAR(L1444), MONTH(L1444) + 3, DAY(L1444)),
    Payment_Frequency="Yearly", DATE(YEAR(L1444) + 1, MONTH(L1444), DAY(L1444)),
    TRUE, ""
)</f>
        <v/>
      </c>
      <c r="M1445" s="1853">
        <f>IF(ISERROR(L1445-L1444),0,L1445-L1444)</f>
        <v>0</v>
      </c>
      <c r="N1445" s="1851" cm="1">
        <f t="array" ref="N1445">_xlfn.IFS(
    AND(I1445=TRUE, K1445&lt;=No_Regular_Payments), Repay_Amt,
    AND(I1445=TRUE, K1445=No_Regular_Payments+1), Tm_Balloon_Amt,
   TRUE, 0
)</f>
        <v>0</v>
      </c>
      <c r="O1445" s="1850" cm="1">
        <f t="array" ref="O1445">_xlfn.IFS(
    M1445=0,0,
   ABS(N1445 - S1444 - P1445-Q1445) &lt; 1, N1445 - S1444-Q1445,
    TRUE, P1445
)</f>
        <v>0</v>
      </c>
      <c r="P1445" s="1852">
        <f>IF(M1445=0,0,ROUND(S1444*EXP(Int_Rate/365.25 * M1445)-S1444,2))</f>
        <v>0</v>
      </c>
      <c r="Q1445" s="1851" cm="1">
        <f t="array" ref="Q1445">_xlfn.IFS(
    AND(I1445=TRUE, K1445&lt;=No_Regular_Payments), Periodic_Admin_Charge,
   TRUE, 0
)</f>
        <v>0</v>
      </c>
      <c r="R1445" s="1850">
        <f>N1445-O1445-Q1445</f>
        <v>0</v>
      </c>
      <c r="S1445" s="1850">
        <f>ROUND(S1444-R1445,2)</f>
        <v>0</v>
      </c>
      <c r="T1445" s="1850">
        <f>ROUND(T1444-(N1445-Q1445),2)</f>
        <v>0</v>
      </c>
      <c r="U1445" s="1849"/>
      <c r="W1445" s="1848"/>
      <c r="X1445" s="1848"/>
      <c r="Y1445" s="1848"/>
    </row>
    <row r="1446" spans="2:25" hidden="1">
      <c r="B1446" s="1815" t="b">
        <f>AND(I1446=FALSE,N1445=0,Q1445=0,L1445="")</f>
        <v>1</v>
      </c>
      <c r="C1446" s="1844" t="str" cm="1">
        <f t="array" ref="C1446">_xlfn.IFS(
    L1446="", "",
    MONTH(L1446) &lt;= End_of_Year_Month, YEAR(L1446),
    TRUE, YEAR(L1446) + 1
)</f>
        <v/>
      </c>
      <c r="F1446" s="1857">
        <f>IF(L1446="",0,L1446)</f>
        <v>0</v>
      </c>
      <c r="G1446" s="1856">
        <f>-(N1446-Q1446)</f>
        <v>0</v>
      </c>
      <c r="I1446" s="1815" t="b">
        <f>K1446&lt;=Number_Payments</f>
        <v>0</v>
      </c>
      <c r="J1446" s="1855"/>
      <c r="K1446" s="1351">
        <f>K1445+1</f>
        <v>1320</v>
      </c>
      <c r="L1446" s="1854" t="str" cm="1">
        <f t="array" ref="L1446">_xlfn.IFS(
    I1445=FALSE, "",
    Payment_Frequency="Monthly", EDATE(L1445, 1),
    Payment_Frequency="Weekly", DATE(YEAR(L1445), MONTH(L1445), DAY(L1445) + 7),
    Payment_Frequency="Fortnightly", DATE(YEAR(L1445), MONTH(L1445), DAY(L1445) + 14),
    Payment_Frequency="Quarterly", DATE(YEAR(L1445), MONTH(L1445) + 3, DAY(L1445)),
    Payment_Frequency="Yearly", DATE(YEAR(L1445) + 1, MONTH(L1445), DAY(L1445)),
    TRUE, ""
)</f>
        <v/>
      </c>
      <c r="M1446" s="1853">
        <f>IF(ISERROR(L1446-L1445),0,L1446-L1445)</f>
        <v>0</v>
      </c>
      <c r="N1446" s="1851" cm="1">
        <f t="array" ref="N1446">_xlfn.IFS(
    AND(I1446=TRUE, K1446&lt;=No_Regular_Payments), Repay_Amt,
    AND(I1446=TRUE, K1446=No_Regular_Payments+1), Tm_Balloon_Amt,
   TRUE, 0
)</f>
        <v>0</v>
      </c>
      <c r="O1446" s="1850" cm="1">
        <f t="array" ref="O1446">_xlfn.IFS(
    M1446=0,0,
   ABS(N1446 - S1445 - P1446-Q1446) &lt; 1, N1446 - S1445-Q1446,
    TRUE, P1446
)</f>
        <v>0</v>
      </c>
      <c r="P1446" s="1852">
        <f>IF(M1446=0,0,ROUND(S1445*EXP(Int_Rate/365.25 * M1446)-S1445,2))</f>
        <v>0</v>
      </c>
      <c r="Q1446" s="1851" cm="1">
        <f t="array" ref="Q1446">_xlfn.IFS(
    AND(I1446=TRUE, K1446&lt;=No_Regular_Payments), Periodic_Admin_Charge,
   TRUE, 0
)</f>
        <v>0</v>
      </c>
      <c r="R1446" s="1850">
        <f>N1446-O1446-Q1446</f>
        <v>0</v>
      </c>
      <c r="S1446" s="1850">
        <f>ROUND(S1445-R1446,2)</f>
        <v>0</v>
      </c>
      <c r="T1446" s="1850">
        <f>ROUND(T1445-(N1446-Q1446),2)</f>
        <v>0</v>
      </c>
      <c r="U1446" s="1849"/>
      <c r="W1446" s="1848"/>
      <c r="X1446" s="1848"/>
      <c r="Y1446" s="1848"/>
    </row>
    <row r="1447" spans="2:25" hidden="1">
      <c r="B1447" s="1815" t="b">
        <f>AND(I1447=FALSE,N1446=0,Q1446=0,L1446="")</f>
        <v>1</v>
      </c>
      <c r="C1447" s="1844" t="str" cm="1">
        <f t="array" ref="C1447">_xlfn.IFS(
    L1447="", "",
    MONTH(L1447) &lt;= End_of_Year_Month, YEAR(L1447),
    TRUE, YEAR(L1447) + 1
)</f>
        <v/>
      </c>
      <c r="F1447" s="1857">
        <f>IF(L1447="",0,L1447)</f>
        <v>0</v>
      </c>
      <c r="G1447" s="1856">
        <f>-(N1447-Q1447)</f>
        <v>0</v>
      </c>
      <c r="I1447" s="1815" t="b">
        <f>K1447&lt;=Number_Payments</f>
        <v>0</v>
      </c>
      <c r="J1447" s="1855"/>
      <c r="K1447" s="1351">
        <f>K1446+1</f>
        <v>1321</v>
      </c>
      <c r="L1447" s="1854" t="str" cm="1">
        <f t="array" ref="L1447">_xlfn.IFS(
    I1446=FALSE, "",
    Payment_Frequency="Monthly", EDATE(L1446, 1),
    Payment_Frequency="Weekly", DATE(YEAR(L1446), MONTH(L1446), DAY(L1446) + 7),
    Payment_Frequency="Fortnightly", DATE(YEAR(L1446), MONTH(L1446), DAY(L1446) + 14),
    Payment_Frequency="Quarterly", DATE(YEAR(L1446), MONTH(L1446) + 3, DAY(L1446)),
    Payment_Frequency="Yearly", DATE(YEAR(L1446) + 1, MONTH(L1446), DAY(L1446)),
    TRUE, ""
)</f>
        <v/>
      </c>
      <c r="M1447" s="1853">
        <f>IF(ISERROR(L1447-L1446),0,L1447-L1446)</f>
        <v>0</v>
      </c>
      <c r="N1447" s="1851" cm="1">
        <f t="array" ref="N1447">_xlfn.IFS(
    AND(I1447=TRUE, K1447&lt;=No_Regular_Payments), Repay_Amt,
    AND(I1447=TRUE, K1447=No_Regular_Payments+1), Tm_Balloon_Amt,
   TRUE, 0
)</f>
        <v>0</v>
      </c>
      <c r="O1447" s="1850" cm="1">
        <f t="array" ref="O1447">_xlfn.IFS(
    M1447=0,0,
   ABS(N1447 - S1446 - P1447-Q1447) &lt; 1, N1447 - S1446-Q1447,
    TRUE, P1447
)</f>
        <v>0</v>
      </c>
      <c r="P1447" s="1852">
        <f>IF(M1447=0,0,ROUND(S1446*EXP(Int_Rate/365.25 * M1447)-S1446,2))</f>
        <v>0</v>
      </c>
      <c r="Q1447" s="1851" cm="1">
        <f t="array" ref="Q1447">_xlfn.IFS(
    AND(I1447=TRUE, K1447&lt;=No_Regular_Payments), Periodic_Admin_Charge,
   TRUE, 0
)</f>
        <v>0</v>
      </c>
      <c r="R1447" s="1850">
        <f>N1447-O1447-Q1447</f>
        <v>0</v>
      </c>
      <c r="S1447" s="1850">
        <f>ROUND(S1446-R1447,2)</f>
        <v>0</v>
      </c>
      <c r="T1447" s="1850">
        <f>ROUND(T1446-(N1447-Q1447),2)</f>
        <v>0</v>
      </c>
      <c r="U1447" s="1849"/>
      <c r="W1447" s="1848"/>
      <c r="X1447" s="1848"/>
      <c r="Y1447" s="1848"/>
    </row>
    <row r="1448" spans="2:25" hidden="1">
      <c r="B1448" s="1815" t="b">
        <f>AND(I1448=FALSE,N1447=0,Q1447=0,L1447="")</f>
        <v>1</v>
      </c>
      <c r="C1448" s="1844" t="str" cm="1">
        <f t="array" ref="C1448">_xlfn.IFS(
    L1448="", "",
    MONTH(L1448) &lt;= End_of_Year_Month, YEAR(L1448),
    TRUE, YEAR(L1448) + 1
)</f>
        <v/>
      </c>
      <c r="F1448" s="1857">
        <f>IF(L1448="",0,L1448)</f>
        <v>0</v>
      </c>
      <c r="G1448" s="1856">
        <f>-(N1448-Q1448)</f>
        <v>0</v>
      </c>
      <c r="I1448" s="1815" t="b">
        <f>K1448&lt;=Number_Payments</f>
        <v>0</v>
      </c>
      <c r="J1448" s="1855"/>
      <c r="K1448" s="1351">
        <f>K1447+1</f>
        <v>1322</v>
      </c>
      <c r="L1448" s="1854" t="str" cm="1">
        <f t="array" ref="L1448">_xlfn.IFS(
    I1447=FALSE, "",
    Payment_Frequency="Monthly", EDATE(L1447, 1),
    Payment_Frequency="Weekly", DATE(YEAR(L1447), MONTH(L1447), DAY(L1447) + 7),
    Payment_Frequency="Fortnightly", DATE(YEAR(L1447), MONTH(L1447), DAY(L1447) + 14),
    Payment_Frequency="Quarterly", DATE(YEAR(L1447), MONTH(L1447) + 3, DAY(L1447)),
    Payment_Frequency="Yearly", DATE(YEAR(L1447) + 1, MONTH(L1447), DAY(L1447)),
    TRUE, ""
)</f>
        <v/>
      </c>
      <c r="M1448" s="1853">
        <f>IF(ISERROR(L1448-L1447),0,L1448-L1447)</f>
        <v>0</v>
      </c>
      <c r="N1448" s="1851" cm="1">
        <f t="array" ref="N1448">_xlfn.IFS(
    AND(I1448=TRUE, K1448&lt;=No_Regular_Payments), Repay_Amt,
    AND(I1448=TRUE, K1448=No_Regular_Payments+1), Tm_Balloon_Amt,
   TRUE, 0
)</f>
        <v>0</v>
      </c>
      <c r="O1448" s="1850" cm="1">
        <f t="array" ref="O1448">_xlfn.IFS(
    M1448=0,0,
   ABS(N1448 - S1447 - P1448-Q1448) &lt; 1, N1448 - S1447-Q1448,
    TRUE, P1448
)</f>
        <v>0</v>
      </c>
      <c r="P1448" s="1852">
        <f>IF(M1448=0,0,ROUND(S1447*EXP(Int_Rate/365.25 * M1448)-S1447,2))</f>
        <v>0</v>
      </c>
      <c r="Q1448" s="1851" cm="1">
        <f t="array" ref="Q1448">_xlfn.IFS(
    AND(I1448=TRUE, K1448&lt;=No_Regular_Payments), Periodic_Admin_Charge,
   TRUE, 0
)</f>
        <v>0</v>
      </c>
      <c r="R1448" s="1850">
        <f>N1448-O1448-Q1448</f>
        <v>0</v>
      </c>
      <c r="S1448" s="1850">
        <f>ROUND(S1447-R1448,2)</f>
        <v>0</v>
      </c>
      <c r="T1448" s="1850">
        <f>ROUND(T1447-(N1448-Q1448),2)</f>
        <v>0</v>
      </c>
      <c r="U1448" s="1849"/>
      <c r="W1448" s="1848"/>
      <c r="X1448" s="1848"/>
      <c r="Y1448" s="1848"/>
    </row>
    <row r="1449" spans="2:25" hidden="1">
      <c r="B1449" s="1815" t="b">
        <f>AND(I1449=FALSE,N1448=0,Q1448=0,L1448="")</f>
        <v>1</v>
      </c>
      <c r="C1449" s="1844" t="str" cm="1">
        <f t="array" ref="C1449">_xlfn.IFS(
    L1449="", "",
    MONTH(L1449) &lt;= End_of_Year_Month, YEAR(L1449),
    TRUE, YEAR(L1449) + 1
)</f>
        <v/>
      </c>
      <c r="F1449" s="1857">
        <f>IF(L1449="",0,L1449)</f>
        <v>0</v>
      </c>
      <c r="G1449" s="1856">
        <f>-(N1449-Q1449)</f>
        <v>0</v>
      </c>
      <c r="I1449" s="1815" t="b">
        <f>K1449&lt;=Number_Payments</f>
        <v>0</v>
      </c>
      <c r="J1449" s="1855"/>
      <c r="K1449" s="1351">
        <f>K1448+1</f>
        <v>1323</v>
      </c>
      <c r="L1449" s="1854" t="str" cm="1">
        <f t="array" ref="L1449">_xlfn.IFS(
    I1448=FALSE, "",
    Payment_Frequency="Monthly", EDATE(L1448, 1),
    Payment_Frequency="Weekly", DATE(YEAR(L1448), MONTH(L1448), DAY(L1448) + 7),
    Payment_Frequency="Fortnightly", DATE(YEAR(L1448), MONTH(L1448), DAY(L1448) + 14),
    Payment_Frequency="Quarterly", DATE(YEAR(L1448), MONTH(L1448) + 3, DAY(L1448)),
    Payment_Frequency="Yearly", DATE(YEAR(L1448) + 1, MONTH(L1448), DAY(L1448)),
    TRUE, ""
)</f>
        <v/>
      </c>
      <c r="M1449" s="1853">
        <f>IF(ISERROR(L1449-L1448),0,L1449-L1448)</f>
        <v>0</v>
      </c>
      <c r="N1449" s="1851" cm="1">
        <f t="array" ref="N1449">_xlfn.IFS(
    AND(I1449=TRUE, K1449&lt;=No_Regular_Payments), Repay_Amt,
    AND(I1449=TRUE, K1449=No_Regular_Payments+1), Tm_Balloon_Amt,
   TRUE, 0
)</f>
        <v>0</v>
      </c>
      <c r="O1449" s="1850" cm="1">
        <f t="array" ref="O1449">_xlfn.IFS(
    M1449=0,0,
   ABS(N1449 - S1448 - P1449-Q1449) &lt; 1, N1449 - S1448-Q1449,
    TRUE, P1449
)</f>
        <v>0</v>
      </c>
      <c r="P1449" s="1852">
        <f>IF(M1449=0,0,ROUND(S1448*EXP(Int_Rate/365.25 * M1449)-S1448,2))</f>
        <v>0</v>
      </c>
      <c r="Q1449" s="1851" cm="1">
        <f t="array" ref="Q1449">_xlfn.IFS(
    AND(I1449=TRUE, K1449&lt;=No_Regular_Payments), Periodic_Admin_Charge,
   TRUE, 0
)</f>
        <v>0</v>
      </c>
      <c r="R1449" s="1850">
        <f>N1449-O1449-Q1449</f>
        <v>0</v>
      </c>
      <c r="S1449" s="1850">
        <f>ROUND(S1448-R1449,2)</f>
        <v>0</v>
      </c>
      <c r="T1449" s="1850">
        <f>ROUND(T1448-(N1449-Q1449),2)</f>
        <v>0</v>
      </c>
      <c r="U1449" s="1849"/>
      <c r="W1449" s="1848"/>
      <c r="X1449" s="1848"/>
      <c r="Y1449" s="1848"/>
    </row>
    <row r="1450" spans="2:25" hidden="1">
      <c r="B1450" s="1815" t="b">
        <f>AND(I1450=FALSE,N1449=0,Q1449=0,L1449="")</f>
        <v>1</v>
      </c>
      <c r="C1450" s="1844" t="str" cm="1">
        <f t="array" ref="C1450">_xlfn.IFS(
    L1450="", "",
    MONTH(L1450) &lt;= End_of_Year_Month, YEAR(L1450),
    TRUE, YEAR(L1450) + 1
)</f>
        <v/>
      </c>
      <c r="F1450" s="1857">
        <f>IF(L1450="",0,L1450)</f>
        <v>0</v>
      </c>
      <c r="G1450" s="1856">
        <f>-(N1450-Q1450)</f>
        <v>0</v>
      </c>
      <c r="I1450" s="1815" t="b">
        <f>K1450&lt;=Number_Payments</f>
        <v>0</v>
      </c>
      <c r="J1450" s="1855"/>
      <c r="K1450" s="1351">
        <f>K1449+1</f>
        <v>1324</v>
      </c>
      <c r="L1450" s="1854" t="str" cm="1">
        <f t="array" ref="L1450">_xlfn.IFS(
    I1449=FALSE, "",
    Payment_Frequency="Monthly", EDATE(L1449, 1),
    Payment_Frequency="Weekly", DATE(YEAR(L1449), MONTH(L1449), DAY(L1449) + 7),
    Payment_Frequency="Fortnightly", DATE(YEAR(L1449), MONTH(L1449), DAY(L1449) + 14),
    Payment_Frequency="Quarterly", DATE(YEAR(L1449), MONTH(L1449) + 3, DAY(L1449)),
    Payment_Frequency="Yearly", DATE(YEAR(L1449) + 1, MONTH(L1449), DAY(L1449)),
    TRUE, ""
)</f>
        <v/>
      </c>
      <c r="M1450" s="1853">
        <f>IF(ISERROR(L1450-L1449),0,L1450-L1449)</f>
        <v>0</v>
      </c>
      <c r="N1450" s="1851" cm="1">
        <f t="array" ref="N1450">_xlfn.IFS(
    AND(I1450=TRUE, K1450&lt;=No_Regular_Payments), Repay_Amt,
    AND(I1450=TRUE, K1450=No_Regular_Payments+1), Tm_Balloon_Amt,
   TRUE, 0
)</f>
        <v>0</v>
      </c>
      <c r="O1450" s="1850" cm="1">
        <f t="array" ref="O1450">_xlfn.IFS(
    M1450=0,0,
   ABS(N1450 - S1449 - P1450-Q1450) &lt; 1, N1450 - S1449-Q1450,
    TRUE, P1450
)</f>
        <v>0</v>
      </c>
      <c r="P1450" s="1852">
        <f>IF(M1450=0,0,ROUND(S1449*EXP(Int_Rate/365.25 * M1450)-S1449,2))</f>
        <v>0</v>
      </c>
      <c r="Q1450" s="1851" cm="1">
        <f t="array" ref="Q1450">_xlfn.IFS(
    AND(I1450=TRUE, K1450&lt;=No_Regular_Payments), Periodic_Admin_Charge,
   TRUE, 0
)</f>
        <v>0</v>
      </c>
      <c r="R1450" s="1850">
        <f>N1450-O1450-Q1450</f>
        <v>0</v>
      </c>
      <c r="S1450" s="1850">
        <f>ROUND(S1449-R1450,2)</f>
        <v>0</v>
      </c>
      <c r="T1450" s="1850">
        <f>ROUND(T1449-(N1450-Q1450),2)</f>
        <v>0</v>
      </c>
      <c r="U1450" s="1849"/>
      <c r="W1450" s="1848"/>
      <c r="X1450" s="1848"/>
      <c r="Y1450" s="1848"/>
    </row>
    <row r="1451" spans="2:25" hidden="1">
      <c r="B1451" s="1815" t="b">
        <f>AND(I1451=FALSE,N1450=0,Q1450=0,L1450="")</f>
        <v>1</v>
      </c>
      <c r="C1451" s="1844" t="str" cm="1">
        <f t="array" ref="C1451">_xlfn.IFS(
    L1451="", "",
    MONTH(L1451) &lt;= End_of_Year_Month, YEAR(L1451),
    TRUE, YEAR(L1451) + 1
)</f>
        <v/>
      </c>
      <c r="F1451" s="1857">
        <f>IF(L1451="",0,L1451)</f>
        <v>0</v>
      </c>
      <c r="G1451" s="1856">
        <f>-(N1451-Q1451)</f>
        <v>0</v>
      </c>
      <c r="I1451" s="1815" t="b">
        <f>K1451&lt;=Number_Payments</f>
        <v>0</v>
      </c>
      <c r="J1451" s="1855"/>
      <c r="K1451" s="1351">
        <f>K1450+1</f>
        <v>1325</v>
      </c>
      <c r="L1451" s="1854" t="str" cm="1">
        <f t="array" ref="L1451">_xlfn.IFS(
    I1450=FALSE, "",
    Payment_Frequency="Monthly", EDATE(L1450, 1),
    Payment_Frequency="Weekly", DATE(YEAR(L1450), MONTH(L1450), DAY(L1450) + 7),
    Payment_Frequency="Fortnightly", DATE(YEAR(L1450), MONTH(L1450), DAY(L1450) + 14),
    Payment_Frequency="Quarterly", DATE(YEAR(L1450), MONTH(L1450) + 3, DAY(L1450)),
    Payment_Frequency="Yearly", DATE(YEAR(L1450) + 1, MONTH(L1450), DAY(L1450)),
    TRUE, ""
)</f>
        <v/>
      </c>
      <c r="M1451" s="1853">
        <f>IF(ISERROR(L1451-L1450),0,L1451-L1450)</f>
        <v>0</v>
      </c>
      <c r="N1451" s="1851" cm="1">
        <f t="array" ref="N1451">_xlfn.IFS(
    AND(I1451=TRUE, K1451&lt;=No_Regular_Payments), Repay_Amt,
    AND(I1451=TRUE, K1451=No_Regular_Payments+1), Tm_Balloon_Amt,
   TRUE, 0
)</f>
        <v>0</v>
      </c>
      <c r="O1451" s="1850" cm="1">
        <f t="array" ref="O1451">_xlfn.IFS(
    M1451=0,0,
   ABS(N1451 - S1450 - P1451-Q1451) &lt; 1, N1451 - S1450-Q1451,
    TRUE, P1451
)</f>
        <v>0</v>
      </c>
      <c r="P1451" s="1852">
        <f>IF(M1451=0,0,ROUND(S1450*EXP(Int_Rate/365.25 * M1451)-S1450,2))</f>
        <v>0</v>
      </c>
      <c r="Q1451" s="1851" cm="1">
        <f t="array" ref="Q1451">_xlfn.IFS(
    AND(I1451=TRUE, K1451&lt;=No_Regular_Payments), Periodic_Admin_Charge,
   TRUE, 0
)</f>
        <v>0</v>
      </c>
      <c r="R1451" s="1850">
        <f>N1451-O1451-Q1451</f>
        <v>0</v>
      </c>
      <c r="S1451" s="1850">
        <f>ROUND(S1450-R1451,2)</f>
        <v>0</v>
      </c>
      <c r="T1451" s="1850">
        <f>ROUND(T1450-(N1451-Q1451),2)</f>
        <v>0</v>
      </c>
      <c r="U1451" s="1849"/>
      <c r="W1451" s="1848"/>
      <c r="X1451" s="1848"/>
      <c r="Y1451" s="1848"/>
    </row>
    <row r="1452" spans="2:25" hidden="1">
      <c r="B1452" s="1815" t="b">
        <f>AND(I1452=FALSE,N1451=0,Q1451=0,L1451="")</f>
        <v>1</v>
      </c>
      <c r="C1452" s="1844" t="str" cm="1">
        <f t="array" ref="C1452">_xlfn.IFS(
    L1452="", "",
    MONTH(L1452) &lt;= End_of_Year_Month, YEAR(L1452),
    TRUE, YEAR(L1452) + 1
)</f>
        <v/>
      </c>
      <c r="F1452" s="1857">
        <f>IF(L1452="",0,L1452)</f>
        <v>0</v>
      </c>
      <c r="G1452" s="1856">
        <f>-(N1452-Q1452)</f>
        <v>0</v>
      </c>
      <c r="I1452" s="1815" t="b">
        <f>K1452&lt;=Number_Payments</f>
        <v>0</v>
      </c>
      <c r="J1452" s="1855"/>
      <c r="K1452" s="1351">
        <f>K1451+1</f>
        <v>1326</v>
      </c>
      <c r="L1452" s="1854" t="str" cm="1">
        <f t="array" ref="L1452">_xlfn.IFS(
    I1451=FALSE, "",
    Payment_Frequency="Monthly", EDATE(L1451, 1),
    Payment_Frequency="Weekly", DATE(YEAR(L1451), MONTH(L1451), DAY(L1451) + 7),
    Payment_Frequency="Fortnightly", DATE(YEAR(L1451), MONTH(L1451), DAY(L1451) + 14),
    Payment_Frequency="Quarterly", DATE(YEAR(L1451), MONTH(L1451) + 3, DAY(L1451)),
    Payment_Frequency="Yearly", DATE(YEAR(L1451) + 1, MONTH(L1451), DAY(L1451)),
    TRUE, ""
)</f>
        <v/>
      </c>
      <c r="M1452" s="1853">
        <f>IF(ISERROR(L1452-L1451),0,L1452-L1451)</f>
        <v>0</v>
      </c>
      <c r="N1452" s="1851" cm="1">
        <f t="array" ref="N1452">_xlfn.IFS(
    AND(I1452=TRUE, K1452&lt;=No_Regular_Payments), Repay_Amt,
    AND(I1452=TRUE, K1452=No_Regular_Payments+1), Tm_Balloon_Amt,
   TRUE, 0
)</f>
        <v>0</v>
      </c>
      <c r="O1452" s="1850" cm="1">
        <f t="array" ref="O1452">_xlfn.IFS(
    M1452=0,0,
   ABS(N1452 - S1451 - P1452-Q1452) &lt; 1, N1452 - S1451-Q1452,
    TRUE, P1452
)</f>
        <v>0</v>
      </c>
      <c r="P1452" s="1852">
        <f>IF(M1452=0,0,ROUND(S1451*EXP(Int_Rate/365.25 * M1452)-S1451,2))</f>
        <v>0</v>
      </c>
      <c r="Q1452" s="1851" cm="1">
        <f t="array" ref="Q1452">_xlfn.IFS(
    AND(I1452=TRUE, K1452&lt;=No_Regular_Payments), Periodic_Admin_Charge,
   TRUE, 0
)</f>
        <v>0</v>
      </c>
      <c r="R1452" s="1850">
        <f>N1452-O1452-Q1452</f>
        <v>0</v>
      </c>
      <c r="S1452" s="1850">
        <f>ROUND(S1451-R1452,2)</f>
        <v>0</v>
      </c>
      <c r="T1452" s="1850">
        <f>ROUND(T1451-(N1452-Q1452),2)</f>
        <v>0</v>
      </c>
      <c r="U1452" s="1849"/>
      <c r="W1452" s="1848"/>
      <c r="X1452" s="1848"/>
      <c r="Y1452" s="1848"/>
    </row>
    <row r="1453" spans="2:25" hidden="1">
      <c r="B1453" s="1815" t="b">
        <f>AND(I1453=FALSE,N1452=0,Q1452=0,L1452="")</f>
        <v>1</v>
      </c>
      <c r="C1453" s="1844" t="str" cm="1">
        <f t="array" ref="C1453">_xlfn.IFS(
    L1453="", "",
    MONTH(L1453) &lt;= End_of_Year_Month, YEAR(L1453),
    TRUE, YEAR(L1453) + 1
)</f>
        <v/>
      </c>
      <c r="F1453" s="1857">
        <f>IF(L1453="",0,L1453)</f>
        <v>0</v>
      </c>
      <c r="G1453" s="1856">
        <f>-(N1453-Q1453)</f>
        <v>0</v>
      </c>
      <c r="I1453" s="1815" t="b">
        <f>K1453&lt;=Number_Payments</f>
        <v>0</v>
      </c>
      <c r="J1453" s="1855"/>
      <c r="K1453" s="1351">
        <f>K1452+1</f>
        <v>1327</v>
      </c>
      <c r="L1453" s="1854" t="str" cm="1">
        <f t="array" ref="L1453">_xlfn.IFS(
    I1452=FALSE, "",
    Payment_Frequency="Monthly", EDATE(L1452, 1),
    Payment_Frequency="Weekly", DATE(YEAR(L1452), MONTH(L1452), DAY(L1452) + 7),
    Payment_Frequency="Fortnightly", DATE(YEAR(L1452), MONTH(L1452), DAY(L1452) + 14),
    Payment_Frequency="Quarterly", DATE(YEAR(L1452), MONTH(L1452) + 3, DAY(L1452)),
    Payment_Frequency="Yearly", DATE(YEAR(L1452) + 1, MONTH(L1452), DAY(L1452)),
    TRUE, ""
)</f>
        <v/>
      </c>
      <c r="M1453" s="1853">
        <f>IF(ISERROR(L1453-L1452),0,L1453-L1452)</f>
        <v>0</v>
      </c>
      <c r="N1453" s="1851" cm="1">
        <f t="array" ref="N1453">_xlfn.IFS(
    AND(I1453=TRUE, K1453&lt;=No_Regular_Payments), Repay_Amt,
    AND(I1453=TRUE, K1453=No_Regular_Payments+1), Tm_Balloon_Amt,
   TRUE, 0
)</f>
        <v>0</v>
      </c>
      <c r="O1453" s="1850" cm="1">
        <f t="array" ref="O1453">_xlfn.IFS(
    M1453=0,0,
   ABS(N1453 - S1452 - P1453-Q1453) &lt; 1, N1453 - S1452-Q1453,
    TRUE, P1453
)</f>
        <v>0</v>
      </c>
      <c r="P1453" s="1852">
        <f>IF(M1453=0,0,ROUND(S1452*EXP(Int_Rate/365.25 * M1453)-S1452,2))</f>
        <v>0</v>
      </c>
      <c r="Q1453" s="1851" cm="1">
        <f t="array" ref="Q1453">_xlfn.IFS(
    AND(I1453=TRUE, K1453&lt;=No_Regular_Payments), Periodic_Admin_Charge,
   TRUE, 0
)</f>
        <v>0</v>
      </c>
      <c r="R1453" s="1850">
        <f>N1453-O1453-Q1453</f>
        <v>0</v>
      </c>
      <c r="S1453" s="1850">
        <f>ROUND(S1452-R1453,2)</f>
        <v>0</v>
      </c>
      <c r="T1453" s="1850">
        <f>ROUND(T1452-(N1453-Q1453),2)</f>
        <v>0</v>
      </c>
      <c r="U1453" s="1849"/>
      <c r="W1453" s="1848"/>
      <c r="X1453" s="1848"/>
      <c r="Y1453" s="1848"/>
    </row>
    <row r="1454" spans="2:25" hidden="1">
      <c r="B1454" s="1815" t="b">
        <f>AND(I1454=FALSE,N1453=0,Q1453=0,L1453="")</f>
        <v>1</v>
      </c>
      <c r="C1454" s="1844" t="str" cm="1">
        <f t="array" ref="C1454">_xlfn.IFS(
    L1454="", "",
    MONTH(L1454) &lt;= End_of_Year_Month, YEAR(L1454),
    TRUE, YEAR(L1454) + 1
)</f>
        <v/>
      </c>
      <c r="F1454" s="1857">
        <f>IF(L1454="",0,L1454)</f>
        <v>0</v>
      </c>
      <c r="G1454" s="1856">
        <f>-(N1454-Q1454)</f>
        <v>0</v>
      </c>
      <c r="I1454" s="1815" t="b">
        <f>K1454&lt;=Number_Payments</f>
        <v>0</v>
      </c>
      <c r="J1454" s="1855"/>
      <c r="K1454" s="1351">
        <f>K1453+1</f>
        <v>1328</v>
      </c>
      <c r="L1454" s="1854" t="str" cm="1">
        <f t="array" ref="L1454">_xlfn.IFS(
    I1453=FALSE, "",
    Payment_Frequency="Monthly", EDATE(L1453, 1),
    Payment_Frequency="Weekly", DATE(YEAR(L1453), MONTH(L1453), DAY(L1453) + 7),
    Payment_Frequency="Fortnightly", DATE(YEAR(L1453), MONTH(L1453), DAY(L1453) + 14),
    Payment_Frequency="Quarterly", DATE(YEAR(L1453), MONTH(L1453) + 3, DAY(L1453)),
    Payment_Frequency="Yearly", DATE(YEAR(L1453) + 1, MONTH(L1453), DAY(L1453)),
    TRUE, ""
)</f>
        <v/>
      </c>
      <c r="M1454" s="1853">
        <f>IF(ISERROR(L1454-L1453),0,L1454-L1453)</f>
        <v>0</v>
      </c>
      <c r="N1454" s="1851" cm="1">
        <f t="array" ref="N1454">_xlfn.IFS(
    AND(I1454=TRUE, K1454&lt;=No_Regular_Payments), Repay_Amt,
    AND(I1454=TRUE, K1454=No_Regular_Payments+1), Tm_Balloon_Amt,
   TRUE, 0
)</f>
        <v>0</v>
      </c>
      <c r="O1454" s="1850" cm="1">
        <f t="array" ref="O1454">_xlfn.IFS(
    M1454=0,0,
   ABS(N1454 - S1453 - P1454-Q1454) &lt; 1, N1454 - S1453-Q1454,
    TRUE, P1454
)</f>
        <v>0</v>
      </c>
      <c r="P1454" s="1852">
        <f>IF(M1454=0,0,ROUND(S1453*EXP(Int_Rate/365.25 * M1454)-S1453,2))</f>
        <v>0</v>
      </c>
      <c r="Q1454" s="1851" cm="1">
        <f t="array" ref="Q1454">_xlfn.IFS(
    AND(I1454=TRUE, K1454&lt;=No_Regular_Payments), Periodic_Admin_Charge,
   TRUE, 0
)</f>
        <v>0</v>
      </c>
      <c r="R1454" s="1850">
        <f>N1454-O1454-Q1454</f>
        <v>0</v>
      </c>
      <c r="S1454" s="1850">
        <f>ROUND(S1453-R1454,2)</f>
        <v>0</v>
      </c>
      <c r="T1454" s="1850">
        <f>ROUND(T1453-(N1454-Q1454),2)</f>
        <v>0</v>
      </c>
      <c r="U1454" s="1849"/>
      <c r="W1454" s="1848"/>
      <c r="X1454" s="1848"/>
      <c r="Y1454" s="1848"/>
    </row>
    <row r="1455" spans="2:25" hidden="1">
      <c r="B1455" s="1815" t="b">
        <f>AND(I1455=FALSE,N1454=0,Q1454=0,L1454="")</f>
        <v>1</v>
      </c>
      <c r="C1455" s="1844" t="str" cm="1">
        <f t="array" ref="C1455">_xlfn.IFS(
    L1455="", "",
    MONTH(L1455) &lt;= End_of_Year_Month, YEAR(L1455),
    TRUE, YEAR(L1455) + 1
)</f>
        <v/>
      </c>
      <c r="F1455" s="1857">
        <f>IF(L1455="",0,L1455)</f>
        <v>0</v>
      </c>
      <c r="G1455" s="1856">
        <f>-(N1455-Q1455)</f>
        <v>0</v>
      </c>
      <c r="I1455" s="1815" t="b">
        <f>K1455&lt;=Number_Payments</f>
        <v>0</v>
      </c>
      <c r="J1455" s="1855"/>
      <c r="K1455" s="1351">
        <f>K1454+1</f>
        <v>1329</v>
      </c>
      <c r="L1455" s="1854" t="str" cm="1">
        <f t="array" ref="L1455">_xlfn.IFS(
    I1454=FALSE, "",
    Payment_Frequency="Monthly", EDATE(L1454, 1),
    Payment_Frequency="Weekly", DATE(YEAR(L1454), MONTH(L1454), DAY(L1454) + 7),
    Payment_Frequency="Fortnightly", DATE(YEAR(L1454), MONTH(L1454), DAY(L1454) + 14),
    Payment_Frequency="Quarterly", DATE(YEAR(L1454), MONTH(L1454) + 3, DAY(L1454)),
    Payment_Frequency="Yearly", DATE(YEAR(L1454) + 1, MONTH(L1454), DAY(L1454)),
    TRUE, ""
)</f>
        <v/>
      </c>
      <c r="M1455" s="1853">
        <f>IF(ISERROR(L1455-L1454),0,L1455-L1454)</f>
        <v>0</v>
      </c>
      <c r="N1455" s="1851" cm="1">
        <f t="array" ref="N1455">_xlfn.IFS(
    AND(I1455=TRUE, K1455&lt;=No_Regular_Payments), Repay_Amt,
    AND(I1455=TRUE, K1455=No_Regular_Payments+1), Tm_Balloon_Amt,
   TRUE, 0
)</f>
        <v>0</v>
      </c>
      <c r="O1455" s="1850" cm="1">
        <f t="array" ref="O1455">_xlfn.IFS(
    M1455=0,0,
   ABS(N1455 - S1454 - P1455-Q1455) &lt; 1, N1455 - S1454-Q1455,
    TRUE, P1455
)</f>
        <v>0</v>
      </c>
      <c r="P1455" s="1852">
        <f>IF(M1455=0,0,ROUND(S1454*EXP(Int_Rate/365.25 * M1455)-S1454,2))</f>
        <v>0</v>
      </c>
      <c r="Q1455" s="1851" cm="1">
        <f t="array" ref="Q1455">_xlfn.IFS(
    AND(I1455=TRUE, K1455&lt;=No_Regular_Payments), Periodic_Admin_Charge,
   TRUE, 0
)</f>
        <v>0</v>
      </c>
      <c r="R1455" s="1850">
        <f>N1455-O1455-Q1455</f>
        <v>0</v>
      </c>
      <c r="S1455" s="1850">
        <f>ROUND(S1454-R1455,2)</f>
        <v>0</v>
      </c>
      <c r="T1455" s="1850">
        <f>ROUND(T1454-(N1455-Q1455),2)</f>
        <v>0</v>
      </c>
      <c r="U1455" s="1849"/>
      <c r="W1455" s="1848"/>
      <c r="X1455" s="1848"/>
      <c r="Y1455" s="1848"/>
    </row>
    <row r="1456" spans="2:25" hidden="1">
      <c r="B1456" s="1815" t="b">
        <f>AND(I1456=FALSE,N1455=0,Q1455=0,L1455="")</f>
        <v>1</v>
      </c>
      <c r="C1456" s="1844" t="str" cm="1">
        <f t="array" ref="C1456">_xlfn.IFS(
    L1456="", "",
    MONTH(L1456) &lt;= End_of_Year_Month, YEAR(L1456),
    TRUE, YEAR(L1456) + 1
)</f>
        <v/>
      </c>
      <c r="F1456" s="1857">
        <f>IF(L1456="",0,L1456)</f>
        <v>0</v>
      </c>
      <c r="G1456" s="1856">
        <f>-(N1456-Q1456)</f>
        <v>0</v>
      </c>
      <c r="I1456" s="1815" t="b">
        <f>K1456&lt;=Number_Payments</f>
        <v>0</v>
      </c>
      <c r="J1456" s="1855"/>
      <c r="K1456" s="1351">
        <f>K1455+1</f>
        <v>1330</v>
      </c>
      <c r="L1456" s="1854" t="str" cm="1">
        <f t="array" ref="L1456">_xlfn.IFS(
    I1455=FALSE, "",
    Payment_Frequency="Monthly", EDATE(L1455, 1),
    Payment_Frequency="Weekly", DATE(YEAR(L1455), MONTH(L1455), DAY(L1455) + 7),
    Payment_Frequency="Fortnightly", DATE(YEAR(L1455), MONTH(L1455), DAY(L1455) + 14),
    Payment_Frequency="Quarterly", DATE(YEAR(L1455), MONTH(L1455) + 3, DAY(L1455)),
    Payment_Frequency="Yearly", DATE(YEAR(L1455) + 1, MONTH(L1455), DAY(L1455)),
    TRUE, ""
)</f>
        <v/>
      </c>
      <c r="M1456" s="1853">
        <f>IF(ISERROR(L1456-L1455),0,L1456-L1455)</f>
        <v>0</v>
      </c>
      <c r="N1456" s="1851" cm="1">
        <f t="array" ref="N1456">_xlfn.IFS(
    AND(I1456=TRUE, K1456&lt;=No_Regular_Payments), Repay_Amt,
    AND(I1456=TRUE, K1456=No_Regular_Payments+1), Tm_Balloon_Amt,
   TRUE, 0
)</f>
        <v>0</v>
      </c>
      <c r="O1456" s="1850" cm="1">
        <f t="array" ref="O1456">_xlfn.IFS(
    M1456=0,0,
   ABS(N1456 - S1455 - P1456-Q1456) &lt; 1, N1456 - S1455-Q1456,
    TRUE, P1456
)</f>
        <v>0</v>
      </c>
      <c r="P1456" s="1852">
        <f>IF(M1456=0,0,ROUND(S1455*EXP(Int_Rate/365.25 * M1456)-S1455,2))</f>
        <v>0</v>
      </c>
      <c r="Q1456" s="1851" cm="1">
        <f t="array" ref="Q1456">_xlfn.IFS(
    AND(I1456=TRUE, K1456&lt;=No_Regular_Payments), Periodic_Admin_Charge,
   TRUE, 0
)</f>
        <v>0</v>
      </c>
      <c r="R1456" s="1850">
        <f>N1456-O1456-Q1456</f>
        <v>0</v>
      </c>
      <c r="S1456" s="1850">
        <f>ROUND(S1455-R1456,2)</f>
        <v>0</v>
      </c>
      <c r="T1456" s="1850">
        <f>ROUND(T1455-(N1456-Q1456),2)</f>
        <v>0</v>
      </c>
      <c r="U1456" s="1849"/>
      <c r="W1456" s="1848"/>
      <c r="X1456" s="1848"/>
      <c r="Y1456" s="1848"/>
    </row>
    <row r="1457" spans="2:25" hidden="1">
      <c r="B1457" s="1815" t="b">
        <f>AND(I1457=FALSE,N1456=0,Q1456=0,L1456="")</f>
        <v>1</v>
      </c>
      <c r="C1457" s="1844" t="str" cm="1">
        <f t="array" ref="C1457">_xlfn.IFS(
    L1457="", "",
    MONTH(L1457) &lt;= End_of_Year_Month, YEAR(L1457),
    TRUE, YEAR(L1457) + 1
)</f>
        <v/>
      </c>
      <c r="F1457" s="1857">
        <f>IF(L1457="",0,L1457)</f>
        <v>0</v>
      </c>
      <c r="G1457" s="1856">
        <f>-(N1457-Q1457)</f>
        <v>0</v>
      </c>
      <c r="I1457" s="1815" t="b">
        <f>K1457&lt;=Number_Payments</f>
        <v>0</v>
      </c>
      <c r="J1457" s="1855"/>
      <c r="K1457" s="1351">
        <f>K1456+1</f>
        <v>1331</v>
      </c>
      <c r="L1457" s="1854" t="str" cm="1">
        <f t="array" ref="L1457">_xlfn.IFS(
    I1456=FALSE, "",
    Payment_Frequency="Monthly", EDATE(L1456, 1),
    Payment_Frequency="Weekly", DATE(YEAR(L1456), MONTH(L1456), DAY(L1456) + 7),
    Payment_Frequency="Fortnightly", DATE(YEAR(L1456), MONTH(L1456), DAY(L1456) + 14),
    Payment_Frequency="Quarterly", DATE(YEAR(L1456), MONTH(L1456) + 3, DAY(L1456)),
    Payment_Frequency="Yearly", DATE(YEAR(L1456) + 1, MONTH(L1456), DAY(L1456)),
    TRUE, ""
)</f>
        <v/>
      </c>
      <c r="M1457" s="1853">
        <f>IF(ISERROR(L1457-L1456),0,L1457-L1456)</f>
        <v>0</v>
      </c>
      <c r="N1457" s="1851" cm="1">
        <f t="array" ref="N1457">_xlfn.IFS(
    AND(I1457=TRUE, K1457&lt;=No_Regular_Payments), Repay_Amt,
    AND(I1457=TRUE, K1457=No_Regular_Payments+1), Tm_Balloon_Amt,
   TRUE, 0
)</f>
        <v>0</v>
      </c>
      <c r="O1457" s="1850" cm="1">
        <f t="array" ref="O1457">_xlfn.IFS(
    M1457=0,0,
   ABS(N1457 - S1456 - P1457-Q1457) &lt; 1, N1457 - S1456-Q1457,
    TRUE, P1457
)</f>
        <v>0</v>
      </c>
      <c r="P1457" s="1852">
        <f>IF(M1457=0,0,ROUND(S1456*EXP(Int_Rate/365.25 * M1457)-S1456,2))</f>
        <v>0</v>
      </c>
      <c r="Q1457" s="1851" cm="1">
        <f t="array" ref="Q1457">_xlfn.IFS(
    AND(I1457=TRUE, K1457&lt;=No_Regular_Payments), Periodic_Admin_Charge,
   TRUE, 0
)</f>
        <v>0</v>
      </c>
      <c r="R1457" s="1850">
        <f>N1457-O1457-Q1457</f>
        <v>0</v>
      </c>
      <c r="S1457" s="1850">
        <f>ROUND(S1456-R1457,2)</f>
        <v>0</v>
      </c>
      <c r="T1457" s="1850">
        <f>ROUND(T1456-(N1457-Q1457),2)</f>
        <v>0</v>
      </c>
      <c r="U1457" s="1849"/>
      <c r="W1457" s="1848"/>
      <c r="X1457" s="1848"/>
      <c r="Y1457" s="1848"/>
    </row>
    <row r="1458" spans="2:25" hidden="1">
      <c r="B1458" s="1815" t="b">
        <f>AND(I1458=FALSE,N1457=0,Q1457=0,L1457="")</f>
        <v>1</v>
      </c>
      <c r="C1458" s="1844" t="str" cm="1">
        <f t="array" ref="C1458">_xlfn.IFS(
    L1458="", "",
    MONTH(L1458) &lt;= End_of_Year_Month, YEAR(L1458),
    TRUE, YEAR(L1458) + 1
)</f>
        <v/>
      </c>
      <c r="F1458" s="1857">
        <f>IF(L1458="",0,L1458)</f>
        <v>0</v>
      </c>
      <c r="G1458" s="1856">
        <f>-(N1458-Q1458)</f>
        <v>0</v>
      </c>
      <c r="I1458" s="1815" t="b">
        <f>K1458&lt;=Number_Payments</f>
        <v>0</v>
      </c>
      <c r="J1458" s="1855"/>
      <c r="K1458" s="1351">
        <f>K1457+1</f>
        <v>1332</v>
      </c>
      <c r="L1458" s="1854" t="str" cm="1">
        <f t="array" ref="L1458">_xlfn.IFS(
    I1457=FALSE, "",
    Payment_Frequency="Monthly", EDATE(L1457, 1),
    Payment_Frequency="Weekly", DATE(YEAR(L1457), MONTH(L1457), DAY(L1457) + 7),
    Payment_Frequency="Fortnightly", DATE(YEAR(L1457), MONTH(L1457), DAY(L1457) + 14),
    Payment_Frequency="Quarterly", DATE(YEAR(L1457), MONTH(L1457) + 3, DAY(L1457)),
    Payment_Frequency="Yearly", DATE(YEAR(L1457) + 1, MONTH(L1457), DAY(L1457)),
    TRUE, ""
)</f>
        <v/>
      </c>
      <c r="M1458" s="1853">
        <f>IF(ISERROR(L1458-L1457),0,L1458-L1457)</f>
        <v>0</v>
      </c>
      <c r="N1458" s="1851" cm="1">
        <f t="array" ref="N1458">_xlfn.IFS(
    AND(I1458=TRUE, K1458&lt;=No_Regular_Payments), Repay_Amt,
    AND(I1458=TRUE, K1458=No_Regular_Payments+1), Tm_Balloon_Amt,
   TRUE, 0
)</f>
        <v>0</v>
      </c>
      <c r="O1458" s="1850" cm="1">
        <f t="array" ref="O1458">_xlfn.IFS(
    M1458=0,0,
   ABS(N1458 - S1457 - P1458-Q1458) &lt; 1, N1458 - S1457-Q1458,
    TRUE, P1458
)</f>
        <v>0</v>
      </c>
      <c r="P1458" s="1852">
        <f>IF(M1458=0,0,ROUND(S1457*EXP(Int_Rate/365.25 * M1458)-S1457,2))</f>
        <v>0</v>
      </c>
      <c r="Q1458" s="1851" cm="1">
        <f t="array" ref="Q1458">_xlfn.IFS(
    AND(I1458=TRUE, K1458&lt;=No_Regular_Payments), Periodic_Admin_Charge,
   TRUE, 0
)</f>
        <v>0</v>
      </c>
      <c r="R1458" s="1850">
        <f>N1458-O1458-Q1458</f>
        <v>0</v>
      </c>
      <c r="S1458" s="1850">
        <f>ROUND(S1457-R1458,2)</f>
        <v>0</v>
      </c>
      <c r="T1458" s="1850">
        <f>ROUND(T1457-(N1458-Q1458),2)</f>
        <v>0</v>
      </c>
      <c r="U1458" s="1849"/>
      <c r="W1458" s="1848"/>
      <c r="X1458" s="1848"/>
      <c r="Y1458" s="1848"/>
    </row>
    <row r="1459" spans="2:25" hidden="1">
      <c r="B1459" s="1815" t="b">
        <f>AND(I1459=FALSE,N1458=0,Q1458=0,L1458="")</f>
        <v>1</v>
      </c>
      <c r="C1459" s="1844" t="str" cm="1">
        <f t="array" ref="C1459">_xlfn.IFS(
    L1459="", "",
    MONTH(L1459) &lt;= End_of_Year_Month, YEAR(L1459),
    TRUE, YEAR(L1459) + 1
)</f>
        <v/>
      </c>
      <c r="F1459" s="1857">
        <f>IF(L1459="",0,L1459)</f>
        <v>0</v>
      </c>
      <c r="G1459" s="1856">
        <f>-(N1459-Q1459)</f>
        <v>0</v>
      </c>
      <c r="I1459" s="1815" t="b">
        <f>K1459&lt;=Number_Payments</f>
        <v>0</v>
      </c>
      <c r="J1459" s="1855"/>
      <c r="K1459" s="1351">
        <f>K1458+1</f>
        <v>1333</v>
      </c>
      <c r="L1459" s="1854" t="str" cm="1">
        <f t="array" ref="L1459">_xlfn.IFS(
    I1458=FALSE, "",
    Payment_Frequency="Monthly", EDATE(L1458, 1),
    Payment_Frequency="Weekly", DATE(YEAR(L1458), MONTH(L1458), DAY(L1458) + 7),
    Payment_Frequency="Fortnightly", DATE(YEAR(L1458), MONTH(L1458), DAY(L1458) + 14),
    Payment_Frequency="Quarterly", DATE(YEAR(L1458), MONTH(L1458) + 3, DAY(L1458)),
    Payment_Frequency="Yearly", DATE(YEAR(L1458) + 1, MONTH(L1458), DAY(L1458)),
    TRUE, ""
)</f>
        <v/>
      </c>
      <c r="M1459" s="1853">
        <f>IF(ISERROR(L1459-L1458),0,L1459-L1458)</f>
        <v>0</v>
      </c>
      <c r="N1459" s="1851" cm="1">
        <f t="array" ref="N1459">_xlfn.IFS(
    AND(I1459=TRUE, K1459&lt;=No_Regular_Payments), Repay_Amt,
    AND(I1459=TRUE, K1459=No_Regular_Payments+1), Tm_Balloon_Amt,
   TRUE, 0
)</f>
        <v>0</v>
      </c>
      <c r="O1459" s="1850" cm="1">
        <f t="array" ref="O1459">_xlfn.IFS(
    M1459=0,0,
   ABS(N1459 - S1458 - P1459-Q1459) &lt; 1, N1459 - S1458-Q1459,
    TRUE, P1459
)</f>
        <v>0</v>
      </c>
      <c r="P1459" s="1852">
        <f>IF(M1459=0,0,ROUND(S1458*EXP(Int_Rate/365.25 * M1459)-S1458,2))</f>
        <v>0</v>
      </c>
      <c r="Q1459" s="1851" cm="1">
        <f t="array" ref="Q1459">_xlfn.IFS(
    AND(I1459=TRUE, K1459&lt;=No_Regular_Payments), Periodic_Admin_Charge,
   TRUE, 0
)</f>
        <v>0</v>
      </c>
      <c r="R1459" s="1850">
        <f>N1459-O1459-Q1459</f>
        <v>0</v>
      </c>
      <c r="S1459" s="1850">
        <f>ROUND(S1458-R1459,2)</f>
        <v>0</v>
      </c>
      <c r="T1459" s="1850">
        <f>ROUND(T1458-(N1459-Q1459),2)</f>
        <v>0</v>
      </c>
      <c r="U1459" s="1849"/>
      <c r="W1459" s="1848"/>
      <c r="X1459" s="1848"/>
      <c r="Y1459" s="1848"/>
    </row>
    <row r="1460" spans="2:25" hidden="1">
      <c r="B1460" s="1815" t="b">
        <f>AND(I1460=FALSE,N1459=0,Q1459=0,L1459="")</f>
        <v>1</v>
      </c>
      <c r="C1460" s="1844" t="str" cm="1">
        <f t="array" ref="C1460">_xlfn.IFS(
    L1460="", "",
    MONTH(L1460) &lt;= End_of_Year_Month, YEAR(L1460),
    TRUE, YEAR(L1460) + 1
)</f>
        <v/>
      </c>
      <c r="F1460" s="1857">
        <f>IF(L1460="",0,L1460)</f>
        <v>0</v>
      </c>
      <c r="G1460" s="1856">
        <f>-(N1460-Q1460)</f>
        <v>0</v>
      </c>
      <c r="I1460" s="1815" t="b">
        <f>K1460&lt;=Number_Payments</f>
        <v>0</v>
      </c>
      <c r="J1460" s="1855"/>
      <c r="K1460" s="1351">
        <f>K1459+1</f>
        <v>1334</v>
      </c>
      <c r="L1460" s="1854" t="str" cm="1">
        <f t="array" ref="L1460">_xlfn.IFS(
    I1459=FALSE, "",
    Payment_Frequency="Monthly", EDATE(L1459, 1),
    Payment_Frequency="Weekly", DATE(YEAR(L1459), MONTH(L1459), DAY(L1459) + 7),
    Payment_Frequency="Fortnightly", DATE(YEAR(L1459), MONTH(L1459), DAY(L1459) + 14),
    Payment_Frequency="Quarterly", DATE(YEAR(L1459), MONTH(L1459) + 3, DAY(L1459)),
    Payment_Frequency="Yearly", DATE(YEAR(L1459) + 1, MONTH(L1459), DAY(L1459)),
    TRUE, ""
)</f>
        <v/>
      </c>
      <c r="M1460" s="1853">
        <f>IF(ISERROR(L1460-L1459),0,L1460-L1459)</f>
        <v>0</v>
      </c>
      <c r="N1460" s="1851" cm="1">
        <f t="array" ref="N1460">_xlfn.IFS(
    AND(I1460=TRUE, K1460&lt;=No_Regular_Payments), Repay_Amt,
    AND(I1460=TRUE, K1460=No_Regular_Payments+1), Tm_Balloon_Amt,
   TRUE, 0
)</f>
        <v>0</v>
      </c>
      <c r="O1460" s="1850" cm="1">
        <f t="array" ref="O1460">_xlfn.IFS(
    M1460=0,0,
   ABS(N1460 - S1459 - P1460-Q1460) &lt; 1, N1460 - S1459-Q1460,
    TRUE, P1460
)</f>
        <v>0</v>
      </c>
      <c r="P1460" s="1852">
        <f>IF(M1460=0,0,ROUND(S1459*EXP(Int_Rate/365.25 * M1460)-S1459,2))</f>
        <v>0</v>
      </c>
      <c r="Q1460" s="1851" cm="1">
        <f t="array" ref="Q1460">_xlfn.IFS(
    AND(I1460=TRUE, K1460&lt;=No_Regular_Payments), Periodic_Admin_Charge,
   TRUE, 0
)</f>
        <v>0</v>
      </c>
      <c r="R1460" s="1850">
        <f>N1460-O1460-Q1460</f>
        <v>0</v>
      </c>
      <c r="S1460" s="1850">
        <f>ROUND(S1459-R1460,2)</f>
        <v>0</v>
      </c>
      <c r="T1460" s="1850">
        <f>ROUND(T1459-(N1460-Q1460),2)</f>
        <v>0</v>
      </c>
      <c r="U1460" s="1849"/>
      <c r="W1460" s="1848"/>
      <c r="X1460" s="1848"/>
      <c r="Y1460" s="1848"/>
    </row>
    <row r="1461" spans="2:25" hidden="1">
      <c r="B1461" s="1815" t="b">
        <f>AND(I1461=FALSE,N1460=0,Q1460=0,L1460="")</f>
        <v>1</v>
      </c>
      <c r="C1461" s="1844" t="str" cm="1">
        <f t="array" ref="C1461">_xlfn.IFS(
    L1461="", "",
    MONTH(L1461) &lt;= End_of_Year_Month, YEAR(L1461),
    TRUE, YEAR(L1461) + 1
)</f>
        <v/>
      </c>
      <c r="F1461" s="1857">
        <f>IF(L1461="",0,L1461)</f>
        <v>0</v>
      </c>
      <c r="G1461" s="1856">
        <f>-(N1461-Q1461)</f>
        <v>0</v>
      </c>
      <c r="I1461" s="1815" t="b">
        <f>K1461&lt;=Number_Payments</f>
        <v>0</v>
      </c>
      <c r="J1461" s="1855"/>
      <c r="K1461" s="1351">
        <f>K1460+1</f>
        <v>1335</v>
      </c>
      <c r="L1461" s="1854" t="str" cm="1">
        <f t="array" ref="L1461">_xlfn.IFS(
    I1460=FALSE, "",
    Payment_Frequency="Monthly", EDATE(L1460, 1),
    Payment_Frequency="Weekly", DATE(YEAR(L1460), MONTH(L1460), DAY(L1460) + 7),
    Payment_Frequency="Fortnightly", DATE(YEAR(L1460), MONTH(L1460), DAY(L1460) + 14),
    Payment_Frequency="Quarterly", DATE(YEAR(L1460), MONTH(L1460) + 3, DAY(L1460)),
    Payment_Frequency="Yearly", DATE(YEAR(L1460) + 1, MONTH(L1460), DAY(L1460)),
    TRUE, ""
)</f>
        <v/>
      </c>
      <c r="M1461" s="1853">
        <f>IF(ISERROR(L1461-L1460),0,L1461-L1460)</f>
        <v>0</v>
      </c>
      <c r="N1461" s="1851" cm="1">
        <f t="array" ref="N1461">_xlfn.IFS(
    AND(I1461=TRUE, K1461&lt;=No_Regular_Payments), Repay_Amt,
    AND(I1461=TRUE, K1461=No_Regular_Payments+1), Tm_Balloon_Amt,
   TRUE, 0
)</f>
        <v>0</v>
      </c>
      <c r="O1461" s="1850" cm="1">
        <f t="array" ref="O1461">_xlfn.IFS(
    M1461=0,0,
   ABS(N1461 - S1460 - P1461-Q1461) &lt; 1, N1461 - S1460-Q1461,
    TRUE, P1461
)</f>
        <v>0</v>
      </c>
      <c r="P1461" s="1852">
        <f>IF(M1461=0,0,ROUND(S1460*EXP(Int_Rate/365.25 * M1461)-S1460,2))</f>
        <v>0</v>
      </c>
      <c r="Q1461" s="1851" cm="1">
        <f t="array" ref="Q1461">_xlfn.IFS(
    AND(I1461=TRUE, K1461&lt;=No_Regular_Payments), Periodic_Admin_Charge,
   TRUE, 0
)</f>
        <v>0</v>
      </c>
      <c r="R1461" s="1850">
        <f>N1461-O1461-Q1461</f>
        <v>0</v>
      </c>
      <c r="S1461" s="1850">
        <f>ROUND(S1460-R1461,2)</f>
        <v>0</v>
      </c>
      <c r="T1461" s="1850">
        <f>ROUND(T1460-(N1461-Q1461),2)</f>
        <v>0</v>
      </c>
      <c r="U1461" s="1849"/>
      <c r="W1461" s="1848"/>
      <c r="X1461" s="1848"/>
      <c r="Y1461" s="1848"/>
    </row>
    <row r="1462" spans="2:25" hidden="1">
      <c r="B1462" s="1815" t="b">
        <f>AND(I1462=FALSE,N1461=0,Q1461=0,L1461="")</f>
        <v>1</v>
      </c>
      <c r="C1462" s="1844" t="str" cm="1">
        <f t="array" ref="C1462">_xlfn.IFS(
    L1462="", "",
    MONTH(L1462) &lt;= End_of_Year_Month, YEAR(L1462),
    TRUE, YEAR(L1462) + 1
)</f>
        <v/>
      </c>
      <c r="F1462" s="1857">
        <f>IF(L1462="",0,L1462)</f>
        <v>0</v>
      </c>
      <c r="G1462" s="1856">
        <f>-(N1462-Q1462)</f>
        <v>0</v>
      </c>
      <c r="I1462" s="1815" t="b">
        <f>K1462&lt;=Number_Payments</f>
        <v>0</v>
      </c>
      <c r="J1462" s="1855"/>
      <c r="K1462" s="1351">
        <f>K1461+1</f>
        <v>1336</v>
      </c>
      <c r="L1462" s="1854" t="str" cm="1">
        <f t="array" ref="L1462">_xlfn.IFS(
    I1461=FALSE, "",
    Payment_Frequency="Monthly", EDATE(L1461, 1),
    Payment_Frequency="Weekly", DATE(YEAR(L1461), MONTH(L1461), DAY(L1461) + 7),
    Payment_Frequency="Fortnightly", DATE(YEAR(L1461), MONTH(L1461), DAY(L1461) + 14),
    Payment_Frequency="Quarterly", DATE(YEAR(L1461), MONTH(L1461) + 3, DAY(L1461)),
    Payment_Frequency="Yearly", DATE(YEAR(L1461) + 1, MONTH(L1461), DAY(L1461)),
    TRUE, ""
)</f>
        <v/>
      </c>
      <c r="M1462" s="1853">
        <f>IF(ISERROR(L1462-L1461),0,L1462-L1461)</f>
        <v>0</v>
      </c>
      <c r="N1462" s="1851" cm="1">
        <f t="array" ref="N1462">_xlfn.IFS(
    AND(I1462=TRUE, K1462&lt;=No_Regular_Payments), Repay_Amt,
    AND(I1462=TRUE, K1462=No_Regular_Payments+1), Tm_Balloon_Amt,
   TRUE, 0
)</f>
        <v>0</v>
      </c>
      <c r="O1462" s="1850" cm="1">
        <f t="array" ref="O1462">_xlfn.IFS(
    M1462=0,0,
   ABS(N1462 - S1461 - P1462-Q1462) &lt; 1, N1462 - S1461-Q1462,
    TRUE, P1462
)</f>
        <v>0</v>
      </c>
      <c r="P1462" s="1852">
        <f>IF(M1462=0,0,ROUND(S1461*EXP(Int_Rate/365.25 * M1462)-S1461,2))</f>
        <v>0</v>
      </c>
      <c r="Q1462" s="1851" cm="1">
        <f t="array" ref="Q1462">_xlfn.IFS(
    AND(I1462=TRUE, K1462&lt;=No_Regular_Payments), Periodic_Admin_Charge,
   TRUE, 0
)</f>
        <v>0</v>
      </c>
      <c r="R1462" s="1850">
        <f>N1462-O1462-Q1462</f>
        <v>0</v>
      </c>
      <c r="S1462" s="1850">
        <f>ROUND(S1461-R1462,2)</f>
        <v>0</v>
      </c>
      <c r="T1462" s="1850">
        <f>ROUND(T1461-(N1462-Q1462),2)</f>
        <v>0</v>
      </c>
      <c r="U1462" s="1849"/>
      <c r="W1462" s="1848"/>
      <c r="X1462" s="1848"/>
      <c r="Y1462" s="1848"/>
    </row>
    <row r="1463" spans="2:25" hidden="1">
      <c r="B1463" s="1815" t="b">
        <f>AND(I1463=FALSE,N1462=0,Q1462=0,L1462="")</f>
        <v>1</v>
      </c>
      <c r="C1463" s="1844" t="str" cm="1">
        <f t="array" ref="C1463">_xlfn.IFS(
    L1463="", "",
    MONTH(L1463) &lt;= End_of_Year_Month, YEAR(L1463),
    TRUE, YEAR(L1463) + 1
)</f>
        <v/>
      </c>
      <c r="F1463" s="1857">
        <f>IF(L1463="",0,L1463)</f>
        <v>0</v>
      </c>
      <c r="G1463" s="1856">
        <f>-(N1463-Q1463)</f>
        <v>0</v>
      </c>
      <c r="I1463" s="1815" t="b">
        <f>K1463&lt;=Number_Payments</f>
        <v>0</v>
      </c>
      <c r="J1463" s="1855"/>
      <c r="K1463" s="1351">
        <f>K1462+1</f>
        <v>1337</v>
      </c>
      <c r="L1463" s="1854" t="str" cm="1">
        <f t="array" ref="L1463">_xlfn.IFS(
    I1462=FALSE, "",
    Payment_Frequency="Monthly", EDATE(L1462, 1),
    Payment_Frequency="Weekly", DATE(YEAR(L1462), MONTH(L1462), DAY(L1462) + 7),
    Payment_Frequency="Fortnightly", DATE(YEAR(L1462), MONTH(L1462), DAY(L1462) + 14),
    Payment_Frequency="Quarterly", DATE(YEAR(L1462), MONTH(L1462) + 3, DAY(L1462)),
    Payment_Frequency="Yearly", DATE(YEAR(L1462) + 1, MONTH(L1462), DAY(L1462)),
    TRUE, ""
)</f>
        <v/>
      </c>
      <c r="M1463" s="1853">
        <f>IF(ISERROR(L1463-L1462),0,L1463-L1462)</f>
        <v>0</v>
      </c>
      <c r="N1463" s="1851" cm="1">
        <f t="array" ref="N1463">_xlfn.IFS(
    AND(I1463=TRUE, K1463&lt;=No_Regular_Payments), Repay_Amt,
    AND(I1463=TRUE, K1463=No_Regular_Payments+1), Tm_Balloon_Amt,
   TRUE, 0
)</f>
        <v>0</v>
      </c>
      <c r="O1463" s="1850" cm="1">
        <f t="array" ref="O1463">_xlfn.IFS(
    M1463=0,0,
   ABS(N1463 - S1462 - P1463-Q1463) &lt; 1, N1463 - S1462-Q1463,
    TRUE, P1463
)</f>
        <v>0</v>
      </c>
      <c r="P1463" s="1852">
        <f>IF(M1463=0,0,ROUND(S1462*EXP(Int_Rate/365.25 * M1463)-S1462,2))</f>
        <v>0</v>
      </c>
      <c r="Q1463" s="1851" cm="1">
        <f t="array" ref="Q1463">_xlfn.IFS(
    AND(I1463=TRUE, K1463&lt;=No_Regular_Payments), Periodic_Admin_Charge,
   TRUE, 0
)</f>
        <v>0</v>
      </c>
      <c r="R1463" s="1850">
        <f>N1463-O1463-Q1463</f>
        <v>0</v>
      </c>
      <c r="S1463" s="1850">
        <f>ROUND(S1462-R1463,2)</f>
        <v>0</v>
      </c>
      <c r="T1463" s="1850">
        <f>ROUND(T1462-(N1463-Q1463),2)</f>
        <v>0</v>
      </c>
      <c r="U1463" s="1849"/>
      <c r="W1463" s="1848"/>
      <c r="X1463" s="1848"/>
      <c r="Y1463" s="1848"/>
    </row>
    <row r="1464" spans="2:25" hidden="1">
      <c r="B1464" s="1815" t="b">
        <f>AND(I1464=FALSE,N1463=0,Q1463=0,L1463="")</f>
        <v>1</v>
      </c>
      <c r="C1464" s="1844" t="str" cm="1">
        <f t="array" ref="C1464">_xlfn.IFS(
    L1464="", "",
    MONTH(L1464) &lt;= End_of_Year_Month, YEAR(L1464),
    TRUE, YEAR(L1464) + 1
)</f>
        <v/>
      </c>
      <c r="F1464" s="1857">
        <f>IF(L1464="",0,L1464)</f>
        <v>0</v>
      </c>
      <c r="G1464" s="1856">
        <f>-(N1464-Q1464)</f>
        <v>0</v>
      </c>
      <c r="I1464" s="1815" t="b">
        <f>K1464&lt;=Number_Payments</f>
        <v>0</v>
      </c>
      <c r="J1464" s="1855"/>
      <c r="K1464" s="1351">
        <f>K1463+1</f>
        <v>1338</v>
      </c>
      <c r="L1464" s="1854" t="str" cm="1">
        <f t="array" ref="L1464">_xlfn.IFS(
    I1463=FALSE, "",
    Payment_Frequency="Monthly", EDATE(L1463, 1),
    Payment_Frequency="Weekly", DATE(YEAR(L1463), MONTH(L1463), DAY(L1463) + 7),
    Payment_Frequency="Fortnightly", DATE(YEAR(L1463), MONTH(L1463), DAY(L1463) + 14),
    Payment_Frequency="Quarterly", DATE(YEAR(L1463), MONTH(L1463) + 3, DAY(L1463)),
    Payment_Frequency="Yearly", DATE(YEAR(L1463) + 1, MONTH(L1463), DAY(L1463)),
    TRUE, ""
)</f>
        <v/>
      </c>
      <c r="M1464" s="1853">
        <f>IF(ISERROR(L1464-L1463),0,L1464-L1463)</f>
        <v>0</v>
      </c>
      <c r="N1464" s="1851" cm="1">
        <f t="array" ref="N1464">_xlfn.IFS(
    AND(I1464=TRUE, K1464&lt;=No_Regular_Payments), Repay_Amt,
    AND(I1464=TRUE, K1464=No_Regular_Payments+1), Tm_Balloon_Amt,
   TRUE, 0
)</f>
        <v>0</v>
      </c>
      <c r="O1464" s="1850" cm="1">
        <f t="array" ref="O1464">_xlfn.IFS(
    M1464=0,0,
   ABS(N1464 - S1463 - P1464-Q1464) &lt; 1, N1464 - S1463-Q1464,
    TRUE, P1464
)</f>
        <v>0</v>
      </c>
      <c r="P1464" s="1852">
        <f>IF(M1464=0,0,ROUND(S1463*EXP(Int_Rate/365.25 * M1464)-S1463,2))</f>
        <v>0</v>
      </c>
      <c r="Q1464" s="1851" cm="1">
        <f t="array" ref="Q1464">_xlfn.IFS(
    AND(I1464=TRUE, K1464&lt;=No_Regular_Payments), Periodic_Admin_Charge,
   TRUE, 0
)</f>
        <v>0</v>
      </c>
      <c r="R1464" s="1850">
        <f>N1464-O1464-Q1464</f>
        <v>0</v>
      </c>
      <c r="S1464" s="1850">
        <f>ROUND(S1463-R1464,2)</f>
        <v>0</v>
      </c>
      <c r="T1464" s="1850">
        <f>ROUND(T1463-(N1464-Q1464),2)</f>
        <v>0</v>
      </c>
      <c r="U1464" s="1849"/>
      <c r="W1464" s="1848"/>
      <c r="X1464" s="1848"/>
      <c r="Y1464" s="1848"/>
    </row>
    <row r="1465" spans="2:25" hidden="1">
      <c r="B1465" s="1815" t="b">
        <f>AND(I1465=FALSE,N1464=0,Q1464=0,L1464="")</f>
        <v>1</v>
      </c>
      <c r="C1465" s="1844" t="str" cm="1">
        <f t="array" ref="C1465">_xlfn.IFS(
    L1465="", "",
    MONTH(L1465) &lt;= End_of_Year_Month, YEAR(L1465),
    TRUE, YEAR(L1465) + 1
)</f>
        <v/>
      </c>
      <c r="F1465" s="1857">
        <f>IF(L1465="",0,L1465)</f>
        <v>0</v>
      </c>
      <c r="G1465" s="1856">
        <f>-(N1465-Q1465)</f>
        <v>0</v>
      </c>
      <c r="I1465" s="1815" t="b">
        <f>K1465&lt;=Number_Payments</f>
        <v>0</v>
      </c>
      <c r="J1465" s="1855"/>
      <c r="K1465" s="1351">
        <f>K1464+1</f>
        <v>1339</v>
      </c>
      <c r="L1465" s="1854" t="str" cm="1">
        <f t="array" ref="L1465">_xlfn.IFS(
    I1464=FALSE, "",
    Payment_Frequency="Monthly", EDATE(L1464, 1),
    Payment_Frequency="Weekly", DATE(YEAR(L1464), MONTH(L1464), DAY(L1464) + 7),
    Payment_Frequency="Fortnightly", DATE(YEAR(L1464), MONTH(L1464), DAY(L1464) + 14),
    Payment_Frequency="Quarterly", DATE(YEAR(L1464), MONTH(L1464) + 3, DAY(L1464)),
    Payment_Frequency="Yearly", DATE(YEAR(L1464) + 1, MONTH(L1464), DAY(L1464)),
    TRUE, ""
)</f>
        <v/>
      </c>
      <c r="M1465" s="1853">
        <f>IF(ISERROR(L1465-L1464),0,L1465-L1464)</f>
        <v>0</v>
      </c>
      <c r="N1465" s="1851" cm="1">
        <f t="array" ref="N1465">_xlfn.IFS(
    AND(I1465=TRUE, K1465&lt;=No_Regular_Payments), Repay_Amt,
    AND(I1465=TRUE, K1465=No_Regular_Payments+1), Tm_Balloon_Amt,
   TRUE, 0
)</f>
        <v>0</v>
      </c>
      <c r="O1465" s="1850" cm="1">
        <f t="array" ref="O1465">_xlfn.IFS(
    M1465=0,0,
   ABS(N1465 - S1464 - P1465-Q1465) &lt; 1, N1465 - S1464-Q1465,
    TRUE, P1465
)</f>
        <v>0</v>
      </c>
      <c r="P1465" s="1852">
        <f>IF(M1465=0,0,ROUND(S1464*EXP(Int_Rate/365.25 * M1465)-S1464,2))</f>
        <v>0</v>
      </c>
      <c r="Q1465" s="1851" cm="1">
        <f t="array" ref="Q1465">_xlfn.IFS(
    AND(I1465=TRUE, K1465&lt;=No_Regular_Payments), Periodic_Admin_Charge,
   TRUE, 0
)</f>
        <v>0</v>
      </c>
      <c r="R1465" s="1850">
        <f>N1465-O1465-Q1465</f>
        <v>0</v>
      </c>
      <c r="S1465" s="1850">
        <f>ROUND(S1464-R1465,2)</f>
        <v>0</v>
      </c>
      <c r="T1465" s="1850">
        <f>ROUND(T1464-(N1465-Q1465),2)</f>
        <v>0</v>
      </c>
      <c r="U1465" s="1849"/>
      <c r="W1465" s="1848"/>
      <c r="X1465" s="1848"/>
      <c r="Y1465" s="1848"/>
    </row>
    <row r="1466" spans="2:25" hidden="1">
      <c r="B1466" s="1815" t="b">
        <f>AND(I1466=FALSE,N1465=0,Q1465=0,L1465="")</f>
        <v>1</v>
      </c>
      <c r="C1466" s="1844" t="str" cm="1">
        <f t="array" ref="C1466">_xlfn.IFS(
    L1466="", "",
    MONTH(L1466) &lt;= End_of_Year_Month, YEAR(L1466),
    TRUE, YEAR(L1466) + 1
)</f>
        <v/>
      </c>
      <c r="F1466" s="1857">
        <f>IF(L1466="",0,L1466)</f>
        <v>0</v>
      </c>
      <c r="G1466" s="1856">
        <f>-(N1466-Q1466)</f>
        <v>0</v>
      </c>
      <c r="I1466" s="1815" t="b">
        <f>K1466&lt;=Number_Payments</f>
        <v>0</v>
      </c>
      <c r="J1466" s="1855"/>
      <c r="K1466" s="1351">
        <f>K1465+1</f>
        <v>1340</v>
      </c>
      <c r="L1466" s="1854" t="str" cm="1">
        <f t="array" ref="L1466">_xlfn.IFS(
    I1465=FALSE, "",
    Payment_Frequency="Monthly", EDATE(L1465, 1),
    Payment_Frequency="Weekly", DATE(YEAR(L1465), MONTH(L1465), DAY(L1465) + 7),
    Payment_Frequency="Fortnightly", DATE(YEAR(L1465), MONTH(L1465), DAY(L1465) + 14),
    Payment_Frequency="Quarterly", DATE(YEAR(L1465), MONTH(L1465) + 3, DAY(L1465)),
    Payment_Frequency="Yearly", DATE(YEAR(L1465) + 1, MONTH(L1465), DAY(L1465)),
    TRUE, ""
)</f>
        <v/>
      </c>
      <c r="M1466" s="1853">
        <f>IF(ISERROR(L1466-L1465),0,L1466-L1465)</f>
        <v>0</v>
      </c>
      <c r="N1466" s="1851" cm="1">
        <f t="array" ref="N1466">_xlfn.IFS(
    AND(I1466=TRUE, K1466&lt;=No_Regular_Payments), Repay_Amt,
    AND(I1466=TRUE, K1466=No_Regular_Payments+1), Tm_Balloon_Amt,
   TRUE, 0
)</f>
        <v>0</v>
      </c>
      <c r="O1466" s="1850" cm="1">
        <f t="array" ref="O1466">_xlfn.IFS(
    M1466=0,0,
   ABS(N1466 - S1465 - P1466-Q1466) &lt; 1, N1466 - S1465-Q1466,
    TRUE, P1466
)</f>
        <v>0</v>
      </c>
      <c r="P1466" s="1852">
        <f>IF(M1466=0,0,ROUND(S1465*EXP(Int_Rate/365.25 * M1466)-S1465,2))</f>
        <v>0</v>
      </c>
      <c r="Q1466" s="1851" cm="1">
        <f t="array" ref="Q1466">_xlfn.IFS(
    AND(I1466=TRUE, K1466&lt;=No_Regular_Payments), Periodic_Admin_Charge,
   TRUE, 0
)</f>
        <v>0</v>
      </c>
      <c r="R1466" s="1850">
        <f>N1466-O1466-Q1466</f>
        <v>0</v>
      </c>
      <c r="S1466" s="1850">
        <f>ROUND(S1465-R1466,2)</f>
        <v>0</v>
      </c>
      <c r="T1466" s="1850">
        <f>ROUND(T1465-(N1466-Q1466),2)</f>
        <v>0</v>
      </c>
      <c r="U1466" s="1849"/>
      <c r="W1466" s="1848"/>
      <c r="X1466" s="1848"/>
      <c r="Y1466" s="1848"/>
    </row>
    <row r="1467" spans="2:25" hidden="1">
      <c r="B1467" s="1815" t="b">
        <f>AND(I1467=FALSE,N1466=0,Q1466=0,L1466="")</f>
        <v>1</v>
      </c>
      <c r="C1467" s="1844" t="str" cm="1">
        <f t="array" ref="C1467">_xlfn.IFS(
    L1467="", "",
    MONTH(L1467) &lt;= End_of_Year_Month, YEAR(L1467),
    TRUE, YEAR(L1467) + 1
)</f>
        <v/>
      </c>
      <c r="F1467" s="1857">
        <f>IF(L1467="",0,L1467)</f>
        <v>0</v>
      </c>
      <c r="G1467" s="1856">
        <f>-(N1467-Q1467)</f>
        <v>0</v>
      </c>
      <c r="I1467" s="1815" t="b">
        <f>K1467&lt;=Number_Payments</f>
        <v>0</v>
      </c>
      <c r="J1467" s="1855"/>
      <c r="K1467" s="1351">
        <f>K1466+1</f>
        <v>1341</v>
      </c>
      <c r="L1467" s="1854" t="str" cm="1">
        <f t="array" ref="L1467">_xlfn.IFS(
    I1466=FALSE, "",
    Payment_Frequency="Monthly", EDATE(L1466, 1),
    Payment_Frequency="Weekly", DATE(YEAR(L1466), MONTH(L1466), DAY(L1466) + 7),
    Payment_Frequency="Fortnightly", DATE(YEAR(L1466), MONTH(L1466), DAY(L1466) + 14),
    Payment_Frequency="Quarterly", DATE(YEAR(L1466), MONTH(L1466) + 3, DAY(L1466)),
    Payment_Frequency="Yearly", DATE(YEAR(L1466) + 1, MONTH(L1466), DAY(L1466)),
    TRUE, ""
)</f>
        <v/>
      </c>
      <c r="M1467" s="1853">
        <f>IF(ISERROR(L1467-L1466),0,L1467-L1466)</f>
        <v>0</v>
      </c>
      <c r="N1467" s="1851" cm="1">
        <f t="array" ref="N1467">_xlfn.IFS(
    AND(I1467=TRUE, K1467&lt;=No_Regular_Payments), Repay_Amt,
    AND(I1467=TRUE, K1467=No_Regular_Payments+1), Tm_Balloon_Amt,
   TRUE, 0
)</f>
        <v>0</v>
      </c>
      <c r="O1467" s="1850" cm="1">
        <f t="array" ref="O1467">_xlfn.IFS(
    M1467=0,0,
   ABS(N1467 - S1466 - P1467-Q1467) &lt; 1, N1467 - S1466-Q1467,
    TRUE, P1467
)</f>
        <v>0</v>
      </c>
      <c r="P1467" s="1852">
        <f>IF(M1467=0,0,ROUND(S1466*EXP(Int_Rate/365.25 * M1467)-S1466,2))</f>
        <v>0</v>
      </c>
      <c r="Q1467" s="1851" cm="1">
        <f t="array" ref="Q1467">_xlfn.IFS(
    AND(I1467=TRUE, K1467&lt;=No_Regular_Payments), Periodic_Admin_Charge,
   TRUE, 0
)</f>
        <v>0</v>
      </c>
      <c r="R1467" s="1850">
        <f>N1467-O1467-Q1467</f>
        <v>0</v>
      </c>
      <c r="S1467" s="1850">
        <f>ROUND(S1466-R1467,2)</f>
        <v>0</v>
      </c>
      <c r="T1467" s="1850">
        <f>ROUND(T1466-(N1467-Q1467),2)</f>
        <v>0</v>
      </c>
      <c r="U1467" s="1849"/>
      <c r="W1467" s="1848"/>
      <c r="X1467" s="1848"/>
      <c r="Y1467" s="1848"/>
    </row>
    <row r="1468" spans="2:25" hidden="1">
      <c r="B1468" s="1815" t="b">
        <f>AND(I1468=FALSE,N1467=0,Q1467=0,L1467="")</f>
        <v>1</v>
      </c>
      <c r="C1468" s="1844" t="str" cm="1">
        <f t="array" ref="C1468">_xlfn.IFS(
    L1468="", "",
    MONTH(L1468) &lt;= End_of_Year_Month, YEAR(L1468),
    TRUE, YEAR(L1468) + 1
)</f>
        <v/>
      </c>
      <c r="F1468" s="1857">
        <f>IF(L1468="",0,L1468)</f>
        <v>0</v>
      </c>
      <c r="G1468" s="1856">
        <f>-(N1468-Q1468)</f>
        <v>0</v>
      </c>
      <c r="I1468" s="1815" t="b">
        <f>K1468&lt;=Number_Payments</f>
        <v>0</v>
      </c>
      <c r="J1468" s="1855"/>
      <c r="K1468" s="1351">
        <f>K1467+1</f>
        <v>1342</v>
      </c>
      <c r="L1468" s="1854" t="str" cm="1">
        <f t="array" ref="L1468">_xlfn.IFS(
    I1467=FALSE, "",
    Payment_Frequency="Monthly", EDATE(L1467, 1),
    Payment_Frequency="Weekly", DATE(YEAR(L1467), MONTH(L1467), DAY(L1467) + 7),
    Payment_Frequency="Fortnightly", DATE(YEAR(L1467), MONTH(L1467), DAY(L1467) + 14),
    Payment_Frequency="Quarterly", DATE(YEAR(L1467), MONTH(L1467) + 3, DAY(L1467)),
    Payment_Frequency="Yearly", DATE(YEAR(L1467) + 1, MONTH(L1467), DAY(L1467)),
    TRUE, ""
)</f>
        <v/>
      </c>
      <c r="M1468" s="1853">
        <f>IF(ISERROR(L1468-L1467),0,L1468-L1467)</f>
        <v>0</v>
      </c>
      <c r="N1468" s="1851" cm="1">
        <f t="array" ref="N1468">_xlfn.IFS(
    AND(I1468=TRUE, K1468&lt;=No_Regular_Payments), Repay_Amt,
    AND(I1468=TRUE, K1468=No_Regular_Payments+1), Tm_Balloon_Amt,
   TRUE, 0
)</f>
        <v>0</v>
      </c>
      <c r="O1468" s="1850" cm="1">
        <f t="array" ref="O1468">_xlfn.IFS(
    M1468=0,0,
   ABS(N1468 - S1467 - P1468-Q1468) &lt; 1, N1468 - S1467-Q1468,
    TRUE, P1468
)</f>
        <v>0</v>
      </c>
      <c r="P1468" s="1852">
        <f>IF(M1468=0,0,ROUND(S1467*EXP(Int_Rate/365.25 * M1468)-S1467,2))</f>
        <v>0</v>
      </c>
      <c r="Q1468" s="1851" cm="1">
        <f t="array" ref="Q1468">_xlfn.IFS(
    AND(I1468=TRUE, K1468&lt;=No_Regular_Payments), Periodic_Admin_Charge,
   TRUE, 0
)</f>
        <v>0</v>
      </c>
      <c r="R1468" s="1850">
        <f>N1468-O1468-Q1468</f>
        <v>0</v>
      </c>
      <c r="S1468" s="1850">
        <f>ROUND(S1467-R1468,2)</f>
        <v>0</v>
      </c>
      <c r="T1468" s="1850">
        <f>ROUND(T1467-(N1468-Q1468),2)</f>
        <v>0</v>
      </c>
      <c r="U1468" s="1849"/>
      <c r="W1468" s="1848"/>
      <c r="X1468" s="1848"/>
      <c r="Y1468" s="1848"/>
    </row>
    <row r="1469" spans="2:25" hidden="1">
      <c r="B1469" s="1815" t="b">
        <f>AND(I1469=FALSE,N1468=0,Q1468=0,L1468="")</f>
        <v>1</v>
      </c>
      <c r="C1469" s="1844" t="str" cm="1">
        <f t="array" ref="C1469">_xlfn.IFS(
    L1469="", "",
    MONTH(L1469) &lt;= End_of_Year_Month, YEAR(L1469),
    TRUE, YEAR(L1469) + 1
)</f>
        <v/>
      </c>
      <c r="F1469" s="1857">
        <f>IF(L1469="",0,L1469)</f>
        <v>0</v>
      </c>
      <c r="G1469" s="1856">
        <f>-(N1469-Q1469)</f>
        <v>0</v>
      </c>
      <c r="I1469" s="1815" t="b">
        <f>K1469&lt;=Number_Payments</f>
        <v>0</v>
      </c>
      <c r="J1469" s="1855"/>
      <c r="K1469" s="1351">
        <f>K1468+1</f>
        <v>1343</v>
      </c>
      <c r="L1469" s="1854" t="str" cm="1">
        <f t="array" ref="L1469">_xlfn.IFS(
    I1468=FALSE, "",
    Payment_Frequency="Monthly", EDATE(L1468, 1),
    Payment_Frequency="Weekly", DATE(YEAR(L1468), MONTH(L1468), DAY(L1468) + 7),
    Payment_Frequency="Fortnightly", DATE(YEAR(L1468), MONTH(L1468), DAY(L1468) + 14),
    Payment_Frequency="Quarterly", DATE(YEAR(L1468), MONTH(L1468) + 3, DAY(L1468)),
    Payment_Frequency="Yearly", DATE(YEAR(L1468) + 1, MONTH(L1468), DAY(L1468)),
    TRUE, ""
)</f>
        <v/>
      </c>
      <c r="M1469" s="1853">
        <f>IF(ISERROR(L1469-L1468),0,L1469-L1468)</f>
        <v>0</v>
      </c>
      <c r="N1469" s="1851" cm="1">
        <f t="array" ref="N1469">_xlfn.IFS(
    AND(I1469=TRUE, K1469&lt;=No_Regular_Payments), Repay_Amt,
    AND(I1469=TRUE, K1469=No_Regular_Payments+1), Tm_Balloon_Amt,
   TRUE, 0
)</f>
        <v>0</v>
      </c>
      <c r="O1469" s="1850" cm="1">
        <f t="array" ref="O1469">_xlfn.IFS(
    M1469=0,0,
   ABS(N1469 - S1468 - P1469-Q1469) &lt; 1, N1469 - S1468-Q1469,
    TRUE, P1469
)</f>
        <v>0</v>
      </c>
      <c r="P1469" s="1852">
        <f>IF(M1469=0,0,ROUND(S1468*EXP(Int_Rate/365.25 * M1469)-S1468,2))</f>
        <v>0</v>
      </c>
      <c r="Q1469" s="1851" cm="1">
        <f t="array" ref="Q1469">_xlfn.IFS(
    AND(I1469=TRUE, K1469&lt;=No_Regular_Payments), Periodic_Admin_Charge,
   TRUE, 0
)</f>
        <v>0</v>
      </c>
      <c r="R1469" s="1850">
        <f>N1469-O1469-Q1469</f>
        <v>0</v>
      </c>
      <c r="S1469" s="1850">
        <f>ROUND(S1468-R1469,2)</f>
        <v>0</v>
      </c>
      <c r="T1469" s="1850">
        <f>ROUND(T1468-(N1469-Q1469),2)</f>
        <v>0</v>
      </c>
      <c r="U1469" s="1849"/>
      <c r="W1469" s="1848"/>
      <c r="X1469" s="1848"/>
      <c r="Y1469" s="1848"/>
    </row>
    <row r="1470" spans="2:25" hidden="1">
      <c r="B1470" s="1815" t="b">
        <f>AND(I1470=FALSE,N1469=0,Q1469=0,L1469="")</f>
        <v>1</v>
      </c>
      <c r="C1470" s="1844" t="str" cm="1">
        <f t="array" ref="C1470">_xlfn.IFS(
    L1470="", "",
    MONTH(L1470) &lt;= End_of_Year_Month, YEAR(L1470),
    TRUE, YEAR(L1470) + 1
)</f>
        <v/>
      </c>
      <c r="F1470" s="1857">
        <f>IF(L1470="",0,L1470)</f>
        <v>0</v>
      </c>
      <c r="G1470" s="1856">
        <f>-(N1470-Q1470)</f>
        <v>0</v>
      </c>
      <c r="I1470" s="1815" t="b">
        <f>K1470&lt;=Number_Payments</f>
        <v>0</v>
      </c>
      <c r="J1470" s="1855"/>
      <c r="K1470" s="1351">
        <f>K1469+1</f>
        <v>1344</v>
      </c>
      <c r="L1470" s="1854" t="str" cm="1">
        <f t="array" ref="L1470">_xlfn.IFS(
    I1469=FALSE, "",
    Payment_Frequency="Monthly", EDATE(L1469, 1),
    Payment_Frequency="Weekly", DATE(YEAR(L1469), MONTH(L1469), DAY(L1469) + 7),
    Payment_Frequency="Fortnightly", DATE(YEAR(L1469), MONTH(L1469), DAY(L1469) + 14),
    Payment_Frequency="Quarterly", DATE(YEAR(L1469), MONTH(L1469) + 3, DAY(L1469)),
    Payment_Frequency="Yearly", DATE(YEAR(L1469) + 1, MONTH(L1469), DAY(L1469)),
    TRUE, ""
)</f>
        <v/>
      </c>
      <c r="M1470" s="1853">
        <f>IF(ISERROR(L1470-L1469),0,L1470-L1469)</f>
        <v>0</v>
      </c>
      <c r="N1470" s="1851" cm="1">
        <f t="array" ref="N1470">_xlfn.IFS(
    AND(I1470=TRUE, K1470&lt;=No_Regular_Payments), Repay_Amt,
    AND(I1470=TRUE, K1470=No_Regular_Payments+1), Tm_Balloon_Amt,
   TRUE, 0
)</f>
        <v>0</v>
      </c>
      <c r="O1470" s="1850" cm="1">
        <f t="array" ref="O1470">_xlfn.IFS(
    M1470=0,0,
   ABS(N1470 - S1469 - P1470-Q1470) &lt; 1, N1470 - S1469-Q1470,
    TRUE, P1470
)</f>
        <v>0</v>
      </c>
      <c r="P1470" s="1852">
        <f>IF(M1470=0,0,ROUND(S1469*EXP(Int_Rate/365.25 * M1470)-S1469,2))</f>
        <v>0</v>
      </c>
      <c r="Q1470" s="1851" cm="1">
        <f t="array" ref="Q1470">_xlfn.IFS(
    AND(I1470=TRUE, K1470&lt;=No_Regular_Payments), Periodic_Admin_Charge,
   TRUE, 0
)</f>
        <v>0</v>
      </c>
      <c r="R1470" s="1850">
        <f>N1470-O1470-Q1470</f>
        <v>0</v>
      </c>
      <c r="S1470" s="1850">
        <f>ROUND(S1469-R1470,2)</f>
        <v>0</v>
      </c>
      <c r="T1470" s="1850">
        <f>ROUND(T1469-(N1470-Q1470),2)</f>
        <v>0</v>
      </c>
      <c r="U1470" s="1849"/>
      <c r="W1470" s="1848"/>
      <c r="X1470" s="1848"/>
      <c r="Y1470" s="1848"/>
    </row>
    <row r="1471" spans="2:25" hidden="1">
      <c r="B1471" s="1815" t="b">
        <f>AND(I1471=FALSE,N1470=0,Q1470=0,L1470="")</f>
        <v>1</v>
      </c>
      <c r="C1471" s="1844" t="str" cm="1">
        <f t="array" ref="C1471">_xlfn.IFS(
    L1471="", "",
    MONTH(L1471) &lt;= End_of_Year_Month, YEAR(L1471),
    TRUE, YEAR(L1471) + 1
)</f>
        <v/>
      </c>
      <c r="F1471" s="1857">
        <f>IF(L1471="",0,L1471)</f>
        <v>0</v>
      </c>
      <c r="G1471" s="1856">
        <f>-(N1471-Q1471)</f>
        <v>0</v>
      </c>
      <c r="I1471" s="1815" t="b">
        <f>K1471&lt;=Number_Payments</f>
        <v>0</v>
      </c>
      <c r="J1471" s="1855"/>
      <c r="K1471" s="1351">
        <f>K1470+1</f>
        <v>1345</v>
      </c>
      <c r="L1471" s="1854" t="str" cm="1">
        <f t="array" ref="L1471">_xlfn.IFS(
    I1470=FALSE, "",
    Payment_Frequency="Monthly", EDATE(L1470, 1),
    Payment_Frequency="Weekly", DATE(YEAR(L1470), MONTH(L1470), DAY(L1470) + 7),
    Payment_Frequency="Fortnightly", DATE(YEAR(L1470), MONTH(L1470), DAY(L1470) + 14),
    Payment_Frequency="Quarterly", DATE(YEAR(L1470), MONTH(L1470) + 3, DAY(L1470)),
    Payment_Frequency="Yearly", DATE(YEAR(L1470) + 1, MONTH(L1470), DAY(L1470)),
    TRUE, ""
)</f>
        <v/>
      </c>
      <c r="M1471" s="1853">
        <f>IF(ISERROR(L1471-L1470),0,L1471-L1470)</f>
        <v>0</v>
      </c>
      <c r="N1471" s="1851" cm="1">
        <f t="array" ref="N1471">_xlfn.IFS(
    AND(I1471=TRUE, K1471&lt;=No_Regular_Payments), Repay_Amt,
    AND(I1471=TRUE, K1471=No_Regular_Payments+1), Tm_Balloon_Amt,
   TRUE, 0
)</f>
        <v>0</v>
      </c>
      <c r="O1471" s="1850" cm="1">
        <f t="array" ref="O1471">_xlfn.IFS(
    M1471=0,0,
   ABS(N1471 - S1470 - P1471-Q1471) &lt; 1, N1471 - S1470-Q1471,
    TRUE, P1471
)</f>
        <v>0</v>
      </c>
      <c r="P1471" s="1852">
        <f>IF(M1471=0,0,ROUND(S1470*EXP(Int_Rate/365.25 * M1471)-S1470,2))</f>
        <v>0</v>
      </c>
      <c r="Q1471" s="1851" cm="1">
        <f t="array" ref="Q1471">_xlfn.IFS(
    AND(I1471=TRUE, K1471&lt;=No_Regular_Payments), Periodic_Admin_Charge,
   TRUE, 0
)</f>
        <v>0</v>
      </c>
      <c r="R1471" s="1850">
        <f>N1471-O1471-Q1471</f>
        <v>0</v>
      </c>
      <c r="S1471" s="1850">
        <f>ROUND(S1470-R1471,2)</f>
        <v>0</v>
      </c>
      <c r="T1471" s="1850">
        <f>ROUND(T1470-(N1471-Q1471),2)</f>
        <v>0</v>
      </c>
      <c r="U1471" s="1849"/>
      <c r="W1471" s="1848"/>
      <c r="X1471" s="1848"/>
      <c r="Y1471" s="1848"/>
    </row>
    <row r="1472" spans="2:25" hidden="1">
      <c r="B1472" s="1815" t="b">
        <f>AND(I1472=FALSE,N1471=0,Q1471=0,L1471="")</f>
        <v>1</v>
      </c>
      <c r="C1472" s="1844" t="str" cm="1">
        <f t="array" ref="C1472">_xlfn.IFS(
    L1472="", "",
    MONTH(L1472) &lt;= End_of_Year_Month, YEAR(L1472),
    TRUE, YEAR(L1472) + 1
)</f>
        <v/>
      </c>
      <c r="F1472" s="1857">
        <f>IF(L1472="",0,L1472)</f>
        <v>0</v>
      </c>
      <c r="G1472" s="1856">
        <f>-(N1472-Q1472)</f>
        <v>0</v>
      </c>
      <c r="I1472" s="1815" t="b">
        <f>K1472&lt;=Number_Payments</f>
        <v>0</v>
      </c>
      <c r="J1472" s="1855"/>
      <c r="K1472" s="1351">
        <f>K1471+1</f>
        <v>1346</v>
      </c>
      <c r="L1472" s="1854" t="str" cm="1">
        <f t="array" ref="L1472">_xlfn.IFS(
    I1471=FALSE, "",
    Payment_Frequency="Monthly", EDATE(L1471, 1),
    Payment_Frequency="Weekly", DATE(YEAR(L1471), MONTH(L1471), DAY(L1471) + 7),
    Payment_Frequency="Fortnightly", DATE(YEAR(L1471), MONTH(L1471), DAY(L1471) + 14),
    Payment_Frequency="Quarterly", DATE(YEAR(L1471), MONTH(L1471) + 3, DAY(L1471)),
    Payment_Frequency="Yearly", DATE(YEAR(L1471) + 1, MONTH(L1471), DAY(L1471)),
    TRUE, ""
)</f>
        <v/>
      </c>
      <c r="M1472" s="1853">
        <f>IF(ISERROR(L1472-L1471),0,L1472-L1471)</f>
        <v>0</v>
      </c>
      <c r="N1472" s="1851" cm="1">
        <f t="array" ref="N1472">_xlfn.IFS(
    AND(I1472=TRUE, K1472&lt;=No_Regular_Payments), Repay_Amt,
    AND(I1472=TRUE, K1472=No_Regular_Payments+1), Tm_Balloon_Amt,
   TRUE, 0
)</f>
        <v>0</v>
      </c>
      <c r="O1472" s="1850" cm="1">
        <f t="array" ref="O1472">_xlfn.IFS(
    M1472=0,0,
   ABS(N1472 - S1471 - P1472-Q1472) &lt; 1, N1472 - S1471-Q1472,
    TRUE, P1472
)</f>
        <v>0</v>
      </c>
      <c r="P1472" s="1852">
        <f>IF(M1472=0,0,ROUND(S1471*EXP(Int_Rate/365.25 * M1472)-S1471,2))</f>
        <v>0</v>
      </c>
      <c r="Q1472" s="1851" cm="1">
        <f t="array" ref="Q1472">_xlfn.IFS(
    AND(I1472=TRUE, K1472&lt;=No_Regular_Payments), Periodic_Admin_Charge,
   TRUE, 0
)</f>
        <v>0</v>
      </c>
      <c r="R1472" s="1850">
        <f>N1472-O1472-Q1472</f>
        <v>0</v>
      </c>
      <c r="S1472" s="1850">
        <f>ROUND(S1471-R1472,2)</f>
        <v>0</v>
      </c>
      <c r="T1472" s="1850">
        <f>ROUND(T1471-(N1472-Q1472),2)</f>
        <v>0</v>
      </c>
      <c r="U1472" s="1849"/>
      <c r="W1472" s="1848"/>
      <c r="X1472" s="1848"/>
      <c r="Y1472" s="1848"/>
    </row>
    <row r="1473" spans="2:25" hidden="1">
      <c r="B1473" s="1815" t="b">
        <f>AND(I1473=FALSE,N1472=0,Q1472=0,L1472="")</f>
        <v>1</v>
      </c>
      <c r="C1473" s="1844" t="str" cm="1">
        <f t="array" ref="C1473">_xlfn.IFS(
    L1473="", "",
    MONTH(L1473) &lt;= End_of_Year_Month, YEAR(L1473),
    TRUE, YEAR(L1473) + 1
)</f>
        <v/>
      </c>
      <c r="F1473" s="1857">
        <f>IF(L1473="",0,L1473)</f>
        <v>0</v>
      </c>
      <c r="G1473" s="1856">
        <f>-(N1473-Q1473)</f>
        <v>0</v>
      </c>
      <c r="I1473" s="1815" t="b">
        <f>K1473&lt;=Number_Payments</f>
        <v>0</v>
      </c>
      <c r="J1473" s="1855"/>
      <c r="K1473" s="1351">
        <f>K1472+1</f>
        <v>1347</v>
      </c>
      <c r="L1473" s="1854" t="str" cm="1">
        <f t="array" ref="L1473">_xlfn.IFS(
    I1472=FALSE, "",
    Payment_Frequency="Monthly", EDATE(L1472, 1),
    Payment_Frequency="Weekly", DATE(YEAR(L1472), MONTH(L1472), DAY(L1472) + 7),
    Payment_Frequency="Fortnightly", DATE(YEAR(L1472), MONTH(L1472), DAY(L1472) + 14),
    Payment_Frequency="Quarterly", DATE(YEAR(L1472), MONTH(L1472) + 3, DAY(L1472)),
    Payment_Frequency="Yearly", DATE(YEAR(L1472) + 1, MONTH(L1472), DAY(L1472)),
    TRUE, ""
)</f>
        <v/>
      </c>
      <c r="M1473" s="1853">
        <f>IF(ISERROR(L1473-L1472),0,L1473-L1472)</f>
        <v>0</v>
      </c>
      <c r="N1473" s="1851" cm="1">
        <f t="array" ref="N1473">_xlfn.IFS(
    AND(I1473=TRUE, K1473&lt;=No_Regular_Payments), Repay_Amt,
    AND(I1473=TRUE, K1473=No_Regular_Payments+1), Tm_Balloon_Amt,
   TRUE, 0
)</f>
        <v>0</v>
      </c>
      <c r="O1473" s="1850" cm="1">
        <f t="array" ref="O1473">_xlfn.IFS(
    M1473=0,0,
   ABS(N1473 - S1472 - P1473-Q1473) &lt; 1, N1473 - S1472-Q1473,
    TRUE, P1473
)</f>
        <v>0</v>
      </c>
      <c r="P1473" s="1852">
        <f>IF(M1473=0,0,ROUND(S1472*EXP(Int_Rate/365.25 * M1473)-S1472,2))</f>
        <v>0</v>
      </c>
      <c r="Q1473" s="1851" cm="1">
        <f t="array" ref="Q1473">_xlfn.IFS(
    AND(I1473=TRUE, K1473&lt;=No_Regular_Payments), Periodic_Admin_Charge,
   TRUE, 0
)</f>
        <v>0</v>
      </c>
      <c r="R1473" s="1850">
        <f>N1473-O1473-Q1473</f>
        <v>0</v>
      </c>
      <c r="S1473" s="1850">
        <f>ROUND(S1472-R1473,2)</f>
        <v>0</v>
      </c>
      <c r="T1473" s="1850">
        <f>ROUND(T1472-(N1473-Q1473),2)</f>
        <v>0</v>
      </c>
      <c r="U1473" s="1849"/>
      <c r="W1473" s="1848"/>
      <c r="X1473" s="1848"/>
      <c r="Y1473" s="1848"/>
    </row>
    <row r="1474" spans="2:25" hidden="1">
      <c r="B1474" s="1815" t="b">
        <f>AND(I1474=FALSE,N1473=0,Q1473=0,L1473="")</f>
        <v>1</v>
      </c>
      <c r="C1474" s="1844" t="str" cm="1">
        <f t="array" ref="C1474">_xlfn.IFS(
    L1474="", "",
    MONTH(L1474) &lt;= End_of_Year_Month, YEAR(L1474),
    TRUE, YEAR(L1474) + 1
)</f>
        <v/>
      </c>
      <c r="F1474" s="1857">
        <f>IF(L1474="",0,L1474)</f>
        <v>0</v>
      </c>
      <c r="G1474" s="1856">
        <f>-(N1474-Q1474)</f>
        <v>0</v>
      </c>
      <c r="I1474" s="1815" t="b">
        <f>K1474&lt;=Number_Payments</f>
        <v>0</v>
      </c>
      <c r="J1474" s="1855"/>
      <c r="K1474" s="1351">
        <f>K1473+1</f>
        <v>1348</v>
      </c>
      <c r="L1474" s="1854" t="str" cm="1">
        <f t="array" ref="L1474">_xlfn.IFS(
    I1473=FALSE, "",
    Payment_Frequency="Monthly", EDATE(L1473, 1),
    Payment_Frequency="Weekly", DATE(YEAR(L1473), MONTH(L1473), DAY(L1473) + 7),
    Payment_Frequency="Fortnightly", DATE(YEAR(L1473), MONTH(L1473), DAY(L1473) + 14),
    Payment_Frequency="Quarterly", DATE(YEAR(L1473), MONTH(L1473) + 3, DAY(L1473)),
    Payment_Frequency="Yearly", DATE(YEAR(L1473) + 1, MONTH(L1473), DAY(L1473)),
    TRUE, ""
)</f>
        <v/>
      </c>
      <c r="M1474" s="1853">
        <f>IF(ISERROR(L1474-L1473),0,L1474-L1473)</f>
        <v>0</v>
      </c>
      <c r="N1474" s="1851" cm="1">
        <f t="array" ref="N1474">_xlfn.IFS(
    AND(I1474=TRUE, K1474&lt;=No_Regular_Payments), Repay_Amt,
    AND(I1474=TRUE, K1474=No_Regular_Payments+1), Tm_Balloon_Amt,
   TRUE, 0
)</f>
        <v>0</v>
      </c>
      <c r="O1474" s="1850" cm="1">
        <f t="array" ref="O1474">_xlfn.IFS(
    M1474=0,0,
   ABS(N1474 - S1473 - P1474-Q1474) &lt; 1, N1474 - S1473-Q1474,
    TRUE, P1474
)</f>
        <v>0</v>
      </c>
      <c r="P1474" s="1852">
        <f>IF(M1474=0,0,ROUND(S1473*EXP(Int_Rate/365.25 * M1474)-S1473,2))</f>
        <v>0</v>
      </c>
      <c r="Q1474" s="1851" cm="1">
        <f t="array" ref="Q1474">_xlfn.IFS(
    AND(I1474=TRUE, K1474&lt;=No_Regular_Payments), Periodic_Admin_Charge,
   TRUE, 0
)</f>
        <v>0</v>
      </c>
      <c r="R1474" s="1850">
        <f>N1474-O1474-Q1474</f>
        <v>0</v>
      </c>
      <c r="S1474" s="1850">
        <f>ROUND(S1473-R1474,2)</f>
        <v>0</v>
      </c>
      <c r="T1474" s="1850">
        <f>ROUND(T1473-(N1474-Q1474),2)</f>
        <v>0</v>
      </c>
      <c r="U1474" s="1849"/>
      <c r="W1474" s="1848"/>
      <c r="X1474" s="1848"/>
      <c r="Y1474" s="1848"/>
    </row>
    <row r="1475" spans="2:25" hidden="1">
      <c r="B1475" s="1815" t="b">
        <f>AND(I1475=FALSE,N1474=0,Q1474=0,L1474="")</f>
        <v>1</v>
      </c>
      <c r="C1475" s="1844" t="str" cm="1">
        <f t="array" ref="C1475">_xlfn.IFS(
    L1475="", "",
    MONTH(L1475) &lt;= End_of_Year_Month, YEAR(L1475),
    TRUE, YEAR(L1475) + 1
)</f>
        <v/>
      </c>
      <c r="F1475" s="1857">
        <f>IF(L1475="",0,L1475)</f>
        <v>0</v>
      </c>
      <c r="G1475" s="1856">
        <f>-(N1475-Q1475)</f>
        <v>0</v>
      </c>
      <c r="I1475" s="1815" t="b">
        <f>K1475&lt;=Number_Payments</f>
        <v>0</v>
      </c>
      <c r="J1475" s="1855"/>
      <c r="K1475" s="1351">
        <f>K1474+1</f>
        <v>1349</v>
      </c>
      <c r="L1475" s="1854" t="str" cm="1">
        <f t="array" ref="L1475">_xlfn.IFS(
    I1474=FALSE, "",
    Payment_Frequency="Monthly", EDATE(L1474, 1),
    Payment_Frequency="Weekly", DATE(YEAR(L1474), MONTH(L1474), DAY(L1474) + 7),
    Payment_Frequency="Fortnightly", DATE(YEAR(L1474), MONTH(L1474), DAY(L1474) + 14),
    Payment_Frequency="Quarterly", DATE(YEAR(L1474), MONTH(L1474) + 3, DAY(L1474)),
    Payment_Frequency="Yearly", DATE(YEAR(L1474) + 1, MONTH(L1474), DAY(L1474)),
    TRUE, ""
)</f>
        <v/>
      </c>
      <c r="M1475" s="1853">
        <f>IF(ISERROR(L1475-L1474),0,L1475-L1474)</f>
        <v>0</v>
      </c>
      <c r="N1475" s="1851" cm="1">
        <f t="array" ref="N1475">_xlfn.IFS(
    AND(I1475=TRUE, K1475&lt;=No_Regular_Payments), Repay_Amt,
    AND(I1475=TRUE, K1475=No_Regular_Payments+1), Tm_Balloon_Amt,
   TRUE, 0
)</f>
        <v>0</v>
      </c>
      <c r="O1475" s="1850" cm="1">
        <f t="array" ref="O1475">_xlfn.IFS(
    M1475=0,0,
   ABS(N1475 - S1474 - P1475-Q1475) &lt; 1, N1475 - S1474-Q1475,
    TRUE, P1475
)</f>
        <v>0</v>
      </c>
      <c r="P1475" s="1852">
        <f>IF(M1475=0,0,ROUND(S1474*EXP(Int_Rate/365.25 * M1475)-S1474,2))</f>
        <v>0</v>
      </c>
      <c r="Q1475" s="1851" cm="1">
        <f t="array" ref="Q1475">_xlfn.IFS(
    AND(I1475=TRUE, K1475&lt;=No_Regular_Payments), Periodic_Admin_Charge,
   TRUE, 0
)</f>
        <v>0</v>
      </c>
      <c r="R1475" s="1850">
        <f>N1475-O1475-Q1475</f>
        <v>0</v>
      </c>
      <c r="S1475" s="1850">
        <f>ROUND(S1474-R1475,2)</f>
        <v>0</v>
      </c>
      <c r="T1475" s="1850">
        <f>ROUND(T1474-(N1475-Q1475),2)</f>
        <v>0</v>
      </c>
      <c r="U1475" s="1849"/>
      <c r="W1475" s="1848"/>
      <c r="X1475" s="1848"/>
      <c r="Y1475" s="1848"/>
    </row>
    <row r="1476" spans="2:25" hidden="1">
      <c r="B1476" s="1815" t="b">
        <f>AND(I1476=FALSE,N1475=0,Q1475=0,L1475="")</f>
        <v>1</v>
      </c>
      <c r="C1476" s="1844" t="str" cm="1">
        <f t="array" ref="C1476">_xlfn.IFS(
    L1476="", "",
    MONTH(L1476) &lt;= End_of_Year_Month, YEAR(L1476),
    TRUE, YEAR(L1476) + 1
)</f>
        <v/>
      </c>
      <c r="F1476" s="1857">
        <f>IF(L1476="",0,L1476)</f>
        <v>0</v>
      </c>
      <c r="G1476" s="1856">
        <f>-(N1476-Q1476)</f>
        <v>0</v>
      </c>
      <c r="I1476" s="1815" t="b">
        <f>K1476&lt;=Number_Payments</f>
        <v>0</v>
      </c>
      <c r="J1476" s="1855"/>
      <c r="K1476" s="1351">
        <f>K1475+1</f>
        <v>1350</v>
      </c>
      <c r="L1476" s="1854" t="str" cm="1">
        <f t="array" ref="L1476">_xlfn.IFS(
    I1475=FALSE, "",
    Payment_Frequency="Monthly", EDATE(L1475, 1),
    Payment_Frequency="Weekly", DATE(YEAR(L1475), MONTH(L1475), DAY(L1475) + 7),
    Payment_Frequency="Fortnightly", DATE(YEAR(L1475), MONTH(L1475), DAY(L1475) + 14),
    Payment_Frequency="Quarterly", DATE(YEAR(L1475), MONTH(L1475) + 3, DAY(L1475)),
    Payment_Frequency="Yearly", DATE(YEAR(L1475) + 1, MONTH(L1475), DAY(L1475)),
    TRUE, ""
)</f>
        <v/>
      </c>
      <c r="M1476" s="1853">
        <f>IF(ISERROR(L1476-L1475),0,L1476-L1475)</f>
        <v>0</v>
      </c>
      <c r="N1476" s="1851" cm="1">
        <f t="array" ref="N1476">_xlfn.IFS(
    AND(I1476=TRUE, K1476&lt;=No_Regular_Payments), Repay_Amt,
    AND(I1476=TRUE, K1476=No_Regular_Payments+1), Tm_Balloon_Amt,
   TRUE, 0
)</f>
        <v>0</v>
      </c>
      <c r="O1476" s="1850" cm="1">
        <f t="array" ref="O1476">_xlfn.IFS(
    M1476=0,0,
   ABS(N1476 - S1475 - P1476-Q1476) &lt; 1, N1476 - S1475-Q1476,
    TRUE, P1476
)</f>
        <v>0</v>
      </c>
      <c r="P1476" s="1852">
        <f>IF(M1476=0,0,ROUND(S1475*EXP(Int_Rate/365.25 * M1476)-S1475,2))</f>
        <v>0</v>
      </c>
      <c r="Q1476" s="1851" cm="1">
        <f t="array" ref="Q1476">_xlfn.IFS(
    AND(I1476=TRUE, K1476&lt;=No_Regular_Payments), Periodic_Admin_Charge,
   TRUE, 0
)</f>
        <v>0</v>
      </c>
      <c r="R1476" s="1850">
        <f>N1476-O1476-Q1476</f>
        <v>0</v>
      </c>
      <c r="S1476" s="1850">
        <f>ROUND(S1475-R1476,2)</f>
        <v>0</v>
      </c>
      <c r="T1476" s="1850">
        <f>ROUND(T1475-(N1476-Q1476),2)</f>
        <v>0</v>
      </c>
      <c r="U1476" s="1849"/>
      <c r="W1476" s="1848"/>
      <c r="X1476" s="1848"/>
      <c r="Y1476" s="1848"/>
    </row>
    <row r="1477" spans="2:25" hidden="1">
      <c r="B1477" s="1815" t="b">
        <f>AND(I1477=FALSE,N1476=0,Q1476=0,L1476="")</f>
        <v>1</v>
      </c>
      <c r="C1477" s="1844" t="str" cm="1">
        <f t="array" ref="C1477">_xlfn.IFS(
    L1477="", "",
    MONTH(L1477) &lt;= End_of_Year_Month, YEAR(L1477),
    TRUE, YEAR(L1477) + 1
)</f>
        <v/>
      </c>
      <c r="F1477" s="1857">
        <f>IF(L1477="",0,L1477)</f>
        <v>0</v>
      </c>
      <c r="G1477" s="1856">
        <f>-(N1477-Q1477)</f>
        <v>0</v>
      </c>
      <c r="I1477" s="1815" t="b">
        <f>K1477&lt;=Number_Payments</f>
        <v>0</v>
      </c>
      <c r="J1477" s="1855"/>
      <c r="K1477" s="1351">
        <f>K1476+1</f>
        <v>1351</v>
      </c>
      <c r="L1477" s="1854" t="str" cm="1">
        <f t="array" ref="L1477">_xlfn.IFS(
    I1476=FALSE, "",
    Payment_Frequency="Monthly", EDATE(L1476, 1),
    Payment_Frequency="Weekly", DATE(YEAR(L1476), MONTH(L1476), DAY(L1476) + 7),
    Payment_Frequency="Fortnightly", DATE(YEAR(L1476), MONTH(L1476), DAY(L1476) + 14),
    Payment_Frequency="Quarterly", DATE(YEAR(L1476), MONTH(L1476) + 3, DAY(L1476)),
    Payment_Frequency="Yearly", DATE(YEAR(L1476) + 1, MONTH(L1476), DAY(L1476)),
    TRUE, ""
)</f>
        <v/>
      </c>
      <c r="M1477" s="1853">
        <f>IF(ISERROR(L1477-L1476),0,L1477-L1476)</f>
        <v>0</v>
      </c>
      <c r="N1477" s="1851" cm="1">
        <f t="array" ref="N1477">_xlfn.IFS(
    AND(I1477=TRUE, K1477&lt;=No_Regular_Payments), Repay_Amt,
    AND(I1477=TRUE, K1477=No_Regular_Payments+1), Tm_Balloon_Amt,
   TRUE, 0
)</f>
        <v>0</v>
      </c>
      <c r="O1477" s="1850" cm="1">
        <f t="array" ref="O1477">_xlfn.IFS(
    M1477=0,0,
   ABS(N1477 - S1476 - P1477-Q1477) &lt; 1, N1477 - S1476-Q1477,
    TRUE, P1477
)</f>
        <v>0</v>
      </c>
      <c r="P1477" s="1852">
        <f>IF(M1477=0,0,ROUND(S1476*EXP(Int_Rate/365.25 * M1477)-S1476,2))</f>
        <v>0</v>
      </c>
      <c r="Q1477" s="1851" cm="1">
        <f t="array" ref="Q1477">_xlfn.IFS(
    AND(I1477=TRUE, K1477&lt;=No_Regular_Payments), Periodic_Admin_Charge,
   TRUE, 0
)</f>
        <v>0</v>
      </c>
      <c r="R1477" s="1850">
        <f>N1477-O1477-Q1477</f>
        <v>0</v>
      </c>
      <c r="S1477" s="1850">
        <f>ROUND(S1476-R1477,2)</f>
        <v>0</v>
      </c>
      <c r="T1477" s="1850">
        <f>ROUND(T1476-(N1477-Q1477),2)</f>
        <v>0</v>
      </c>
      <c r="U1477" s="1849"/>
      <c r="W1477" s="1848"/>
      <c r="X1477" s="1848"/>
      <c r="Y1477" s="1848"/>
    </row>
    <row r="1478" spans="2:25" hidden="1">
      <c r="B1478" s="1815" t="b">
        <f>AND(I1478=FALSE,N1477=0,Q1477=0,L1477="")</f>
        <v>1</v>
      </c>
      <c r="C1478" s="1844" t="str" cm="1">
        <f t="array" ref="C1478">_xlfn.IFS(
    L1478="", "",
    MONTH(L1478) &lt;= End_of_Year_Month, YEAR(L1478),
    TRUE, YEAR(L1478) + 1
)</f>
        <v/>
      </c>
      <c r="F1478" s="1857">
        <f>IF(L1478="",0,L1478)</f>
        <v>0</v>
      </c>
      <c r="G1478" s="1856">
        <f>-(N1478-Q1478)</f>
        <v>0</v>
      </c>
      <c r="I1478" s="1815" t="b">
        <f>K1478&lt;=Number_Payments</f>
        <v>0</v>
      </c>
      <c r="J1478" s="1855"/>
      <c r="K1478" s="1351">
        <f>K1477+1</f>
        <v>1352</v>
      </c>
      <c r="L1478" s="1854" t="str" cm="1">
        <f t="array" ref="L1478">_xlfn.IFS(
    I1477=FALSE, "",
    Payment_Frequency="Monthly", EDATE(L1477, 1),
    Payment_Frequency="Weekly", DATE(YEAR(L1477), MONTH(L1477), DAY(L1477) + 7),
    Payment_Frequency="Fortnightly", DATE(YEAR(L1477), MONTH(L1477), DAY(L1477) + 14),
    Payment_Frequency="Quarterly", DATE(YEAR(L1477), MONTH(L1477) + 3, DAY(L1477)),
    Payment_Frequency="Yearly", DATE(YEAR(L1477) + 1, MONTH(L1477), DAY(L1477)),
    TRUE, ""
)</f>
        <v/>
      </c>
      <c r="M1478" s="1853">
        <f>IF(ISERROR(L1478-L1477),0,L1478-L1477)</f>
        <v>0</v>
      </c>
      <c r="N1478" s="1851" cm="1">
        <f t="array" ref="N1478">_xlfn.IFS(
    AND(I1478=TRUE, K1478&lt;=No_Regular_Payments), Repay_Amt,
    AND(I1478=TRUE, K1478=No_Regular_Payments+1), Tm_Balloon_Amt,
   TRUE, 0
)</f>
        <v>0</v>
      </c>
      <c r="O1478" s="1850" cm="1">
        <f t="array" ref="O1478">_xlfn.IFS(
    M1478=0,0,
   ABS(N1478 - S1477 - P1478-Q1478) &lt; 1, N1478 - S1477-Q1478,
    TRUE, P1478
)</f>
        <v>0</v>
      </c>
      <c r="P1478" s="1852">
        <f>IF(M1478=0,0,ROUND(S1477*EXP(Int_Rate/365.25 * M1478)-S1477,2))</f>
        <v>0</v>
      </c>
      <c r="Q1478" s="1851" cm="1">
        <f t="array" ref="Q1478">_xlfn.IFS(
    AND(I1478=TRUE, K1478&lt;=No_Regular_Payments), Periodic_Admin_Charge,
   TRUE, 0
)</f>
        <v>0</v>
      </c>
      <c r="R1478" s="1850">
        <f>N1478-O1478-Q1478</f>
        <v>0</v>
      </c>
      <c r="S1478" s="1850">
        <f>ROUND(S1477-R1478,2)</f>
        <v>0</v>
      </c>
      <c r="T1478" s="1850">
        <f>ROUND(T1477-(N1478-Q1478),2)</f>
        <v>0</v>
      </c>
      <c r="U1478" s="1849"/>
      <c r="W1478" s="1848"/>
      <c r="X1478" s="1848"/>
      <c r="Y1478" s="1848"/>
    </row>
    <row r="1479" spans="2:25" hidden="1">
      <c r="B1479" s="1815" t="b">
        <f>AND(I1479=FALSE,N1478=0,Q1478=0,L1478="")</f>
        <v>1</v>
      </c>
      <c r="C1479" s="1844" t="str" cm="1">
        <f t="array" ref="C1479">_xlfn.IFS(
    L1479="", "",
    MONTH(L1479) &lt;= End_of_Year_Month, YEAR(L1479),
    TRUE, YEAR(L1479) + 1
)</f>
        <v/>
      </c>
      <c r="F1479" s="1857">
        <f>IF(L1479="",0,L1479)</f>
        <v>0</v>
      </c>
      <c r="G1479" s="1856">
        <f>-(N1479-Q1479)</f>
        <v>0</v>
      </c>
      <c r="I1479" s="1815" t="b">
        <f>K1479&lt;=Number_Payments</f>
        <v>0</v>
      </c>
      <c r="J1479" s="1855"/>
      <c r="K1479" s="1351">
        <f>K1478+1</f>
        <v>1353</v>
      </c>
      <c r="L1479" s="1854" t="str" cm="1">
        <f t="array" ref="L1479">_xlfn.IFS(
    I1478=FALSE, "",
    Payment_Frequency="Monthly", EDATE(L1478, 1),
    Payment_Frequency="Weekly", DATE(YEAR(L1478), MONTH(L1478), DAY(L1478) + 7),
    Payment_Frequency="Fortnightly", DATE(YEAR(L1478), MONTH(L1478), DAY(L1478) + 14),
    Payment_Frequency="Quarterly", DATE(YEAR(L1478), MONTH(L1478) + 3, DAY(L1478)),
    Payment_Frequency="Yearly", DATE(YEAR(L1478) + 1, MONTH(L1478), DAY(L1478)),
    TRUE, ""
)</f>
        <v/>
      </c>
      <c r="M1479" s="1853">
        <f>IF(ISERROR(L1479-L1478),0,L1479-L1478)</f>
        <v>0</v>
      </c>
      <c r="N1479" s="1851" cm="1">
        <f t="array" ref="N1479">_xlfn.IFS(
    AND(I1479=TRUE, K1479&lt;=No_Regular_Payments), Repay_Amt,
    AND(I1479=TRUE, K1479=No_Regular_Payments+1), Tm_Balloon_Amt,
   TRUE, 0
)</f>
        <v>0</v>
      </c>
      <c r="O1479" s="1850" cm="1">
        <f t="array" ref="O1479">_xlfn.IFS(
    M1479=0,0,
   ABS(N1479 - S1478 - P1479-Q1479) &lt; 1, N1479 - S1478-Q1479,
    TRUE, P1479
)</f>
        <v>0</v>
      </c>
      <c r="P1479" s="1852">
        <f>IF(M1479=0,0,ROUND(S1478*EXP(Int_Rate/365.25 * M1479)-S1478,2))</f>
        <v>0</v>
      </c>
      <c r="Q1479" s="1851" cm="1">
        <f t="array" ref="Q1479">_xlfn.IFS(
    AND(I1479=TRUE, K1479&lt;=No_Regular_Payments), Periodic_Admin_Charge,
   TRUE, 0
)</f>
        <v>0</v>
      </c>
      <c r="R1479" s="1850">
        <f>N1479-O1479-Q1479</f>
        <v>0</v>
      </c>
      <c r="S1479" s="1850">
        <f>ROUND(S1478-R1479,2)</f>
        <v>0</v>
      </c>
      <c r="T1479" s="1850">
        <f>ROUND(T1478-(N1479-Q1479),2)</f>
        <v>0</v>
      </c>
      <c r="U1479" s="1849"/>
      <c r="W1479" s="1848"/>
      <c r="X1479" s="1848"/>
      <c r="Y1479" s="1848"/>
    </row>
    <row r="1480" spans="2:25" hidden="1">
      <c r="B1480" s="1815" t="b">
        <f>AND(I1480=FALSE,N1479=0,Q1479=0,L1479="")</f>
        <v>1</v>
      </c>
      <c r="C1480" s="1844" t="str" cm="1">
        <f t="array" ref="C1480">_xlfn.IFS(
    L1480="", "",
    MONTH(L1480) &lt;= End_of_Year_Month, YEAR(L1480),
    TRUE, YEAR(L1480) + 1
)</f>
        <v/>
      </c>
      <c r="F1480" s="1857">
        <f>IF(L1480="",0,L1480)</f>
        <v>0</v>
      </c>
      <c r="G1480" s="1856">
        <f>-(N1480-Q1480)</f>
        <v>0</v>
      </c>
      <c r="I1480" s="1815" t="b">
        <f>K1480&lt;=Number_Payments</f>
        <v>0</v>
      </c>
      <c r="J1480" s="1855"/>
      <c r="K1480" s="1351">
        <f>K1479+1</f>
        <v>1354</v>
      </c>
      <c r="L1480" s="1854" t="str" cm="1">
        <f t="array" ref="L1480">_xlfn.IFS(
    I1479=FALSE, "",
    Payment_Frequency="Monthly", EDATE(L1479, 1),
    Payment_Frequency="Weekly", DATE(YEAR(L1479), MONTH(L1479), DAY(L1479) + 7),
    Payment_Frequency="Fortnightly", DATE(YEAR(L1479), MONTH(L1479), DAY(L1479) + 14),
    Payment_Frequency="Quarterly", DATE(YEAR(L1479), MONTH(L1479) + 3, DAY(L1479)),
    Payment_Frequency="Yearly", DATE(YEAR(L1479) + 1, MONTH(L1479), DAY(L1479)),
    TRUE, ""
)</f>
        <v/>
      </c>
      <c r="M1480" s="1853">
        <f>IF(ISERROR(L1480-L1479),0,L1480-L1479)</f>
        <v>0</v>
      </c>
      <c r="N1480" s="1851" cm="1">
        <f t="array" ref="N1480">_xlfn.IFS(
    AND(I1480=TRUE, K1480&lt;=No_Regular_Payments), Repay_Amt,
    AND(I1480=TRUE, K1480=No_Regular_Payments+1), Tm_Balloon_Amt,
   TRUE, 0
)</f>
        <v>0</v>
      </c>
      <c r="O1480" s="1850" cm="1">
        <f t="array" ref="O1480">_xlfn.IFS(
    M1480=0,0,
   ABS(N1480 - S1479 - P1480-Q1480) &lt; 1, N1480 - S1479-Q1480,
    TRUE, P1480
)</f>
        <v>0</v>
      </c>
      <c r="P1480" s="1852">
        <f>IF(M1480=0,0,ROUND(S1479*EXP(Int_Rate/365.25 * M1480)-S1479,2))</f>
        <v>0</v>
      </c>
      <c r="Q1480" s="1851" cm="1">
        <f t="array" ref="Q1480">_xlfn.IFS(
    AND(I1480=TRUE, K1480&lt;=No_Regular_Payments), Periodic_Admin_Charge,
   TRUE, 0
)</f>
        <v>0</v>
      </c>
      <c r="R1480" s="1850">
        <f>N1480-O1480-Q1480</f>
        <v>0</v>
      </c>
      <c r="S1480" s="1850">
        <f>ROUND(S1479-R1480,2)</f>
        <v>0</v>
      </c>
      <c r="T1480" s="1850">
        <f>ROUND(T1479-(N1480-Q1480),2)</f>
        <v>0</v>
      </c>
      <c r="U1480" s="1849"/>
      <c r="W1480" s="1848"/>
      <c r="X1480" s="1848"/>
      <c r="Y1480" s="1848"/>
    </row>
    <row r="1481" spans="2:25" hidden="1">
      <c r="B1481" s="1815" t="b">
        <f>AND(I1481=FALSE,N1480=0,Q1480=0,L1480="")</f>
        <v>1</v>
      </c>
      <c r="C1481" s="1844" t="str" cm="1">
        <f t="array" ref="C1481">_xlfn.IFS(
    L1481="", "",
    MONTH(L1481) &lt;= End_of_Year_Month, YEAR(L1481),
    TRUE, YEAR(L1481) + 1
)</f>
        <v/>
      </c>
      <c r="F1481" s="1857">
        <f>IF(L1481="",0,L1481)</f>
        <v>0</v>
      </c>
      <c r="G1481" s="1856">
        <f>-(N1481-Q1481)</f>
        <v>0</v>
      </c>
      <c r="I1481" s="1815" t="b">
        <f>K1481&lt;=Number_Payments</f>
        <v>0</v>
      </c>
      <c r="J1481" s="1855"/>
      <c r="K1481" s="1351">
        <f>K1480+1</f>
        <v>1355</v>
      </c>
      <c r="L1481" s="1854" t="str" cm="1">
        <f t="array" ref="L1481">_xlfn.IFS(
    I1480=FALSE, "",
    Payment_Frequency="Monthly", EDATE(L1480, 1),
    Payment_Frequency="Weekly", DATE(YEAR(L1480), MONTH(L1480), DAY(L1480) + 7),
    Payment_Frequency="Fortnightly", DATE(YEAR(L1480), MONTH(L1480), DAY(L1480) + 14),
    Payment_Frequency="Quarterly", DATE(YEAR(L1480), MONTH(L1480) + 3, DAY(L1480)),
    Payment_Frequency="Yearly", DATE(YEAR(L1480) + 1, MONTH(L1480), DAY(L1480)),
    TRUE, ""
)</f>
        <v/>
      </c>
      <c r="M1481" s="1853">
        <f>IF(ISERROR(L1481-L1480),0,L1481-L1480)</f>
        <v>0</v>
      </c>
      <c r="N1481" s="1851" cm="1">
        <f t="array" ref="N1481">_xlfn.IFS(
    AND(I1481=TRUE, K1481&lt;=No_Regular_Payments), Repay_Amt,
    AND(I1481=TRUE, K1481=No_Regular_Payments+1), Tm_Balloon_Amt,
   TRUE, 0
)</f>
        <v>0</v>
      </c>
      <c r="O1481" s="1850" cm="1">
        <f t="array" ref="O1481">_xlfn.IFS(
    M1481=0,0,
   ABS(N1481 - S1480 - P1481-Q1481) &lt; 1, N1481 - S1480-Q1481,
    TRUE, P1481
)</f>
        <v>0</v>
      </c>
      <c r="P1481" s="1852">
        <f>IF(M1481=0,0,ROUND(S1480*EXP(Int_Rate/365.25 * M1481)-S1480,2))</f>
        <v>0</v>
      </c>
      <c r="Q1481" s="1851" cm="1">
        <f t="array" ref="Q1481">_xlfn.IFS(
    AND(I1481=TRUE, K1481&lt;=No_Regular_Payments), Periodic_Admin_Charge,
   TRUE, 0
)</f>
        <v>0</v>
      </c>
      <c r="R1481" s="1850">
        <f>N1481-O1481-Q1481</f>
        <v>0</v>
      </c>
      <c r="S1481" s="1850">
        <f>ROUND(S1480-R1481,2)</f>
        <v>0</v>
      </c>
      <c r="T1481" s="1850">
        <f>ROUND(T1480-(N1481-Q1481),2)</f>
        <v>0</v>
      </c>
      <c r="U1481" s="1849"/>
      <c r="W1481" s="1848"/>
      <c r="X1481" s="1848"/>
      <c r="Y1481" s="1848"/>
    </row>
    <row r="1482" spans="2:25" hidden="1">
      <c r="B1482" s="1815" t="b">
        <f>AND(I1482=FALSE,N1481=0,Q1481=0,L1481="")</f>
        <v>1</v>
      </c>
      <c r="C1482" s="1844" t="str" cm="1">
        <f t="array" ref="C1482">_xlfn.IFS(
    L1482="", "",
    MONTH(L1482) &lt;= End_of_Year_Month, YEAR(L1482),
    TRUE, YEAR(L1482) + 1
)</f>
        <v/>
      </c>
      <c r="F1482" s="1857">
        <f>IF(L1482="",0,L1482)</f>
        <v>0</v>
      </c>
      <c r="G1482" s="1856">
        <f>-(N1482-Q1482)</f>
        <v>0</v>
      </c>
      <c r="I1482" s="1815" t="b">
        <f>K1482&lt;=Number_Payments</f>
        <v>0</v>
      </c>
      <c r="J1482" s="1855"/>
      <c r="K1482" s="1351">
        <f>K1481+1</f>
        <v>1356</v>
      </c>
      <c r="L1482" s="1854" t="str" cm="1">
        <f t="array" ref="L1482">_xlfn.IFS(
    I1481=FALSE, "",
    Payment_Frequency="Monthly", EDATE(L1481, 1),
    Payment_Frequency="Weekly", DATE(YEAR(L1481), MONTH(L1481), DAY(L1481) + 7),
    Payment_Frequency="Fortnightly", DATE(YEAR(L1481), MONTH(L1481), DAY(L1481) + 14),
    Payment_Frequency="Quarterly", DATE(YEAR(L1481), MONTH(L1481) + 3, DAY(L1481)),
    Payment_Frequency="Yearly", DATE(YEAR(L1481) + 1, MONTH(L1481), DAY(L1481)),
    TRUE, ""
)</f>
        <v/>
      </c>
      <c r="M1482" s="1853">
        <f>IF(ISERROR(L1482-L1481),0,L1482-L1481)</f>
        <v>0</v>
      </c>
      <c r="N1482" s="1851" cm="1">
        <f t="array" ref="N1482">_xlfn.IFS(
    AND(I1482=TRUE, K1482&lt;=No_Regular_Payments), Repay_Amt,
    AND(I1482=TRUE, K1482=No_Regular_Payments+1), Tm_Balloon_Amt,
   TRUE, 0
)</f>
        <v>0</v>
      </c>
      <c r="O1482" s="1850" cm="1">
        <f t="array" ref="O1482">_xlfn.IFS(
    M1482=0,0,
   ABS(N1482 - S1481 - P1482-Q1482) &lt; 1, N1482 - S1481-Q1482,
    TRUE, P1482
)</f>
        <v>0</v>
      </c>
      <c r="P1482" s="1852">
        <f>IF(M1482=0,0,ROUND(S1481*EXP(Int_Rate/365.25 * M1482)-S1481,2))</f>
        <v>0</v>
      </c>
      <c r="Q1482" s="1851" cm="1">
        <f t="array" ref="Q1482">_xlfn.IFS(
    AND(I1482=TRUE, K1482&lt;=No_Regular_Payments), Periodic_Admin_Charge,
   TRUE, 0
)</f>
        <v>0</v>
      </c>
      <c r="R1482" s="1850">
        <f>N1482-O1482-Q1482</f>
        <v>0</v>
      </c>
      <c r="S1482" s="1850">
        <f>ROUND(S1481-R1482,2)</f>
        <v>0</v>
      </c>
      <c r="T1482" s="1850">
        <f>ROUND(T1481-(N1482-Q1482),2)</f>
        <v>0</v>
      </c>
      <c r="U1482" s="1849"/>
      <c r="W1482" s="1848"/>
      <c r="X1482" s="1848"/>
      <c r="Y1482" s="1848"/>
    </row>
    <row r="1483" spans="2:25" hidden="1">
      <c r="B1483" s="1815" t="b">
        <f>AND(I1483=FALSE,N1482=0,Q1482=0,L1482="")</f>
        <v>1</v>
      </c>
      <c r="C1483" s="1844" t="str" cm="1">
        <f t="array" ref="C1483">_xlfn.IFS(
    L1483="", "",
    MONTH(L1483) &lt;= End_of_Year_Month, YEAR(L1483),
    TRUE, YEAR(L1483) + 1
)</f>
        <v/>
      </c>
      <c r="F1483" s="1857">
        <f>IF(L1483="",0,L1483)</f>
        <v>0</v>
      </c>
      <c r="G1483" s="1856">
        <f>-(N1483-Q1483)</f>
        <v>0</v>
      </c>
      <c r="I1483" s="1815" t="b">
        <f>K1483&lt;=Number_Payments</f>
        <v>0</v>
      </c>
      <c r="J1483" s="1855"/>
      <c r="K1483" s="1351">
        <f>K1482+1</f>
        <v>1357</v>
      </c>
      <c r="L1483" s="1854" t="str" cm="1">
        <f t="array" ref="L1483">_xlfn.IFS(
    I1482=FALSE, "",
    Payment_Frequency="Monthly", EDATE(L1482, 1),
    Payment_Frequency="Weekly", DATE(YEAR(L1482), MONTH(L1482), DAY(L1482) + 7),
    Payment_Frequency="Fortnightly", DATE(YEAR(L1482), MONTH(L1482), DAY(L1482) + 14),
    Payment_Frequency="Quarterly", DATE(YEAR(L1482), MONTH(L1482) + 3, DAY(L1482)),
    Payment_Frequency="Yearly", DATE(YEAR(L1482) + 1, MONTH(L1482), DAY(L1482)),
    TRUE, ""
)</f>
        <v/>
      </c>
      <c r="M1483" s="1853">
        <f>IF(ISERROR(L1483-L1482),0,L1483-L1482)</f>
        <v>0</v>
      </c>
      <c r="N1483" s="1851" cm="1">
        <f t="array" ref="N1483">_xlfn.IFS(
    AND(I1483=TRUE, K1483&lt;=No_Regular_Payments), Repay_Amt,
    AND(I1483=TRUE, K1483=No_Regular_Payments+1), Tm_Balloon_Amt,
   TRUE, 0
)</f>
        <v>0</v>
      </c>
      <c r="O1483" s="1850" cm="1">
        <f t="array" ref="O1483">_xlfn.IFS(
    M1483=0,0,
   ABS(N1483 - S1482 - P1483-Q1483) &lt; 1, N1483 - S1482-Q1483,
    TRUE, P1483
)</f>
        <v>0</v>
      </c>
      <c r="P1483" s="1852">
        <f>IF(M1483=0,0,ROUND(S1482*EXP(Int_Rate/365.25 * M1483)-S1482,2))</f>
        <v>0</v>
      </c>
      <c r="Q1483" s="1851" cm="1">
        <f t="array" ref="Q1483">_xlfn.IFS(
    AND(I1483=TRUE, K1483&lt;=No_Regular_Payments), Periodic_Admin_Charge,
   TRUE, 0
)</f>
        <v>0</v>
      </c>
      <c r="R1483" s="1850">
        <f>N1483-O1483-Q1483</f>
        <v>0</v>
      </c>
      <c r="S1483" s="1850">
        <f>ROUND(S1482-R1483,2)</f>
        <v>0</v>
      </c>
      <c r="T1483" s="1850">
        <f>ROUND(T1482-(N1483-Q1483),2)</f>
        <v>0</v>
      </c>
      <c r="U1483" s="1849"/>
      <c r="W1483" s="1848"/>
      <c r="X1483" s="1848"/>
      <c r="Y1483" s="1848"/>
    </row>
    <row r="1484" spans="2:25" hidden="1">
      <c r="B1484" s="1815" t="b">
        <f>AND(I1484=FALSE,N1483=0,Q1483=0,L1483="")</f>
        <v>1</v>
      </c>
      <c r="C1484" s="1844" t="str" cm="1">
        <f t="array" ref="C1484">_xlfn.IFS(
    L1484="", "",
    MONTH(L1484) &lt;= End_of_Year_Month, YEAR(L1484),
    TRUE, YEAR(L1484) + 1
)</f>
        <v/>
      </c>
      <c r="F1484" s="1857">
        <f>IF(L1484="",0,L1484)</f>
        <v>0</v>
      </c>
      <c r="G1484" s="1856">
        <f>-(N1484-Q1484)</f>
        <v>0</v>
      </c>
      <c r="I1484" s="1815" t="b">
        <f>K1484&lt;=Number_Payments</f>
        <v>0</v>
      </c>
      <c r="J1484" s="1855"/>
      <c r="K1484" s="1351">
        <f>K1483+1</f>
        <v>1358</v>
      </c>
      <c r="L1484" s="1854" t="str" cm="1">
        <f t="array" ref="L1484">_xlfn.IFS(
    I1483=FALSE, "",
    Payment_Frequency="Monthly", EDATE(L1483, 1),
    Payment_Frequency="Weekly", DATE(YEAR(L1483), MONTH(L1483), DAY(L1483) + 7),
    Payment_Frequency="Fortnightly", DATE(YEAR(L1483), MONTH(L1483), DAY(L1483) + 14),
    Payment_Frequency="Quarterly", DATE(YEAR(L1483), MONTH(L1483) + 3, DAY(L1483)),
    Payment_Frequency="Yearly", DATE(YEAR(L1483) + 1, MONTH(L1483), DAY(L1483)),
    TRUE, ""
)</f>
        <v/>
      </c>
      <c r="M1484" s="1853">
        <f>IF(ISERROR(L1484-L1483),0,L1484-L1483)</f>
        <v>0</v>
      </c>
      <c r="N1484" s="1851" cm="1">
        <f t="array" ref="N1484">_xlfn.IFS(
    AND(I1484=TRUE, K1484&lt;=No_Regular_Payments), Repay_Amt,
    AND(I1484=TRUE, K1484=No_Regular_Payments+1), Tm_Balloon_Amt,
   TRUE, 0
)</f>
        <v>0</v>
      </c>
      <c r="O1484" s="1850" cm="1">
        <f t="array" ref="O1484">_xlfn.IFS(
    M1484=0,0,
   ABS(N1484 - S1483 - P1484-Q1484) &lt; 1, N1484 - S1483-Q1484,
    TRUE, P1484
)</f>
        <v>0</v>
      </c>
      <c r="P1484" s="1852">
        <f>IF(M1484=0,0,ROUND(S1483*EXP(Int_Rate/365.25 * M1484)-S1483,2))</f>
        <v>0</v>
      </c>
      <c r="Q1484" s="1851" cm="1">
        <f t="array" ref="Q1484">_xlfn.IFS(
    AND(I1484=TRUE, K1484&lt;=No_Regular_Payments), Periodic_Admin_Charge,
   TRUE, 0
)</f>
        <v>0</v>
      </c>
      <c r="R1484" s="1850">
        <f>N1484-O1484-Q1484</f>
        <v>0</v>
      </c>
      <c r="S1484" s="1850">
        <f>ROUND(S1483-R1484,2)</f>
        <v>0</v>
      </c>
      <c r="T1484" s="1850">
        <f>ROUND(T1483-(N1484-Q1484),2)</f>
        <v>0</v>
      </c>
      <c r="U1484" s="1849"/>
      <c r="W1484" s="1848"/>
      <c r="X1484" s="1848"/>
      <c r="Y1484" s="1848"/>
    </row>
    <row r="1485" spans="2:25" hidden="1">
      <c r="B1485" s="1815" t="b">
        <f>AND(I1485=FALSE,N1484=0,Q1484=0,L1484="")</f>
        <v>1</v>
      </c>
      <c r="C1485" s="1844" t="str" cm="1">
        <f t="array" ref="C1485">_xlfn.IFS(
    L1485="", "",
    MONTH(L1485) &lt;= End_of_Year_Month, YEAR(L1485),
    TRUE, YEAR(L1485) + 1
)</f>
        <v/>
      </c>
      <c r="F1485" s="1857">
        <f>IF(L1485="",0,L1485)</f>
        <v>0</v>
      </c>
      <c r="G1485" s="1856">
        <f>-(N1485-Q1485)</f>
        <v>0</v>
      </c>
      <c r="I1485" s="1815" t="b">
        <f>K1485&lt;=Number_Payments</f>
        <v>0</v>
      </c>
      <c r="J1485" s="1855"/>
      <c r="K1485" s="1351">
        <f>K1484+1</f>
        <v>1359</v>
      </c>
      <c r="L1485" s="1854" t="str" cm="1">
        <f t="array" ref="L1485">_xlfn.IFS(
    I1484=FALSE, "",
    Payment_Frequency="Monthly", EDATE(L1484, 1),
    Payment_Frequency="Weekly", DATE(YEAR(L1484), MONTH(L1484), DAY(L1484) + 7),
    Payment_Frequency="Fortnightly", DATE(YEAR(L1484), MONTH(L1484), DAY(L1484) + 14),
    Payment_Frequency="Quarterly", DATE(YEAR(L1484), MONTH(L1484) + 3, DAY(L1484)),
    Payment_Frequency="Yearly", DATE(YEAR(L1484) + 1, MONTH(L1484), DAY(L1484)),
    TRUE, ""
)</f>
        <v/>
      </c>
      <c r="M1485" s="1853">
        <f>IF(ISERROR(L1485-L1484),0,L1485-L1484)</f>
        <v>0</v>
      </c>
      <c r="N1485" s="1851" cm="1">
        <f t="array" ref="N1485">_xlfn.IFS(
    AND(I1485=TRUE, K1485&lt;=No_Regular_Payments), Repay_Amt,
    AND(I1485=TRUE, K1485=No_Regular_Payments+1), Tm_Balloon_Amt,
   TRUE, 0
)</f>
        <v>0</v>
      </c>
      <c r="O1485" s="1850" cm="1">
        <f t="array" ref="O1485">_xlfn.IFS(
    M1485=0,0,
   ABS(N1485 - S1484 - P1485-Q1485) &lt; 1, N1485 - S1484-Q1485,
    TRUE, P1485
)</f>
        <v>0</v>
      </c>
      <c r="P1485" s="1852">
        <f>IF(M1485=0,0,ROUND(S1484*EXP(Int_Rate/365.25 * M1485)-S1484,2))</f>
        <v>0</v>
      </c>
      <c r="Q1485" s="1851" cm="1">
        <f t="array" ref="Q1485">_xlfn.IFS(
    AND(I1485=TRUE, K1485&lt;=No_Regular_Payments), Periodic_Admin_Charge,
   TRUE, 0
)</f>
        <v>0</v>
      </c>
      <c r="R1485" s="1850">
        <f>N1485-O1485-Q1485</f>
        <v>0</v>
      </c>
      <c r="S1485" s="1850">
        <f>ROUND(S1484-R1485,2)</f>
        <v>0</v>
      </c>
      <c r="T1485" s="1850">
        <f>ROUND(T1484-(N1485-Q1485),2)</f>
        <v>0</v>
      </c>
      <c r="U1485" s="1849"/>
      <c r="W1485" s="1848"/>
      <c r="X1485" s="1848"/>
      <c r="Y1485" s="1848"/>
    </row>
    <row r="1486" spans="2:25" hidden="1">
      <c r="B1486" s="1815" t="b">
        <f>AND(I1486=FALSE,N1485=0,Q1485=0,L1485="")</f>
        <v>1</v>
      </c>
      <c r="C1486" s="1844" t="str" cm="1">
        <f t="array" ref="C1486">_xlfn.IFS(
    L1486="", "",
    MONTH(L1486) &lt;= End_of_Year_Month, YEAR(L1486),
    TRUE, YEAR(L1486) + 1
)</f>
        <v/>
      </c>
      <c r="F1486" s="1857">
        <f>IF(L1486="",0,L1486)</f>
        <v>0</v>
      </c>
      <c r="G1486" s="1856">
        <f>-(N1486-Q1486)</f>
        <v>0</v>
      </c>
      <c r="I1486" s="1815" t="b">
        <f>K1486&lt;=Number_Payments</f>
        <v>0</v>
      </c>
      <c r="J1486" s="1855"/>
      <c r="K1486" s="1351">
        <f>K1485+1</f>
        <v>1360</v>
      </c>
      <c r="L1486" s="1854" t="str" cm="1">
        <f t="array" ref="L1486">_xlfn.IFS(
    I1485=FALSE, "",
    Payment_Frequency="Monthly", EDATE(L1485, 1),
    Payment_Frequency="Weekly", DATE(YEAR(L1485), MONTH(L1485), DAY(L1485) + 7),
    Payment_Frequency="Fortnightly", DATE(YEAR(L1485), MONTH(L1485), DAY(L1485) + 14),
    Payment_Frequency="Quarterly", DATE(YEAR(L1485), MONTH(L1485) + 3, DAY(L1485)),
    Payment_Frequency="Yearly", DATE(YEAR(L1485) + 1, MONTH(L1485), DAY(L1485)),
    TRUE, ""
)</f>
        <v/>
      </c>
      <c r="M1486" s="1853">
        <f>IF(ISERROR(L1486-L1485),0,L1486-L1485)</f>
        <v>0</v>
      </c>
      <c r="N1486" s="1851" cm="1">
        <f t="array" ref="N1486">_xlfn.IFS(
    AND(I1486=TRUE, K1486&lt;=No_Regular_Payments), Repay_Amt,
    AND(I1486=TRUE, K1486=No_Regular_Payments+1), Tm_Balloon_Amt,
   TRUE, 0
)</f>
        <v>0</v>
      </c>
      <c r="O1486" s="1850" cm="1">
        <f t="array" ref="O1486">_xlfn.IFS(
    M1486=0,0,
   ABS(N1486 - S1485 - P1486-Q1486) &lt; 1, N1486 - S1485-Q1486,
    TRUE, P1486
)</f>
        <v>0</v>
      </c>
      <c r="P1486" s="1852">
        <f>IF(M1486=0,0,ROUND(S1485*EXP(Int_Rate/365.25 * M1486)-S1485,2))</f>
        <v>0</v>
      </c>
      <c r="Q1486" s="1851" cm="1">
        <f t="array" ref="Q1486">_xlfn.IFS(
    AND(I1486=TRUE, K1486&lt;=No_Regular_Payments), Periodic_Admin_Charge,
   TRUE, 0
)</f>
        <v>0</v>
      </c>
      <c r="R1486" s="1850">
        <f>N1486-O1486-Q1486</f>
        <v>0</v>
      </c>
      <c r="S1486" s="1850">
        <f>ROUND(S1485-R1486,2)</f>
        <v>0</v>
      </c>
      <c r="T1486" s="1850">
        <f>ROUND(T1485-(N1486-Q1486),2)</f>
        <v>0</v>
      </c>
      <c r="U1486" s="1849"/>
      <c r="W1486" s="1848"/>
      <c r="X1486" s="1848"/>
      <c r="Y1486" s="1848"/>
    </row>
    <row r="1487" spans="2:25" hidden="1">
      <c r="B1487" s="1815" t="b">
        <f>AND(I1487=FALSE,N1486=0,Q1486=0,L1486="")</f>
        <v>1</v>
      </c>
      <c r="C1487" s="1844" t="str" cm="1">
        <f t="array" ref="C1487">_xlfn.IFS(
    L1487="", "",
    MONTH(L1487) &lt;= End_of_Year_Month, YEAR(L1487),
    TRUE, YEAR(L1487) + 1
)</f>
        <v/>
      </c>
      <c r="F1487" s="1857">
        <f>IF(L1487="",0,L1487)</f>
        <v>0</v>
      </c>
      <c r="G1487" s="1856">
        <f>-(N1487-Q1487)</f>
        <v>0</v>
      </c>
      <c r="I1487" s="1815" t="b">
        <f>K1487&lt;=Number_Payments</f>
        <v>0</v>
      </c>
      <c r="J1487" s="1855"/>
      <c r="K1487" s="1351">
        <f>K1486+1</f>
        <v>1361</v>
      </c>
      <c r="L1487" s="1854" t="str" cm="1">
        <f t="array" ref="L1487">_xlfn.IFS(
    I1486=FALSE, "",
    Payment_Frequency="Monthly", EDATE(L1486, 1),
    Payment_Frequency="Weekly", DATE(YEAR(L1486), MONTH(L1486), DAY(L1486) + 7),
    Payment_Frequency="Fortnightly", DATE(YEAR(L1486), MONTH(L1486), DAY(L1486) + 14),
    Payment_Frequency="Quarterly", DATE(YEAR(L1486), MONTH(L1486) + 3, DAY(L1486)),
    Payment_Frequency="Yearly", DATE(YEAR(L1486) + 1, MONTH(L1486), DAY(L1486)),
    TRUE, ""
)</f>
        <v/>
      </c>
      <c r="M1487" s="1853">
        <f>IF(ISERROR(L1487-L1486),0,L1487-L1486)</f>
        <v>0</v>
      </c>
      <c r="N1487" s="1851" cm="1">
        <f t="array" ref="N1487">_xlfn.IFS(
    AND(I1487=TRUE, K1487&lt;=No_Regular_Payments), Repay_Amt,
    AND(I1487=TRUE, K1487=No_Regular_Payments+1), Tm_Balloon_Amt,
   TRUE, 0
)</f>
        <v>0</v>
      </c>
      <c r="O1487" s="1850" cm="1">
        <f t="array" ref="O1487">_xlfn.IFS(
    M1487=0,0,
   ABS(N1487 - S1486 - P1487-Q1487) &lt; 1, N1487 - S1486-Q1487,
    TRUE, P1487
)</f>
        <v>0</v>
      </c>
      <c r="P1487" s="1852">
        <f>IF(M1487=0,0,ROUND(S1486*EXP(Int_Rate/365.25 * M1487)-S1486,2))</f>
        <v>0</v>
      </c>
      <c r="Q1487" s="1851" cm="1">
        <f t="array" ref="Q1487">_xlfn.IFS(
    AND(I1487=TRUE, K1487&lt;=No_Regular_Payments), Periodic_Admin_Charge,
   TRUE, 0
)</f>
        <v>0</v>
      </c>
      <c r="R1487" s="1850">
        <f>N1487-O1487-Q1487</f>
        <v>0</v>
      </c>
      <c r="S1487" s="1850">
        <f>ROUND(S1486-R1487,2)</f>
        <v>0</v>
      </c>
      <c r="T1487" s="1850">
        <f>ROUND(T1486-(N1487-Q1487),2)</f>
        <v>0</v>
      </c>
      <c r="U1487" s="1849"/>
      <c r="W1487" s="1848"/>
      <c r="X1487" s="1848"/>
      <c r="Y1487" s="1848"/>
    </row>
    <row r="1488" spans="2:25" hidden="1">
      <c r="B1488" s="1815" t="b">
        <f>AND(I1488=FALSE,N1487=0,Q1487=0,L1487="")</f>
        <v>1</v>
      </c>
      <c r="C1488" s="1844" t="str" cm="1">
        <f t="array" ref="C1488">_xlfn.IFS(
    L1488="", "",
    MONTH(L1488) &lt;= End_of_Year_Month, YEAR(L1488),
    TRUE, YEAR(L1488) + 1
)</f>
        <v/>
      </c>
      <c r="F1488" s="1857">
        <f>IF(L1488="",0,L1488)</f>
        <v>0</v>
      </c>
      <c r="G1488" s="1856">
        <f>-(N1488-Q1488)</f>
        <v>0</v>
      </c>
      <c r="I1488" s="1815" t="b">
        <f>K1488&lt;=Number_Payments</f>
        <v>0</v>
      </c>
      <c r="J1488" s="1855"/>
      <c r="K1488" s="1351">
        <f>K1487+1</f>
        <v>1362</v>
      </c>
      <c r="L1488" s="1854" t="str" cm="1">
        <f t="array" ref="L1488">_xlfn.IFS(
    I1487=FALSE, "",
    Payment_Frequency="Monthly", EDATE(L1487, 1),
    Payment_Frequency="Weekly", DATE(YEAR(L1487), MONTH(L1487), DAY(L1487) + 7),
    Payment_Frequency="Fortnightly", DATE(YEAR(L1487), MONTH(L1487), DAY(L1487) + 14),
    Payment_Frequency="Quarterly", DATE(YEAR(L1487), MONTH(L1487) + 3, DAY(L1487)),
    Payment_Frequency="Yearly", DATE(YEAR(L1487) + 1, MONTH(L1487), DAY(L1487)),
    TRUE, ""
)</f>
        <v/>
      </c>
      <c r="M1488" s="1853">
        <f>IF(ISERROR(L1488-L1487),0,L1488-L1487)</f>
        <v>0</v>
      </c>
      <c r="N1488" s="1851" cm="1">
        <f t="array" ref="N1488">_xlfn.IFS(
    AND(I1488=TRUE, K1488&lt;=No_Regular_Payments), Repay_Amt,
    AND(I1488=TRUE, K1488=No_Regular_Payments+1), Tm_Balloon_Amt,
   TRUE, 0
)</f>
        <v>0</v>
      </c>
      <c r="O1488" s="1850" cm="1">
        <f t="array" ref="O1488">_xlfn.IFS(
    M1488=0,0,
   ABS(N1488 - S1487 - P1488-Q1488) &lt; 1, N1488 - S1487-Q1488,
    TRUE, P1488
)</f>
        <v>0</v>
      </c>
      <c r="P1488" s="1852">
        <f>IF(M1488=0,0,ROUND(S1487*EXP(Int_Rate/365.25 * M1488)-S1487,2))</f>
        <v>0</v>
      </c>
      <c r="Q1488" s="1851" cm="1">
        <f t="array" ref="Q1488">_xlfn.IFS(
    AND(I1488=TRUE, K1488&lt;=No_Regular_Payments), Periodic_Admin_Charge,
   TRUE, 0
)</f>
        <v>0</v>
      </c>
      <c r="R1488" s="1850">
        <f>N1488-O1488-Q1488</f>
        <v>0</v>
      </c>
      <c r="S1488" s="1850">
        <f>ROUND(S1487-R1488,2)</f>
        <v>0</v>
      </c>
      <c r="T1488" s="1850">
        <f>ROUND(T1487-(N1488-Q1488),2)</f>
        <v>0</v>
      </c>
      <c r="U1488" s="1849"/>
      <c r="W1488" s="1848"/>
      <c r="X1488" s="1848"/>
      <c r="Y1488" s="1848"/>
    </row>
    <row r="1489" spans="2:25" hidden="1">
      <c r="B1489" s="1815" t="b">
        <f>AND(I1489=FALSE,N1488=0,Q1488=0,L1488="")</f>
        <v>1</v>
      </c>
      <c r="C1489" s="1844" t="str" cm="1">
        <f t="array" ref="C1489">_xlfn.IFS(
    L1489="", "",
    MONTH(L1489) &lt;= End_of_Year_Month, YEAR(L1489),
    TRUE, YEAR(L1489) + 1
)</f>
        <v/>
      </c>
      <c r="F1489" s="1857">
        <f>IF(L1489="",0,L1489)</f>
        <v>0</v>
      </c>
      <c r="G1489" s="1856">
        <f>-(N1489-Q1489)</f>
        <v>0</v>
      </c>
      <c r="I1489" s="1815" t="b">
        <f>K1489&lt;=Number_Payments</f>
        <v>0</v>
      </c>
      <c r="J1489" s="1855"/>
      <c r="K1489" s="1351">
        <f>K1488+1</f>
        <v>1363</v>
      </c>
      <c r="L1489" s="1854" t="str" cm="1">
        <f t="array" ref="L1489">_xlfn.IFS(
    I1488=FALSE, "",
    Payment_Frequency="Monthly", EDATE(L1488, 1),
    Payment_Frequency="Weekly", DATE(YEAR(L1488), MONTH(L1488), DAY(L1488) + 7),
    Payment_Frequency="Fortnightly", DATE(YEAR(L1488), MONTH(L1488), DAY(L1488) + 14),
    Payment_Frequency="Quarterly", DATE(YEAR(L1488), MONTH(L1488) + 3, DAY(L1488)),
    Payment_Frequency="Yearly", DATE(YEAR(L1488) + 1, MONTH(L1488), DAY(L1488)),
    TRUE, ""
)</f>
        <v/>
      </c>
      <c r="M1489" s="1853">
        <f>IF(ISERROR(L1489-L1488),0,L1489-L1488)</f>
        <v>0</v>
      </c>
      <c r="N1489" s="1851" cm="1">
        <f t="array" ref="N1489">_xlfn.IFS(
    AND(I1489=TRUE, K1489&lt;=No_Regular_Payments), Repay_Amt,
    AND(I1489=TRUE, K1489=No_Regular_Payments+1), Tm_Balloon_Amt,
   TRUE, 0
)</f>
        <v>0</v>
      </c>
      <c r="O1489" s="1850" cm="1">
        <f t="array" ref="O1489">_xlfn.IFS(
    M1489=0,0,
   ABS(N1489 - S1488 - P1489-Q1489) &lt; 1, N1489 - S1488-Q1489,
    TRUE, P1489
)</f>
        <v>0</v>
      </c>
      <c r="P1489" s="1852">
        <f>IF(M1489=0,0,ROUND(S1488*EXP(Int_Rate/365.25 * M1489)-S1488,2))</f>
        <v>0</v>
      </c>
      <c r="Q1489" s="1851" cm="1">
        <f t="array" ref="Q1489">_xlfn.IFS(
    AND(I1489=TRUE, K1489&lt;=No_Regular_Payments), Periodic_Admin_Charge,
   TRUE, 0
)</f>
        <v>0</v>
      </c>
      <c r="R1489" s="1850">
        <f>N1489-O1489-Q1489</f>
        <v>0</v>
      </c>
      <c r="S1489" s="1850">
        <f>ROUND(S1488-R1489,2)</f>
        <v>0</v>
      </c>
      <c r="T1489" s="1850">
        <f>ROUND(T1488-(N1489-Q1489),2)</f>
        <v>0</v>
      </c>
      <c r="U1489" s="1849"/>
      <c r="W1489" s="1848"/>
      <c r="X1489" s="1848"/>
      <c r="Y1489" s="1848"/>
    </row>
    <row r="1490" spans="2:25" hidden="1">
      <c r="B1490" s="1815" t="b">
        <f>AND(I1490=FALSE,N1489=0,Q1489=0,L1489="")</f>
        <v>1</v>
      </c>
      <c r="C1490" s="1844" t="str" cm="1">
        <f t="array" ref="C1490">_xlfn.IFS(
    L1490="", "",
    MONTH(L1490) &lt;= End_of_Year_Month, YEAR(L1490),
    TRUE, YEAR(L1490) + 1
)</f>
        <v/>
      </c>
      <c r="F1490" s="1857">
        <f>IF(L1490="",0,L1490)</f>
        <v>0</v>
      </c>
      <c r="G1490" s="1856">
        <f>-(N1490-Q1490)</f>
        <v>0</v>
      </c>
      <c r="I1490" s="1815" t="b">
        <f>K1490&lt;=Number_Payments</f>
        <v>0</v>
      </c>
      <c r="J1490" s="1855"/>
      <c r="K1490" s="1351">
        <f>K1489+1</f>
        <v>1364</v>
      </c>
      <c r="L1490" s="1854" t="str" cm="1">
        <f t="array" ref="L1490">_xlfn.IFS(
    I1489=FALSE, "",
    Payment_Frequency="Monthly", EDATE(L1489, 1),
    Payment_Frequency="Weekly", DATE(YEAR(L1489), MONTH(L1489), DAY(L1489) + 7),
    Payment_Frequency="Fortnightly", DATE(YEAR(L1489), MONTH(L1489), DAY(L1489) + 14),
    Payment_Frequency="Quarterly", DATE(YEAR(L1489), MONTH(L1489) + 3, DAY(L1489)),
    Payment_Frequency="Yearly", DATE(YEAR(L1489) + 1, MONTH(L1489), DAY(L1489)),
    TRUE, ""
)</f>
        <v/>
      </c>
      <c r="M1490" s="1853">
        <f>IF(ISERROR(L1490-L1489),0,L1490-L1489)</f>
        <v>0</v>
      </c>
      <c r="N1490" s="1851" cm="1">
        <f t="array" ref="N1490">_xlfn.IFS(
    AND(I1490=TRUE, K1490&lt;=No_Regular_Payments), Repay_Amt,
    AND(I1490=TRUE, K1490=No_Regular_Payments+1), Tm_Balloon_Amt,
   TRUE, 0
)</f>
        <v>0</v>
      </c>
      <c r="O1490" s="1850" cm="1">
        <f t="array" ref="O1490">_xlfn.IFS(
    M1490=0,0,
   ABS(N1490 - S1489 - P1490-Q1490) &lt; 1, N1490 - S1489-Q1490,
    TRUE, P1490
)</f>
        <v>0</v>
      </c>
      <c r="P1490" s="1852">
        <f>IF(M1490=0,0,ROUND(S1489*EXP(Int_Rate/365.25 * M1490)-S1489,2))</f>
        <v>0</v>
      </c>
      <c r="Q1490" s="1851" cm="1">
        <f t="array" ref="Q1490">_xlfn.IFS(
    AND(I1490=TRUE, K1490&lt;=No_Regular_Payments), Periodic_Admin_Charge,
   TRUE, 0
)</f>
        <v>0</v>
      </c>
      <c r="R1490" s="1850">
        <f>N1490-O1490-Q1490</f>
        <v>0</v>
      </c>
      <c r="S1490" s="1850">
        <f>ROUND(S1489-R1490,2)</f>
        <v>0</v>
      </c>
      <c r="T1490" s="1850">
        <f>ROUND(T1489-(N1490-Q1490),2)</f>
        <v>0</v>
      </c>
      <c r="U1490" s="1849"/>
      <c r="W1490" s="1848"/>
      <c r="X1490" s="1848"/>
      <c r="Y1490" s="1848"/>
    </row>
    <row r="1491" spans="2:25" hidden="1">
      <c r="B1491" s="1815" t="b">
        <f>AND(I1491=FALSE,N1490=0,Q1490=0,L1490="")</f>
        <v>1</v>
      </c>
      <c r="C1491" s="1844" t="str" cm="1">
        <f t="array" ref="C1491">_xlfn.IFS(
    L1491="", "",
    MONTH(L1491) &lt;= End_of_Year_Month, YEAR(L1491),
    TRUE, YEAR(L1491) + 1
)</f>
        <v/>
      </c>
      <c r="F1491" s="1857">
        <f>IF(L1491="",0,L1491)</f>
        <v>0</v>
      </c>
      <c r="G1491" s="1856">
        <f>-(N1491-Q1491)</f>
        <v>0</v>
      </c>
      <c r="I1491" s="1815" t="b">
        <f>K1491&lt;=Number_Payments</f>
        <v>0</v>
      </c>
      <c r="J1491" s="1855"/>
      <c r="K1491" s="1351">
        <f>K1490+1</f>
        <v>1365</v>
      </c>
      <c r="L1491" s="1854" t="str" cm="1">
        <f t="array" ref="L1491">_xlfn.IFS(
    I1490=FALSE, "",
    Payment_Frequency="Monthly", EDATE(L1490, 1),
    Payment_Frequency="Weekly", DATE(YEAR(L1490), MONTH(L1490), DAY(L1490) + 7),
    Payment_Frequency="Fortnightly", DATE(YEAR(L1490), MONTH(L1490), DAY(L1490) + 14),
    Payment_Frequency="Quarterly", DATE(YEAR(L1490), MONTH(L1490) + 3, DAY(L1490)),
    Payment_Frequency="Yearly", DATE(YEAR(L1490) + 1, MONTH(L1490), DAY(L1490)),
    TRUE, ""
)</f>
        <v/>
      </c>
      <c r="M1491" s="1853">
        <f>IF(ISERROR(L1491-L1490),0,L1491-L1490)</f>
        <v>0</v>
      </c>
      <c r="N1491" s="1851" cm="1">
        <f t="array" ref="N1491">_xlfn.IFS(
    AND(I1491=TRUE, K1491&lt;=No_Regular_Payments), Repay_Amt,
    AND(I1491=TRUE, K1491=No_Regular_Payments+1), Tm_Balloon_Amt,
   TRUE, 0
)</f>
        <v>0</v>
      </c>
      <c r="O1491" s="1850" cm="1">
        <f t="array" ref="O1491">_xlfn.IFS(
    M1491=0,0,
   ABS(N1491 - S1490 - P1491-Q1491) &lt; 1, N1491 - S1490-Q1491,
    TRUE, P1491
)</f>
        <v>0</v>
      </c>
      <c r="P1491" s="1852">
        <f>IF(M1491=0,0,ROUND(S1490*EXP(Int_Rate/365.25 * M1491)-S1490,2))</f>
        <v>0</v>
      </c>
      <c r="Q1491" s="1851" cm="1">
        <f t="array" ref="Q1491">_xlfn.IFS(
    AND(I1491=TRUE, K1491&lt;=No_Regular_Payments), Periodic_Admin_Charge,
   TRUE, 0
)</f>
        <v>0</v>
      </c>
      <c r="R1491" s="1850">
        <f>N1491-O1491-Q1491</f>
        <v>0</v>
      </c>
      <c r="S1491" s="1850">
        <f>ROUND(S1490-R1491,2)</f>
        <v>0</v>
      </c>
      <c r="T1491" s="1850">
        <f>ROUND(T1490-(N1491-Q1491),2)</f>
        <v>0</v>
      </c>
      <c r="U1491" s="1849"/>
      <c r="W1491" s="1848"/>
      <c r="X1491" s="1848"/>
      <c r="Y1491" s="1848"/>
    </row>
    <row r="1492" spans="2:25" hidden="1">
      <c r="B1492" s="1815" t="b">
        <f>AND(I1492=FALSE,N1491=0,Q1491=0,L1491="")</f>
        <v>1</v>
      </c>
      <c r="C1492" s="1844" t="str" cm="1">
        <f t="array" ref="C1492">_xlfn.IFS(
    L1492="", "",
    MONTH(L1492) &lt;= End_of_Year_Month, YEAR(L1492),
    TRUE, YEAR(L1492) + 1
)</f>
        <v/>
      </c>
      <c r="F1492" s="1857">
        <f>IF(L1492="",0,L1492)</f>
        <v>0</v>
      </c>
      <c r="G1492" s="1856">
        <f>-(N1492-Q1492)</f>
        <v>0</v>
      </c>
      <c r="I1492" s="1815" t="b">
        <f>K1492&lt;=Number_Payments</f>
        <v>0</v>
      </c>
      <c r="J1492" s="1855"/>
      <c r="K1492" s="1351">
        <f>K1491+1</f>
        <v>1366</v>
      </c>
      <c r="L1492" s="1854" t="str" cm="1">
        <f t="array" ref="L1492">_xlfn.IFS(
    I1491=FALSE, "",
    Payment_Frequency="Monthly", EDATE(L1491, 1),
    Payment_Frequency="Weekly", DATE(YEAR(L1491), MONTH(L1491), DAY(L1491) + 7),
    Payment_Frequency="Fortnightly", DATE(YEAR(L1491), MONTH(L1491), DAY(L1491) + 14),
    Payment_Frequency="Quarterly", DATE(YEAR(L1491), MONTH(L1491) + 3, DAY(L1491)),
    Payment_Frequency="Yearly", DATE(YEAR(L1491) + 1, MONTH(L1491), DAY(L1491)),
    TRUE, ""
)</f>
        <v/>
      </c>
      <c r="M1492" s="1853">
        <f>IF(ISERROR(L1492-L1491),0,L1492-L1491)</f>
        <v>0</v>
      </c>
      <c r="N1492" s="1851" cm="1">
        <f t="array" ref="N1492">_xlfn.IFS(
    AND(I1492=TRUE, K1492&lt;=No_Regular_Payments), Repay_Amt,
    AND(I1492=TRUE, K1492=No_Regular_Payments+1), Tm_Balloon_Amt,
   TRUE, 0
)</f>
        <v>0</v>
      </c>
      <c r="O1492" s="1850" cm="1">
        <f t="array" ref="O1492">_xlfn.IFS(
    M1492=0,0,
   ABS(N1492 - S1491 - P1492-Q1492) &lt; 1, N1492 - S1491-Q1492,
    TRUE, P1492
)</f>
        <v>0</v>
      </c>
      <c r="P1492" s="1852">
        <f>IF(M1492=0,0,ROUND(S1491*EXP(Int_Rate/365.25 * M1492)-S1491,2))</f>
        <v>0</v>
      </c>
      <c r="Q1492" s="1851" cm="1">
        <f t="array" ref="Q1492">_xlfn.IFS(
    AND(I1492=TRUE, K1492&lt;=No_Regular_Payments), Periodic_Admin_Charge,
   TRUE, 0
)</f>
        <v>0</v>
      </c>
      <c r="R1492" s="1850">
        <f>N1492-O1492-Q1492</f>
        <v>0</v>
      </c>
      <c r="S1492" s="1850">
        <f>ROUND(S1491-R1492,2)</f>
        <v>0</v>
      </c>
      <c r="T1492" s="1850">
        <f>ROUND(T1491-(N1492-Q1492),2)</f>
        <v>0</v>
      </c>
      <c r="U1492" s="1849"/>
      <c r="W1492" s="1848"/>
      <c r="X1492" s="1848"/>
      <c r="Y1492" s="1848"/>
    </row>
    <row r="1493" spans="2:25" hidden="1">
      <c r="B1493" s="1815" t="b">
        <f>AND(I1493=FALSE,N1492=0,Q1492=0,L1492="")</f>
        <v>1</v>
      </c>
      <c r="C1493" s="1844" t="str" cm="1">
        <f t="array" ref="C1493">_xlfn.IFS(
    L1493="", "",
    MONTH(L1493) &lt;= End_of_Year_Month, YEAR(L1493),
    TRUE, YEAR(L1493) + 1
)</f>
        <v/>
      </c>
      <c r="F1493" s="1857">
        <f>IF(L1493="",0,L1493)</f>
        <v>0</v>
      </c>
      <c r="G1493" s="1856">
        <f>-(N1493-Q1493)</f>
        <v>0</v>
      </c>
      <c r="I1493" s="1815" t="b">
        <f>K1493&lt;=Number_Payments</f>
        <v>0</v>
      </c>
      <c r="J1493" s="1855"/>
      <c r="K1493" s="1351">
        <f>K1492+1</f>
        <v>1367</v>
      </c>
      <c r="L1493" s="1854" t="str" cm="1">
        <f t="array" ref="L1493">_xlfn.IFS(
    I1492=FALSE, "",
    Payment_Frequency="Monthly", EDATE(L1492, 1),
    Payment_Frequency="Weekly", DATE(YEAR(L1492), MONTH(L1492), DAY(L1492) + 7),
    Payment_Frequency="Fortnightly", DATE(YEAR(L1492), MONTH(L1492), DAY(L1492) + 14),
    Payment_Frequency="Quarterly", DATE(YEAR(L1492), MONTH(L1492) + 3, DAY(L1492)),
    Payment_Frequency="Yearly", DATE(YEAR(L1492) + 1, MONTH(L1492), DAY(L1492)),
    TRUE, ""
)</f>
        <v/>
      </c>
      <c r="M1493" s="1853">
        <f>IF(ISERROR(L1493-L1492),0,L1493-L1492)</f>
        <v>0</v>
      </c>
      <c r="N1493" s="1851" cm="1">
        <f t="array" ref="N1493">_xlfn.IFS(
    AND(I1493=TRUE, K1493&lt;=No_Regular_Payments), Repay_Amt,
    AND(I1493=TRUE, K1493=No_Regular_Payments+1), Tm_Balloon_Amt,
   TRUE, 0
)</f>
        <v>0</v>
      </c>
      <c r="O1493" s="1850" cm="1">
        <f t="array" ref="O1493">_xlfn.IFS(
    M1493=0,0,
   ABS(N1493 - S1492 - P1493-Q1493) &lt; 1, N1493 - S1492-Q1493,
    TRUE, P1493
)</f>
        <v>0</v>
      </c>
      <c r="P1493" s="1852">
        <f>IF(M1493=0,0,ROUND(S1492*EXP(Int_Rate/365.25 * M1493)-S1492,2))</f>
        <v>0</v>
      </c>
      <c r="Q1493" s="1851" cm="1">
        <f t="array" ref="Q1493">_xlfn.IFS(
    AND(I1493=TRUE, K1493&lt;=No_Regular_Payments), Periodic_Admin_Charge,
   TRUE, 0
)</f>
        <v>0</v>
      </c>
      <c r="R1493" s="1850">
        <f>N1493-O1493-Q1493</f>
        <v>0</v>
      </c>
      <c r="S1493" s="1850">
        <f>ROUND(S1492-R1493,2)</f>
        <v>0</v>
      </c>
      <c r="T1493" s="1850">
        <f>ROUND(T1492-(N1493-Q1493),2)</f>
        <v>0</v>
      </c>
      <c r="U1493" s="1849"/>
      <c r="W1493" s="1848"/>
      <c r="X1493" s="1848"/>
      <c r="Y1493" s="1848"/>
    </row>
    <row r="1494" spans="2:25" hidden="1">
      <c r="B1494" s="1815" t="b">
        <f>AND(I1494=FALSE,N1493=0,Q1493=0,L1493="")</f>
        <v>1</v>
      </c>
      <c r="C1494" s="1844" t="str" cm="1">
        <f t="array" ref="C1494">_xlfn.IFS(
    L1494="", "",
    MONTH(L1494) &lt;= End_of_Year_Month, YEAR(L1494),
    TRUE, YEAR(L1494) + 1
)</f>
        <v/>
      </c>
      <c r="F1494" s="1857">
        <f>IF(L1494="",0,L1494)</f>
        <v>0</v>
      </c>
      <c r="G1494" s="1856">
        <f>-(N1494-Q1494)</f>
        <v>0</v>
      </c>
      <c r="I1494" s="1815" t="b">
        <f>K1494&lt;=Number_Payments</f>
        <v>0</v>
      </c>
      <c r="J1494" s="1855"/>
      <c r="K1494" s="1351">
        <f>K1493+1</f>
        <v>1368</v>
      </c>
      <c r="L1494" s="1854" t="str" cm="1">
        <f t="array" ref="L1494">_xlfn.IFS(
    I1493=FALSE, "",
    Payment_Frequency="Monthly", EDATE(L1493, 1),
    Payment_Frequency="Weekly", DATE(YEAR(L1493), MONTH(L1493), DAY(L1493) + 7),
    Payment_Frequency="Fortnightly", DATE(YEAR(L1493), MONTH(L1493), DAY(L1493) + 14),
    Payment_Frequency="Quarterly", DATE(YEAR(L1493), MONTH(L1493) + 3, DAY(L1493)),
    Payment_Frequency="Yearly", DATE(YEAR(L1493) + 1, MONTH(L1493), DAY(L1493)),
    TRUE, ""
)</f>
        <v/>
      </c>
      <c r="M1494" s="1853">
        <f>IF(ISERROR(L1494-L1493),0,L1494-L1493)</f>
        <v>0</v>
      </c>
      <c r="N1494" s="1851" cm="1">
        <f t="array" ref="N1494">_xlfn.IFS(
    AND(I1494=TRUE, K1494&lt;=No_Regular_Payments), Repay_Amt,
    AND(I1494=TRUE, K1494=No_Regular_Payments+1), Tm_Balloon_Amt,
   TRUE, 0
)</f>
        <v>0</v>
      </c>
      <c r="O1494" s="1850" cm="1">
        <f t="array" ref="O1494">_xlfn.IFS(
    M1494=0,0,
   ABS(N1494 - S1493 - P1494-Q1494) &lt; 1, N1494 - S1493-Q1494,
    TRUE, P1494
)</f>
        <v>0</v>
      </c>
      <c r="P1494" s="1852">
        <f>IF(M1494=0,0,ROUND(S1493*EXP(Int_Rate/365.25 * M1494)-S1493,2))</f>
        <v>0</v>
      </c>
      <c r="Q1494" s="1851" cm="1">
        <f t="array" ref="Q1494">_xlfn.IFS(
    AND(I1494=TRUE, K1494&lt;=No_Regular_Payments), Periodic_Admin_Charge,
   TRUE, 0
)</f>
        <v>0</v>
      </c>
      <c r="R1494" s="1850">
        <f>N1494-O1494-Q1494</f>
        <v>0</v>
      </c>
      <c r="S1494" s="1850">
        <f>ROUND(S1493-R1494,2)</f>
        <v>0</v>
      </c>
      <c r="T1494" s="1850">
        <f>ROUND(T1493-(N1494-Q1494),2)</f>
        <v>0</v>
      </c>
      <c r="U1494" s="1849"/>
      <c r="W1494" s="1848"/>
      <c r="X1494" s="1848"/>
      <c r="Y1494" s="1848"/>
    </row>
    <row r="1495" spans="2:25" hidden="1">
      <c r="B1495" s="1815" t="b">
        <f>AND(I1495=FALSE,N1494=0,Q1494=0,L1494="")</f>
        <v>1</v>
      </c>
      <c r="C1495" s="1844" t="str" cm="1">
        <f t="array" ref="C1495">_xlfn.IFS(
    L1495="", "",
    MONTH(L1495) &lt;= End_of_Year_Month, YEAR(L1495),
    TRUE, YEAR(L1495) + 1
)</f>
        <v/>
      </c>
      <c r="F1495" s="1857">
        <f>IF(L1495="",0,L1495)</f>
        <v>0</v>
      </c>
      <c r="G1495" s="1856">
        <f>-(N1495-Q1495)</f>
        <v>0</v>
      </c>
      <c r="I1495" s="1815" t="b">
        <f>K1495&lt;=Number_Payments</f>
        <v>0</v>
      </c>
      <c r="J1495" s="1855"/>
      <c r="K1495" s="1351">
        <f>K1494+1</f>
        <v>1369</v>
      </c>
      <c r="L1495" s="1854" t="str" cm="1">
        <f t="array" ref="L1495">_xlfn.IFS(
    I1494=FALSE, "",
    Payment_Frequency="Monthly", EDATE(L1494, 1),
    Payment_Frequency="Weekly", DATE(YEAR(L1494), MONTH(L1494), DAY(L1494) + 7),
    Payment_Frequency="Fortnightly", DATE(YEAR(L1494), MONTH(L1494), DAY(L1494) + 14),
    Payment_Frequency="Quarterly", DATE(YEAR(L1494), MONTH(L1494) + 3, DAY(L1494)),
    Payment_Frequency="Yearly", DATE(YEAR(L1494) + 1, MONTH(L1494), DAY(L1494)),
    TRUE, ""
)</f>
        <v/>
      </c>
      <c r="M1495" s="1853">
        <f>IF(ISERROR(L1495-L1494),0,L1495-L1494)</f>
        <v>0</v>
      </c>
      <c r="N1495" s="1851" cm="1">
        <f t="array" ref="N1495">_xlfn.IFS(
    AND(I1495=TRUE, K1495&lt;=No_Regular_Payments), Repay_Amt,
    AND(I1495=TRUE, K1495=No_Regular_Payments+1), Tm_Balloon_Amt,
   TRUE, 0
)</f>
        <v>0</v>
      </c>
      <c r="O1495" s="1850" cm="1">
        <f t="array" ref="O1495">_xlfn.IFS(
    M1495=0,0,
   ABS(N1495 - S1494 - P1495-Q1495) &lt; 1, N1495 - S1494-Q1495,
    TRUE, P1495
)</f>
        <v>0</v>
      </c>
      <c r="P1495" s="1852">
        <f>IF(M1495=0,0,ROUND(S1494*EXP(Int_Rate/365.25 * M1495)-S1494,2))</f>
        <v>0</v>
      </c>
      <c r="Q1495" s="1851" cm="1">
        <f t="array" ref="Q1495">_xlfn.IFS(
    AND(I1495=TRUE, K1495&lt;=No_Regular_Payments), Periodic_Admin_Charge,
   TRUE, 0
)</f>
        <v>0</v>
      </c>
      <c r="R1495" s="1850">
        <f>N1495-O1495-Q1495</f>
        <v>0</v>
      </c>
      <c r="S1495" s="1850">
        <f>ROUND(S1494-R1495,2)</f>
        <v>0</v>
      </c>
      <c r="T1495" s="1850">
        <f>ROUND(T1494-(N1495-Q1495),2)</f>
        <v>0</v>
      </c>
      <c r="U1495" s="1849"/>
      <c r="W1495" s="1848"/>
      <c r="X1495" s="1848"/>
      <c r="Y1495" s="1848"/>
    </row>
    <row r="1496" spans="2:25" hidden="1">
      <c r="B1496" s="1815" t="b">
        <f>AND(I1496=FALSE,N1495=0,Q1495=0,L1495="")</f>
        <v>1</v>
      </c>
      <c r="C1496" s="1844" t="str" cm="1">
        <f t="array" ref="C1496">_xlfn.IFS(
    L1496="", "",
    MONTH(L1496) &lt;= End_of_Year_Month, YEAR(L1496),
    TRUE, YEAR(L1496) + 1
)</f>
        <v/>
      </c>
      <c r="F1496" s="1857">
        <f>IF(L1496="",0,L1496)</f>
        <v>0</v>
      </c>
      <c r="G1496" s="1856">
        <f>-(N1496-Q1496)</f>
        <v>0</v>
      </c>
      <c r="I1496" s="1815" t="b">
        <f>K1496&lt;=Number_Payments</f>
        <v>0</v>
      </c>
      <c r="J1496" s="1855"/>
      <c r="K1496" s="1351">
        <f>K1495+1</f>
        <v>1370</v>
      </c>
      <c r="L1496" s="1854" t="str" cm="1">
        <f t="array" ref="L1496">_xlfn.IFS(
    I1495=FALSE, "",
    Payment_Frequency="Monthly", EDATE(L1495, 1),
    Payment_Frequency="Weekly", DATE(YEAR(L1495), MONTH(L1495), DAY(L1495) + 7),
    Payment_Frequency="Fortnightly", DATE(YEAR(L1495), MONTH(L1495), DAY(L1495) + 14),
    Payment_Frequency="Quarterly", DATE(YEAR(L1495), MONTH(L1495) + 3, DAY(L1495)),
    Payment_Frequency="Yearly", DATE(YEAR(L1495) + 1, MONTH(L1495), DAY(L1495)),
    TRUE, ""
)</f>
        <v/>
      </c>
      <c r="M1496" s="1853">
        <f>IF(ISERROR(L1496-L1495),0,L1496-L1495)</f>
        <v>0</v>
      </c>
      <c r="N1496" s="1851" cm="1">
        <f t="array" ref="N1496">_xlfn.IFS(
    AND(I1496=TRUE, K1496&lt;=No_Regular_Payments), Repay_Amt,
    AND(I1496=TRUE, K1496=No_Regular_Payments+1), Tm_Balloon_Amt,
   TRUE, 0
)</f>
        <v>0</v>
      </c>
      <c r="O1496" s="1850" cm="1">
        <f t="array" ref="O1496">_xlfn.IFS(
    M1496=0,0,
   ABS(N1496 - S1495 - P1496-Q1496) &lt; 1, N1496 - S1495-Q1496,
    TRUE, P1496
)</f>
        <v>0</v>
      </c>
      <c r="P1496" s="1852">
        <f>IF(M1496=0,0,ROUND(S1495*EXP(Int_Rate/365.25 * M1496)-S1495,2))</f>
        <v>0</v>
      </c>
      <c r="Q1496" s="1851" cm="1">
        <f t="array" ref="Q1496">_xlfn.IFS(
    AND(I1496=TRUE, K1496&lt;=No_Regular_Payments), Periodic_Admin_Charge,
   TRUE, 0
)</f>
        <v>0</v>
      </c>
      <c r="R1496" s="1850">
        <f>N1496-O1496-Q1496</f>
        <v>0</v>
      </c>
      <c r="S1496" s="1850">
        <f>ROUND(S1495-R1496,2)</f>
        <v>0</v>
      </c>
      <c r="T1496" s="1850">
        <f>ROUND(T1495-(N1496-Q1496),2)</f>
        <v>0</v>
      </c>
      <c r="U1496" s="1849"/>
      <c r="W1496" s="1848"/>
      <c r="X1496" s="1848"/>
      <c r="Y1496" s="1848"/>
    </row>
    <row r="1497" spans="2:25" hidden="1">
      <c r="B1497" s="1815" t="b">
        <f>AND(I1497=FALSE,N1496=0,Q1496=0,L1496="")</f>
        <v>1</v>
      </c>
      <c r="C1497" s="1844" t="str" cm="1">
        <f t="array" ref="C1497">_xlfn.IFS(
    L1497="", "",
    MONTH(L1497) &lt;= End_of_Year_Month, YEAR(L1497),
    TRUE, YEAR(L1497) + 1
)</f>
        <v/>
      </c>
      <c r="F1497" s="1857">
        <f>IF(L1497="",0,L1497)</f>
        <v>0</v>
      </c>
      <c r="G1497" s="1856">
        <f>-(N1497-Q1497)</f>
        <v>0</v>
      </c>
      <c r="I1497" s="1815" t="b">
        <f>K1497&lt;=Number_Payments</f>
        <v>0</v>
      </c>
      <c r="J1497" s="1855"/>
      <c r="K1497" s="1351">
        <f>K1496+1</f>
        <v>1371</v>
      </c>
      <c r="L1497" s="1854" t="str" cm="1">
        <f t="array" ref="L1497">_xlfn.IFS(
    I1496=FALSE, "",
    Payment_Frequency="Monthly", EDATE(L1496, 1),
    Payment_Frequency="Weekly", DATE(YEAR(L1496), MONTH(L1496), DAY(L1496) + 7),
    Payment_Frequency="Fortnightly", DATE(YEAR(L1496), MONTH(L1496), DAY(L1496) + 14),
    Payment_Frequency="Quarterly", DATE(YEAR(L1496), MONTH(L1496) + 3, DAY(L1496)),
    Payment_Frequency="Yearly", DATE(YEAR(L1496) + 1, MONTH(L1496), DAY(L1496)),
    TRUE, ""
)</f>
        <v/>
      </c>
      <c r="M1497" s="1853">
        <f>IF(ISERROR(L1497-L1496),0,L1497-L1496)</f>
        <v>0</v>
      </c>
      <c r="N1497" s="1851" cm="1">
        <f t="array" ref="N1497">_xlfn.IFS(
    AND(I1497=TRUE, K1497&lt;=No_Regular_Payments), Repay_Amt,
    AND(I1497=TRUE, K1497=No_Regular_Payments+1), Tm_Balloon_Amt,
   TRUE, 0
)</f>
        <v>0</v>
      </c>
      <c r="O1497" s="1850" cm="1">
        <f t="array" ref="O1497">_xlfn.IFS(
    M1497=0,0,
   ABS(N1497 - S1496 - P1497-Q1497) &lt; 1, N1497 - S1496-Q1497,
    TRUE, P1497
)</f>
        <v>0</v>
      </c>
      <c r="P1497" s="1852">
        <f>IF(M1497=0,0,ROUND(S1496*EXP(Int_Rate/365.25 * M1497)-S1496,2))</f>
        <v>0</v>
      </c>
      <c r="Q1497" s="1851" cm="1">
        <f t="array" ref="Q1497">_xlfn.IFS(
    AND(I1497=TRUE, K1497&lt;=No_Regular_Payments), Periodic_Admin_Charge,
   TRUE, 0
)</f>
        <v>0</v>
      </c>
      <c r="R1497" s="1850">
        <f>N1497-O1497-Q1497</f>
        <v>0</v>
      </c>
      <c r="S1497" s="1850">
        <f>ROUND(S1496-R1497,2)</f>
        <v>0</v>
      </c>
      <c r="T1497" s="1850">
        <f>ROUND(T1496-(N1497-Q1497),2)</f>
        <v>0</v>
      </c>
      <c r="U1497" s="1849"/>
      <c r="W1497" s="1848"/>
      <c r="X1497" s="1848"/>
      <c r="Y1497" s="1848"/>
    </row>
    <row r="1498" spans="2:25" hidden="1">
      <c r="B1498" s="1815" t="b">
        <f>AND(I1498=FALSE,N1497=0,Q1497=0,L1497="")</f>
        <v>1</v>
      </c>
      <c r="C1498" s="1844" t="str" cm="1">
        <f t="array" ref="C1498">_xlfn.IFS(
    L1498="", "",
    MONTH(L1498) &lt;= End_of_Year_Month, YEAR(L1498),
    TRUE, YEAR(L1498) + 1
)</f>
        <v/>
      </c>
      <c r="F1498" s="1857">
        <f>IF(L1498="",0,L1498)</f>
        <v>0</v>
      </c>
      <c r="G1498" s="1856">
        <f>-(N1498-Q1498)</f>
        <v>0</v>
      </c>
      <c r="I1498" s="1815" t="b">
        <f>K1498&lt;=Number_Payments</f>
        <v>0</v>
      </c>
      <c r="J1498" s="1855"/>
      <c r="K1498" s="1351">
        <f>K1497+1</f>
        <v>1372</v>
      </c>
      <c r="L1498" s="1854" t="str" cm="1">
        <f t="array" ref="L1498">_xlfn.IFS(
    I1497=FALSE, "",
    Payment_Frequency="Monthly", EDATE(L1497, 1),
    Payment_Frequency="Weekly", DATE(YEAR(L1497), MONTH(L1497), DAY(L1497) + 7),
    Payment_Frequency="Fortnightly", DATE(YEAR(L1497), MONTH(L1497), DAY(L1497) + 14),
    Payment_Frequency="Quarterly", DATE(YEAR(L1497), MONTH(L1497) + 3, DAY(L1497)),
    Payment_Frequency="Yearly", DATE(YEAR(L1497) + 1, MONTH(L1497), DAY(L1497)),
    TRUE, ""
)</f>
        <v/>
      </c>
      <c r="M1498" s="1853">
        <f>IF(ISERROR(L1498-L1497),0,L1498-L1497)</f>
        <v>0</v>
      </c>
      <c r="N1498" s="1851" cm="1">
        <f t="array" ref="N1498">_xlfn.IFS(
    AND(I1498=TRUE, K1498&lt;=No_Regular_Payments), Repay_Amt,
    AND(I1498=TRUE, K1498=No_Regular_Payments+1), Tm_Balloon_Amt,
   TRUE, 0
)</f>
        <v>0</v>
      </c>
      <c r="O1498" s="1850" cm="1">
        <f t="array" ref="O1498">_xlfn.IFS(
    M1498=0,0,
   ABS(N1498 - S1497 - P1498-Q1498) &lt; 1, N1498 - S1497-Q1498,
    TRUE, P1498
)</f>
        <v>0</v>
      </c>
      <c r="P1498" s="1852">
        <f>IF(M1498=0,0,ROUND(S1497*EXP(Int_Rate/365.25 * M1498)-S1497,2))</f>
        <v>0</v>
      </c>
      <c r="Q1498" s="1851" cm="1">
        <f t="array" ref="Q1498">_xlfn.IFS(
    AND(I1498=TRUE, K1498&lt;=No_Regular_Payments), Periodic_Admin_Charge,
   TRUE, 0
)</f>
        <v>0</v>
      </c>
      <c r="R1498" s="1850">
        <f>N1498-O1498-Q1498</f>
        <v>0</v>
      </c>
      <c r="S1498" s="1850">
        <f>ROUND(S1497-R1498,2)</f>
        <v>0</v>
      </c>
      <c r="T1498" s="1850">
        <f>ROUND(T1497-(N1498-Q1498),2)</f>
        <v>0</v>
      </c>
      <c r="U1498" s="1849"/>
      <c r="W1498" s="1848"/>
      <c r="X1498" s="1848"/>
      <c r="Y1498" s="1848"/>
    </row>
    <row r="1499" spans="2:25" hidden="1">
      <c r="B1499" s="1815" t="b">
        <f>AND(I1499=FALSE,N1498=0,Q1498=0,L1498="")</f>
        <v>1</v>
      </c>
      <c r="C1499" s="1844" t="str" cm="1">
        <f t="array" ref="C1499">_xlfn.IFS(
    L1499="", "",
    MONTH(L1499) &lt;= End_of_Year_Month, YEAR(L1499),
    TRUE, YEAR(L1499) + 1
)</f>
        <v/>
      </c>
      <c r="F1499" s="1857">
        <f>IF(L1499="",0,L1499)</f>
        <v>0</v>
      </c>
      <c r="G1499" s="1856">
        <f>-(N1499-Q1499)</f>
        <v>0</v>
      </c>
      <c r="I1499" s="1815" t="b">
        <f>K1499&lt;=Number_Payments</f>
        <v>0</v>
      </c>
      <c r="J1499" s="1855"/>
      <c r="K1499" s="1351">
        <f>K1498+1</f>
        <v>1373</v>
      </c>
      <c r="L1499" s="1854" t="str" cm="1">
        <f t="array" ref="L1499">_xlfn.IFS(
    I1498=FALSE, "",
    Payment_Frequency="Monthly", EDATE(L1498, 1),
    Payment_Frequency="Weekly", DATE(YEAR(L1498), MONTH(L1498), DAY(L1498) + 7),
    Payment_Frequency="Fortnightly", DATE(YEAR(L1498), MONTH(L1498), DAY(L1498) + 14),
    Payment_Frequency="Quarterly", DATE(YEAR(L1498), MONTH(L1498) + 3, DAY(L1498)),
    Payment_Frequency="Yearly", DATE(YEAR(L1498) + 1, MONTH(L1498), DAY(L1498)),
    TRUE, ""
)</f>
        <v/>
      </c>
      <c r="M1499" s="1853">
        <f>IF(ISERROR(L1499-L1498),0,L1499-L1498)</f>
        <v>0</v>
      </c>
      <c r="N1499" s="1851" cm="1">
        <f t="array" ref="N1499">_xlfn.IFS(
    AND(I1499=TRUE, K1499&lt;=No_Regular_Payments), Repay_Amt,
    AND(I1499=TRUE, K1499=No_Regular_Payments+1), Tm_Balloon_Amt,
   TRUE, 0
)</f>
        <v>0</v>
      </c>
      <c r="O1499" s="1850" cm="1">
        <f t="array" ref="O1499">_xlfn.IFS(
    M1499=0,0,
   ABS(N1499 - S1498 - P1499-Q1499) &lt; 1, N1499 - S1498-Q1499,
    TRUE, P1499
)</f>
        <v>0</v>
      </c>
      <c r="P1499" s="1852">
        <f>IF(M1499=0,0,ROUND(S1498*EXP(Int_Rate/365.25 * M1499)-S1498,2))</f>
        <v>0</v>
      </c>
      <c r="Q1499" s="1851" cm="1">
        <f t="array" ref="Q1499">_xlfn.IFS(
    AND(I1499=TRUE, K1499&lt;=No_Regular_Payments), Periodic_Admin_Charge,
   TRUE, 0
)</f>
        <v>0</v>
      </c>
      <c r="R1499" s="1850">
        <f>N1499-O1499-Q1499</f>
        <v>0</v>
      </c>
      <c r="S1499" s="1850">
        <f>ROUND(S1498-R1499,2)</f>
        <v>0</v>
      </c>
      <c r="T1499" s="1850">
        <f>ROUND(T1498-(N1499-Q1499),2)</f>
        <v>0</v>
      </c>
      <c r="U1499" s="1849"/>
      <c r="W1499" s="1848"/>
      <c r="X1499" s="1848"/>
      <c r="Y1499" s="1848"/>
    </row>
    <row r="1500" spans="2:25" hidden="1">
      <c r="B1500" s="1815" t="b">
        <f>AND(I1500=FALSE,N1499=0,Q1499=0,L1499="")</f>
        <v>1</v>
      </c>
      <c r="C1500" s="1844" t="str" cm="1">
        <f t="array" ref="C1500">_xlfn.IFS(
    L1500="", "",
    MONTH(L1500) &lt;= End_of_Year_Month, YEAR(L1500),
    TRUE, YEAR(L1500) + 1
)</f>
        <v/>
      </c>
      <c r="F1500" s="1857">
        <f>IF(L1500="",0,L1500)</f>
        <v>0</v>
      </c>
      <c r="G1500" s="1856">
        <f>-(N1500-Q1500)</f>
        <v>0</v>
      </c>
      <c r="I1500" s="1815" t="b">
        <f>K1500&lt;=Number_Payments</f>
        <v>0</v>
      </c>
      <c r="J1500" s="1855"/>
      <c r="K1500" s="1351">
        <f>K1499+1</f>
        <v>1374</v>
      </c>
      <c r="L1500" s="1854" t="str" cm="1">
        <f t="array" ref="L1500">_xlfn.IFS(
    I1499=FALSE, "",
    Payment_Frequency="Monthly", EDATE(L1499, 1),
    Payment_Frequency="Weekly", DATE(YEAR(L1499), MONTH(L1499), DAY(L1499) + 7),
    Payment_Frequency="Fortnightly", DATE(YEAR(L1499), MONTH(L1499), DAY(L1499) + 14),
    Payment_Frequency="Quarterly", DATE(YEAR(L1499), MONTH(L1499) + 3, DAY(L1499)),
    Payment_Frequency="Yearly", DATE(YEAR(L1499) + 1, MONTH(L1499), DAY(L1499)),
    TRUE, ""
)</f>
        <v/>
      </c>
      <c r="M1500" s="1853">
        <f>IF(ISERROR(L1500-L1499),0,L1500-L1499)</f>
        <v>0</v>
      </c>
      <c r="N1500" s="1851" cm="1">
        <f t="array" ref="N1500">_xlfn.IFS(
    AND(I1500=TRUE, K1500&lt;=No_Regular_Payments), Repay_Amt,
    AND(I1500=TRUE, K1500=No_Regular_Payments+1), Tm_Balloon_Amt,
   TRUE, 0
)</f>
        <v>0</v>
      </c>
      <c r="O1500" s="1850" cm="1">
        <f t="array" ref="O1500">_xlfn.IFS(
    M1500=0,0,
   ABS(N1500 - S1499 - P1500-Q1500) &lt; 1, N1500 - S1499-Q1500,
    TRUE, P1500
)</f>
        <v>0</v>
      </c>
      <c r="P1500" s="1852">
        <f>IF(M1500=0,0,ROUND(S1499*EXP(Int_Rate/365.25 * M1500)-S1499,2))</f>
        <v>0</v>
      </c>
      <c r="Q1500" s="1851" cm="1">
        <f t="array" ref="Q1500">_xlfn.IFS(
    AND(I1500=TRUE, K1500&lt;=No_Regular_Payments), Periodic_Admin_Charge,
   TRUE, 0
)</f>
        <v>0</v>
      </c>
      <c r="R1500" s="1850">
        <f>N1500-O1500-Q1500</f>
        <v>0</v>
      </c>
      <c r="S1500" s="1850">
        <f>ROUND(S1499-R1500,2)</f>
        <v>0</v>
      </c>
      <c r="T1500" s="1850">
        <f>ROUND(T1499-(N1500-Q1500),2)</f>
        <v>0</v>
      </c>
      <c r="U1500" s="1849"/>
      <c r="W1500" s="1848"/>
      <c r="X1500" s="1848"/>
      <c r="Y1500" s="1848"/>
    </row>
    <row r="1501" spans="2:25" hidden="1">
      <c r="B1501" s="1815" t="b">
        <f>AND(I1501=FALSE,N1500=0,Q1500=0,L1500="")</f>
        <v>1</v>
      </c>
      <c r="C1501" s="1844" t="str" cm="1">
        <f t="array" ref="C1501">_xlfn.IFS(
    L1501="", "",
    MONTH(L1501) &lt;= End_of_Year_Month, YEAR(L1501),
    TRUE, YEAR(L1501) + 1
)</f>
        <v/>
      </c>
      <c r="F1501" s="1857">
        <f>IF(L1501="",0,L1501)</f>
        <v>0</v>
      </c>
      <c r="G1501" s="1856">
        <f>-(N1501-Q1501)</f>
        <v>0</v>
      </c>
      <c r="I1501" s="1815" t="b">
        <f>K1501&lt;=Number_Payments</f>
        <v>0</v>
      </c>
      <c r="J1501" s="1855"/>
      <c r="K1501" s="1351">
        <f>K1500+1</f>
        <v>1375</v>
      </c>
      <c r="L1501" s="1854" t="str" cm="1">
        <f t="array" ref="L1501">_xlfn.IFS(
    I1500=FALSE, "",
    Payment_Frequency="Monthly", EDATE(L1500, 1),
    Payment_Frequency="Weekly", DATE(YEAR(L1500), MONTH(L1500), DAY(L1500) + 7),
    Payment_Frequency="Fortnightly", DATE(YEAR(L1500), MONTH(L1500), DAY(L1500) + 14),
    Payment_Frequency="Quarterly", DATE(YEAR(L1500), MONTH(L1500) + 3, DAY(L1500)),
    Payment_Frequency="Yearly", DATE(YEAR(L1500) + 1, MONTH(L1500), DAY(L1500)),
    TRUE, ""
)</f>
        <v/>
      </c>
      <c r="M1501" s="1853">
        <f>IF(ISERROR(L1501-L1500),0,L1501-L1500)</f>
        <v>0</v>
      </c>
      <c r="N1501" s="1851" cm="1">
        <f t="array" ref="N1501">_xlfn.IFS(
    AND(I1501=TRUE, K1501&lt;=No_Regular_Payments), Repay_Amt,
    AND(I1501=TRUE, K1501=No_Regular_Payments+1), Tm_Balloon_Amt,
   TRUE, 0
)</f>
        <v>0</v>
      </c>
      <c r="O1501" s="1850" cm="1">
        <f t="array" ref="O1501">_xlfn.IFS(
    M1501=0,0,
   ABS(N1501 - S1500 - P1501-Q1501) &lt; 1, N1501 - S1500-Q1501,
    TRUE, P1501
)</f>
        <v>0</v>
      </c>
      <c r="P1501" s="1852">
        <f>IF(M1501=0,0,ROUND(S1500*EXP(Int_Rate/365.25 * M1501)-S1500,2))</f>
        <v>0</v>
      </c>
      <c r="Q1501" s="1851" cm="1">
        <f t="array" ref="Q1501">_xlfn.IFS(
    AND(I1501=TRUE, K1501&lt;=No_Regular_Payments), Periodic_Admin_Charge,
   TRUE, 0
)</f>
        <v>0</v>
      </c>
      <c r="R1501" s="1850">
        <f>N1501-O1501-Q1501</f>
        <v>0</v>
      </c>
      <c r="S1501" s="1850">
        <f>ROUND(S1500-R1501,2)</f>
        <v>0</v>
      </c>
      <c r="T1501" s="1850">
        <f>ROUND(T1500-(N1501-Q1501),2)</f>
        <v>0</v>
      </c>
      <c r="U1501" s="1849"/>
      <c r="W1501" s="1848"/>
      <c r="X1501" s="1848"/>
      <c r="Y1501" s="1848"/>
    </row>
    <row r="1502" spans="2:25" hidden="1">
      <c r="B1502" s="1815" t="b">
        <f>AND(I1502=FALSE,N1501=0,Q1501=0,L1501="")</f>
        <v>1</v>
      </c>
      <c r="C1502" s="1844" t="str" cm="1">
        <f t="array" ref="C1502">_xlfn.IFS(
    L1502="", "",
    MONTH(L1502) &lt;= End_of_Year_Month, YEAR(L1502),
    TRUE, YEAR(L1502) + 1
)</f>
        <v/>
      </c>
      <c r="F1502" s="1857">
        <f>IF(L1502="",0,L1502)</f>
        <v>0</v>
      </c>
      <c r="G1502" s="1856">
        <f>-(N1502-Q1502)</f>
        <v>0</v>
      </c>
      <c r="I1502" s="1815" t="b">
        <f>K1502&lt;=Number_Payments</f>
        <v>0</v>
      </c>
      <c r="J1502" s="1855"/>
      <c r="K1502" s="1351">
        <f>K1501+1</f>
        <v>1376</v>
      </c>
      <c r="L1502" s="1854" t="str" cm="1">
        <f t="array" ref="L1502">_xlfn.IFS(
    I1501=FALSE, "",
    Payment_Frequency="Monthly", EDATE(L1501, 1),
    Payment_Frequency="Weekly", DATE(YEAR(L1501), MONTH(L1501), DAY(L1501) + 7),
    Payment_Frequency="Fortnightly", DATE(YEAR(L1501), MONTH(L1501), DAY(L1501) + 14),
    Payment_Frequency="Quarterly", DATE(YEAR(L1501), MONTH(L1501) + 3, DAY(L1501)),
    Payment_Frequency="Yearly", DATE(YEAR(L1501) + 1, MONTH(L1501), DAY(L1501)),
    TRUE, ""
)</f>
        <v/>
      </c>
      <c r="M1502" s="1853">
        <f>IF(ISERROR(L1502-L1501),0,L1502-L1501)</f>
        <v>0</v>
      </c>
      <c r="N1502" s="1851" cm="1">
        <f t="array" ref="N1502">_xlfn.IFS(
    AND(I1502=TRUE, K1502&lt;=No_Regular_Payments), Repay_Amt,
    AND(I1502=TRUE, K1502=No_Regular_Payments+1), Tm_Balloon_Amt,
   TRUE, 0
)</f>
        <v>0</v>
      </c>
      <c r="O1502" s="1850" cm="1">
        <f t="array" ref="O1502">_xlfn.IFS(
    M1502=0,0,
   ABS(N1502 - S1501 - P1502-Q1502) &lt; 1, N1502 - S1501-Q1502,
    TRUE, P1502
)</f>
        <v>0</v>
      </c>
      <c r="P1502" s="1852">
        <f>IF(M1502=0,0,ROUND(S1501*EXP(Int_Rate/365.25 * M1502)-S1501,2))</f>
        <v>0</v>
      </c>
      <c r="Q1502" s="1851" cm="1">
        <f t="array" ref="Q1502">_xlfn.IFS(
    AND(I1502=TRUE, K1502&lt;=No_Regular_Payments), Periodic_Admin_Charge,
   TRUE, 0
)</f>
        <v>0</v>
      </c>
      <c r="R1502" s="1850">
        <f>N1502-O1502-Q1502</f>
        <v>0</v>
      </c>
      <c r="S1502" s="1850">
        <f>ROUND(S1501-R1502,2)</f>
        <v>0</v>
      </c>
      <c r="T1502" s="1850">
        <f>ROUND(T1501-(N1502-Q1502),2)</f>
        <v>0</v>
      </c>
      <c r="U1502" s="1849"/>
      <c r="W1502" s="1848"/>
      <c r="X1502" s="1848"/>
      <c r="Y1502" s="1848"/>
    </row>
    <row r="1503" spans="2:25" hidden="1">
      <c r="B1503" s="1815" t="b">
        <f>AND(I1503=FALSE,N1502=0,Q1502=0,L1502="")</f>
        <v>1</v>
      </c>
      <c r="C1503" s="1844" t="str" cm="1">
        <f t="array" ref="C1503">_xlfn.IFS(
    L1503="", "",
    MONTH(L1503) &lt;= End_of_Year_Month, YEAR(L1503),
    TRUE, YEAR(L1503) + 1
)</f>
        <v/>
      </c>
      <c r="F1503" s="1857">
        <f>IF(L1503="",0,L1503)</f>
        <v>0</v>
      </c>
      <c r="G1503" s="1856">
        <f>-(N1503-Q1503)</f>
        <v>0</v>
      </c>
      <c r="I1503" s="1815" t="b">
        <f>K1503&lt;=Number_Payments</f>
        <v>0</v>
      </c>
      <c r="J1503" s="1855"/>
      <c r="K1503" s="1351">
        <f>K1502+1</f>
        <v>1377</v>
      </c>
      <c r="L1503" s="1854" t="str" cm="1">
        <f t="array" ref="L1503">_xlfn.IFS(
    I1502=FALSE, "",
    Payment_Frequency="Monthly", EDATE(L1502, 1),
    Payment_Frequency="Weekly", DATE(YEAR(L1502), MONTH(L1502), DAY(L1502) + 7),
    Payment_Frequency="Fortnightly", DATE(YEAR(L1502), MONTH(L1502), DAY(L1502) + 14),
    Payment_Frequency="Quarterly", DATE(YEAR(L1502), MONTH(L1502) + 3, DAY(L1502)),
    Payment_Frequency="Yearly", DATE(YEAR(L1502) + 1, MONTH(L1502), DAY(L1502)),
    TRUE, ""
)</f>
        <v/>
      </c>
      <c r="M1503" s="1853">
        <f>IF(ISERROR(L1503-L1502),0,L1503-L1502)</f>
        <v>0</v>
      </c>
      <c r="N1503" s="1851" cm="1">
        <f t="array" ref="N1503">_xlfn.IFS(
    AND(I1503=TRUE, K1503&lt;=No_Regular_Payments), Repay_Amt,
    AND(I1503=TRUE, K1503=No_Regular_Payments+1), Tm_Balloon_Amt,
   TRUE, 0
)</f>
        <v>0</v>
      </c>
      <c r="O1503" s="1850" cm="1">
        <f t="array" ref="O1503">_xlfn.IFS(
    M1503=0,0,
   ABS(N1503 - S1502 - P1503-Q1503) &lt; 1, N1503 - S1502-Q1503,
    TRUE, P1503
)</f>
        <v>0</v>
      </c>
      <c r="P1503" s="1852">
        <f>IF(M1503=0,0,ROUND(S1502*EXP(Int_Rate/365.25 * M1503)-S1502,2))</f>
        <v>0</v>
      </c>
      <c r="Q1503" s="1851" cm="1">
        <f t="array" ref="Q1503">_xlfn.IFS(
    AND(I1503=TRUE, K1503&lt;=No_Regular_Payments), Periodic_Admin_Charge,
   TRUE, 0
)</f>
        <v>0</v>
      </c>
      <c r="R1503" s="1850">
        <f>N1503-O1503-Q1503</f>
        <v>0</v>
      </c>
      <c r="S1503" s="1850">
        <f>ROUND(S1502-R1503,2)</f>
        <v>0</v>
      </c>
      <c r="T1503" s="1850">
        <f>ROUND(T1502-(N1503-Q1503),2)</f>
        <v>0</v>
      </c>
      <c r="U1503" s="1849"/>
      <c r="W1503" s="1848"/>
      <c r="X1503" s="1848"/>
      <c r="Y1503" s="1848"/>
    </row>
    <row r="1504" spans="2:25" hidden="1">
      <c r="B1504" s="1815" t="b">
        <f>AND(I1504=FALSE,N1503=0,Q1503=0,L1503="")</f>
        <v>1</v>
      </c>
      <c r="C1504" s="1844" t="str" cm="1">
        <f t="array" ref="C1504">_xlfn.IFS(
    L1504="", "",
    MONTH(L1504) &lt;= End_of_Year_Month, YEAR(L1504),
    TRUE, YEAR(L1504) + 1
)</f>
        <v/>
      </c>
      <c r="F1504" s="1857">
        <f>IF(L1504="",0,L1504)</f>
        <v>0</v>
      </c>
      <c r="G1504" s="1856">
        <f>-(N1504-Q1504)</f>
        <v>0</v>
      </c>
      <c r="I1504" s="1815" t="b">
        <f>K1504&lt;=Number_Payments</f>
        <v>0</v>
      </c>
      <c r="J1504" s="1855"/>
      <c r="K1504" s="1351">
        <f>K1503+1</f>
        <v>1378</v>
      </c>
      <c r="L1504" s="1854" t="str" cm="1">
        <f t="array" ref="L1504">_xlfn.IFS(
    I1503=FALSE, "",
    Payment_Frequency="Monthly", EDATE(L1503, 1),
    Payment_Frequency="Weekly", DATE(YEAR(L1503), MONTH(L1503), DAY(L1503) + 7),
    Payment_Frequency="Fortnightly", DATE(YEAR(L1503), MONTH(L1503), DAY(L1503) + 14),
    Payment_Frequency="Quarterly", DATE(YEAR(L1503), MONTH(L1503) + 3, DAY(L1503)),
    Payment_Frequency="Yearly", DATE(YEAR(L1503) + 1, MONTH(L1503), DAY(L1503)),
    TRUE, ""
)</f>
        <v/>
      </c>
      <c r="M1504" s="1853">
        <f>IF(ISERROR(L1504-L1503),0,L1504-L1503)</f>
        <v>0</v>
      </c>
      <c r="N1504" s="1851" cm="1">
        <f t="array" ref="N1504">_xlfn.IFS(
    AND(I1504=TRUE, K1504&lt;=No_Regular_Payments), Repay_Amt,
    AND(I1504=TRUE, K1504=No_Regular_Payments+1), Tm_Balloon_Amt,
   TRUE, 0
)</f>
        <v>0</v>
      </c>
      <c r="O1504" s="1850" cm="1">
        <f t="array" ref="O1504">_xlfn.IFS(
    M1504=0,0,
   ABS(N1504 - S1503 - P1504-Q1504) &lt; 1, N1504 - S1503-Q1504,
    TRUE, P1504
)</f>
        <v>0</v>
      </c>
      <c r="P1504" s="1852">
        <f>IF(M1504=0,0,ROUND(S1503*EXP(Int_Rate/365.25 * M1504)-S1503,2))</f>
        <v>0</v>
      </c>
      <c r="Q1504" s="1851" cm="1">
        <f t="array" ref="Q1504">_xlfn.IFS(
    AND(I1504=TRUE, K1504&lt;=No_Regular_Payments), Periodic_Admin_Charge,
   TRUE, 0
)</f>
        <v>0</v>
      </c>
      <c r="R1504" s="1850">
        <f>N1504-O1504-Q1504</f>
        <v>0</v>
      </c>
      <c r="S1504" s="1850">
        <f>ROUND(S1503-R1504,2)</f>
        <v>0</v>
      </c>
      <c r="T1504" s="1850">
        <f>ROUND(T1503-(N1504-Q1504),2)</f>
        <v>0</v>
      </c>
      <c r="U1504" s="1849"/>
      <c r="W1504" s="1848"/>
      <c r="X1504" s="1848"/>
      <c r="Y1504" s="1848"/>
    </row>
    <row r="1505" spans="2:25" hidden="1">
      <c r="B1505" s="1815" t="b">
        <f>AND(I1505=FALSE,N1504=0,Q1504=0,L1504="")</f>
        <v>1</v>
      </c>
      <c r="C1505" s="1844" t="str" cm="1">
        <f t="array" ref="C1505">_xlfn.IFS(
    L1505="", "",
    MONTH(L1505) &lt;= End_of_Year_Month, YEAR(L1505),
    TRUE, YEAR(L1505) + 1
)</f>
        <v/>
      </c>
      <c r="F1505" s="1857">
        <f>IF(L1505="",0,L1505)</f>
        <v>0</v>
      </c>
      <c r="G1505" s="1856">
        <f>-(N1505-Q1505)</f>
        <v>0</v>
      </c>
      <c r="I1505" s="1815" t="b">
        <f>K1505&lt;=Number_Payments</f>
        <v>0</v>
      </c>
      <c r="J1505" s="1855"/>
      <c r="K1505" s="1351">
        <f>K1504+1</f>
        <v>1379</v>
      </c>
      <c r="L1505" s="1854" t="str" cm="1">
        <f t="array" ref="L1505">_xlfn.IFS(
    I1504=FALSE, "",
    Payment_Frequency="Monthly", EDATE(L1504, 1),
    Payment_Frequency="Weekly", DATE(YEAR(L1504), MONTH(L1504), DAY(L1504) + 7),
    Payment_Frequency="Fortnightly", DATE(YEAR(L1504), MONTH(L1504), DAY(L1504) + 14),
    Payment_Frequency="Quarterly", DATE(YEAR(L1504), MONTH(L1504) + 3, DAY(L1504)),
    Payment_Frequency="Yearly", DATE(YEAR(L1504) + 1, MONTH(L1504), DAY(L1504)),
    TRUE, ""
)</f>
        <v/>
      </c>
      <c r="M1505" s="1853">
        <f>IF(ISERROR(L1505-L1504),0,L1505-L1504)</f>
        <v>0</v>
      </c>
      <c r="N1505" s="1851" cm="1">
        <f t="array" ref="N1505">_xlfn.IFS(
    AND(I1505=TRUE, K1505&lt;=No_Regular_Payments), Repay_Amt,
    AND(I1505=TRUE, K1505=No_Regular_Payments+1), Tm_Balloon_Amt,
   TRUE, 0
)</f>
        <v>0</v>
      </c>
      <c r="O1505" s="1850" cm="1">
        <f t="array" ref="O1505">_xlfn.IFS(
    M1505=0,0,
   ABS(N1505 - S1504 - P1505-Q1505) &lt; 1, N1505 - S1504-Q1505,
    TRUE, P1505
)</f>
        <v>0</v>
      </c>
      <c r="P1505" s="1852">
        <f>IF(M1505=0,0,ROUND(S1504*EXP(Int_Rate/365.25 * M1505)-S1504,2))</f>
        <v>0</v>
      </c>
      <c r="Q1505" s="1851" cm="1">
        <f t="array" ref="Q1505">_xlfn.IFS(
    AND(I1505=TRUE, K1505&lt;=No_Regular_Payments), Periodic_Admin_Charge,
   TRUE, 0
)</f>
        <v>0</v>
      </c>
      <c r="R1505" s="1850">
        <f>N1505-O1505-Q1505</f>
        <v>0</v>
      </c>
      <c r="S1505" s="1850">
        <f>ROUND(S1504-R1505,2)</f>
        <v>0</v>
      </c>
      <c r="T1505" s="1850">
        <f>ROUND(T1504-(N1505-Q1505),2)</f>
        <v>0</v>
      </c>
      <c r="U1505" s="1849"/>
      <c r="W1505" s="1848"/>
      <c r="X1505" s="1848"/>
      <c r="Y1505" s="1848"/>
    </row>
    <row r="1506" spans="2:25" hidden="1">
      <c r="B1506" s="1815" t="b">
        <f>AND(I1506=FALSE,N1505=0,Q1505=0,L1505="")</f>
        <v>1</v>
      </c>
      <c r="C1506" s="1844" t="str" cm="1">
        <f t="array" ref="C1506">_xlfn.IFS(
    L1506="", "",
    MONTH(L1506) &lt;= End_of_Year_Month, YEAR(L1506),
    TRUE, YEAR(L1506) + 1
)</f>
        <v/>
      </c>
      <c r="F1506" s="1857">
        <f>IF(L1506="",0,L1506)</f>
        <v>0</v>
      </c>
      <c r="G1506" s="1856">
        <f>-(N1506-Q1506)</f>
        <v>0</v>
      </c>
      <c r="I1506" s="1815" t="b">
        <f>K1506&lt;=Number_Payments</f>
        <v>0</v>
      </c>
      <c r="J1506" s="1855"/>
      <c r="K1506" s="1351">
        <f>K1505+1</f>
        <v>1380</v>
      </c>
      <c r="L1506" s="1854" t="str" cm="1">
        <f t="array" ref="L1506">_xlfn.IFS(
    I1505=FALSE, "",
    Payment_Frequency="Monthly", EDATE(L1505, 1),
    Payment_Frequency="Weekly", DATE(YEAR(L1505), MONTH(L1505), DAY(L1505) + 7),
    Payment_Frequency="Fortnightly", DATE(YEAR(L1505), MONTH(L1505), DAY(L1505) + 14),
    Payment_Frequency="Quarterly", DATE(YEAR(L1505), MONTH(L1505) + 3, DAY(L1505)),
    Payment_Frequency="Yearly", DATE(YEAR(L1505) + 1, MONTH(L1505), DAY(L1505)),
    TRUE, ""
)</f>
        <v/>
      </c>
      <c r="M1506" s="1853">
        <f>IF(ISERROR(L1506-L1505),0,L1506-L1505)</f>
        <v>0</v>
      </c>
      <c r="N1506" s="1851" cm="1">
        <f t="array" ref="N1506">_xlfn.IFS(
    AND(I1506=TRUE, K1506&lt;=No_Regular_Payments), Repay_Amt,
    AND(I1506=TRUE, K1506=No_Regular_Payments+1), Tm_Balloon_Amt,
   TRUE, 0
)</f>
        <v>0</v>
      </c>
      <c r="O1506" s="1850" cm="1">
        <f t="array" ref="O1506">_xlfn.IFS(
    M1506=0,0,
   ABS(N1506 - S1505 - P1506-Q1506) &lt; 1, N1506 - S1505-Q1506,
    TRUE, P1506
)</f>
        <v>0</v>
      </c>
      <c r="P1506" s="1852">
        <f>IF(M1506=0,0,ROUND(S1505*EXP(Int_Rate/365.25 * M1506)-S1505,2))</f>
        <v>0</v>
      </c>
      <c r="Q1506" s="1851" cm="1">
        <f t="array" ref="Q1506">_xlfn.IFS(
    AND(I1506=TRUE, K1506&lt;=No_Regular_Payments), Periodic_Admin_Charge,
   TRUE, 0
)</f>
        <v>0</v>
      </c>
      <c r="R1506" s="1850">
        <f>N1506-O1506-Q1506</f>
        <v>0</v>
      </c>
      <c r="S1506" s="1850">
        <f>ROUND(S1505-R1506,2)</f>
        <v>0</v>
      </c>
      <c r="T1506" s="1850">
        <f>ROUND(T1505-(N1506-Q1506),2)</f>
        <v>0</v>
      </c>
      <c r="U1506" s="1849"/>
      <c r="W1506" s="1848"/>
      <c r="X1506" s="1848"/>
      <c r="Y1506" s="1848"/>
    </row>
    <row r="1507" spans="2:25" hidden="1">
      <c r="B1507" s="1815" t="b">
        <f>AND(I1507=FALSE,N1506=0,Q1506=0,L1506="")</f>
        <v>1</v>
      </c>
      <c r="C1507" s="1844" t="str" cm="1">
        <f t="array" ref="C1507">_xlfn.IFS(
    L1507="", "",
    MONTH(L1507) &lt;= End_of_Year_Month, YEAR(L1507),
    TRUE, YEAR(L1507) + 1
)</f>
        <v/>
      </c>
      <c r="F1507" s="1857">
        <f>IF(L1507="",0,L1507)</f>
        <v>0</v>
      </c>
      <c r="G1507" s="1856">
        <f>-(N1507-Q1507)</f>
        <v>0</v>
      </c>
      <c r="I1507" s="1815" t="b">
        <f>K1507&lt;=Number_Payments</f>
        <v>0</v>
      </c>
      <c r="J1507" s="1855"/>
      <c r="K1507" s="1351">
        <f>K1506+1</f>
        <v>1381</v>
      </c>
      <c r="L1507" s="1854" t="str" cm="1">
        <f t="array" ref="L1507">_xlfn.IFS(
    I1506=FALSE, "",
    Payment_Frequency="Monthly", EDATE(L1506, 1),
    Payment_Frequency="Weekly", DATE(YEAR(L1506), MONTH(L1506), DAY(L1506) + 7),
    Payment_Frequency="Fortnightly", DATE(YEAR(L1506), MONTH(L1506), DAY(L1506) + 14),
    Payment_Frequency="Quarterly", DATE(YEAR(L1506), MONTH(L1506) + 3, DAY(L1506)),
    Payment_Frequency="Yearly", DATE(YEAR(L1506) + 1, MONTH(L1506), DAY(L1506)),
    TRUE, ""
)</f>
        <v/>
      </c>
      <c r="M1507" s="1853">
        <f>IF(ISERROR(L1507-L1506),0,L1507-L1506)</f>
        <v>0</v>
      </c>
      <c r="N1507" s="1851" cm="1">
        <f t="array" ref="N1507">_xlfn.IFS(
    AND(I1507=TRUE, K1507&lt;=No_Regular_Payments), Repay_Amt,
    AND(I1507=TRUE, K1507=No_Regular_Payments+1), Tm_Balloon_Amt,
   TRUE, 0
)</f>
        <v>0</v>
      </c>
      <c r="O1507" s="1850" cm="1">
        <f t="array" ref="O1507">_xlfn.IFS(
    M1507=0,0,
   ABS(N1507 - S1506 - P1507-Q1507) &lt; 1, N1507 - S1506-Q1507,
    TRUE, P1507
)</f>
        <v>0</v>
      </c>
      <c r="P1507" s="1852">
        <f>IF(M1507=0,0,ROUND(S1506*EXP(Int_Rate/365.25 * M1507)-S1506,2))</f>
        <v>0</v>
      </c>
      <c r="Q1507" s="1851" cm="1">
        <f t="array" ref="Q1507">_xlfn.IFS(
    AND(I1507=TRUE, K1507&lt;=No_Regular_Payments), Periodic_Admin_Charge,
   TRUE, 0
)</f>
        <v>0</v>
      </c>
      <c r="R1507" s="1850">
        <f>N1507-O1507-Q1507</f>
        <v>0</v>
      </c>
      <c r="S1507" s="1850">
        <f>ROUND(S1506-R1507,2)</f>
        <v>0</v>
      </c>
      <c r="T1507" s="1850">
        <f>ROUND(T1506-(N1507-Q1507),2)</f>
        <v>0</v>
      </c>
      <c r="U1507" s="1849"/>
      <c r="W1507" s="1848"/>
      <c r="X1507" s="1848"/>
      <c r="Y1507" s="1848"/>
    </row>
    <row r="1508" spans="2:25" hidden="1">
      <c r="B1508" s="1815" t="b">
        <f>AND(I1508=FALSE,N1507=0,Q1507=0,L1507="")</f>
        <v>1</v>
      </c>
      <c r="C1508" s="1844" t="str" cm="1">
        <f t="array" ref="C1508">_xlfn.IFS(
    L1508="", "",
    MONTH(L1508) &lt;= End_of_Year_Month, YEAR(L1508),
    TRUE, YEAR(L1508) + 1
)</f>
        <v/>
      </c>
      <c r="F1508" s="1857">
        <f>IF(L1508="",0,L1508)</f>
        <v>0</v>
      </c>
      <c r="G1508" s="1856">
        <f>-(N1508-Q1508)</f>
        <v>0</v>
      </c>
      <c r="I1508" s="1815" t="b">
        <f>K1508&lt;=Number_Payments</f>
        <v>0</v>
      </c>
      <c r="J1508" s="1855"/>
      <c r="K1508" s="1351">
        <f>K1507+1</f>
        <v>1382</v>
      </c>
      <c r="L1508" s="1854" t="str" cm="1">
        <f t="array" ref="L1508">_xlfn.IFS(
    I1507=FALSE, "",
    Payment_Frequency="Monthly", EDATE(L1507, 1),
    Payment_Frequency="Weekly", DATE(YEAR(L1507), MONTH(L1507), DAY(L1507) + 7),
    Payment_Frequency="Fortnightly", DATE(YEAR(L1507), MONTH(L1507), DAY(L1507) + 14),
    Payment_Frequency="Quarterly", DATE(YEAR(L1507), MONTH(L1507) + 3, DAY(L1507)),
    Payment_Frequency="Yearly", DATE(YEAR(L1507) + 1, MONTH(L1507), DAY(L1507)),
    TRUE, ""
)</f>
        <v/>
      </c>
      <c r="M1508" s="1853">
        <f>IF(ISERROR(L1508-L1507),0,L1508-L1507)</f>
        <v>0</v>
      </c>
      <c r="N1508" s="1851" cm="1">
        <f t="array" ref="N1508">_xlfn.IFS(
    AND(I1508=TRUE, K1508&lt;=No_Regular_Payments), Repay_Amt,
    AND(I1508=TRUE, K1508=No_Regular_Payments+1), Tm_Balloon_Amt,
   TRUE, 0
)</f>
        <v>0</v>
      </c>
      <c r="O1508" s="1850" cm="1">
        <f t="array" ref="O1508">_xlfn.IFS(
    M1508=0,0,
   ABS(N1508 - S1507 - P1508-Q1508) &lt; 1, N1508 - S1507-Q1508,
    TRUE, P1508
)</f>
        <v>0</v>
      </c>
      <c r="P1508" s="1852">
        <f>IF(M1508=0,0,ROUND(S1507*EXP(Int_Rate/365.25 * M1508)-S1507,2))</f>
        <v>0</v>
      </c>
      <c r="Q1508" s="1851" cm="1">
        <f t="array" ref="Q1508">_xlfn.IFS(
    AND(I1508=TRUE, K1508&lt;=No_Regular_Payments), Periodic_Admin_Charge,
   TRUE, 0
)</f>
        <v>0</v>
      </c>
      <c r="R1508" s="1850">
        <f>N1508-O1508-Q1508</f>
        <v>0</v>
      </c>
      <c r="S1508" s="1850">
        <f>ROUND(S1507-R1508,2)</f>
        <v>0</v>
      </c>
      <c r="T1508" s="1850">
        <f>ROUND(T1507-(N1508-Q1508),2)</f>
        <v>0</v>
      </c>
      <c r="U1508" s="1849"/>
      <c r="W1508" s="1848"/>
      <c r="X1508" s="1848"/>
      <c r="Y1508" s="1848"/>
    </row>
    <row r="1509" spans="2:25" hidden="1">
      <c r="B1509" s="1815" t="b">
        <f>AND(I1509=FALSE,N1508=0,Q1508=0,L1508="")</f>
        <v>1</v>
      </c>
      <c r="C1509" s="1844" t="str" cm="1">
        <f t="array" ref="C1509">_xlfn.IFS(
    L1509="", "",
    MONTH(L1509) &lt;= End_of_Year_Month, YEAR(L1509),
    TRUE, YEAR(L1509) + 1
)</f>
        <v/>
      </c>
      <c r="F1509" s="1857">
        <f>IF(L1509="",0,L1509)</f>
        <v>0</v>
      </c>
      <c r="G1509" s="1856">
        <f>-(N1509-Q1509)</f>
        <v>0</v>
      </c>
      <c r="I1509" s="1815" t="b">
        <f>K1509&lt;=Number_Payments</f>
        <v>0</v>
      </c>
      <c r="J1509" s="1855"/>
      <c r="K1509" s="1351">
        <f>K1508+1</f>
        <v>1383</v>
      </c>
      <c r="L1509" s="1854" t="str" cm="1">
        <f t="array" ref="L1509">_xlfn.IFS(
    I1508=FALSE, "",
    Payment_Frequency="Monthly", EDATE(L1508, 1),
    Payment_Frequency="Weekly", DATE(YEAR(L1508), MONTH(L1508), DAY(L1508) + 7),
    Payment_Frequency="Fortnightly", DATE(YEAR(L1508), MONTH(L1508), DAY(L1508) + 14),
    Payment_Frequency="Quarterly", DATE(YEAR(L1508), MONTH(L1508) + 3, DAY(L1508)),
    Payment_Frequency="Yearly", DATE(YEAR(L1508) + 1, MONTH(L1508), DAY(L1508)),
    TRUE, ""
)</f>
        <v/>
      </c>
      <c r="M1509" s="1853">
        <f>IF(ISERROR(L1509-L1508),0,L1509-L1508)</f>
        <v>0</v>
      </c>
      <c r="N1509" s="1851" cm="1">
        <f t="array" ref="N1509">_xlfn.IFS(
    AND(I1509=TRUE, K1509&lt;=No_Regular_Payments), Repay_Amt,
    AND(I1509=TRUE, K1509=No_Regular_Payments+1), Tm_Balloon_Amt,
   TRUE, 0
)</f>
        <v>0</v>
      </c>
      <c r="O1509" s="1850" cm="1">
        <f t="array" ref="O1509">_xlfn.IFS(
    M1509=0,0,
   ABS(N1509 - S1508 - P1509-Q1509) &lt; 1, N1509 - S1508-Q1509,
    TRUE, P1509
)</f>
        <v>0</v>
      </c>
      <c r="P1509" s="1852">
        <f>IF(M1509=0,0,ROUND(S1508*EXP(Int_Rate/365.25 * M1509)-S1508,2))</f>
        <v>0</v>
      </c>
      <c r="Q1509" s="1851" cm="1">
        <f t="array" ref="Q1509">_xlfn.IFS(
    AND(I1509=TRUE, K1509&lt;=No_Regular_Payments), Periodic_Admin_Charge,
   TRUE, 0
)</f>
        <v>0</v>
      </c>
      <c r="R1509" s="1850">
        <f>N1509-O1509-Q1509</f>
        <v>0</v>
      </c>
      <c r="S1509" s="1850">
        <f>ROUND(S1508-R1509,2)</f>
        <v>0</v>
      </c>
      <c r="T1509" s="1850">
        <f>ROUND(T1508-(N1509-Q1509),2)</f>
        <v>0</v>
      </c>
      <c r="U1509" s="1849"/>
      <c r="W1509" s="1848"/>
      <c r="X1509" s="1848"/>
      <c r="Y1509" s="1848"/>
    </row>
    <row r="1510" spans="2:25" hidden="1">
      <c r="B1510" s="1815" t="b">
        <f>AND(I1510=FALSE,N1509=0,Q1509=0,L1509="")</f>
        <v>1</v>
      </c>
      <c r="C1510" s="1844" t="str" cm="1">
        <f t="array" ref="C1510">_xlfn.IFS(
    L1510="", "",
    MONTH(L1510) &lt;= End_of_Year_Month, YEAR(L1510),
    TRUE, YEAR(L1510) + 1
)</f>
        <v/>
      </c>
      <c r="F1510" s="1857">
        <f>IF(L1510="",0,L1510)</f>
        <v>0</v>
      </c>
      <c r="G1510" s="1856">
        <f>-(N1510-Q1510)</f>
        <v>0</v>
      </c>
      <c r="I1510" s="1815" t="b">
        <f>K1510&lt;=Number_Payments</f>
        <v>0</v>
      </c>
      <c r="J1510" s="1855"/>
      <c r="K1510" s="1351">
        <f>K1509+1</f>
        <v>1384</v>
      </c>
      <c r="L1510" s="1854" t="str" cm="1">
        <f t="array" ref="L1510">_xlfn.IFS(
    I1509=FALSE, "",
    Payment_Frequency="Monthly", EDATE(L1509, 1),
    Payment_Frequency="Weekly", DATE(YEAR(L1509), MONTH(L1509), DAY(L1509) + 7),
    Payment_Frequency="Fortnightly", DATE(YEAR(L1509), MONTH(L1509), DAY(L1509) + 14),
    Payment_Frequency="Quarterly", DATE(YEAR(L1509), MONTH(L1509) + 3, DAY(L1509)),
    Payment_Frequency="Yearly", DATE(YEAR(L1509) + 1, MONTH(L1509), DAY(L1509)),
    TRUE, ""
)</f>
        <v/>
      </c>
      <c r="M1510" s="1853">
        <f>IF(ISERROR(L1510-L1509),0,L1510-L1509)</f>
        <v>0</v>
      </c>
      <c r="N1510" s="1851" cm="1">
        <f t="array" ref="N1510">_xlfn.IFS(
    AND(I1510=TRUE, K1510&lt;=No_Regular_Payments), Repay_Amt,
    AND(I1510=TRUE, K1510=No_Regular_Payments+1), Tm_Balloon_Amt,
   TRUE, 0
)</f>
        <v>0</v>
      </c>
      <c r="O1510" s="1850" cm="1">
        <f t="array" ref="O1510">_xlfn.IFS(
    M1510=0,0,
   ABS(N1510 - S1509 - P1510-Q1510) &lt; 1, N1510 - S1509-Q1510,
    TRUE, P1510
)</f>
        <v>0</v>
      </c>
      <c r="P1510" s="1852">
        <f>IF(M1510=0,0,ROUND(S1509*EXP(Int_Rate/365.25 * M1510)-S1509,2))</f>
        <v>0</v>
      </c>
      <c r="Q1510" s="1851" cm="1">
        <f t="array" ref="Q1510">_xlfn.IFS(
    AND(I1510=TRUE, K1510&lt;=No_Regular_Payments), Periodic_Admin_Charge,
   TRUE, 0
)</f>
        <v>0</v>
      </c>
      <c r="R1510" s="1850">
        <f>N1510-O1510-Q1510</f>
        <v>0</v>
      </c>
      <c r="S1510" s="1850">
        <f>ROUND(S1509-R1510,2)</f>
        <v>0</v>
      </c>
      <c r="T1510" s="1850">
        <f>ROUND(T1509-(N1510-Q1510),2)</f>
        <v>0</v>
      </c>
      <c r="U1510" s="1849"/>
      <c r="W1510" s="1848"/>
      <c r="X1510" s="1848"/>
      <c r="Y1510" s="1848"/>
    </row>
    <row r="1511" spans="2:25" hidden="1">
      <c r="B1511" s="1815" t="b">
        <f>AND(I1511=FALSE,N1510=0,Q1510=0,L1510="")</f>
        <v>1</v>
      </c>
      <c r="C1511" s="1844" t="str" cm="1">
        <f t="array" ref="C1511">_xlfn.IFS(
    L1511="", "",
    MONTH(L1511) &lt;= End_of_Year_Month, YEAR(L1511),
    TRUE, YEAR(L1511) + 1
)</f>
        <v/>
      </c>
      <c r="F1511" s="1857">
        <f>IF(L1511="",0,L1511)</f>
        <v>0</v>
      </c>
      <c r="G1511" s="1856">
        <f>-(N1511-Q1511)</f>
        <v>0</v>
      </c>
      <c r="I1511" s="1815" t="b">
        <f>K1511&lt;=Number_Payments</f>
        <v>0</v>
      </c>
      <c r="J1511" s="1855"/>
      <c r="K1511" s="1351">
        <f>K1510+1</f>
        <v>1385</v>
      </c>
      <c r="L1511" s="1854" t="str" cm="1">
        <f t="array" ref="L1511">_xlfn.IFS(
    I1510=FALSE, "",
    Payment_Frequency="Monthly", EDATE(L1510, 1),
    Payment_Frequency="Weekly", DATE(YEAR(L1510), MONTH(L1510), DAY(L1510) + 7),
    Payment_Frequency="Fortnightly", DATE(YEAR(L1510), MONTH(L1510), DAY(L1510) + 14),
    Payment_Frequency="Quarterly", DATE(YEAR(L1510), MONTH(L1510) + 3, DAY(L1510)),
    Payment_Frequency="Yearly", DATE(YEAR(L1510) + 1, MONTH(L1510), DAY(L1510)),
    TRUE, ""
)</f>
        <v/>
      </c>
      <c r="M1511" s="1853">
        <f>IF(ISERROR(L1511-L1510),0,L1511-L1510)</f>
        <v>0</v>
      </c>
      <c r="N1511" s="1851" cm="1">
        <f t="array" ref="N1511">_xlfn.IFS(
    AND(I1511=TRUE, K1511&lt;=No_Regular_Payments), Repay_Amt,
    AND(I1511=TRUE, K1511=No_Regular_Payments+1), Tm_Balloon_Amt,
   TRUE, 0
)</f>
        <v>0</v>
      </c>
      <c r="O1511" s="1850" cm="1">
        <f t="array" ref="O1511">_xlfn.IFS(
    M1511=0,0,
   ABS(N1511 - S1510 - P1511-Q1511) &lt; 1, N1511 - S1510-Q1511,
    TRUE, P1511
)</f>
        <v>0</v>
      </c>
      <c r="P1511" s="1852">
        <f>IF(M1511=0,0,ROUND(S1510*EXP(Int_Rate/365.25 * M1511)-S1510,2))</f>
        <v>0</v>
      </c>
      <c r="Q1511" s="1851" cm="1">
        <f t="array" ref="Q1511">_xlfn.IFS(
    AND(I1511=TRUE, K1511&lt;=No_Regular_Payments), Periodic_Admin_Charge,
   TRUE, 0
)</f>
        <v>0</v>
      </c>
      <c r="R1511" s="1850">
        <f>N1511-O1511-Q1511</f>
        <v>0</v>
      </c>
      <c r="S1511" s="1850">
        <f>ROUND(S1510-R1511,2)</f>
        <v>0</v>
      </c>
      <c r="T1511" s="1850">
        <f>ROUND(T1510-(N1511-Q1511),2)</f>
        <v>0</v>
      </c>
      <c r="U1511" s="1849"/>
      <c r="W1511" s="1848"/>
      <c r="X1511" s="1848"/>
      <c r="Y1511" s="1848"/>
    </row>
    <row r="1512" spans="2:25" hidden="1">
      <c r="B1512" s="1815" t="b">
        <f>AND(I1512=FALSE,N1511=0,Q1511=0,L1511="")</f>
        <v>1</v>
      </c>
      <c r="C1512" s="1844" t="str" cm="1">
        <f t="array" ref="C1512">_xlfn.IFS(
    L1512="", "",
    MONTH(L1512) &lt;= End_of_Year_Month, YEAR(L1512),
    TRUE, YEAR(L1512) + 1
)</f>
        <v/>
      </c>
      <c r="F1512" s="1857">
        <f>IF(L1512="",0,L1512)</f>
        <v>0</v>
      </c>
      <c r="G1512" s="1856">
        <f>-(N1512-Q1512)</f>
        <v>0</v>
      </c>
      <c r="I1512" s="1815" t="b">
        <f>K1512&lt;=Number_Payments</f>
        <v>0</v>
      </c>
      <c r="J1512" s="1855"/>
      <c r="K1512" s="1351">
        <f>K1511+1</f>
        <v>1386</v>
      </c>
      <c r="L1512" s="1854" t="str" cm="1">
        <f t="array" ref="L1512">_xlfn.IFS(
    I1511=FALSE, "",
    Payment_Frequency="Monthly", EDATE(L1511, 1),
    Payment_Frequency="Weekly", DATE(YEAR(L1511), MONTH(L1511), DAY(L1511) + 7),
    Payment_Frequency="Fortnightly", DATE(YEAR(L1511), MONTH(L1511), DAY(L1511) + 14),
    Payment_Frequency="Quarterly", DATE(YEAR(L1511), MONTH(L1511) + 3, DAY(L1511)),
    Payment_Frequency="Yearly", DATE(YEAR(L1511) + 1, MONTH(L1511), DAY(L1511)),
    TRUE, ""
)</f>
        <v/>
      </c>
      <c r="M1512" s="1853">
        <f>IF(ISERROR(L1512-L1511),0,L1512-L1511)</f>
        <v>0</v>
      </c>
      <c r="N1512" s="1851" cm="1">
        <f t="array" ref="N1512">_xlfn.IFS(
    AND(I1512=TRUE, K1512&lt;=No_Regular_Payments), Repay_Amt,
    AND(I1512=TRUE, K1512=No_Regular_Payments+1), Tm_Balloon_Amt,
   TRUE, 0
)</f>
        <v>0</v>
      </c>
      <c r="O1512" s="1850" cm="1">
        <f t="array" ref="O1512">_xlfn.IFS(
    M1512=0,0,
   ABS(N1512 - S1511 - P1512-Q1512) &lt; 1, N1512 - S1511-Q1512,
    TRUE, P1512
)</f>
        <v>0</v>
      </c>
      <c r="P1512" s="1852">
        <f>IF(M1512=0,0,ROUND(S1511*EXP(Int_Rate/365.25 * M1512)-S1511,2))</f>
        <v>0</v>
      </c>
      <c r="Q1512" s="1851" cm="1">
        <f t="array" ref="Q1512">_xlfn.IFS(
    AND(I1512=TRUE, K1512&lt;=No_Regular_Payments), Periodic_Admin_Charge,
   TRUE, 0
)</f>
        <v>0</v>
      </c>
      <c r="R1512" s="1850">
        <f>N1512-O1512-Q1512</f>
        <v>0</v>
      </c>
      <c r="S1512" s="1850">
        <f>ROUND(S1511-R1512,2)</f>
        <v>0</v>
      </c>
      <c r="T1512" s="1850">
        <f>ROUND(T1511-(N1512-Q1512),2)</f>
        <v>0</v>
      </c>
      <c r="U1512" s="1849"/>
      <c r="W1512" s="1848"/>
      <c r="X1512" s="1848"/>
      <c r="Y1512" s="1848"/>
    </row>
    <row r="1513" spans="2:25" hidden="1">
      <c r="B1513" s="1815" t="b">
        <f>AND(I1513=FALSE,N1512=0,Q1512=0,L1512="")</f>
        <v>1</v>
      </c>
      <c r="C1513" s="1844" t="str" cm="1">
        <f t="array" ref="C1513">_xlfn.IFS(
    L1513="", "",
    MONTH(L1513) &lt;= End_of_Year_Month, YEAR(L1513),
    TRUE, YEAR(L1513) + 1
)</f>
        <v/>
      </c>
      <c r="F1513" s="1857">
        <f>IF(L1513="",0,L1513)</f>
        <v>0</v>
      </c>
      <c r="G1513" s="1856">
        <f>-(N1513-Q1513)</f>
        <v>0</v>
      </c>
      <c r="I1513" s="1815" t="b">
        <f>K1513&lt;=Number_Payments</f>
        <v>0</v>
      </c>
      <c r="J1513" s="1855"/>
      <c r="K1513" s="1351">
        <f>K1512+1</f>
        <v>1387</v>
      </c>
      <c r="L1513" s="1854" t="str" cm="1">
        <f t="array" ref="L1513">_xlfn.IFS(
    I1512=FALSE, "",
    Payment_Frequency="Monthly", EDATE(L1512, 1),
    Payment_Frequency="Weekly", DATE(YEAR(L1512), MONTH(L1512), DAY(L1512) + 7),
    Payment_Frequency="Fortnightly", DATE(YEAR(L1512), MONTH(L1512), DAY(L1512) + 14),
    Payment_Frequency="Quarterly", DATE(YEAR(L1512), MONTH(L1512) + 3, DAY(L1512)),
    Payment_Frequency="Yearly", DATE(YEAR(L1512) + 1, MONTH(L1512), DAY(L1512)),
    TRUE, ""
)</f>
        <v/>
      </c>
      <c r="M1513" s="1853">
        <f>IF(ISERROR(L1513-L1512),0,L1513-L1512)</f>
        <v>0</v>
      </c>
      <c r="N1513" s="1851" cm="1">
        <f t="array" ref="N1513">_xlfn.IFS(
    AND(I1513=TRUE, K1513&lt;=No_Regular_Payments), Repay_Amt,
    AND(I1513=TRUE, K1513=No_Regular_Payments+1), Tm_Balloon_Amt,
   TRUE, 0
)</f>
        <v>0</v>
      </c>
      <c r="O1513" s="1850" cm="1">
        <f t="array" ref="O1513">_xlfn.IFS(
    M1513=0,0,
   ABS(N1513 - S1512 - P1513-Q1513) &lt; 1, N1513 - S1512-Q1513,
    TRUE, P1513
)</f>
        <v>0</v>
      </c>
      <c r="P1513" s="1852">
        <f>IF(M1513=0,0,ROUND(S1512*EXP(Int_Rate/365.25 * M1513)-S1512,2))</f>
        <v>0</v>
      </c>
      <c r="Q1513" s="1851" cm="1">
        <f t="array" ref="Q1513">_xlfn.IFS(
    AND(I1513=TRUE, K1513&lt;=No_Regular_Payments), Periodic_Admin_Charge,
   TRUE, 0
)</f>
        <v>0</v>
      </c>
      <c r="R1513" s="1850">
        <f>N1513-O1513-Q1513</f>
        <v>0</v>
      </c>
      <c r="S1513" s="1850">
        <f>ROUND(S1512-R1513,2)</f>
        <v>0</v>
      </c>
      <c r="T1513" s="1850">
        <f>ROUND(T1512-(N1513-Q1513),2)</f>
        <v>0</v>
      </c>
      <c r="U1513" s="1849"/>
      <c r="W1513" s="1848"/>
      <c r="X1513" s="1848"/>
      <c r="Y1513" s="1848"/>
    </row>
    <row r="1514" spans="2:25" hidden="1">
      <c r="B1514" s="1815" t="b">
        <f>AND(I1514=FALSE,N1513=0,Q1513=0,L1513="")</f>
        <v>1</v>
      </c>
      <c r="C1514" s="1844" t="str" cm="1">
        <f t="array" ref="C1514">_xlfn.IFS(
    L1514="", "",
    MONTH(L1514) &lt;= End_of_Year_Month, YEAR(L1514),
    TRUE, YEAR(L1514) + 1
)</f>
        <v/>
      </c>
      <c r="F1514" s="1857">
        <f>IF(L1514="",0,L1514)</f>
        <v>0</v>
      </c>
      <c r="G1514" s="1856">
        <f>-(N1514-Q1514)</f>
        <v>0</v>
      </c>
      <c r="I1514" s="1815" t="b">
        <f>K1514&lt;=Number_Payments</f>
        <v>0</v>
      </c>
      <c r="J1514" s="1855"/>
      <c r="K1514" s="1351">
        <f>K1513+1</f>
        <v>1388</v>
      </c>
      <c r="L1514" s="1854" t="str" cm="1">
        <f t="array" ref="L1514">_xlfn.IFS(
    I1513=FALSE, "",
    Payment_Frequency="Monthly", EDATE(L1513, 1),
    Payment_Frequency="Weekly", DATE(YEAR(L1513), MONTH(L1513), DAY(L1513) + 7),
    Payment_Frequency="Fortnightly", DATE(YEAR(L1513), MONTH(L1513), DAY(L1513) + 14),
    Payment_Frequency="Quarterly", DATE(YEAR(L1513), MONTH(L1513) + 3, DAY(L1513)),
    Payment_Frequency="Yearly", DATE(YEAR(L1513) + 1, MONTH(L1513), DAY(L1513)),
    TRUE, ""
)</f>
        <v/>
      </c>
      <c r="M1514" s="1853">
        <f>IF(ISERROR(L1514-L1513),0,L1514-L1513)</f>
        <v>0</v>
      </c>
      <c r="N1514" s="1851" cm="1">
        <f t="array" ref="N1514">_xlfn.IFS(
    AND(I1514=TRUE, K1514&lt;=No_Regular_Payments), Repay_Amt,
    AND(I1514=TRUE, K1514=No_Regular_Payments+1), Tm_Balloon_Amt,
   TRUE, 0
)</f>
        <v>0</v>
      </c>
      <c r="O1514" s="1850" cm="1">
        <f t="array" ref="O1514">_xlfn.IFS(
    M1514=0,0,
   ABS(N1514 - S1513 - P1514-Q1514) &lt; 1, N1514 - S1513-Q1514,
    TRUE, P1514
)</f>
        <v>0</v>
      </c>
      <c r="P1514" s="1852">
        <f>IF(M1514=0,0,ROUND(S1513*EXP(Int_Rate/365.25 * M1514)-S1513,2))</f>
        <v>0</v>
      </c>
      <c r="Q1514" s="1851" cm="1">
        <f t="array" ref="Q1514">_xlfn.IFS(
    AND(I1514=TRUE, K1514&lt;=No_Regular_Payments), Periodic_Admin_Charge,
   TRUE, 0
)</f>
        <v>0</v>
      </c>
      <c r="R1514" s="1850">
        <f>N1514-O1514-Q1514</f>
        <v>0</v>
      </c>
      <c r="S1514" s="1850">
        <f>ROUND(S1513-R1514,2)</f>
        <v>0</v>
      </c>
      <c r="T1514" s="1850">
        <f>ROUND(T1513-(N1514-Q1514),2)</f>
        <v>0</v>
      </c>
      <c r="U1514" s="1849"/>
      <c r="W1514" s="1848"/>
      <c r="X1514" s="1848"/>
      <c r="Y1514" s="1848"/>
    </row>
    <row r="1515" spans="2:25" hidden="1">
      <c r="B1515" s="1815" t="b">
        <f>AND(I1515=FALSE,N1514=0,Q1514=0,L1514="")</f>
        <v>1</v>
      </c>
      <c r="C1515" s="1844" t="str" cm="1">
        <f t="array" ref="C1515">_xlfn.IFS(
    L1515="", "",
    MONTH(L1515) &lt;= End_of_Year_Month, YEAR(L1515),
    TRUE, YEAR(L1515) + 1
)</f>
        <v/>
      </c>
      <c r="F1515" s="1857">
        <f>IF(L1515="",0,L1515)</f>
        <v>0</v>
      </c>
      <c r="G1515" s="1856">
        <f>-(N1515-Q1515)</f>
        <v>0</v>
      </c>
      <c r="I1515" s="1815" t="b">
        <f>K1515&lt;=Number_Payments</f>
        <v>0</v>
      </c>
      <c r="J1515" s="1855"/>
      <c r="K1515" s="1351">
        <f>K1514+1</f>
        <v>1389</v>
      </c>
      <c r="L1515" s="1854" t="str" cm="1">
        <f t="array" ref="L1515">_xlfn.IFS(
    I1514=FALSE, "",
    Payment_Frequency="Monthly", EDATE(L1514, 1),
    Payment_Frequency="Weekly", DATE(YEAR(L1514), MONTH(L1514), DAY(L1514) + 7),
    Payment_Frequency="Fortnightly", DATE(YEAR(L1514), MONTH(L1514), DAY(L1514) + 14),
    Payment_Frequency="Quarterly", DATE(YEAR(L1514), MONTH(L1514) + 3, DAY(L1514)),
    Payment_Frequency="Yearly", DATE(YEAR(L1514) + 1, MONTH(L1514), DAY(L1514)),
    TRUE, ""
)</f>
        <v/>
      </c>
      <c r="M1515" s="1853">
        <f>IF(ISERROR(L1515-L1514),0,L1515-L1514)</f>
        <v>0</v>
      </c>
      <c r="N1515" s="1851" cm="1">
        <f t="array" ref="N1515">_xlfn.IFS(
    AND(I1515=TRUE, K1515&lt;=No_Regular_Payments), Repay_Amt,
    AND(I1515=TRUE, K1515=No_Regular_Payments+1), Tm_Balloon_Amt,
   TRUE, 0
)</f>
        <v>0</v>
      </c>
      <c r="O1515" s="1850" cm="1">
        <f t="array" ref="O1515">_xlfn.IFS(
    M1515=0,0,
   ABS(N1515 - S1514 - P1515-Q1515) &lt; 1, N1515 - S1514-Q1515,
    TRUE, P1515
)</f>
        <v>0</v>
      </c>
      <c r="P1515" s="1852">
        <f>IF(M1515=0,0,ROUND(S1514*EXP(Int_Rate/365.25 * M1515)-S1514,2))</f>
        <v>0</v>
      </c>
      <c r="Q1515" s="1851" cm="1">
        <f t="array" ref="Q1515">_xlfn.IFS(
    AND(I1515=TRUE, K1515&lt;=No_Regular_Payments), Periodic_Admin_Charge,
   TRUE, 0
)</f>
        <v>0</v>
      </c>
      <c r="R1515" s="1850">
        <f>N1515-O1515-Q1515</f>
        <v>0</v>
      </c>
      <c r="S1515" s="1850">
        <f>ROUND(S1514-R1515,2)</f>
        <v>0</v>
      </c>
      <c r="T1515" s="1850">
        <f>ROUND(T1514-(N1515-Q1515),2)</f>
        <v>0</v>
      </c>
      <c r="U1515" s="1849"/>
      <c r="W1515" s="1848"/>
      <c r="X1515" s="1848"/>
      <c r="Y1515" s="1848"/>
    </row>
    <row r="1516" spans="2:25" hidden="1">
      <c r="B1516" s="1815" t="b">
        <f>AND(I1516=FALSE,N1515=0,Q1515=0,L1515="")</f>
        <v>1</v>
      </c>
      <c r="C1516" s="1844" t="str" cm="1">
        <f t="array" ref="C1516">_xlfn.IFS(
    L1516="", "",
    MONTH(L1516) &lt;= End_of_Year_Month, YEAR(L1516),
    TRUE, YEAR(L1516) + 1
)</f>
        <v/>
      </c>
      <c r="F1516" s="1857">
        <f>IF(L1516="",0,L1516)</f>
        <v>0</v>
      </c>
      <c r="G1516" s="1856">
        <f>-(N1516-Q1516)</f>
        <v>0</v>
      </c>
      <c r="I1516" s="1815" t="b">
        <f>K1516&lt;=Number_Payments</f>
        <v>0</v>
      </c>
      <c r="J1516" s="1855"/>
      <c r="K1516" s="1351">
        <f>K1515+1</f>
        <v>1390</v>
      </c>
      <c r="L1516" s="1854" t="str" cm="1">
        <f t="array" ref="L1516">_xlfn.IFS(
    I1515=FALSE, "",
    Payment_Frequency="Monthly", EDATE(L1515, 1),
    Payment_Frequency="Weekly", DATE(YEAR(L1515), MONTH(L1515), DAY(L1515) + 7),
    Payment_Frequency="Fortnightly", DATE(YEAR(L1515), MONTH(L1515), DAY(L1515) + 14),
    Payment_Frequency="Quarterly", DATE(YEAR(L1515), MONTH(L1515) + 3, DAY(L1515)),
    Payment_Frequency="Yearly", DATE(YEAR(L1515) + 1, MONTH(L1515), DAY(L1515)),
    TRUE, ""
)</f>
        <v/>
      </c>
      <c r="M1516" s="1853">
        <f>IF(ISERROR(L1516-L1515),0,L1516-L1515)</f>
        <v>0</v>
      </c>
      <c r="N1516" s="1851" cm="1">
        <f t="array" ref="N1516">_xlfn.IFS(
    AND(I1516=TRUE, K1516&lt;=No_Regular_Payments), Repay_Amt,
    AND(I1516=TRUE, K1516=No_Regular_Payments+1), Tm_Balloon_Amt,
   TRUE, 0
)</f>
        <v>0</v>
      </c>
      <c r="O1516" s="1850" cm="1">
        <f t="array" ref="O1516">_xlfn.IFS(
    M1516=0,0,
   ABS(N1516 - S1515 - P1516-Q1516) &lt; 1, N1516 - S1515-Q1516,
    TRUE, P1516
)</f>
        <v>0</v>
      </c>
      <c r="P1516" s="1852">
        <f>IF(M1516=0,0,ROUND(S1515*EXP(Int_Rate/365.25 * M1516)-S1515,2))</f>
        <v>0</v>
      </c>
      <c r="Q1516" s="1851" cm="1">
        <f t="array" ref="Q1516">_xlfn.IFS(
    AND(I1516=TRUE, K1516&lt;=No_Regular_Payments), Periodic_Admin_Charge,
   TRUE, 0
)</f>
        <v>0</v>
      </c>
      <c r="R1516" s="1850">
        <f>N1516-O1516-Q1516</f>
        <v>0</v>
      </c>
      <c r="S1516" s="1850">
        <f>ROUND(S1515-R1516,2)</f>
        <v>0</v>
      </c>
      <c r="T1516" s="1850">
        <f>ROUND(T1515-(N1516-Q1516),2)</f>
        <v>0</v>
      </c>
      <c r="U1516" s="1849"/>
      <c r="W1516" s="1848"/>
      <c r="X1516" s="1848"/>
      <c r="Y1516" s="1848"/>
    </row>
    <row r="1517" spans="2:25" hidden="1">
      <c r="B1517" s="1815" t="b">
        <f>AND(I1517=FALSE,N1516=0,Q1516=0,L1516="")</f>
        <v>1</v>
      </c>
      <c r="C1517" s="1844" t="str" cm="1">
        <f t="array" ref="C1517">_xlfn.IFS(
    L1517="", "",
    MONTH(L1517) &lt;= End_of_Year_Month, YEAR(L1517),
    TRUE, YEAR(L1517) + 1
)</f>
        <v/>
      </c>
      <c r="F1517" s="1857">
        <f>IF(L1517="",0,L1517)</f>
        <v>0</v>
      </c>
      <c r="G1517" s="1856">
        <f>-(N1517-Q1517)</f>
        <v>0</v>
      </c>
      <c r="I1517" s="1815" t="b">
        <f>K1517&lt;=Number_Payments</f>
        <v>0</v>
      </c>
      <c r="J1517" s="1855"/>
      <c r="K1517" s="1351">
        <f>K1516+1</f>
        <v>1391</v>
      </c>
      <c r="L1517" s="1854" t="str" cm="1">
        <f t="array" ref="L1517">_xlfn.IFS(
    I1516=FALSE, "",
    Payment_Frequency="Monthly", EDATE(L1516, 1),
    Payment_Frequency="Weekly", DATE(YEAR(L1516), MONTH(L1516), DAY(L1516) + 7),
    Payment_Frequency="Fortnightly", DATE(YEAR(L1516), MONTH(L1516), DAY(L1516) + 14),
    Payment_Frequency="Quarterly", DATE(YEAR(L1516), MONTH(L1516) + 3, DAY(L1516)),
    Payment_Frequency="Yearly", DATE(YEAR(L1516) + 1, MONTH(L1516), DAY(L1516)),
    TRUE, ""
)</f>
        <v/>
      </c>
      <c r="M1517" s="1853">
        <f>IF(ISERROR(L1517-L1516),0,L1517-L1516)</f>
        <v>0</v>
      </c>
      <c r="N1517" s="1851" cm="1">
        <f t="array" ref="N1517">_xlfn.IFS(
    AND(I1517=TRUE, K1517&lt;=No_Regular_Payments), Repay_Amt,
    AND(I1517=TRUE, K1517=No_Regular_Payments+1), Tm_Balloon_Amt,
   TRUE, 0
)</f>
        <v>0</v>
      </c>
      <c r="O1517" s="1850" cm="1">
        <f t="array" ref="O1517">_xlfn.IFS(
    M1517=0,0,
   ABS(N1517 - S1516 - P1517-Q1517) &lt; 1, N1517 - S1516-Q1517,
    TRUE, P1517
)</f>
        <v>0</v>
      </c>
      <c r="P1517" s="1852">
        <f>IF(M1517=0,0,ROUND(S1516*EXP(Int_Rate/365.25 * M1517)-S1516,2))</f>
        <v>0</v>
      </c>
      <c r="Q1517" s="1851" cm="1">
        <f t="array" ref="Q1517">_xlfn.IFS(
    AND(I1517=TRUE, K1517&lt;=No_Regular_Payments), Periodic_Admin_Charge,
   TRUE, 0
)</f>
        <v>0</v>
      </c>
      <c r="R1517" s="1850">
        <f>N1517-O1517-Q1517</f>
        <v>0</v>
      </c>
      <c r="S1517" s="1850">
        <f>ROUND(S1516-R1517,2)</f>
        <v>0</v>
      </c>
      <c r="T1517" s="1850">
        <f>ROUND(T1516-(N1517-Q1517),2)</f>
        <v>0</v>
      </c>
      <c r="U1517" s="1849"/>
      <c r="W1517" s="1848"/>
      <c r="X1517" s="1848"/>
      <c r="Y1517" s="1848"/>
    </row>
    <row r="1518" spans="2:25" hidden="1">
      <c r="B1518" s="1815" t="b">
        <f>AND(I1518=FALSE,N1517=0,Q1517=0,L1517="")</f>
        <v>1</v>
      </c>
      <c r="C1518" s="1844" t="str" cm="1">
        <f t="array" ref="C1518">_xlfn.IFS(
    L1518="", "",
    MONTH(L1518) &lt;= End_of_Year_Month, YEAR(L1518),
    TRUE, YEAR(L1518) + 1
)</f>
        <v/>
      </c>
      <c r="F1518" s="1857">
        <f>IF(L1518="",0,L1518)</f>
        <v>0</v>
      </c>
      <c r="G1518" s="1856">
        <f>-(N1518-Q1518)</f>
        <v>0</v>
      </c>
      <c r="I1518" s="1815" t="b">
        <f>K1518&lt;=Number_Payments</f>
        <v>0</v>
      </c>
      <c r="J1518" s="1855"/>
      <c r="K1518" s="1351">
        <f>K1517+1</f>
        <v>1392</v>
      </c>
      <c r="L1518" s="1854" t="str" cm="1">
        <f t="array" ref="L1518">_xlfn.IFS(
    I1517=FALSE, "",
    Payment_Frequency="Monthly", EDATE(L1517, 1),
    Payment_Frequency="Weekly", DATE(YEAR(L1517), MONTH(L1517), DAY(L1517) + 7),
    Payment_Frequency="Fortnightly", DATE(YEAR(L1517), MONTH(L1517), DAY(L1517) + 14),
    Payment_Frequency="Quarterly", DATE(YEAR(L1517), MONTH(L1517) + 3, DAY(L1517)),
    Payment_Frequency="Yearly", DATE(YEAR(L1517) + 1, MONTH(L1517), DAY(L1517)),
    TRUE, ""
)</f>
        <v/>
      </c>
      <c r="M1518" s="1853">
        <f>IF(ISERROR(L1518-L1517),0,L1518-L1517)</f>
        <v>0</v>
      </c>
      <c r="N1518" s="1851" cm="1">
        <f t="array" ref="N1518">_xlfn.IFS(
    AND(I1518=TRUE, K1518&lt;=No_Regular_Payments), Repay_Amt,
    AND(I1518=TRUE, K1518=No_Regular_Payments+1), Tm_Balloon_Amt,
   TRUE, 0
)</f>
        <v>0</v>
      </c>
      <c r="O1518" s="1850" cm="1">
        <f t="array" ref="O1518">_xlfn.IFS(
    M1518=0,0,
   ABS(N1518 - S1517 - P1518-Q1518) &lt; 1, N1518 - S1517-Q1518,
    TRUE, P1518
)</f>
        <v>0</v>
      </c>
      <c r="P1518" s="1852">
        <f>IF(M1518=0,0,ROUND(S1517*EXP(Int_Rate/365.25 * M1518)-S1517,2))</f>
        <v>0</v>
      </c>
      <c r="Q1518" s="1851" cm="1">
        <f t="array" ref="Q1518">_xlfn.IFS(
    AND(I1518=TRUE, K1518&lt;=No_Regular_Payments), Periodic_Admin_Charge,
   TRUE, 0
)</f>
        <v>0</v>
      </c>
      <c r="R1518" s="1850">
        <f>N1518-O1518-Q1518</f>
        <v>0</v>
      </c>
      <c r="S1518" s="1850">
        <f>ROUND(S1517-R1518,2)</f>
        <v>0</v>
      </c>
      <c r="T1518" s="1850">
        <f>ROUND(T1517-(N1518-Q1518),2)</f>
        <v>0</v>
      </c>
      <c r="U1518" s="1849"/>
      <c r="W1518" s="1848"/>
      <c r="X1518" s="1848"/>
      <c r="Y1518" s="1848"/>
    </row>
    <row r="1519" spans="2:25" hidden="1">
      <c r="B1519" s="1815" t="b">
        <f>AND(I1519=FALSE,N1518=0,Q1518=0,L1518="")</f>
        <v>1</v>
      </c>
      <c r="C1519" s="1844" t="str" cm="1">
        <f t="array" ref="C1519">_xlfn.IFS(
    L1519="", "",
    MONTH(L1519) &lt;= End_of_Year_Month, YEAR(L1519),
    TRUE, YEAR(L1519) + 1
)</f>
        <v/>
      </c>
      <c r="F1519" s="1857">
        <f>IF(L1519="",0,L1519)</f>
        <v>0</v>
      </c>
      <c r="G1519" s="1856">
        <f>-(N1519-Q1519)</f>
        <v>0</v>
      </c>
      <c r="I1519" s="1815" t="b">
        <f>K1519&lt;=Number_Payments</f>
        <v>0</v>
      </c>
      <c r="J1519" s="1855"/>
      <c r="K1519" s="1351">
        <f>K1518+1</f>
        <v>1393</v>
      </c>
      <c r="L1519" s="1854" t="str" cm="1">
        <f t="array" ref="L1519">_xlfn.IFS(
    I1518=FALSE, "",
    Payment_Frequency="Monthly", EDATE(L1518, 1),
    Payment_Frequency="Weekly", DATE(YEAR(L1518), MONTH(L1518), DAY(L1518) + 7),
    Payment_Frequency="Fortnightly", DATE(YEAR(L1518), MONTH(L1518), DAY(L1518) + 14),
    Payment_Frequency="Quarterly", DATE(YEAR(L1518), MONTH(L1518) + 3, DAY(L1518)),
    Payment_Frequency="Yearly", DATE(YEAR(L1518) + 1, MONTH(L1518), DAY(L1518)),
    TRUE, ""
)</f>
        <v/>
      </c>
      <c r="M1519" s="1853">
        <f>IF(ISERROR(L1519-L1518),0,L1519-L1518)</f>
        <v>0</v>
      </c>
      <c r="N1519" s="1851" cm="1">
        <f t="array" ref="N1519">_xlfn.IFS(
    AND(I1519=TRUE, K1519&lt;=No_Regular_Payments), Repay_Amt,
    AND(I1519=TRUE, K1519=No_Regular_Payments+1), Tm_Balloon_Amt,
   TRUE, 0
)</f>
        <v>0</v>
      </c>
      <c r="O1519" s="1850" cm="1">
        <f t="array" ref="O1519">_xlfn.IFS(
    M1519=0,0,
   ABS(N1519 - S1518 - P1519-Q1519) &lt; 1, N1519 - S1518-Q1519,
    TRUE, P1519
)</f>
        <v>0</v>
      </c>
      <c r="P1519" s="1852">
        <f>IF(M1519=0,0,ROUND(S1518*EXP(Int_Rate/365.25 * M1519)-S1518,2))</f>
        <v>0</v>
      </c>
      <c r="Q1519" s="1851" cm="1">
        <f t="array" ref="Q1519">_xlfn.IFS(
    AND(I1519=TRUE, K1519&lt;=No_Regular_Payments), Periodic_Admin_Charge,
   TRUE, 0
)</f>
        <v>0</v>
      </c>
      <c r="R1519" s="1850">
        <f>N1519-O1519-Q1519</f>
        <v>0</v>
      </c>
      <c r="S1519" s="1850">
        <f>ROUND(S1518-R1519,2)</f>
        <v>0</v>
      </c>
      <c r="T1519" s="1850">
        <f>ROUND(T1518-(N1519-Q1519),2)</f>
        <v>0</v>
      </c>
      <c r="U1519" s="1849"/>
      <c r="W1519" s="1848"/>
      <c r="X1519" s="1848"/>
      <c r="Y1519" s="1848"/>
    </row>
    <row r="1520" spans="2:25" hidden="1">
      <c r="B1520" s="1815" t="b">
        <f>AND(I1520=FALSE,N1519=0,Q1519=0,L1519="")</f>
        <v>1</v>
      </c>
      <c r="C1520" s="1844" t="str" cm="1">
        <f t="array" ref="C1520">_xlfn.IFS(
    L1520="", "",
    MONTH(L1520) &lt;= End_of_Year_Month, YEAR(L1520),
    TRUE, YEAR(L1520) + 1
)</f>
        <v/>
      </c>
      <c r="F1520" s="1857">
        <f>IF(L1520="",0,L1520)</f>
        <v>0</v>
      </c>
      <c r="G1520" s="1856">
        <f>-(N1520-Q1520)</f>
        <v>0</v>
      </c>
      <c r="I1520" s="1815" t="b">
        <f>K1520&lt;=Number_Payments</f>
        <v>0</v>
      </c>
      <c r="J1520" s="1855"/>
      <c r="K1520" s="1351">
        <f>K1519+1</f>
        <v>1394</v>
      </c>
      <c r="L1520" s="1854" t="str" cm="1">
        <f t="array" ref="L1520">_xlfn.IFS(
    I1519=FALSE, "",
    Payment_Frequency="Monthly", EDATE(L1519, 1),
    Payment_Frequency="Weekly", DATE(YEAR(L1519), MONTH(L1519), DAY(L1519) + 7),
    Payment_Frequency="Fortnightly", DATE(YEAR(L1519), MONTH(L1519), DAY(L1519) + 14),
    Payment_Frequency="Quarterly", DATE(YEAR(L1519), MONTH(L1519) + 3, DAY(L1519)),
    Payment_Frequency="Yearly", DATE(YEAR(L1519) + 1, MONTH(L1519), DAY(L1519)),
    TRUE, ""
)</f>
        <v/>
      </c>
      <c r="M1520" s="1853">
        <f>IF(ISERROR(L1520-L1519),0,L1520-L1519)</f>
        <v>0</v>
      </c>
      <c r="N1520" s="1851" cm="1">
        <f t="array" ref="N1520">_xlfn.IFS(
    AND(I1520=TRUE, K1520&lt;=No_Regular_Payments), Repay_Amt,
    AND(I1520=TRUE, K1520=No_Regular_Payments+1), Tm_Balloon_Amt,
   TRUE, 0
)</f>
        <v>0</v>
      </c>
      <c r="O1520" s="1850" cm="1">
        <f t="array" ref="O1520">_xlfn.IFS(
    M1520=0,0,
   ABS(N1520 - S1519 - P1520-Q1520) &lt; 1, N1520 - S1519-Q1520,
    TRUE, P1520
)</f>
        <v>0</v>
      </c>
      <c r="P1520" s="1852">
        <f>IF(M1520=0,0,ROUND(S1519*EXP(Int_Rate/365.25 * M1520)-S1519,2))</f>
        <v>0</v>
      </c>
      <c r="Q1520" s="1851" cm="1">
        <f t="array" ref="Q1520">_xlfn.IFS(
    AND(I1520=TRUE, K1520&lt;=No_Regular_Payments), Periodic_Admin_Charge,
   TRUE, 0
)</f>
        <v>0</v>
      </c>
      <c r="R1520" s="1850">
        <f>N1520-O1520-Q1520</f>
        <v>0</v>
      </c>
      <c r="S1520" s="1850">
        <f>ROUND(S1519-R1520,2)</f>
        <v>0</v>
      </c>
      <c r="T1520" s="1850">
        <f>ROUND(T1519-(N1520-Q1520),2)</f>
        <v>0</v>
      </c>
      <c r="U1520" s="1849"/>
      <c r="W1520" s="1848"/>
      <c r="X1520" s="1848"/>
      <c r="Y1520" s="1848"/>
    </row>
    <row r="1521" spans="2:25" hidden="1">
      <c r="B1521" s="1815" t="b">
        <f>AND(I1521=FALSE,N1520=0,Q1520=0,L1520="")</f>
        <v>1</v>
      </c>
      <c r="C1521" s="1844" t="str" cm="1">
        <f t="array" ref="C1521">_xlfn.IFS(
    L1521="", "",
    MONTH(L1521) &lt;= End_of_Year_Month, YEAR(L1521),
    TRUE, YEAR(L1521) + 1
)</f>
        <v/>
      </c>
      <c r="F1521" s="1857">
        <f>IF(L1521="",0,L1521)</f>
        <v>0</v>
      </c>
      <c r="G1521" s="1856">
        <f>-(N1521-Q1521)</f>
        <v>0</v>
      </c>
      <c r="I1521" s="1815" t="b">
        <f>K1521&lt;=Number_Payments</f>
        <v>0</v>
      </c>
      <c r="J1521" s="1855"/>
      <c r="K1521" s="1351">
        <f>K1520+1</f>
        <v>1395</v>
      </c>
      <c r="L1521" s="1854" t="str" cm="1">
        <f t="array" ref="L1521">_xlfn.IFS(
    I1520=FALSE, "",
    Payment_Frequency="Monthly", EDATE(L1520, 1),
    Payment_Frequency="Weekly", DATE(YEAR(L1520), MONTH(L1520), DAY(L1520) + 7),
    Payment_Frequency="Fortnightly", DATE(YEAR(L1520), MONTH(L1520), DAY(L1520) + 14),
    Payment_Frequency="Quarterly", DATE(YEAR(L1520), MONTH(L1520) + 3, DAY(L1520)),
    Payment_Frequency="Yearly", DATE(YEAR(L1520) + 1, MONTH(L1520), DAY(L1520)),
    TRUE, ""
)</f>
        <v/>
      </c>
      <c r="M1521" s="1853">
        <f>IF(ISERROR(L1521-L1520),0,L1521-L1520)</f>
        <v>0</v>
      </c>
      <c r="N1521" s="1851" cm="1">
        <f t="array" ref="N1521">_xlfn.IFS(
    AND(I1521=TRUE, K1521&lt;=No_Regular_Payments), Repay_Amt,
    AND(I1521=TRUE, K1521=No_Regular_Payments+1), Tm_Balloon_Amt,
   TRUE, 0
)</f>
        <v>0</v>
      </c>
      <c r="O1521" s="1850" cm="1">
        <f t="array" ref="O1521">_xlfn.IFS(
    M1521=0,0,
   ABS(N1521 - S1520 - P1521-Q1521) &lt; 1, N1521 - S1520-Q1521,
    TRUE, P1521
)</f>
        <v>0</v>
      </c>
      <c r="P1521" s="1852">
        <f>IF(M1521=0,0,ROUND(S1520*EXP(Int_Rate/365.25 * M1521)-S1520,2))</f>
        <v>0</v>
      </c>
      <c r="Q1521" s="1851" cm="1">
        <f t="array" ref="Q1521">_xlfn.IFS(
    AND(I1521=TRUE, K1521&lt;=No_Regular_Payments), Periodic_Admin_Charge,
   TRUE, 0
)</f>
        <v>0</v>
      </c>
      <c r="R1521" s="1850">
        <f>N1521-O1521-Q1521</f>
        <v>0</v>
      </c>
      <c r="S1521" s="1850">
        <f>ROUND(S1520-R1521,2)</f>
        <v>0</v>
      </c>
      <c r="T1521" s="1850">
        <f>ROUND(T1520-(N1521-Q1521),2)</f>
        <v>0</v>
      </c>
      <c r="U1521" s="1849"/>
      <c r="W1521" s="1848"/>
      <c r="X1521" s="1848"/>
      <c r="Y1521" s="1848"/>
    </row>
    <row r="1522" spans="2:25" hidden="1">
      <c r="B1522" s="1815" t="b">
        <f>AND(I1522=FALSE,N1521=0,Q1521=0,L1521="")</f>
        <v>1</v>
      </c>
      <c r="C1522" s="1844" t="str" cm="1">
        <f t="array" ref="C1522">_xlfn.IFS(
    L1522="", "",
    MONTH(L1522) &lt;= End_of_Year_Month, YEAR(L1522),
    TRUE, YEAR(L1522) + 1
)</f>
        <v/>
      </c>
      <c r="F1522" s="1857">
        <f>IF(L1522="",0,L1522)</f>
        <v>0</v>
      </c>
      <c r="G1522" s="1856">
        <f>-(N1522-Q1522)</f>
        <v>0</v>
      </c>
      <c r="I1522" s="1815" t="b">
        <f>K1522&lt;=Number_Payments</f>
        <v>0</v>
      </c>
      <c r="J1522" s="1855"/>
      <c r="K1522" s="1351">
        <f>K1521+1</f>
        <v>1396</v>
      </c>
      <c r="L1522" s="1854" t="str" cm="1">
        <f t="array" ref="L1522">_xlfn.IFS(
    I1521=FALSE, "",
    Payment_Frequency="Monthly", EDATE(L1521, 1),
    Payment_Frequency="Weekly", DATE(YEAR(L1521), MONTH(L1521), DAY(L1521) + 7),
    Payment_Frequency="Fortnightly", DATE(YEAR(L1521), MONTH(L1521), DAY(L1521) + 14),
    Payment_Frequency="Quarterly", DATE(YEAR(L1521), MONTH(L1521) + 3, DAY(L1521)),
    Payment_Frequency="Yearly", DATE(YEAR(L1521) + 1, MONTH(L1521), DAY(L1521)),
    TRUE, ""
)</f>
        <v/>
      </c>
      <c r="M1522" s="1853">
        <f>IF(ISERROR(L1522-L1521),0,L1522-L1521)</f>
        <v>0</v>
      </c>
      <c r="N1522" s="1851" cm="1">
        <f t="array" ref="N1522">_xlfn.IFS(
    AND(I1522=TRUE, K1522&lt;=No_Regular_Payments), Repay_Amt,
    AND(I1522=TRUE, K1522=No_Regular_Payments+1), Tm_Balloon_Amt,
   TRUE, 0
)</f>
        <v>0</v>
      </c>
      <c r="O1522" s="1850" cm="1">
        <f t="array" ref="O1522">_xlfn.IFS(
    M1522=0,0,
   ABS(N1522 - S1521 - P1522-Q1522) &lt; 1, N1522 - S1521-Q1522,
    TRUE, P1522
)</f>
        <v>0</v>
      </c>
      <c r="P1522" s="1852">
        <f>IF(M1522=0,0,ROUND(S1521*EXP(Int_Rate/365.25 * M1522)-S1521,2))</f>
        <v>0</v>
      </c>
      <c r="Q1522" s="1851" cm="1">
        <f t="array" ref="Q1522">_xlfn.IFS(
    AND(I1522=TRUE, K1522&lt;=No_Regular_Payments), Periodic_Admin_Charge,
   TRUE, 0
)</f>
        <v>0</v>
      </c>
      <c r="R1522" s="1850">
        <f>N1522-O1522-Q1522</f>
        <v>0</v>
      </c>
      <c r="S1522" s="1850">
        <f>ROUND(S1521-R1522,2)</f>
        <v>0</v>
      </c>
      <c r="T1522" s="1850">
        <f>ROUND(T1521-(N1522-Q1522),2)</f>
        <v>0</v>
      </c>
      <c r="U1522" s="1849"/>
      <c r="W1522" s="1848"/>
      <c r="X1522" s="1848"/>
      <c r="Y1522" s="1848"/>
    </row>
    <row r="1523" spans="2:25" hidden="1">
      <c r="B1523" s="1815" t="b">
        <f>AND(I1523=FALSE,N1522=0,Q1522=0,L1522="")</f>
        <v>1</v>
      </c>
      <c r="C1523" s="1844" t="str" cm="1">
        <f t="array" ref="C1523">_xlfn.IFS(
    L1523="", "",
    MONTH(L1523) &lt;= End_of_Year_Month, YEAR(L1523),
    TRUE, YEAR(L1523) + 1
)</f>
        <v/>
      </c>
      <c r="F1523" s="1857">
        <f>IF(L1523="",0,L1523)</f>
        <v>0</v>
      </c>
      <c r="G1523" s="1856">
        <f>-(N1523-Q1523)</f>
        <v>0</v>
      </c>
      <c r="I1523" s="1815" t="b">
        <f>K1523&lt;=Number_Payments</f>
        <v>0</v>
      </c>
      <c r="J1523" s="1855"/>
      <c r="K1523" s="1351">
        <f>K1522+1</f>
        <v>1397</v>
      </c>
      <c r="L1523" s="1854" t="str" cm="1">
        <f t="array" ref="L1523">_xlfn.IFS(
    I1522=FALSE, "",
    Payment_Frequency="Monthly", EDATE(L1522, 1),
    Payment_Frequency="Weekly", DATE(YEAR(L1522), MONTH(L1522), DAY(L1522) + 7),
    Payment_Frequency="Fortnightly", DATE(YEAR(L1522), MONTH(L1522), DAY(L1522) + 14),
    Payment_Frequency="Quarterly", DATE(YEAR(L1522), MONTH(L1522) + 3, DAY(L1522)),
    Payment_Frequency="Yearly", DATE(YEAR(L1522) + 1, MONTH(L1522), DAY(L1522)),
    TRUE, ""
)</f>
        <v/>
      </c>
      <c r="M1523" s="1853">
        <f>IF(ISERROR(L1523-L1522),0,L1523-L1522)</f>
        <v>0</v>
      </c>
      <c r="N1523" s="1851" cm="1">
        <f t="array" ref="N1523">_xlfn.IFS(
    AND(I1523=TRUE, K1523&lt;=No_Regular_Payments), Repay_Amt,
    AND(I1523=TRUE, K1523=No_Regular_Payments+1), Tm_Balloon_Amt,
   TRUE, 0
)</f>
        <v>0</v>
      </c>
      <c r="O1523" s="1850" cm="1">
        <f t="array" ref="O1523">_xlfn.IFS(
    M1523=0,0,
   ABS(N1523 - S1522 - P1523-Q1523) &lt; 1, N1523 - S1522-Q1523,
    TRUE, P1523
)</f>
        <v>0</v>
      </c>
      <c r="P1523" s="1852">
        <f>IF(M1523=0,0,ROUND(S1522*EXP(Int_Rate/365.25 * M1523)-S1522,2))</f>
        <v>0</v>
      </c>
      <c r="Q1523" s="1851" cm="1">
        <f t="array" ref="Q1523">_xlfn.IFS(
    AND(I1523=TRUE, K1523&lt;=No_Regular_Payments), Periodic_Admin_Charge,
   TRUE, 0
)</f>
        <v>0</v>
      </c>
      <c r="R1523" s="1850">
        <f>N1523-O1523-Q1523</f>
        <v>0</v>
      </c>
      <c r="S1523" s="1850">
        <f>ROUND(S1522-R1523,2)</f>
        <v>0</v>
      </c>
      <c r="T1523" s="1850">
        <f>ROUND(T1522-(N1523-Q1523),2)</f>
        <v>0</v>
      </c>
      <c r="U1523" s="1849"/>
      <c r="W1523" s="1848"/>
      <c r="X1523" s="1848"/>
      <c r="Y1523" s="1848"/>
    </row>
    <row r="1524" spans="2:25" hidden="1">
      <c r="B1524" s="1815" t="b">
        <f>AND(I1524=FALSE,N1523=0,Q1523=0,L1523="")</f>
        <v>1</v>
      </c>
      <c r="C1524" s="1844" t="str" cm="1">
        <f t="array" ref="C1524">_xlfn.IFS(
    L1524="", "",
    MONTH(L1524) &lt;= End_of_Year_Month, YEAR(L1524),
    TRUE, YEAR(L1524) + 1
)</f>
        <v/>
      </c>
      <c r="F1524" s="1857">
        <f>IF(L1524="",0,L1524)</f>
        <v>0</v>
      </c>
      <c r="G1524" s="1856">
        <f>-(N1524-Q1524)</f>
        <v>0</v>
      </c>
      <c r="I1524" s="1815" t="b">
        <f>K1524&lt;=Number_Payments</f>
        <v>0</v>
      </c>
      <c r="J1524" s="1855"/>
      <c r="K1524" s="1351">
        <f>K1523+1</f>
        <v>1398</v>
      </c>
      <c r="L1524" s="1854" t="str" cm="1">
        <f t="array" ref="L1524">_xlfn.IFS(
    I1523=FALSE, "",
    Payment_Frequency="Monthly", EDATE(L1523, 1),
    Payment_Frequency="Weekly", DATE(YEAR(L1523), MONTH(L1523), DAY(L1523) + 7),
    Payment_Frequency="Fortnightly", DATE(YEAR(L1523), MONTH(L1523), DAY(L1523) + 14),
    Payment_Frequency="Quarterly", DATE(YEAR(L1523), MONTH(L1523) + 3, DAY(L1523)),
    Payment_Frequency="Yearly", DATE(YEAR(L1523) + 1, MONTH(L1523), DAY(L1523)),
    TRUE, ""
)</f>
        <v/>
      </c>
      <c r="M1524" s="1853">
        <f>IF(ISERROR(L1524-L1523),0,L1524-L1523)</f>
        <v>0</v>
      </c>
      <c r="N1524" s="1851" cm="1">
        <f t="array" ref="N1524">_xlfn.IFS(
    AND(I1524=TRUE, K1524&lt;=No_Regular_Payments), Repay_Amt,
    AND(I1524=TRUE, K1524=No_Regular_Payments+1), Tm_Balloon_Amt,
   TRUE, 0
)</f>
        <v>0</v>
      </c>
      <c r="O1524" s="1850" cm="1">
        <f t="array" ref="O1524">_xlfn.IFS(
    M1524=0,0,
   ABS(N1524 - S1523 - P1524-Q1524) &lt; 1, N1524 - S1523-Q1524,
    TRUE, P1524
)</f>
        <v>0</v>
      </c>
      <c r="P1524" s="1852">
        <f>IF(M1524=0,0,ROUND(S1523*EXP(Int_Rate/365.25 * M1524)-S1523,2))</f>
        <v>0</v>
      </c>
      <c r="Q1524" s="1851" cm="1">
        <f t="array" ref="Q1524">_xlfn.IFS(
    AND(I1524=TRUE, K1524&lt;=No_Regular_Payments), Periodic_Admin_Charge,
   TRUE, 0
)</f>
        <v>0</v>
      </c>
      <c r="R1524" s="1850">
        <f>N1524-O1524-Q1524</f>
        <v>0</v>
      </c>
      <c r="S1524" s="1850">
        <f>ROUND(S1523-R1524,2)</f>
        <v>0</v>
      </c>
      <c r="T1524" s="1850">
        <f>ROUND(T1523-(N1524-Q1524),2)</f>
        <v>0</v>
      </c>
      <c r="U1524" s="1849"/>
      <c r="W1524" s="1848"/>
      <c r="X1524" s="1848"/>
      <c r="Y1524" s="1848"/>
    </row>
    <row r="1525" spans="2:25" hidden="1">
      <c r="B1525" s="1815" t="b">
        <f>AND(I1525=FALSE,N1524=0,Q1524=0,L1524="")</f>
        <v>1</v>
      </c>
      <c r="C1525" s="1844" t="str" cm="1">
        <f t="array" ref="C1525">_xlfn.IFS(
    L1525="", "",
    MONTH(L1525) &lt;= End_of_Year_Month, YEAR(L1525),
    TRUE, YEAR(L1525) + 1
)</f>
        <v/>
      </c>
      <c r="F1525" s="1857">
        <f>IF(L1525="",0,L1525)</f>
        <v>0</v>
      </c>
      <c r="G1525" s="1856">
        <f>-(N1525-Q1525)</f>
        <v>0</v>
      </c>
      <c r="I1525" s="1815" t="b">
        <f>K1525&lt;=Number_Payments</f>
        <v>0</v>
      </c>
      <c r="J1525" s="1855"/>
      <c r="K1525" s="1351">
        <f>K1524+1</f>
        <v>1399</v>
      </c>
      <c r="L1525" s="1854" t="str" cm="1">
        <f t="array" ref="L1525">_xlfn.IFS(
    I1524=FALSE, "",
    Payment_Frequency="Monthly", EDATE(L1524, 1),
    Payment_Frequency="Weekly", DATE(YEAR(L1524), MONTH(L1524), DAY(L1524) + 7),
    Payment_Frequency="Fortnightly", DATE(YEAR(L1524), MONTH(L1524), DAY(L1524) + 14),
    Payment_Frequency="Quarterly", DATE(YEAR(L1524), MONTH(L1524) + 3, DAY(L1524)),
    Payment_Frequency="Yearly", DATE(YEAR(L1524) + 1, MONTH(L1524), DAY(L1524)),
    TRUE, ""
)</f>
        <v/>
      </c>
      <c r="M1525" s="1853">
        <f>IF(ISERROR(L1525-L1524),0,L1525-L1524)</f>
        <v>0</v>
      </c>
      <c r="N1525" s="1851" cm="1">
        <f t="array" ref="N1525">_xlfn.IFS(
    AND(I1525=TRUE, K1525&lt;=No_Regular_Payments), Repay_Amt,
    AND(I1525=TRUE, K1525=No_Regular_Payments+1), Tm_Balloon_Amt,
   TRUE, 0
)</f>
        <v>0</v>
      </c>
      <c r="O1525" s="1850" cm="1">
        <f t="array" ref="O1525">_xlfn.IFS(
    M1525=0,0,
   ABS(N1525 - S1524 - P1525-Q1525) &lt; 1, N1525 - S1524-Q1525,
    TRUE, P1525
)</f>
        <v>0</v>
      </c>
      <c r="P1525" s="1852">
        <f>IF(M1525=0,0,ROUND(S1524*EXP(Int_Rate/365.25 * M1525)-S1524,2))</f>
        <v>0</v>
      </c>
      <c r="Q1525" s="1851" cm="1">
        <f t="array" ref="Q1525">_xlfn.IFS(
    AND(I1525=TRUE, K1525&lt;=No_Regular_Payments), Periodic_Admin_Charge,
   TRUE, 0
)</f>
        <v>0</v>
      </c>
      <c r="R1525" s="1850">
        <f>N1525-O1525-Q1525</f>
        <v>0</v>
      </c>
      <c r="S1525" s="1850">
        <f>ROUND(S1524-R1525,2)</f>
        <v>0</v>
      </c>
      <c r="T1525" s="1850">
        <f>ROUND(T1524-(N1525-Q1525),2)</f>
        <v>0</v>
      </c>
      <c r="U1525" s="1849"/>
      <c r="W1525" s="1848"/>
      <c r="X1525" s="1848"/>
      <c r="Y1525" s="1848"/>
    </row>
    <row r="1526" spans="2:25" hidden="1">
      <c r="B1526" s="1815" t="b">
        <f>AND(I1526=FALSE,N1525=0,Q1525=0,L1525="")</f>
        <v>1</v>
      </c>
      <c r="C1526" s="1844" t="str" cm="1">
        <f t="array" ref="C1526">_xlfn.IFS(
    L1526="", "",
    MONTH(L1526) &lt;= End_of_Year_Month, YEAR(L1526),
    TRUE, YEAR(L1526) + 1
)</f>
        <v/>
      </c>
      <c r="F1526" s="1857">
        <f>IF(L1526="",0,L1526)</f>
        <v>0</v>
      </c>
      <c r="G1526" s="1856">
        <f>-(N1526-Q1526)</f>
        <v>0</v>
      </c>
      <c r="I1526" s="1815" t="b">
        <f>K1526&lt;=Number_Payments</f>
        <v>0</v>
      </c>
      <c r="J1526" s="1855"/>
      <c r="K1526" s="1351">
        <f>K1525+1</f>
        <v>1400</v>
      </c>
      <c r="L1526" s="1854" t="str" cm="1">
        <f t="array" ref="L1526">_xlfn.IFS(
    I1525=FALSE, "",
    Payment_Frequency="Monthly", EDATE(L1525, 1),
    Payment_Frequency="Weekly", DATE(YEAR(L1525), MONTH(L1525), DAY(L1525) + 7),
    Payment_Frequency="Fortnightly", DATE(YEAR(L1525), MONTH(L1525), DAY(L1525) + 14),
    Payment_Frequency="Quarterly", DATE(YEAR(L1525), MONTH(L1525) + 3, DAY(L1525)),
    Payment_Frequency="Yearly", DATE(YEAR(L1525) + 1, MONTH(L1525), DAY(L1525)),
    TRUE, ""
)</f>
        <v/>
      </c>
      <c r="M1526" s="1853">
        <f>IF(ISERROR(L1526-L1525),0,L1526-L1525)</f>
        <v>0</v>
      </c>
      <c r="N1526" s="1851" cm="1">
        <f t="array" ref="N1526">_xlfn.IFS(
    AND(I1526=TRUE, K1526&lt;=No_Regular_Payments), Repay_Amt,
    AND(I1526=TRUE, K1526=No_Regular_Payments+1), Tm_Balloon_Amt,
   TRUE, 0
)</f>
        <v>0</v>
      </c>
      <c r="O1526" s="1850" cm="1">
        <f t="array" ref="O1526">_xlfn.IFS(
    M1526=0,0,
   ABS(N1526 - S1525 - P1526-Q1526) &lt; 1, N1526 - S1525-Q1526,
    TRUE, P1526
)</f>
        <v>0</v>
      </c>
      <c r="P1526" s="1852">
        <f>IF(M1526=0,0,ROUND(S1525*EXP(Int_Rate/365.25 * M1526)-S1525,2))</f>
        <v>0</v>
      </c>
      <c r="Q1526" s="1851" cm="1">
        <f t="array" ref="Q1526">_xlfn.IFS(
    AND(I1526=TRUE, K1526&lt;=No_Regular_Payments), Periodic_Admin_Charge,
   TRUE, 0
)</f>
        <v>0</v>
      </c>
      <c r="R1526" s="1850">
        <f>N1526-O1526-Q1526</f>
        <v>0</v>
      </c>
      <c r="S1526" s="1850">
        <f>ROUND(S1525-R1526,2)</f>
        <v>0</v>
      </c>
      <c r="T1526" s="1850">
        <f>ROUND(T1525-(N1526-Q1526),2)</f>
        <v>0</v>
      </c>
      <c r="U1526" s="1849"/>
      <c r="W1526" s="1848"/>
      <c r="X1526" s="1848"/>
      <c r="Y1526" s="1848"/>
    </row>
    <row r="1527" spans="2:25" hidden="1">
      <c r="B1527" s="1815" t="b">
        <f>AND(I1527=FALSE,N1526=0,Q1526=0,L1526="")</f>
        <v>1</v>
      </c>
      <c r="C1527" s="1844" t="str" cm="1">
        <f t="array" ref="C1527">_xlfn.IFS(
    L1527="", "",
    MONTH(L1527) &lt;= End_of_Year_Month, YEAR(L1527),
    TRUE, YEAR(L1527) + 1
)</f>
        <v/>
      </c>
      <c r="F1527" s="1857">
        <f>IF(L1527="",0,L1527)</f>
        <v>0</v>
      </c>
      <c r="G1527" s="1856">
        <f>-(N1527-Q1527)</f>
        <v>0</v>
      </c>
      <c r="I1527" s="1815" t="b">
        <f>K1527&lt;=Number_Payments</f>
        <v>0</v>
      </c>
      <c r="J1527" s="1855"/>
      <c r="K1527" s="1351">
        <f>K1526+1</f>
        <v>1401</v>
      </c>
      <c r="L1527" s="1854" t="str" cm="1">
        <f t="array" ref="L1527">_xlfn.IFS(
    I1526=FALSE, "",
    Payment_Frequency="Monthly", EDATE(L1526, 1),
    Payment_Frequency="Weekly", DATE(YEAR(L1526), MONTH(L1526), DAY(L1526) + 7),
    Payment_Frequency="Fortnightly", DATE(YEAR(L1526), MONTH(L1526), DAY(L1526) + 14),
    Payment_Frequency="Quarterly", DATE(YEAR(L1526), MONTH(L1526) + 3, DAY(L1526)),
    Payment_Frequency="Yearly", DATE(YEAR(L1526) + 1, MONTH(L1526), DAY(L1526)),
    TRUE, ""
)</f>
        <v/>
      </c>
      <c r="M1527" s="1853">
        <f>IF(ISERROR(L1527-L1526),0,L1527-L1526)</f>
        <v>0</v>
      </c>
      <c r="N1527" s="1851" cm="1">
        <f t="array" ref="N1527">_xlfn.IFS(
    AND(I1527=TRUE, K1527&lt;=No_Regular_Payments), Repay_Amt,
    AND(I1527=TRUE, K1527=No_Regular_Payments+1), Tm_Balloon_Amt,
   TRUE, 0
)</f>
        <v>0</v>
      </c>
      <c r="O1527" s="1850" cm="1">
        <f t="array" ref="O1527">_xlfn.IFS(
    M1527=0,0,
   ABS(N1527 - S1526 - P1527-Q1527) &lt; 1, N1527 - S1526-Q1527,
    TRUE, P1527
)</f>
        <v>0</v>
      </c>
      <c r="P1527" s="1852">
        <f>IF(M1527=0,0,ROUND(S1526*EXP(Int_Rate/365.25 * M1527)-S1526,2))</f>
        <v>0</v>
      </c>
      <c r="Q1527" s="1851" cm="1">
        <f t="array" ref="Q1527">_xlfn.IFS(
    AND(I1527=TRUE, K1527&lt;=No_Regular_Payments), Periodic_Admin_Charge,
   TRUE, 0
)</f>
        <v>0</v>
      </c>
      <c r="R1527" s="1850">
        <f>N1527-O1527-Q1527</f>
        <v>0</v>
      </c>
      <c r="S1527" s="1850">
        <f>ROUND(S1526-R1527,2)</f>
        <v>0</v>
      </c>
      <c r="T1527" s="1850">
        <f>ROUND(T1526-(N1527-Q1527),2)</f>
        <v>0</v>
      </c>
      <c r="U1527" s="1849"/>
      <c r="W1527" s="1848"/>
      <c r="X1527" s="1848"/>
      <c r="Y1527" s="1848"/>
    </row>
    <row r="1528" spans="2:25" hidden="1">
      <c r="B1528" s="1815" t="b">
        <f>AND(I1528=FALSE,N1527=0,Q1527=0,L1527="")</f>
        <v>1</v>
      </c>
      <c r="C1528" s="1844" t="str" cm="1">
        <f t="array" ref="C1528">_xlfn.IFS(
    L1528="", "",
    MONTH(L1528) &lt;= End_of_Year_Month, YEAR(L1528),
    TRUE, YEAR(L1528) + 1
)</f>
        <v/>
      </c>
      <c r="F1528" s="1857">
        <f>IF(L1528="",0,L1528)</f>
        <v>0</v>
      </c>
      <c r="G1528" s="1856">
        <f>-(N1528-Q1528)</f>
        <v>0</v>
      </c>
      <c r="I1528" s="1815" t="b">
        <f>K1528&lt;=Number_Payments</f>
        <v>0</v>
      </c>
      <c r="J1528" s="1855"/>
      <c r="K1528" s="1351">
        <f>K1527+1</f>
        <v>1402</v>
      </c>
      <c r="L1528" s="1854" t="str" cm="1">
        <f t="array" ref="L1528">_xlfn.IFS(
    I1527=FALSE, "",
    Payment_Frequency="Monthly", EDATE(L1527, 1),
    Payment_Frequency="Weekly", DATE(YEAR(L1527), MONTH(L1527), DAY(L1527) + 7),
    Payment_Frequency="Fortnightly", DATE(YEAR(L1527), MONTH(L1527), DAY(L1527) + 14),
    Payment_Frequency="Quarterly", DATE(YEAR(L1527), MONTH(L1527) + 3, DAY(L1527)),
    Payment_Frequency="Yearly", DATE(YEAR(L1527) + 1, MONTH(L1527), DAY(L1527)),
    TRUE, ""
)</f>
        <v/>
      </c>
      <c r="M1528" s="1853">
        <f>IF(ISERROR(L1528-L1527),0,L1528-L1527)</f>
        <v>0</v>
      </c>
      <c r="N1528" s="1851" cm="1">
        <f t="array" ref="N1528">_xlfn.IFS(
    AND(I1528=TRUE, K1528&lt;=No_Regular_Payments), Repay_Amt,
    AND(I1528=TRUE, K1528=No_Regular_Payments+1), Tm_Balloon_Amt,
   TRUE, 0
)</f>
        <v>0</v>
      </c>
      <c r="O1528" s="1850" cm="1">
        <f t="array" ref="O1528">_xlfn.IFS(
    M1528=0,0,
   ABS(N1528 - S1527 - P1528-Q1528) &lt; 1, N1528 - S1527-Q1528,
    TRUE, P1528
)</f>
        <v>0</v>
      </c>
      <c r="P1528" s="1852">
        <f>IF(M1528=0,0,ROUND(S1527*EXP(Int_Rate/365.25 * M1528)-S1527,2))</f>
        <v>0</v>
      </c>
      <c r="Q1528" s="1851" cm="1">
        <f t="array" ref="Q1528">_xlfn.IFS(
    AND(I1528=TRUE, K1528&lt;=No_Regular_Payments), Periodic_Admin_Charge,
   TRUE, 0
)</f>
        <v>0</v>
      </c>
      <c r="R1528" s="1850">
        <f>N1528-O1528-Q1528</f>
        <v>0</v>
      </c>
      <c r="S1528" s="1850">
        <f>ROUND(S1527-R1528,2)</f>
        <v>0</v>
      </c>
      <c r="T1528" s="1850">
        <f>ROUND(T1527-(N1528-Q1528),2)</f>
        <v>0</v>
      </c>
      <c r="U1528" s="1849"/>
      <c r="W1528" s="1848"/>
      <c r="X1528" s="1848"/>
      <c r="Y1528" s="1848"/>
    </row>
    <row r="1529" spans="2:25" hidden="1">
      <c r="B1529" s="1815" t="b">
        <f>AND(I1529=FALSE,N1528=0,Q1528=0,L1528="")</f>
        <v>1</v>
      </c>
      <c r="C1529" s="1844" t="str" cm="1">
        <f t="array" ref="C1529">_xlfn.IFS(
    L1529="", "",
    MONTH(L1529) &lt;= End_of_Year_Month, YEAR(L1529),
    TRUE, YEAR(L1529) + 1
)</f>
        <v/>
      </c>
      <c r="F1529" s="1857">
        <f>IF(L1529="",0,L1529)</f>
        <v>0</v>
      </c>
      <c r="G1529" s="1856">
        <f>-(N1529-Q1529)</f>
        <v>0</v>
      </c>
      <c r="I1529" s="1815" t="b">
        <f>K1529&lt;=Number_Payments</f>
        <v>0</v>
      </c>
      <c r="J1529" s="1855"/>
      <c r="K1529" s="1351">
        <f>K1528+1</f>
        <v>1403</v>
      </c>
      <c r="L1529" s="1854" t="str" cm="1">
        <f t="array" ref="L1529">_xlfn.IFS(
    I1528=FALSE, "",
    Payment_Frequency="Monthly", EDATE(L1528, 1),
    Payment_Frequency="Weekly", DATE(YEAR(L1528), MONTH(L1528), DAY(L1528) + 7),
    Payment_Frequency="Fortnightly", DATE(YEAR(L1528), MONTH(L1528), DAY(L1528) + 14),
    Payment_Frequency="Quarterly", DATE(YEAR(L1528), MONTH(L1528) + 3, DAY(L1528)),
    Payment_Frequency="Yearly", DATE(YEAR(L1528) + 1, MONTH(L1528), DAY(L1528)),
    TRUE, ""
)</f>
        <v/>
      </c>
      <c r="M1529" s="1853">
        <f>IF(ISERROR(L1529-L1528),0,L1529-L1528)</f>
        <v>0</v>
      </c>
      <c r="N1529" s="1851" cm="1">
        <f t="array" ref="N1529">_xlfn.IFS(
    AND(I1529=TRUE, K1529&lt;=No_Regular_Payments), Repay_Amt,
    AND(I1529=TRUE, K1529=No_Regular_Payments+1), Tm_Balloon_Amt,
   TRUE, 0
)</f>
        <v>0</v>
      </c>
      <c r="O1529" s="1850" cm="1">
        <f t="array" ref="O1529">_xlfn.IFS(
    M1529=0,0,
   ABS(N1529 - S1528 - P1529-Q1529) &lt; 1, N1529 - S1528-Q1529,
    TRUE, P1529
)</f>
        <v>0</v>
      </c>
      <c r="P1529" s="1852">
        <f>IF(M1529=0,0,ROUND(S1528*EXP(Int_Rate/365.25 * M1529)-S1528,2))</f>
        <v>0</v>
      </c>
      <c r="Q1529" s="1851" cm="1">
        <f t="array" ref="Q1529">_xlfn.IFS(
    AND(I1529=TRUE, K1529&lt;=No_Regular_Payments), Periodic_Admin_Charge,
   TRUE, 0
)</f>
        <v>0</v>
      </c>
      <c r="R1529" s="1850">
        <f>N1529-O1529-Q1529</f>
        <v>0</v>
      </c>
      <c r="S1529" s="1850">
        <f>ROUND(S1528-R1529,2)</f>
        <v>0</v>
      </c>
      <c r="T1529" s="1850">
        <f>ROUND(T1528-(N1529-Q1529),2)</f>
        <v>0</v>
      </c>
      <c r="U1529" s="1849"/>
      <c r="W1529" s="1848"/>
      <c r="X1529" s="1848"/>
      <c r="Y1529" s="1848"/>
    </row>
    <row r="1530" spans="2:25" hidden="1">
      <c r="B1530" s="1815" t="b">
        <f>AND(I1530=FALSE,N1529=0,Q1529=0,L1529="")</f>
        <v>1</v>
      </c>
      <c r="C1530" s="1844" t="str" cm="1">
        <f t="array" ref="C1530">_xlfn.IFS(
    L1530="", "",
    MONTH(L1530) &lt;= End_of_Year_Month, YEAR(L1530),
    TRUE, YEAR(L1530) + 1
)</f>
        <v/>
      </c>
      <c r="F1530" s="1857">
        <f>IF(L1530="",0,L1530)</f>
        <v>0</v>
      </c>
      <c r="G1530" s="1856">
        <f>-(N1530-Q1530)</f>
        <v>0</v>
      </c>
      <c r="I1530" s="1815" t="b">
        <f>K1530&lt;=Number_Payments</f>
        <v>0</v>
      </c>
      <c r="J1530" s="1855"/>
      <c r="K1530" s="1351">
        <f>K1529+1</f>
        <v>1404</v>
      </c>
      <c r="L1530" s="1854" t="str" cm="1">
        <f t="array" ref="L1530">_xlfn.IFS(
    I1529=FALSE, "",
    Payment_Frequency="Monthly", EDATE(L1529, 1),
    Payment_Frequency="Weekly", DATE(YEAR(L1529), MONTH(L1529), DAY(L1529) + 7),
    Payment_Frequency="Fortnightly", DATE(YEAR(L1529), MONTH(L1529), DAY(L1529) + 14),
    Payment_Frequency="Quarterly", DATE(YEAR(L1529), MONTH(L1529) + 3, DAY(L1529)),
    Payment_Frequency="Yearly", DATE(YEAR(L1529) + 1, MONTH(L1529), DAY(L1529)),
    TRUE, ""
)</f>
        <v/>
      </c>
      <c r="M1530" s="1853">
        <f>IF(ISERROR(L1530-L1529),0,L1530-L1529)</f>
        <v>0</v>
      </c>
      <c r="N1530" s="1851" cm="1">
        <f t="array" ref="N1530">_xlfn.IFS(
    AND(I1530=TRUE, K1530&lt;=No_Regular_Payments), Repay_Amt,
    AND(I1530=TRUE, K1530=No_Regular_Payments+1), Tm_Balloon_Amt,
   TRUE, 0
)</f>
        <v>0</v>
      </c>
      <c r="O1530" s="1850" cm="1">
        <f t="array" ref="O1530">_xlfn.IFS(
    M1530=0,0,
   ABS(N1530 - S1529 - P1530-Q1530) &lt; 1, N1530 - S1529-Q1530,
    TRUE, P1530
)</f>
        <v>0</v>
      </c>
      <c r="P1530" s="1852">
        <f>IF(M1530=0,0,ROUND(S1529*EXP(Int_Rate/365.25 * M1530)-S1529,2))</f>
        <v>0</v>
      </c>
      <c r="Q1530" s="1851" cm="1">
        <f t="array" ref="Q1530">_xlfn.IFS(
    AND(I1530=TRUE, K1530&lt;=No_Regular_Payments), Periodic_Admin_Charge,
   TRUE, 0
)</f>
        <v>0</v>
      </c>
      <c r="R1530" s="1850">
        <f>N1530-O1530-Q1530</f>
        <v>0</v>
      </c>
      <c r="S1530" s="1850">
        <f>ROUND(S1529-R1530,2)</f>
        <v>0</v>
      </c>
      <c r="T1530" s="1850">
        <f>ROUND(T1529-(N1530-Q1530),2)</f>
        <v>0</v>
      </c>
      <c r="U1530" s="1849"/>
      <c r="W1530" s="1848"/>
      <c r="X1530" s="1848"/>
      <c r="Y1530" s="1848"/>
    </row>
    <row r="1531" spans="2:25" hidden="1">
      <c r="B1531" s="1815" t="b">
        <f>AND(I1531=FALSE,N1530=0,Q1530=0,L1530="")</f>
        <v>1</v>
      </c>
      <c r="C1531" s="1844" t="str" cm="1">
        <f t="array" ref="C1531">_xlfn.IFS(
    L1531="", "",
    MONTH(L1531) &lt;= End_of_Year_Month, YEAR(L1531),
    TRUE, YEAR(L1531) + 1
)</f>
        <v/>
      </c>
      <c r="F1531" s="1857">
        <f>IF(L1531="",0,L1531)</f>
        <v>0</v>
      </c>
      <c r="G1531" s="1856">
        <f>-(N1531-Q1531)</f>
        <v>0</v>
      </c>
      <c r="I1531" s="1815" t="b">
        <f>K1531&lt;=Number_Payments</f>
        <v>0</v>
      </c>
      <c r="J1531" s="1855"/>
      <c r="K1531" s="1351">
        <f>K1530+1</f>
        <v>1405</v>
      </c>
      <c r="L1531" s="1854" t="str" cm="1">
        <f t="array" ref="L1531">_xlfn.IFS(
    I1530=FALSE, "",
    Payment_Frequency="Monthly", EDATE(L1530, 1),
    Payment_Frequency="Weekly", DATE(YEAR(L1530), MONTH(L1530), DAY(L1530) + 7),
    Payment_Frequency="Fortnightly", DATE(YEAR(L1530), MONTH(L1530), DAY(L1530) + 14),
    Payment_Frequency="Quarterly", DATE(YEAR(L1530), MONTH(L1530) + 3, DAY(L1530)),
    Payment_Frequency="Yearly", DATE(YEAR(L1530) + 1, MONTH(L1530), DAY(L1530)),
    TRUE, ""
)</f>
        <v/>
      </c>
      <c r="M1531" s="1853">
        <f>IF(ISERROR(L1531-L1530),0,L1531-L1530)</f>
        <v>0</v>
      </c>
      <c r="N1531" s="1851" cm="1">
        <f t="array" ref="N1531">_xlfn.IFS(
    AND(I1531=TRUE, K1531&lt;=No_Regular_Payments), Repay_Amt,
    AND(I1531=TRUE, K1531=No_Regular_Payments+1), Tm_Balloon_Amt,
   TRUE, 0
)</f>
        <v>0</v>
      </c>
      <c r="O1531" s="1850" cm="1">
        <f t="array" ref="O1531">_xlfn.IFS(
    M1531=0,0,
   ABS(N1531 - S1530 - P1531-Q1531) &lt; 1, N1531 - S1530-Q1531,
    TRUE, P1531
)</f>
        <v>0</v>
      </c>
      <c r="P1531" s="1852">
        <f>IF(M1531=0,0,ROUND(S1530*EXP(Int_Rate/365.25 * M1531)-S1530,2))</f>
        <v>0</v>
      </c>
      <c r="Q1531" s="1851" cm="1">
        <f t="array" ref="Q1531">_xlfn.IFS(
    AND(I1531=TRUE, K1531&lt;=No_Regular_Payments), Periodic_Admin_Charge,
   TRUE, 0
)</f>
        <v>0</v>
      </c>
      <c r="R1531" s="1850">
        <f>N1531-O1531-Q1531</f>
        <v>0</v>
      </c>
      <c r="S1531" s="1850">
        <f>ROUND(S1530-R1531,2)</f>
        <v>0</v>
      </c>
      <c r="T1531" s="1850">
        <f>ROUND(T1530-(N1531-Q1531),2)</f>
        <v>0</v>
      </c>
      <c r="U1531" s="1849"/>
      <c r="W1531" s="1848"/>
      <c r="X1531" s="1848"/>
      <c r="Y1531" s="1848"/>
    </row>
    <row r="1532" spans="2:25" hidden="1">
      <c r="B1532" s="1815" t="b">
        <f>AND(I1532=FALSE,N1531=0,Q1531=0,L1531="")</f>
        <v>1</v>
      </c>
      <c r="C1532" s="1844" t="str" cm="1">
        <f t="array" ref="C1532">_xlfn.IFS(
    L1532="", "",
    MONTH(L1532) &lt;= End_of_Year_Month, YEAR(L1532),
    TRUE, YEAR(L1532) + 1
)</f>
        <v/>
      </c>
      <c r="F1532" s="1857">
        <f>IF(L1532="",0,L1532)</f>
        <v>0</v>
      </c>
      <c r="G1532" s="1856">
        <f>-(N1532-Q1532)</f>
        <v>0</v>
      </c>
      <c r="I1532" s="1815" t="b">
        <f>K1532&lt;=Number_Payments</f>
        <v>0</v>
      </c>
      <c r="J1532" s="1855"/>
      <c r="K1532" s="1351">
        <f>K1531+1</f>
        <v>1406</v>
      </c>
      <c r="L1532" s="1854" t="str" cm="1">
        <f t="array" ref="L1532">_xlfn.IFS(
    I1531=FALSE, "",
    Payment_Frequency="Monthly", EDATE(L1531, 1),
    Payment_Frequency="Weekly", DATE(YEAR(L1531), MONTH(L1531), DAY(L1531) + 7),
    Payment_Frequency="Fortnightly", DATE(YEAR(L1531), MONTH(L1531), DAY(L1531) + 14),
    Payment_Frequency="Quarterly", DATE(YEAR(L1531), MONTH(L1531) + 3, DAY(L1531)),
    Payment_Frequency="Yearly", DATE(YEAR(L1531) + 1, MONTH(L1531), DAY(L1531)),
    TRUE, ""
)</f>
        <v/>
      </c>
      <c r="M1532" s="1853">
        <f>IF(ISERROR(L1532-L1531),0,L1532-L1531)</f>
        <v>0</v>
      </c>
      <c r="N1532" s="1851" cm="1">
        <f t="array" ref="N1532">_xlfn.IFS(
    AND(I1532=TRUE, K1532&lt;=No_Regular_Payments), Repay_Amt,
    AND(I1532=TRUE, K1532=No_Regular_Payments+1), Tm_Balloon_Amt,
   TRUE, 0
)</f>
        <v>0</v>
      </c>
      <c r="O1532" s="1850" cm="1">
        <f t="array" ref="O1532">_xlfn.IFS(
    M1532=0,0,
   ABS(N1532 - S1531 - P1532-Q1532) &lt; 1, N1532 - S1531-Q1532,
    TRUE, P1532
)</f>
        <v>0</v>
      </c>
      <c r="P1532" s="1852">
        <f>IF(M1532=0,0,ROUND(S1531*EXP(Int_Rate/365.25 * M1532)-S1531,2))</f>
        <v>0</v>
      </c>
      <c r="Q1532" s="1851" cm="1">
        <f t="array" ref="Q1532">_xlfn.IFS(
    AND(I1532=TRUE, K1532&lt;=No_Regular_Payments), Periodic_Admin_Charge,
   TRUE, 0
)</f>
        <v>0</v>
      </c>
      <c r="R1532" s="1850">
        <f>N1532-O1532-Q1532</f>
        <v>0</v>
      </c>
      <c r="S1532" s="1850">
        <f>ROUND(S1531-R1532,2)</f>
        <v>0</v>
      </c>
      <c r="T1532" s="1850">
        <f>ROUND(T1531-(N1532-Q1532),2)</f>
        <v>0</v>
      </c>
      <c r="U1532" s="1849"/>
      <c r="W1532" s="1848"/>
      <c r="X1532" s="1848"/>
      <c r="Y1532" s="1848"/>
    </row>
    <row r="1533" spans="2:25" hidden="1">
      <c r="B1533" s="1815" t="b">
        <f>AND(I1533=FALSE,N1532=0,Q1532=0,L1532="")</f>
        <v>1</v>
      </c>
      <c r="C1533" s="1844" t="str" cm="1">
        <f t="array" ref="C1533">_xlfn.IFS(
    L1533="", "",
    MONTH(L1533) &lt;= End_of_Year_Month, YEAR(L1533),
    TRUE, YEAR(L1533) + 1
)</f>
        <v/>
      </c>
      <c r="F1533" s="1857">
        <f>IF(L1533="",0,L1533)</f>
        <v>0</v>
      </c>
      <c r="G1533" s="1856">
        <f>-(N1533-Q1533)</f>
        <v>0</v>
      </c>
      <c r="I1533" s="1815" t="b">
        <f>K1533&lt;=Number_Payments</f>
        <v>0</v>
      </c>
      <c r="J1533" s="1855"/>
      <c r="K1533" s="1351">
        <f>K1532+1</f>
        <v>1407</v>
      </c>
      <c r="L1533" s="1854" t="str" cm="1">
        <f t="array" ref="L1533">_xlfn.IFS(
    I1532=FALSE, "",
    Payment_Frequency="Monthly", EDATE(L1532, 1),
    Payment_Frequency="Weekly", DATE(YEAR(L1532), MONTH(L1532), DAY(L1532) + 7),
    Payment_Frequency="Fortnightly", DATE(YEAR(L1532), MONTH(L1532), DAY(L1532) + 14),
    Payment_Frequency="Quarterly", DATE(YEAR(L1532), MONTH(L1532) + 3, DAY(L1532)),
    Payment_Frequency="Yearly", DATE(YEAR(L1532) + 1, MONTH(L1532), DAY(L1532)),
    TRUE, ""
)</f>
        <v/>
      </c>
      <c r="M1533" s="1853">
        <f>IF(ISERROR(L1533-L1532),0,L1533-L1532)</f>
        <v>0</v>
      </c>
      <c r="N1533" s="1851" cm="1">
        <f t="array" ref="N1533">_xlfn.IFS(
    AND(I1533=TRUE, K1533&lt;=No_Regular_Payments), Repay_Amt,
    AND(I1533=TRUE, K1533=No_Regular_Payments+1), Tm_Balloon_Amt,
   TRUE, 0
)</f>
        <v>0</v>
      </c>
      <c r="O1533" s="1850" cm="1">
        <f t="array" ref="O1533">_xlfn.IFS(
    M1533=0,0,
   ABS(N1533 - S1532 - P1533-Q1533) &lt; 1, N1533 - S1532-Q1533,
    TRUE, P1533
)</f>
        <v>0</v>
      </c>
      <c r="P1533" s="1852">
        <f>IF(M1533=0,0,ROUND(S1532*EXP(Int_Rate/365.25 * M1533)-S1532,2))</f>
        <v>0</v>
      </c>
      <c r="Q1533" s="1851" cm="1">
        <f t="array" ref="Q1533">_xlfn.IFS(
    AND(I1533=TRUE, K1533&lt;=No_Regular_Payments), Periodic_Admin_Charge,
   TRUE, 0
)</f>
        <v>0</v>
      </c>
      <c r="R1533" s="1850">
        <f>N1533-O1533-Q1533</f>
        <v>0</v>
      </c>
      <c r="S1533" s="1850">
        <f>ROUND(S1532-R1533,2)</f>
        <v>0</v>
      </c>
      <c r="T1533" s="1850">
        <f>ROUND(T1532-(N1533-Q1533),2)</f>
        <v>0</v>
      </c>
      <c r="U1533" s="1849"/>
      <c r="W1533" s="1848"/>
      <c r="X1533" s="1848"/>
      <c r="Y1533" s="1848"/>
    </row>
    <row r="1534" spans="2:25" hidden="1">
      <c r="B1534" s="1815" t="b">
        <f>AND(I1534=FALSE,N1533=0,Q1533=0,L1533="")</f>
        <v>1</v>
      </c>
      <c r="C1534" s="1844" t="str" cm="1">
        <f t="array" ref="C1534">_xlfn.IFS(
    L1534="", "",
    MONTH(L1534) &lt;= End_of_Year_Month, YEAR(L1534),
    TRUE, YEAR(L1534) + 1
)</f>
        <v/>
      </c>
      <c r="F1534" s="1857">
        <f>IF(L1534="",0,L1534)</f>
        <v>0</v>
      </c>
      <c r="G1534" s="1856">
        <f>-(N1534-Q1534)</f>
        <v>0</v>
      </c>
      <c r="I1534" s="1815" t="b">
        <f>K1534&lt;=Number_Payments</f>
        <v>0</v>
      </c>
      <c r="J1534" s="1855"/>
      <c r="K1534" s="1351">
        <f>K1533+1</f>
        <v>1408</v>
      </c>
      <c r="L1534" s="1854" t="str" cm="1">
        <f t="array" ref="L1534">_xlfn.IFS(
    I1533=FALSE, "",
    Payment_Frequency="Monthly", EDATE(L1533, 1),
    Payment_Frequency="Weekly", DATE(YEAR(L1533), MONTH(L1533), DAY(L1533) + 7),
    Payment_Frequency="Fortnightly", DATE(YEAR(L1533), MONTH(L1533), DAY(L1533) + 14),
    Payment_Frequency="Quarterly", DATE(YEAR(L1533), MONTH(L1533) + 3, DAY(L1533)),
    Payment_Frequency="Yearly", DATE(YEAR(L1533) + 1, MONTH(L1533), DAY(L1533)),
    TRUE, ""
)</f>
        <v/>
      </c>
      <c r="M1534" s="1853">
        <f>IF(ISERROR(L1534-L1533),0,L1534-L1533)</f>
        <v>0</v>
      </c>
      <c r="N1534" s="1851" cm="1">
        <f t="array" ref="N1534">_xlfn.IFS(
    AND(I1534=TRUE, K1534&lt;=No_Regular_Payments), Repay_Amt,
    AND(I1534=TRUE, K1534=No_Regular_Payments+1), Tm_Balloon_Amt,
   TRUE, 0
)</f>
        <v>0</v>
      </c>
      <c r="O1534" s="1850" cm="1">
        <f t="array" ref="O1534">_xlfn.IFS(
    M1534=0,0,
   ABS(N1534 - S1533 - P1534-Q1534) &lt; 1, N1534 - S1533-Q1534,
    TRUE, P1534
)</f>
        <v>0</v>
      </c>
      <c r="P1534" s="1852">
        <f>IF(M1534=0,0,ROUND(S1533*EXP(Int_Rate/365.25 * M1534)-S1533,2))</f>
        <v>0</v>
      </c>
      <c r="Q1534" s="1851" cm="1">
        <f t="array" ref="Q1534">_xlfn.IFS(
    AND(I1534=TRUE, K1534&lt;=No_Regular_Payments), Periodic_Admin_Charge,
   TRUE, 0
)</f>
        <v>0</v>
      </c>
      <c r="R1534" s="1850">
        <f>N1534-O1534-Q1534</f>
        <v>0</v>
      </c>
      <c r="S1534" s="1850">
        <f>ROUND(S1533-R1534,2)</f>
        <v>0</v>
      </c>
      <c r="T1534" s="1850">
        <f>ROUND(T1533-(N1534-Q1534),2)</f>
        <v>0</v>
      </c>
      <c r="U1534" s="1849"/>
      <c r="W1534" s="1848"/>
      <c r="X1534" s="1848"/>
      <c r="Y1534" s="1848"/>
    </row>
    <row r="1535" spans="2:25" hidden="1">
      <c r="B1535" s="1815" t="b">
        <f>AND(I1535=FALSE,N1534=0,Q1534=0,L1534="")</f>
        <v>1</v>
      </c>
      <c r="C1535" s="1844" t="str" cm="1">
        <f t="array" ref="C1535">_xlfn.IFS(
    L1535="", "",
    MONTH(L1535) &lt;= End_of_Year_Month, YEAR(L1535),
    TRUE, YEAR(L1535) + 1
)</f>
        <v/>
      </c>
      <c r="F1535" s="1857">
        <f>IF(L1535="",0,L1535)</f>
        <v>0</v>
      </c>
      <c r="G1535" s="1856">
        <f>-(N1535-Q1535)</f>
        <v>0</v>
      </c>
      <c r="I1535" s="1815" t="b">
        <f>K1535&lt;=Number_Payments</f>
        <v>0</v>
      </c>
      <c r="J1535" s="1855"/>
      <c r="K1535" s="1351">
        <f>K1534+1</f>
        <v>1409</v>
      </c>
      <c r="L1535" s="1854" t="str" cm="1">
        <f t="array" ref="L1535">_xlfn.IFS(
    I1534=FALSE, "",
    Payment_Frequency="Monthly", EDATE(L1534, 1),
    Payment_Frequency="Weekly", DATE(YEAR(L1534), MONTH(L1534), DAY(L1534) + 7),
    Payment_Frequency="Fortnightly", DATE(YEAR(L1534), MONTH(L1534), DAY(L1534) + 14),
    Payment_Frequency="Quarterly", DATE(YEAR(L1534), MONTH(L1534) + 3, DAY(L1534)),
    Payment_Frequency="Yearly", DATE(YEAR(L1534) + 1, MONTH(L1534), DAY(L1534)),
    TRUE, ""
)</f>
        <v/>
      </c>
      <c r="M1535" s="1853">
        <f>IF(ISERROR(L1535-L1534),0,L1535-L1534)</f>
        <v>0</v>
      </c>
      <c r="N1535" s="1851" cm="1">
        <f t="array" ref="N1535">_xlfn.IFS(
    AND(I1535=TRUE, K1535&lt;=No_Regular_Payments), Repay_Amt,
    AND(I1535=TRUE, K1535=No_Regular_Payments+1), Tm_Balloon_Amt,
   TRUE, 0
)</f>
        <v>0</v>
      </c>
      <c r="O1535" s="1850" cm="1">
        <f t="array" ref="O1535">_xlfn.IFS(
    M1535=0,0,
   ABS(N1535 - S1534 - P1535-Q1535) &lt; 1, N1535 - S1534-Q1535,
    TRUE, P1535
)</f>
        <v>0</v>
      </c>
      <c r="P1535" s="1852">
        <f>IF(M1535=0,0,ROUND(S1534*EXP(Int_Rate/365.25 * M1535)-S1534,2))</f>
        <v>0</v>
      </c>
      <c r="Q1535" s="1851" cm="1">
        <f t="array" ref="Q1535">_xlfn.IFS(
    AND(I1535=TRUE, K1535&lt;=No_Regular_Payments), Periodic_Admin_Charge,
   TRUE, 0
)</f>
        <v>0</v>
      </c>
      <c r="R1535" s="1850">
        <f>N1535-O1535-Q1535</f>
        <v>0</v>
      </c>
      <c r="S1535" s="1850">
        <f>ROUND(S1534-R1535,2)</f>
        <v>0</v>
      </c>
      <c r="T1535" s="1850">
        <f>ROUND(T1534-(N1535-Q1535),2)</f>
        <v>0</v>
      </c>
      <c r="U1535" s="1849"/>
      <c r="W1535" s="1848"/>
      <c r="X1535" s="1848"/>
      <c r="Y1535" s="1848"/>
    </row>
    <row r="1536" spans="2:25" hidden="1">
      <c r="B1536" s="1815" t="b">
        <f>AND(I1536=FALSE,N1535=0,Q1535=0,L1535="")</f>
        <v>1</v>
      </c>
      <c r="C1536" s="1844" t="str" cm="1">
        <f t="array" ref="C1536">_xlfn.IFS(
    L1536="", "",
    MONTH(L1536) &lt;= End_of_Year_Month, YEAR(L1536),
    TRUE, YEAR(L1536) + 1
)</f>
        <v/>
      </c>
      <c r="F1536" s="1857">
        <f>IF(L1536="",0,L1536)</f>
        <v>0</v>
      </c>
      <c r="G1536" s="1856">
        <f>-(N1536-Q1536)</f>
        <v>0</v>
      </c>
      <c r="I1536" s="1815" t="b">
        <f>K1536&lt;=Number_Payments</f>
        <v>0</v>
      </c>
      <c r="J1536" s="1855"/>
      <c r="K1536" s="1351">
        <f>K1535+1</f>
        <v>1410</v>
      </c>
      <c r="L1536" s="1854" t="str" cm="1">
        <f t="array" ref="L1536">_xlfn.IFS(
    I1535=FALSE, "",
    Payment_Frequency="Monthly", EDATE(L1535, 1),
    Payment_Frequency="Weekly", DATE(YEAR(L1535), MONTH(L1535), DAY(L1535) + 7),
    Payment_Frequency="Fortnightly", DATE(YEAR(L1535), MONTH(L1535), DAY(L1535) + 14),
    Payment_Frequency="Quarterly", DATE(YEAR(L1535), MONTH(L1535) + 3, DAY(L1535)),
    Payment_Frequency="Yearly", DATE(YEAR(L1535) + 1, MONTH(L1535), DAY(L1535)),
    TRUE, ""
)</f>
        <v/>
      </c>
      <c r="M1536" s="1853">
        <f>IF(ISERROR(L1536-L1535),0,L1536-L1535)</f>
        <v>0</v>
      </c>
      <c r="N1536" s="1851" cm="1">
        <f t="array" ref="N1536">_xlfn.IFS(
    AND(I1536=TRUE, K1536&lt;=No_Regular_Payments), Repay_Amt,
    AND(I1536=TRUE, K1536=No_Regular_Payments+1), Tm_Balloon_Amt,
   TRUE, 0
)</f>
        <v>0</v>
      </c>
      <c r="O1536" s="1850" cm="1">
        <f t="array" ref="O1536">_xlfn.IFS(
    M1536=0,0,
   ABS(N1536 - S1535 - P1536-Q1536) &lt; 1, N1536 - S1535-Q1536,
    TRUE, P1536
)</f>
        <v>0</v>
      </c>
      <c r="P1536" s="1852">
        <f>IF(M1536=0,0,ROUND(S1535*EXP(Int_Rate/365.25 * M1536)-S1535,2))</f>
        <v>0</v>
      </c>
      <c r="Q1536" s="1851" cm="1">
        <f t="array" ref="Q1536">_xlfn.IFS(
    AND(I1536=TRUE, K1536&lt;=No_Regular_Payments), Periodic_Admin_Charge,
   TRUE, 0
)</f>
        <v>0</v>
      </c>
      <c r="R1536" s="1850">
        <f>N1536-O1536-Q1536</f>
        <v>0</v>
      </c>
      <c r="S1536" s="1850">
        <f>ROUND(S1535-R1536,2)</f>
        <v>0</v>
      </c>
      <c r="T1536" s="1850">
        <f>ROUND(T1535-(N1536-Q1536),2)</f>
        <v>0</v>
      </c>
      <c r="U1536" s="1849"/>
      <c r="W1536" s="1848"/>
      <c r="X1536" s="1848"/>
      <c r="Y1536" s="1848"/>
    </row>
    <row r="1537" spans="2:25" hidden="1">
      <c r="B1537" s="1815" t="b">
        <f>AND(I1537=FALSE,N1536=0,Q1536=0,L1536="")</f>
        <v>1</v>
      </c>
      <c r="C1537" s="1844" t="str" cm="1">
        <f t="array" ref="C1537">_xlfn.IFS(
    L1537="", "",
    MONTH(L1537) &lt;= End_of_Year_Month, YEAR(L1537),
    TRUE, YEAR(L1537) + 1
)</f>
        <v/>
      </c>
      <c r="F1537" s="1857">
        <f>IF(L1537="",0,L1537)</f>
        <v>0</v>
      </c>
      <c r="G1537" s="1856">
        <f>-(N1537-Q1537)</f>
        <v>0</v>
      </c>
      <c r="I1537" s="1815" t="b">
        <f>K1537&lt;=Number_Payments</f>
        <v>0</v>
      </c>
      <c r="J1537" s="1855"/>
      <c r="K1537" s="1351">
        <f>K1536+1</f>
        <v>1411</v>
      </c>
      <c r="L1537" s="1854" t="str" cm="1">
        <f t="array" ref="L1537">_xlfn.IFS(
    I1536=FALSE, "",
    Payment_Frequency="Monthly", EDATE(L1536, 1),
    Payment_Frequency="Weekly", DATE(YEAR(L1536), MONTH(L1536), DAY(L1536) + 7),
    Payment_Frequency="Fortnightly", DATE(YEAR(L1536), MONTH(L1536), DAY(L1536) + 14),
    Payment_Frequency="Quarterly", DATE(YEAR(L1536), MONTH(L1536) + 3, DAY(L1536)),
    Payment_Frequency="Yearly", DATE(YEAR(L1536) + 1, MONTH(L1536), DAY(L1536)),
    TRUE, ""
)</f>
        <v/>
      </c>
      <c r="M1537" s="1853">
        <f>IF(ISERROR(L1537-L1536),0,L1537-L1536)</f>
        <v>0</v>
      </c>
      <c r="N1537" s="1851" cm="1">
        <f t="array" ref="N1537">_xlfn.IFS(
    AND(I1537=TRUE, K1537&lt;=No_Regular_Payments), Repay_Amt,
    AND(I1537=TRUE, K1537=No_Regular_Payments+1), Tm_Balloon_Amt,
   TRUE, 0
)</f>
        <v>0</v>
      </c>
      <c r="O1537" s="1850" cm="1">
        <f t="array" ref="O1537">_xlfn.IFS(
    M1537=0,0,
   ABS(N1537 - S1536 - P1537-Q1537) &lt; 1, N1537 - S1536-Q1537,
    TRUE, P1537
)</f>
        <v>0</v>
      </c>
      <c r="P1537" s="1852">
        <f>IF(M1537=0,0,ROUND(S1536*EXP(Int_Rate/365.25 * M1537)-S1536,2))</f>
        <v>0</v>
      </c>
      <c r="Q1537" s="1851" cm="1">
        <f t="array" ref="Q1537">_xlfn.IFS(
    AND(I1537=TRUE, K1537&lt;=No_Regular_Payments), Periodic_Admin_Charge,
   TRUE, 0
)</f>
        <v>0</v>
      </c>
      <c r="R1537" s="1850">
        <f>N1537-O1537-Q1537</f>
        <v>0</v>
      </c>
      <c r="S1537" s="1850">
        <f>ROUND(S1536-R1537,2)</f>
        <v>0</v>
      </c>
      <c r="T1537" s="1850">
        <f>ROUND(T1536-(N1537-Q1537),2)</f>
        <v>0</v>
      </c>
      <c r="U1537" s="1849"/>
      <c r="W1537" s="1848"/>
      <c r="X1537" s="1848"/>
      <c r="Y1537" s="1848"/>
    </row>
    <row r="1538" spans="2:25" hidden="1">
      <c r="B1538" s="1815" t="b">
        <f>AND(I1538=FALSE,N1537=0,Q1537=0,L1537="")</f>
        <v>1</v>
      </c>
      <c r="C1538" s="1844" t="str" cm="1">
        <f t="array" ref="C1538">_xlfn.IFS(
    L1538="", "",
    MONTH(L1538) &lt;= End_of_Year_Month, YEAR(L1538),
    TRUE, YEAR(L1538) + 1
)</f>
        <v/>
      </c>
      <c r="F1538" s="1857">
        <f>IF(L1538="",0,L1538)</f>
        <v>0</v>
      </c>
      <c r="G1538" s="1856">
        <f>-(N1538-Q1538)</f>
        <v>0</v>
      </c>
      <c r="I1538" s="1815" t="b">
        <f>K1538&lt;=Number_Payments</f>
        <v>0</v>
      </c>
      <c r="J1538" s="1855"/>
      <c r="K1538" s="1351">
        <f>K1537+1</f>
        <v>1412</v>
      </c>
      <c r="L1538" s="1854" t="str" cm="1">
        <f t="array" ref="L1538">_xlfn.IFS(
    I1537=FALSE, "",
    Payment_Frequency="Monthly", EDATE(L1537, 1),
    Payment_Frequency="Weekly", DATE(YEAR(L1537), MONTH(L1537), DAY(L1537) + 7),
    Payment_Frequency="Fortnightly", DATE(YEAR(L1537), MONTH(L1537), DAY(L1537) + 14),
    Payment_Frequency="Quarterly", DATE(YEAR(L1537), MONTH(L1537) + 3, DAY(L1537)),
    Payment_Frequency="Yearly", DATE(YEAR(L1537) + 1, MONTH(L1537), DAY(L1537)),
    TRUE, ""
)</f>
        <v/>
      </c>
      <c r="M1538" s="1853">
        <f>IF(ISERROR(L1538-L1537),0,L1538-L1537)</f>
        <v>0</v>
      </c>
      <c r="N1538" s="1851" cm="1">
        <f t="array" ref="N1538">_xlfn.IFS(
    AND(I1538=TRUE, K1538&lt;=No_Regular_Payments), Repay_Amt,
    AND(I1538=TRUE, K1538=No_Regular_Payments+1), Tm_Balloon_Amt,
   TRUE, 0
)</f>
        <v>0</v>
      </c>
      <c r="O1538" s="1850" cm="1">
        <f t="array" ref="O1538">_xlfn.IFS(
    M1538=0,0,
   ABS(N1538 - S1537 - P1538-Q1538) &lt; 1, N1538 - S1537-Q1538,
    TRUE, P1538
)</f>
        <v>0</v>
      </c>
      <c r="P1538" s="1852">
        <f>IF(M1538=0,0,ROUND(S1537*EXP(Int_Rate/365.25 * M1538)-S1537,2))</f>
        <v>0</v>
      </c>
      <c r="Q1538" s="1851" cm="1">
        <f t="array" ref="Q1538">_xlfn.IFS(
    AND(I1538=TRUE, K1538&lt;=No_Regular_Payments), Periodic_Admin_Charge,
   TRUE, 0
)</f>
        <v>0</v>
      </c>
      <c r="R1538" s="1850">
        <f>N1538-O1538-Q1538</f>
        <v>0</v>
      </c>
      <c r="S1538" s="1850">
        <f>ROUND(S1537-R1538,2)</f>
        <v>0</v>
      </c>
      <c r="T1538" s="1850">
        <f>ROUND(T1537-(N1538-Q1538),2)</f>
        <v>0</v>
      </c>
      <c r="U1538" s="1849"/>
      <c r="W1538" s="1848"/>
      <c r="X1538" s="1848"/>
      <c r="Y1538" s="1848"/>
    </row>
    <row r="1539" spans="2:25" hidden="1">
      <c r="B1539" s="1815" t="b">
        <f>AND(I1539=FALSE,N1538=0,Q1538=0,L1538="")</f>
        <v>1</v>
      </c>
      <c r="C1539" s="1844" t="str" cm="1">
        <f t="array" ref="C1539">_xlfn.IFS(
    L1539="", "",
    MONTH(L1539) &lt;= End_of_Year_Month, YEAR(L1539),
    TRUE, YEAR(L1539) + 1
)</f>
        <v/>
      </c>
      <c r="F1539" s="1857">
        <f>IF(L1539="",0,L1539)</f>
        <v>0</v>
      </c>
      <c r="G1539" s="1856">
        <f>-(N1539-Q1539)</f>
        <v>0</v>
      </c>
      <c r="I1539" s="1815" t="b">
        <f>K1539&lt;=Number_Payments</f>
        <v>0</v>
      </c>
      <c r="J1539" s="1855"/>
      <c r="K1539" s="1351">
        <f>K1538+1</f>
        <v>1413</v>
      </c>
      <c r="L1539" s="1854" t="str" cm="1">
        <f t="array" ref="L1539">_xlfn.IFS(
    I1538=FALSE, "",
    Payment_Frequency="Monthly", EDATE(L1538, 1),
    Payment_Frequency="Weekly", DATE(YEAR(L1538), MONTH(L1538), DAY(L1538) + 7),
    Payment_Frequency="Fortnightly", DATE(YEAR(L1538), MONTH(L1538), DAY(L1538) + 14),
    Payment_Frequency="Quarterly", DATE(YEAR(L1538), MONTH(L1538) + 3, DAY(L1538)),
    Payment_Frequency="Yearly", DATE(YEAR(L1538) + 1, MONTH(L1538), DAY(L1538)),
    TRUE, ""
)</f>
        <v/>
      </c>
      <c r="M1539" s="1853">
        <f>IF(ISERROR(L1539-L1538),0,L1539-L1538)</f>
        <v>0</v>
      </c>
      <c r="N1539" s="1851" cm="1">
        <f t="array" ref="N1539">_xlfn.IFS(
    AND(I1539=TRUE, K1539&lt;=No_Regular_Payments), Repay_Amt,
    AND(I1539=TRUE, K1539=No_Regular_Payments+1), Tm_Balloon_Amt,
   TRUE, 0
)</f>
        <v>0</v>
      </c>
      <c r="O1539" s="1850" cm="1">
        <f t="array" ref="O1539">_xlfn.IFS(
    M1539=0,0,
   ABS(N1539 - S1538 - P1539-Q1539) &lt; 1, N1539 - S1538-Q1539,
    TRUE, P1539
)</f>
        <v>0</v>
      </c>
      <c r="P1539" s="1852">
        <f>IF(M1539=0,0,ROUND(S1538*EXP(Int_Rate/365.25 * M1539)-S1538,2))</f>
        <v>0</v>
      </c>
      <c r="Q1539" s="1851" cm="1">
        <f t="array" ref="Q1539">_xlfn.IFS(
    AND(I1539=TRUE, K1539&lt;=No_Regular_Payments), Periodic_Admin_Charge,
   TRUE, 0
)</f>
        <v>0</v>
      </c>
      <c r="R1539" s="1850">
        <f>N1539-O1539-Q1539</f>
        <v>0</v>
      </c>
      <c r="S1539" s="1850">
        <f>ROUND(S1538-R1539,2)</f>
        <v>0</v>
      </c>
      <c r="T1539" s="1850">
        <f>ROUND(T1538-(N1539-Q1539),2)</f>
        <v>0</v>
      </c>
      <c r="U1539" s="1849"/>
      <c r="W1539" s="1848"/>
      <c r="X1539" s="1848"/>
      <c r="Y1539" s="1848"/>
    </row>
    <row r="1540" spans="2:25" hidden="1">
      <c r="B1540" s="1815" t="b">
        <f>AND(I1540=FALSE,N1539=0,Q1539=0,L1539="")</f>
        <v>1</v>
      </c>
      <c r="C1540" s="1844" t="str" cm="1">
        <f t="array" ref="C1540">_xlfn.IFS(
    L1540="", "",
    MONTH(L1540) &lt;= End_of_Year_Month, YEAR(L1540),
    TRUE, YEAR(L1540) + 1
)</f>
        <v/>
      </c>
      <c r="F1540" s="1857">
        <f>IF(L1540="",0,L1540)</f>
        <v>0</v>
      </c>
      <c r="G1540" s="1856">
        <f>-(N1540-Q1540)</f>
        <v>0</v>
      </c>
      <c r="I1540" s="1815" t="b">
        <f>K1540&lt;=Number_Payments</f>
        <v>0</v>
      </c>
      <c r="J1540" s="1855"/>
      <c r="K1540" s="1351">
        <f>K1539+1</f>
        <v>1414</v>
      </c>
      <c r="L1540" s="1854" t="str" cm="1">
        <f t="array" ref="L1540">_xlfn.IFS(
    I1539=FALSE, "",
    Payment_Frequency="Monthly", EDATE(L1539, 1),
    Payment_Frequency="Weekly", DATE(YEAR(L1539), MONTH(L1539), DAY(L1539) + 7),
    Payment_Frequency="Fortnightly", DATE(YEAR(L1539), MONTH(L1539), DAY(L1539) + 14),
    Payment_Frequency="Quarterly", DATE(YEAR(L1539), MONTH(L1539) + 3, DAY(L1539)),
    Payment_Frequency="Yearly", DATE(YEAR(L1539) + 1, MONTH(L1539), DAY(L1539)),
    TRUE, ""
)</f>
        <v/>
      </c>
      <c r="M1540" s="1853">
        <f>IF(ISERROR(L1540-L1539),0,L1540-L1539)</f>
        <v>0</v>
      </c>
      <c r="N1540" s="1851" cm="1">
        <f t="array" ref="N1540">_xlfn.IFS(
    AND(I1540=TRUE, K1540&lt;=No_Regular_Payments), Repay_Amt,
    AND(I1540=TRUE, K1540=No_Regular_Payments+1), Tm_Balloon_Amt,
   TRUE, 0
)</f>
        <v>0</v>
      </c>
      <c r="O1540" s="1850" cm="1">
        <f t="array" ref="O1540">_xlfn.IFS(
    M1540=0,0,
   ABS(N1540 - S1539 - P1540-Q1540) &lt; 1, N1540 - S1539-Q1540,
    TRUE, P1540
)</f>
        <v>0</v>
      </c>
      <c r="P1540" s="1852">
        <f>IF(M1540=0,0,ROUND(S1539*EXP(Int_Rate/365.25 * M1540)-S1539,2))</f>
        <v>0</v>
      </c>
      <c r="Q1540" s="1851" cm="1">
        <f t="array" ref="Q1540">_xlfn.IFS(
    AND(I1540=TRUE, K1540&lt;=No_Regular_Payments), Periodic_Admin_Charge,
   TRUE, 0
)</f>
        <v>0</v>
      </c>
      <c r="R1540" s="1850">
        <f>N1540-O1540-Q1540</f>
        <v>0</v>
      </c>
      <c r="S1540" s="1850">
        <f>ROUND(S1539-R1540,2)</f>
        <v>0</v>
      </c>
      <c r="T1540" s="1850">
        <f>ROUND(T1539-(N1540-Q1540),2)</f>
        <v>0</v>
      </c>
      <c r="U1540" s="1849"/>
      <c r="W1540" s="1848"/>
      <c r="X1540" s="1848"/>
      <c r="Y1540" s="1848"/>
    </row>
    <row r="1541" spans="2:25" hidden="1">
      <c r="B1541" s="1815" t="b">
        <f>AND(I1541=FALSE,N1540=0,Q1540=0,L1540="")</f>
        <v>1</v>
      </c>
      <c r="C1541" s="1844" t="str" cm="1">
        <f t="array" ref="C1541">_xlfn.IFS(
    L1541="", "",
    MONTH(L1541) &lt;= End_of_Year_Month, YEAR(L1541),
    TRUE, YEAR(L1541) + 1
)</f>
        <v/>
      </c>
      <c r="F1541" s="1857">
        <f>IF(L1541="",0,L1541)</f>
        <v>0</v>
      </c>
      <c r="G1541" s="1856">
        <f>-(N1541-Q1541)</f>
        <v>0</v>
      </c>
      <c r="I1541" s="1815" t="b">
        <f>K1541&lt;=Number_Payments</f>
        <v>0</v>
      </c>
      <c r="J1541" s="1855"/>
      <c r="K1541" s="1351">
        <f>K1540+1</f>
        <v>1415</v>
      </c>
      <c r="L1541" s="1854" t="str" cm="1">
        <f t="array" ref="L1541">_xlfn.IFS(
    I1540=FALSE, "",
    Payment_Frequency="Monthly", EDATE(L1540, 1),
    Payment_Frequency="Weekly", DATE(YEAR(L1540), MONTH(L1540), DAY(L1540) + 7),
    Payment_Frequency="Fortnightly", DATE(YEAR(L1540), MONTH(L1540), DAY(L1540) + 14),
    Payment_Frequency="Quarterly", DATE(YEAR(L1540), MONTH(L1540) + 3, DAY(L1540)),
    Payment_Frequency="Yearly", DATE(YEAR(L1540) + 1, MONTH(L1540), DAY(L1540)),
    TRUE, ""
)</f>
        <v/>
      </c>
      <c r="M1541" s="1853">
        <f>IF(ISERROR(L1541-L1540),0,L1541-L1540)</f>
        <v>0</v>
      </c>
      <c r="N1541" s="1851" cm="1">
        <f t="array" ref="N1541">_xlfn.IFS(
    AND(I1541=TRUE, K1541&lt;=No_Regular_Payments), Repay_Amt,
    AND(I1541=TRUE, K1541=No_Regular_Payments+1), Tm_Balloon_Amt,
   TRUE, 0
)</f>
        <v>0</v>
      </c>
      <c r="O1541" s="1850" cm="1">
        <f t="array" ref="O1541">_xlfn.IFS(
    M1541=0,0,
   ABS(N1541 - S1540 - P1541-Q1541) &lt; 1, N1541 - S1540-Q1541,
    TRUE, P1541
)</f>
        <v>0</v>
      </c>
      <c r="P1541" s="1852">
        <f>IF(M1541=0,0,ROUND(S1540*EXP(Int_Rate/365.25 * M1541)-S1540,2))</f>
        <v>0</v>
      </c>
      <c r="Q1541" s="1851" cm="1">
        <f t="array" ref="Q1541">_xlfn.IFS(
    AND(I1541=TRUE, K1541&lt;=No_Regular_Payments), Periodic_Admin_Charge,
   TRUE, 0
)</f>
        <v>0</v>
      </c>
      <c r="R1541" s="1850">
        <f>N1541-O1541-Q1541</f>
        <v>0</v>
      </c>
      <c r="S1541" s="1850">
        <f>ROUND(S1540-R1541,2)</f>
        <v>0</v>
      </c>
      <c r="T1541" s="1850">
        <f>ROUND(T1540-(N1541-Q1541),2)</f>
        <v>0</v>
      </c>
      <c r="U1541" s="1849"/>
      <c r="W1541" s="1848"/>
      <c r="X1541" s="1848"/>
      <c r="Y1541" s="1848"/>
    </row>
    <row r="1542" spans="2:25" hidden="1">
      <c r="B1542" s="1815" t="b">
        <f>AND(I1542=FALSE,N1541=0,Q1541=0,L1541="")</f>
        <v>1</v>
      </c>
      <c r="C1542" s="1844" t="str" cm="1">
        <f t="array" ref="C1542">_xlfn.IFS(
    L1542="", "",
    MONTH(L1542) &lt;= End_of_Year_Month, YEAR(L1542),
    TRUE, YEAR(L1542) + 1
)</f>
        <v/>
      </c>
      <c r="F1542" s="1857">
        <f>IF(L1542="",0,L1542)</f>
        <v>0</v>
      </c>
      <c r="G1542" s="1856">
        <f>-(N1542-Q1542)</f>
        <v>0</v>
      </c>
      <c r="I1542" s="1815" t="b">
        <f>K1542&lt;=Number_Payments</f>
        <v>0</v>
      </c>
      <c r="J1542" s="1855"/>
      <c r="K1542" s="1351">
        <f>K1541+1</f>
        <v>1416</v>
      </c>
      <c r="L1542" s="1854" t="str" cm="1">
        <f t="array" ref="L1542">_xlfn.IFS(
    I1541=FALSE, "",
    Payment_Frequency="Monthly", EDATE(L1541, 1),
    Payment_Frequency="Weekly", DATE(YEAR(L1541), MONTH(L1541), DAY(L1541) + 7),
    Payment_Frequency="Fortnightly", DATE(YEAR(L1541), MONTH(L1541), DAY(L1541) + 14),
    Payment_Frequency="Quarterly", DATE(YEAR(L1541), MONTH(L1541) + 3, DAY(L1541)),
    Payment_Frequency="Yearly", DATE(YEAR(L1541) + 1, MONTH(L1541), DAY(L1541)),
    TRUE, ""
)</f>
        <v/>
      </c>
      <c r="M1542" s="1853">
        <f>IF(ISERROR(L1542-L1541),0,L1542-L1541)</f>
        <v>0</v>
      </c>
      <c r="N1542" s="1851" cm="1">
        <f t="array" ref="N1542">_xlfn.IFS(
    AND(I1542=TRUE, K1542&lt;=No_Regular_Payments), Repay_Amt,
    AND(I1542=TRUE, K1542=No_Regular_Payments+1), Tm_Balloon_Amt,
   TRUE, 0
)</f>
        <v>0</v>
      </c>
      <c r="O1542" s="1850" cm="1">
        <f t="array" ref="O1542">_xlfn.IFS(
    M1542=0,0,
   ABS(N1542 - S1541 - P1542-Q1542) &lt; 1, N1542 - S1541-Q1542,
    TRUE, P1542
)</f>
        <v>0</v>
      </c>
      <c r="P1542" s="1852">
        <f>IF(M1542=0,0,ROUND(S1541*EXP(Int_Rate/365.25 * M1542)-S1541,2))</f>
        <v>0</v>
      </c>
      <c r="Q1542" s="1851" cm="1">
        <f t="array" ref="Q1542">_xlfn.IFS(
    AND(I1542=TRUE, K1542&lt;=No_Regular_Payments), Periodic_Admin_Charge,
   TRUE, 0
)</f>
        <v>0</v>
      </c>
      <c r="R1542" s="1850">
        <f>N1542-O1542-Q1542</f>
        <v>0</v>
      </c>
      <c r="S1542" s="1850">
        <f>ROUND(S1541-R1542,2)</f>
        <v>0</v>
      </c>
      <c r="T1542" s="1850">
        <f>ROUND(T1541-(N1542-Q1542),2)</f>
        <v>0</v>
      </c>
      <c r="U1542" s="1849"/>
      <c r="W1542" s="1848"/>
      <c r="X1542" s="1848"/>
      <c r="Y1542" s="1848"/>
    </row>
    <row r="1543" spans="2:25" hidden="1">
      <c r="B1543" s="1815" t="b">
        <f>AND(I1543=FALSE,N1542=0,Q1542=0,L1542="")</f>
        <v>1</v>
      </c>
      <c r="C1543" s="1844" t="str" cm="1">
        <f t="array" ref="C1543">_xlfn.IFS(
    L1543="", "",
    MONTH(L1543) &lt;= End_of_Year_Month, YEAR(L1543),
    TRUE, YEAR(L1543) + 1
)</f>
        <v/>
      </c>
      <c r="F1543" s="1857">
        <f>IF(L1543="",0,L1543)</f>
        <v>0</v>
      </c>
      <c r="G1543" s="1856">
        <f>-(N1543-Q1543)</f>
        <v>0</v>
      </c>
      <c r="I1543" s="1815" t="b">
        <f>K1543&lt;=Number_Payments</f>
        <v>0</v>
      </c>
      <c r="J1543" s="1855"/>
      <c r="K1543" s="1351">
        <f>K1542+1</f>
        <v>1417</v>
      </c>
      <c r="L1543" s="1854" t="str" cm="1">
        <f t="array" ref="L1543">_xlfn.IFS(
    I1542=FALSE, "",
    Payment_Frequency="Monthly", EDATE(L1542, 1),
    Payment_Frequency="Weekly", DATE(YEAR(L1542), MONTH(L1542), DAY(L1542) + 7),
    Payment_Frequency="Fortnightly", DATE(YEAR(L1542), MONTH(L1542), DAY(L1542) + 14),
    Payment_Frequency="Quarterly", DATE(YEAR(L1542), MONTH(L1542) + 3, DAY(L1542)),
    Payment_Frequency="Yearly", DATE(YEAR(L1542) + 1, MONTH(L1542), DAY(L1542)),
    TRUE, ""
)</f>
        <v/>
      </c>
      <c r="M1543" s="1853">
        <f>IF(ISERROR(L1543-L1542),0,L1543-L1542)</f>
        <v>0</v>
      </c>
      <c r="N1543" s="1851" cm="1">
        <f t="array" ref="N1543">_xlfn.IFS(
    AND(I1543=TRUE, K1543&lt;=No_Regular_Payments), Repay_Amt,
    AND(I1543=TRUE, K1543=No_Regular_Payments+1), Tm_Balloon_Amt,
   TRUE, 0
)</f>
        <v>0</v>
      </c>
      <c r="O1543" s="1850" cm="1">
        <f t="array" ref="O1543">_xlfn.IFS(
    M1543=0,0,
   ABS(N1543 - S1542 - P1543-Q1543) &lt; 1, N1543 - S1542-Q1543,
    TRUE, P1543
)</f>
        <v>0</v>
      </c>
      <c r="P1543" s="1852">
        <f>IF(M1543=0,0,ROUND(S1542*EXP(Int_Rate/365.25 * M1543)-S1542,2))</f>
        <v>0</v>
      </c>
      <c r="Q1543" s="1851" cm="1">
        <f t="array" ref="Q1543">_xlfn.IFS(
    AND(I1543=TRUE, K1543&lt;=No_Regular_Payments), Periodic_Admin_Charge,
   TRUE, 0
)</f>
        <v>0</v>
      </c>
      <c r="R1543" s="1850">
        <f>N1543-O1543-Q1543</f>
        <v>0</v>
      </c>
      <c r="S1543" s="1850">
        <f>ROUND(S1542-R1543,2)</f>
        <v>0</v>
      </c>
      <c r="T1543" s="1850">
        <f>ROUND(T1542-(N1543-Q1543),2)</f>
        <v>0</v>
      </c>
      <c r="U1543" s="1849"/>
      <c r="W1543" s="1848"/>
      <c r="X1543" s="1848"/>
      <c r="Y1543" s="1848"/>
    </row>
    <row r="1544" spans="2:25" hidden="1">
      <c r="B1544" s="1815" t="b">
        <f>AND(I1544=FALSE,N1543=0,Q1543=0,L1543="")</f>
        <v>1</v>
      </c>
      <c r="C1544" s="1844" t="str" cm="1">
        <f t="array" ref="C1544">_xlfn.IFS(
    L1544="", "",
    MONTH(L1544) &lt;= End_of_Year_Month, YEAR(L1544),
    TRUE, YEAR(L1544) + 1
)</f>
        <v/>
      </c>
      <c r="F1544" s="1857">
        <f>IF(L1544="",0,L1544)</f>
        <v>0</v>
      </c>
      <c r="G1544" s="1856">
        <f>-(N1544-Q1544)</f>
        <v>0</v>
      </c>
      <c r="I1544" s="1815" t="b">
        <f>K1544&lt;=Number_Payments</f>
        <v>0</v>
      </c>
      <c r="J1544" s="1855"/>
      <c r="K1544" s="1351">
        <f>K1543+1</f>
        <v>1418</v>
      </c>
      <c r="L1544" s="1854" t="str" cm="1">
        <f t="array" ref="L1544">_xlfn.IFS(
    I1543=FALSE, "",
    Payment_Frequency="Monthly", EDATE(L1543, 1),
    Payment_Frequency="Weekly", DATE(YEAR(L1543), MONTH(L1543), DAY(L1543) + 7),
    Payment_Frequency="Fortnightly", DATE(YEAR(L1543), MONTH(L1543), DAY(L1543) + 14),
    Payment_Frequency="Quarterly", DATE(YEAR(L1543), MONTH(L1543) + 3, DAY(L1543)),
    Payment_Frequency="Yearly", DATE(YEAR(L1543) + 1, MONTH(L1543), DAY(L1543)),
    TRUE, ""
)</f>
        <v/>
      </c>
      <c r="M1544" s="1853">
        <f>IF(ISERROR(L1544-L1543),0,L1544-L1543)</f>
        <v>0</v>
      </c>
      <c r="N1544" s="1851" cm="1">
        <f t="array" ref="N1544">_xlfn.IFS(
    AND(I1544=TRUE, K1544&lt;=No_Regular_Payments), Repay_Amt,
    AND(I1544=TRUE, K1544=No_Regular_Payments+1), Tm_Balloon_Amt,
   TRUE, 0
)</f>
        <v>0</v>
      </c>
      <c r="O1544" s="1850" cm="1">
        <f t="array" ref="O1544">_xlfn.IFS(
    M1544=0,0,
   ABS(N1544 - S1543 - P1544-Q1544) &lt; 1, N1544 - S1543-Q1544,
    TRUE, P1544
)</f>
        <v>0</v>
      </c>
      <c r="P1544" s="1852">
        <f>IF(M1544=0,0,ROUND(S1543*EXP(Int_Rate/365.25 * M1544)-S1543,2))</f>
        <v>0</v>
      </c>
      <c r="Q1544" s="1851" cm="1">
        <f t="array" ref="Q1544">_xlfn.IFS(
    AND(I1544=TRUE, K1544&lt;=No_Regular_Payments), Periodic_Admin_Charge,
   TRUE, 0
)</f>
        <v>0</v>
      </c>
      <c r="R1544" s="1850">
        <f>N1544-O1544-Q1544</f>
        <v>0</v>
      </c>
      <c r="S1544" s="1850">
        <f>ROUND(S1543-R1544,2)</f>
        <v>0</v>
      </c>
      <c r="T1544" s="1850">
        <f>ROUND(T1543-(N1544-Q1544),2)</f>
        <v>0</v>
      </c>
      <c r="U1544" s="1849"/>
      <c r="W1544" s="1848"/>
      <c r="X1544" s="1848"/>
      <c r="Y1544" s="1848"/>
    </row>
    <row r="1545" spans="2:25" hidden="1">
      <c r="B1545" s="1815" t="b">
        <f>AND(I1545=FALSE,N1544=0,Q1544=0,L1544="")</f>
        <v>1</v>
      </c>
      <c r="C1545" s="1844" t="str" cm="1">
        <f t="array" ref="C1545">_xlfn.IFS(
    L1545="", "",
    MONTH(L1545) &lt;= End_of_Year_Month, YEAR(L1545),
    TRUE, YEAR(L1545) + 1
)</f>
        <v/>
      </c>
      <c r="F1545" s="1857">
        <f>IF(L1545="",0,L1545)</f>
        <v>0</v>
      </c>
      <c r="G1545" s="1856">
        <f>-(N1545-Q1545)</f>
        <v>0</v>
      </c>
      <c r="I1545" s="1815" t="b">
        <f>K1545&lt;=Number_Payments</f>
        <v>0</v>
      </c>
      <c r="J1545" s="1855"/>
      <c r="K1545" s="1351">
        <f>K1544+1</f>
        <v>1419</v>
      </c>
      <c r="L1545" s="1854" t="str" cm="1">
        <f t="array" ref="L1545">_xlfn.IFS(
    I1544=FALSE, "",
    Payment_Frequency="Monthly", EDATE(L1544, 1),
    Payment_Frequency="Weekly", DATE(YEAR(L1544), MONTH(L1544), DAY(L1544) + 7),
    Payment_Frequency="Fortnightly", DATE(YEAR(L1544), MONTH(L1544), DAY(L1544) + 14),
    Payment_Frequency="Quarterly", DATE(YEAR(L1544), MONTH(L1544) + 3, DAY(L1544)),
    Payment_Frequency="Yearly", DATE(YEAR(L1544) + 1, MONTH(L1544), DAY(L1544)),
    TRUE, ""
)</f>
        <v/>
      </c>
      <c r="M1545" s="1853">
        <f>IF(ISERROR(L1545-L1544),0,L1545-L1544)</f>
        <v>0</v>
      </c>
      <c r="N1545" s="1851" cm="1">
        <f t="array" ref="N1545">_xlfn.IFS(
    AND(I1545=TRUE, K1545&lt;=No_Regular_Payments), Repay_Amt,
    AND(I1545=TRUE, K1545=No_Regular_Payments+1), Tm_Balloon_Amt,
   TRUE, 0
)</f>
        <v>0</v>
      </c>
      <c r="O1545" s="1850" cm="1">
        <f t="array" ref="O1545">_xlfn.IFS(
    M1545=0,0,
   ABS(N1545 - S1544 - P1545-Q1545) &lt; 1, N1545 - S1544-Q1545,
    TRUE, P1545
)</f>
        <v>0</v>
      </c>
      <c r="P1545" s="1852">
        <f>IF(M1545=0,0,ROUND(S1544*EXP(Int_Rate/365.25 * M1545)-S1544,2))</f>
        <v>0</v>
      </c>
      <c r="Q1545" s="1851" cm="1">
        <f t="array" ref="Q1545">_xlfn.IFS(
    AND(I1545=TRUE, K1545&lt;=No_Regular_Payments), Periodic_Admin_Charge,
   TRUE, 0
)</f>
        <v>0</v>
      </c>
      <c r="R1545" s="1850">
        <f>N1545-O1545-Q1545</f>
        <v>0</v>
      </c>
      <c r="S1545" s="1850">
        <f>ROUND(S1544-R1545,2)</f>
        <v>0</v>
      </c>
      <c r="T1545" s="1850">
        <f>ROUND(T1544-(N1545-Q1545),2)</f>
        <v>0</v>
      </c>
      <c r="U1545" s="1849"/>
      <c r="W1545" s="1848"/>
      <c r="X1545" s="1848"/>
      <c r="Y1545" s="1848"/>
    </row>
    <row r="1546" spans="2:25" hidden="1">
      <c r="B1546" s="1815" t="b">
        <f>AND(I1546=FALSE,N1545=0,Q1545=0,L1545="")</f>
        <v>1</v>
      </c>
      <c r="C1546" s="1844" t="str" cm="1">
        <f t="array" ref="C1546">_xlfn.IFS(
    L1546="", "",
    MONTH(L1546) &lt;= End_of_Year_Month, YEAR(L1546),
    TRUE, YEAR(L1546) + 1
)</f>
        <v/>
      </c>
      <c r="F1546" s="1857">
        <f>IF(L1546="",0,L1546)</f>
        <v>0</v>
      </c>
      <c r="G1546" s="1856">
        <f>-(N1546-Q1546)</f>
        <v>0</v>
      </c>
      <c r="I1546" s="1815" t="b">
        <f>K1546&lt;=Number_Payments</f>
        <v>0</v>
      </c>
      <c r="J1546" s="1855"/>
      <c r="K1546" s="1351">
        <f>K1545+1</f>
        <v>1420</v>
      </c>
      <c r="L1546" s="1854" t="str" cm="1">
        <f t="array" ref="L1546">_xlfn.IFS(
    I1545=FALSE, "",
    Payment_Frequency="Monthly", EDATE(L1545, 1),
    Payment_Frequency="Weekly", DATE(YEAR(L1545), MONTH(L1545), DAY(L1545) + 7),
    Payment_Frequency="Fortnightly", DATE(YEAR(L1545), MONTH(L1545), DAY(L1545) + 14),
    Payment_Frequency="Quarterly", DATE(YEAR(L1545), MONTH(L1545) + 3, DAY(L1545)),
    Payment_Frequency="Yearly", DATE(YEAR(L1545) + 1, MONTH(L1545), DAY(L1545)),
    TRUE, ""
)</f>
        <v/>
      </c>
      <c r="M1546" s="1853">
        <f>IF(ISERROR(L1546-L1545),0,L1546-L1545)</f>
        <v>0</v>
      </c>
      <c r="N1546" s="1851" cm="1">
        <f t="array" ref="N1546">_xlfn.IFS(
    AND(I1546=TRUE, K1546&lt;=No_Regular_Payments), Repay_Amt,
    AND(I1546=TRUE, K1546=No_Regular_Payments+1), Tm_Balloon_Amt,
   TRUE, 0
)</f>
        <v>0</v>
      </c>
      <c r="O1546" s="1850" cm="1">
        <f t="array" ref="O1546">_xlfn.IFS(
    M1546=0,0,
   ABS(N1546 - S1545 - P1546-Q1546) &lt; 1, N1546 - S1545-Q1546,
    TRUE, P1546
)</f>
        <v>0</v>
      </c>
      <c r="P1546" s="1852">
        <f>IF(M1546=0,0,ROUND(S1545*EXP(Int_Rate/365.25 * M1546)-S1545,2))</f>
        <v>0</v>
      </c>
      <c r="Q1546" s="1851" cm="1">
        <f t="array" ref="Q1546">_xlfn.IFS(
    AND(I1546=TRUE, K1546&lt;=No_Regular_Payments), Periodic_Admin_Charge,
   TRUE, 0
)</f>
        <v>0</v>
      </c>
      <c r="R1546" s="1850">
        <f>N1546-O1546-Q1546</f>
        <v>0</v>
      </c>
      <c r="S1546" s="1850">
        <f>ROUND(S1545-R1546,2)</f>
        <v>0</v>
      </c>
      <c r="T1546" s="1850">
        <f>ROUND(T1545-(N1546-Q1546),2)</f>
        <v>0</v>
      </c>
      <c r="U1546" s="1849"/>
      <c r="W1546" s="1848"/>
      <c r="X1546" s="1848"/>
      <c r="Y1546" s="1848"/>
    </row>
    <row r="1547" spans="2:25" hidden="1">
      <c r="B1547" s="1815" t="b">
        <f>AND(I1547=FALSE,N1546=0,Q1546=0,L1546="")</f>
        <v>1</v>
      </c>
      <c r="C1547" s="1844" t="str" cm="1">
        <f t="array" ref="C1547">_xlfn.IFS(
    L1547="", "",
    MONTH(L1547) &lt;= End_of_Year_Month, YEAR(L1547),
    TRUE, YEAR(L1547) + 1
)</f>
        <v/>
      </c>
      <c r="F1547" s="1857">
        <f>IF(L1547="",0,L1547)</f>
        <v>0</v>
      </c>
      <c r="G1547" s="1856">
        <f>-(N1547-Q1547)</f>
        <v>0</v>
      </c>
      <c r="I1547" s="1815" t="b">
        <f>K1547&lt;=Number_Payments</f>
        <v>0</v>
      </c>
      <c r="J1547" s="1855"/>
      <c r="K1547" s="1351">
        <f>K1546+1</f>
        <v>1421</v>
      </c>
      <c r="L1547" s="1854" t="str" cm="1">
        <f t="array" ref="L1547">_xlfn.IFS(
    I1546=FALSE, "",
    Payment_Frequency="Monthly", EDATE(L1546, 1),
    Payment_Frequency="Weekly", DATE(YEAR(L1546), MONTH(L1546), DAY(L1546) + 7),
    Payment_Frequency="Fortnightly", DATE(YEAR(L1546), MONTH(L1546), DAY(L1546) + 14),
    Payment_Frequency="Quarterly", DATE(YEAR(L1546), MONTH(L1546) + 3, DAY(L1546)),
    Payment_Frequency="Yearly", DATE(YEAR(L1546) + 1, MONTH(L1546), DAY(L1546)),
    TRUE, ""
)</f>
        <v/>
      </c>
      <c r="M1547" s="1853">
        <f>IF(ISERROR(L1547-L1546),0,L1547-L1546)</f>
        <v>0</v>
      </c>
      <c r="N1547" s="1851" cm="1">
        <f t="array" ref="N1547">_xlfn.IFS(
    AND(I1547=TRUE, K1547&lt;=No_Regular_Payments), Repay_Amt,
    AND(I1547=TRUE, K1547=No_Regular_Payments+1), Tm_Balloon_Amt,
   TRUE, 0
)</f>
        <v>0</v>
      </c>
      <c r="O1547" s="1850" cm="1">
        <f t="array" ref="O1547">_xlfn.IFS(
    M1547=0,0,
   ABS(N1547 - S1546 - P1547-Q1547) &lt; 1, N1547 - S1546-Q1547,
    TRUE, P1547
)</f>
        <v>0</v>
      </c>
      <c r="P1547" s="1852">
        <f>IF(M1547=0,0,ROUND(S1546*EXP(Int_Rate/365.25 * M1547)-S1546,2))</f>
        <v>0</v>
      </c>
      <c r="Q1547" s="1851" cm="1">
        <f t="array" ref="Q1547">_xlfn.IFS(
    AND(I1547=TRUE, K1547&lt;=No_Regular_Payments), Periodic_Admin_Charge,
   TRUE, 0
)</f>
        <v>0</v>
      </c>
      <c r="R1547" s="1850">
        <f>N1547-O1547-Q1547</f>
        <v>0</v>
      </c>
      <c r="S1547" s="1850">
        <f>ROUND(S1546-R1547,2)</f>
        <v>0</v>
      </c>
      <c r="T1547" s="1850">
        <f>ROUND(T1546-(N1547-Q1547),2)</f>
        <v>0</v>
      </c>
      <c r="U1547" s="1849"/>
      <c r="W1547" s="1848"/>
      <c r="X1547" s="1848"/>
      <c r="Y1547" s="1848"/>
    </row>
    <row r="1548" spans="2:25" hidden="1">
      <c r="B1548" s="1815" t="b">
        <f>AND(I1548=FALSE,N1547=0,Q1547=0,L1547="")</f>
        <v>1</v>
      </c>
      <c r="C1548" s="1844" t="str" cm="1">
        <f t="array" ref="C1548">_xlfn.IFS(
    L1548="", "",
    MONTH(L1548) &lt;= End_of_Year_Month, YEAR(L1548),
    TRUE, YEAR(L1548) + 1
)</f>
        <v/>
      </c>
      <c r="F1548" s="1857">
        <f>IF(L1548="",0,L1548)</f>
        <v>0</v>
      </c>
      <c r="G1548" s="1856">
        <f>-(N1548-Q1548)</f>
        <v>0</v>
      </c>
      <c r="I1548" s="1815" t="b">
        <f>K1548&lt;=Number_Payments</f>
        <v>0</v>
      </c>
      <c r="J1548" s="1855"/>
      <c r="K1548" s="1351">
        <f>K1547+1</f>
        <v>1422</v>
      </c>
      <c r="L1548" s="1854" t="str" cm="1">
        <f t="array" ref="L1548">_xlfn.IFS(
    I1547=FALSE, "",
    Payment_Frequency="Monthly", EDATE(L1547, 1),
    Payment_Frequency="Weekly", DATE(YEAR(L1547), MONTH(L1547), DAY(L1547) + 7),
    Payment_Frequency="Fortnightly", DATE(YEAR(L1547), MONTH(L1547), DAY(L1547) + 14),
    Payment_Frequency="Quarterly", DATE(YEAR(L1547), MONTH(L1547) + 3, DAY(L1547)),
    Payment_Frequency="Yearly", DATE(YEAR(L1547) + 1, MONTH(L1547), DAY(L1547)),
    TRUE, ""
)</f>
        <v/>
      </c>
      <c r="M1548" s="1853">
        <f>IF(ISERROR(L1548-L1547),0,L1548-L1547)</f>
        <v>0</v>
      </c>
      <c r="N1548" s="1851" cm="1">
        <f t="array" ref="N1548">_xlfn.IFS(
    AND(I1548=TRUE, K1548&lt;=No_Regular_Payments), Repay_Amt,
    AND(I1548=TRUE, K1548=No_Regular_Payments+1), Tm_Balloon_Amt,
   TRUE, 0
)</f>
        <v>0</v>
      </c>
      <c r="O1548" s="1850" cm="1">
        <f t="array" ref="O1548">_xlfn.IFS(
    M1548=0,0,
   ABS(N1548 - S1547 - P1548-Q1548) &lt; 1, N1548 - S1547-Q1548,
    TRUE, P1548
)</f>
        <v>0</v>
      </c>
      <c r="P1548" s="1852">
        <f>IF(M1548=0,0,ROUND(S1547*EXP(Int_Rate/365.25 * M1548)-S1547,2))</f>
        <v>0</v>
      </c>
      <c r="Q1548" s="1851" cm="1">
        <f t="array" ref="Q1548">_xlfn.IFS(
    AND(I1548=TRUE, K1548&lt;=No_Regular_Payments), Periodic_Admin_Charge,
   TRUE, 0
)</f>
        <v>0</v>
      </c>
      <c r="R1548" s="1850">
        <f>N1548-O1548-Q1548</f>
        <v>0</v>
      </c>
      <c r="S1548" s="1850">
        <f>ROUND(S1547-R1548,2)</f>
        <v>0</v>
      </c>
      <c r="T1548" s="1850">
        <f>ROUND(T1547-(N1548-Q1548),2)</f>
        <v>0</v>
      </c>
      <c r="U1548" s="1849"/>
      <c r="W1548" s="1848"/>
      <c r="X1548" s="1848"/>
      <c r="Y1548" s="1848"/>
    </row>
    <row r="1549" spans="2:25" hidden="1">
      <c r="B1549" s="1815" t="b">
        <f>AND(I1549=FALSE,N1548=0,Q1548=0,L1548="")</f>
        <v>1</v>
      </c>
      <c r="C1549" s="1844" t="str" cm="1">
        <f t="array" ref="C1549">_xlfn.IFS(
    L1549="", "",
    MONTH(L1549) &lt;= End_of_Year_Month, YEAR(L1549),
    TRUE, YEAR(L1549) + 1
)</f>
        <v/>
      </c>
      <c r="F1549" s="1857">
        <f>IF(L1549="",0,L1549)</f>
        <v>0</v>
      </c>
      <c r="G1549" s="1856">
        <f>-(N1549-Q1549)</f>
        <v>0</v>
      </c>
      <c r="I1549" s="1815" t="b">
        <f>K1549&lt;=Number_Payments</f>
        <v>0</v>
      </c>
      <c r="J1549" s="1855"/>
      <c r="K1549" s="1351">
        <f>K1548+1</f>
        <v>1423</v>
      </c>
      <c r="L1549" s="1854" t="str" cm="1">
        <f t="array" ref="L1549">_xlfn.IFS(
    I1548=FALSE, "",
    Payment_Frequency="Monthly", EDATE(L1548, 1),
    Payment_Frequency="Weekly", DATE(YEAR(L1548), MONTH(L1548), DAY(L1548) + 7),
    Payment_Frequency="Fortnightly", DATE(YEAR(L1548), MONTH(L1548), DAY(L1548) + 14),
    Payment_Frequency="Quarterly", DATE(YEAR(L1548), MONTH(L1548) + 3, DAY(L1548)),
    Payment_Frequency="Yearly", DATE(YEAR(L1548) + 1, MONTH(L1548), DAY(L1548)),
    TRUE, ""
)</f>
        <v/>
      </c>
      <c r="M1549" s="1853">
        <f>IF(ISERROR(L1549-L1548),0,L1549-L1548)</f>
        <v>0</v>
      </c>
      <c r="N1549" s="1851" cm="1">
        <f t="array" ref="N1549">_xlfn.IFS(
    AND(I1549=TRUE, K1549&lt;=No_Regular_Payments), Repay_Amt,
    AND(I1549=TRUE, K1549=No_Regular_Payments+1), Tm_Balloon_Amt,
   TRUE, 0
)</f>
        <v>0</v>
      </c>
      <c r="O1549" s="1850" cm="1">
        <f t="array" ref="O1549">_xlfn.IFS(
    M1549=0,0,
   ABS(N1549 - S1548 - P1549-Q1549) &lt; 1, N1549 - S1548-Q1549,
    TRUE, P1549
)</f>
        <v>0</v>
      </c>
      <c r="P1549" s="1852">
        <f>IF(M1549=0,0,ROUND(S1548*EXP(Int_Rate/365.25 * M1549)-S1548,2))</f>
        <v>0</v>
      </c>
      <c r="Q1549" s="1851" cm="1">
        <f t="array" ref="Q1549">_xlfn.IFS(
    AND(I1549=TRUE, K1549&lt;=No_Regular_Payments), Periodic_Admin_Charge,
   TRUE, 0
)</f>
        <v>0</v>
      </c>
      <c r="R1549" s="1850">
        <f>N1549-O1549-Q1549</f>
        <v>0</v>
      </c>
      <c r="S1549" s="1850">
        <f>ROUND(S1548-R1549,2)</f>
        <v>0</v>
      </c>
      <c r="T1549" s="1850">
        <f>ROUND(T1548-(N1549-Q1549),2)</f>
        <v>0</v>
      </c>
      <c r="U1549" s="1849"/>
      <c r="W1549" s="1848"/>
      <c r="X1549" s="1848"/>
      <c r="Y1549" s="1848"/>
    </row>
    <row r="1550" spans="2:25" hidden="1">
      <c r="B1550" s="1815" t="b">
        <f>AND(I1550=FALSE,N1549=0,Q1549=0,L1549="")</f>
        <v>1</v>
      </c>
      <c r="C1550" s="1844" t="str" cm="1">
        <f t="array" ref="C1550">_xlfn.IFS(
    L1550="", "",
    MONTH(L1550) &lt;= End_of_Year_Month, YEAR(L1550),
    TRUE, YEAR(L1550) + 1
)</f>
        <v/>
      </c>
      <c r="F1550" s="1857">
        <f>IF(L1550="",0,L1550)</f>
        <v>0</v>
      </c>
      <c r="G1550" s="1856">
        <f>-(N1550-Q1550)</f>
        <v>0</v>
      </c>
      <c r="I1550" s="1815" t="b">
        <f>K1550&lt;=Number_Payments</f>
        <v>0</v>
      </c>
      <c r="J1550" s="1855"/>
      <c r="K1550" s="1351">
        <f>K1549+1</f>
        <v>1424</v>
      </c>
      <c r="L1550" s="1854" t="str" cm="1">
        <f t="array" ref="L1550">_xlfn.IFS(
    I1549=FALSE, "",
    Payment_Frequency="Monthly", EDATE(L1549, 1),
    Payment_Frequency="Weekly", DATE(YEAR(L1549), MONTH(L1549), DAY(L1549) + 7),
    Payment_Frequency="Fortnightly", DATE(YEAR(L1549), MONTH(L1549), DAY(L1549) + 14),
    Payment_Frequency="Quarterly", DATE(YEAR(L1549), MONTH(L1549) + 3, DAY(L1549)),
    Payment_Frequency="Yearly", DATE(YEAR(L1549) + 1, MONTH(L1549), DAY(L1549)),
    TRUE, ""
)</f>
        <v/>
      </c>
      <c r="M1550" s="1853">
        <f>IF(ISERROR(L1550-L1549),0,L1550-L1549)</f>
        <v>0</v>
      </c>
      <c r="N1550" s="1851" cm="1">
        <f t="array" ref="N1550">_xlfn.IFS(
    AND(I1550=TRUE, K1550&lt;=No_Regular_Payments), Repay_Amt,
    AND(I1550=TRUE, K1550=No_Regular_Payments+1), Tm_Balloon_Amt,
   TRUE, 0
)</f>
        <v>0</v>
      </c>
      <c r="O1550" s="1850" cm="1">
        <f t="array" ref="O1550">_xlfn.IFS(
    M1550=0,0,
   ABS(N1550 - S1549 - P1550-Q1550) &lt; 1, N1550 - S1549-Q1550,
    TRUE, P1550
)</f>
        <v>0</v>
      </c>
      <c r="P1550" s="1852">
        <f>IF(M1550=0,0,ROUND(S1549*EXP(Int_Rate/365.25 * M1550)-S1549,2))</f>
        <v>0</v>
      </c>
      <c r="Q1550" s="1851" cm="1">
        <f t="array" ref="Q1550">_xlfn.IFS(
    AND(I1550=TRUE, K1550&lt;=No_Regular_Payments), Periodic_Admin_Charge,
   TRUE, 0
)</f>
        <v>0</v>
      </c>
      <c r="R1550" s="1850">
        <f>N1550-O1550-Q1550</f>
        <v>0</v>
      </c>
      <c r="S1550" s="1850">
        <f>ROUND(S1549-R1550,2)</f>
        <v>0</v>
      </c>
      <c r="T1550" s="1850">
        <f>ROUND(T1549-(N1550-Q1550),2)</f>
        <v>0</v>
      </c>
      <c r="U1550" s="1849"/>
      <c r="W1550" s="1848"/>
      <c r="X1550" s="1848"/>
      <c r="Y1550" s="1848"/>
    </row>
    <row r="1551" spans="2:25" hidden="1">
      <c r="B1551" s="1815" t="b">
        <f>AND(I1551=FALSE,N1550=0,Q1550=0,L1550="")</f>
        <v>1</v>
      </c>
      <c r="C1551" s="1844" t="str" cm="1">
        <f t="array" ref="C1551">_xlfn.IFS(
    L1551="", "",
    MONTH(L1551) &lt;= End_of_Year_Month, YEAR(L1551),
    TRUE, YEAR(L1551) + 1
)</f>
        <v/>
      </c>
      <c r="F1551" s="1857">
        <f>IF(L1551="",0,L1551)</f>
        <v>0</v>
      </c>
      <c r="G1551" s="1856">
        <f>-(N1551-Q1551)</f>
        <v>0</v>
      </c>
      <c r="I1551" s="1815" t="b">
        <f>K1551&lt;=Number_Payments</f>
        <v>0</v>
      </c>
      <c r="J1551" s="1855"/>
      <c r="K1551" s="1351">
        <f>K1550+1</f>
        <v>1425</v>
      </c>
      <c r="L1551" s="1854" t="str" cm="1">
        <f t="array" ref="L1551">_xlfn.IFS(
    I1550=FALSE, "",
    Payment_Frequency="Monthly", EDATE(L1550, 1),
    Payment_Frequency="Weekly", DATE(YEAR(L1550), MONTH(L1550), DAY(L1550) + 7),
    Payment_Frequency="Fortnightly", DATE(YEAR(L1550), MONTH(L1550), DAY(L1550) + 14),
    Payment_Frequency="Quarterly", DATE(YEAR(L1550), MONTH(L1550) + 3, DAY(L1550)),
    Payment_Frequency="Yearly", DATE(YEAR(L1550) + 1, MONTH(L1550), DAY(L1550)),
    TRUE, ""
)</f>
        <v/>
      </c>
      <c r="M1551" s="1853">
        <f>IF(ISERROR(L1551-L1550),0,L1551-L1550)</f>
        <v>0</v>
      </c>
      <c r="N1551" s="1851" cm="1">
        <f t="array" ref="N1551">_xlfn.IFS(
    AND(I1551=TRUE, K1551&lt;=No_Regular_Payments), Repay_Amt,
    AND(I1551=TRUE, K1551=No_Regular_Payments+1), Tm_Balloon_Amt,
   TRUE, 0
)</f>
        <v>0</v>
      </c>
      <c r="O1551" s="1850" cm="1">
        <f t="array" ref="O1551">_xlfn.IFS(
    M1551=0,0,
   ABS(N1551 - S1550 - P1551-Q1551) &lt; 1, N1551 - S1550-Q1551,
    TRUE, P1551
)</f>
        <v>0</v>
      </c>
      <c r="P1551" s="1852">
        <f>IF(M1551=0,0,ROUND(S1550*EXP(Int_Rate/365.25 * M1551)-S1550,2))</f>
        <v>0</v>
      </c>
      <c r="Q1551" s="1851" cm="1">
        <f t="array" ref="Q1551">_xlfn.IFS(
    AND(I1551=TRUE, K1551&lt;=No_Regular_Payments), Periodic_Admin_Charge,
   TRUE, 0
)</f>
        <v>0</v>
      </c>
      <c r="R1551" s="1850">
        <f>N1551-O1551-Q1551</f>
        <v>0</v>
      </c>
      <c r="S1551" s="1850">
        <f>ROUND(S1550-R1551,2)</f>
        <v>0</v>
      </c>
      <c r="T1551" s="1850">
        <f>ROUND(T1550-(N1551-Q1551),2)</f>
        <v>0</v>
      </c>
      <c r="U1551" s="1849"/>
      <c r="W1551" s="1848"/>
      <c r="X1551" s="1848"/>
      <c r="Y1551" s="1848"/>
    </row>
    <row r="1552" spans="2:25" hidden="1">
      <c r="B1552" s="1815" t="b">
        <f>AND(I1552=FALSE,N1551=0,Q1551=0,L1551="")</f>
        <v>1</v>
      </c>
      <c r="C1552" s="1844" t="str" cm="1">
        <f t="array" ref="C1552">_xlfn.IFS(
    L1552="", "",
    MONTH(L1552) &lt;= End_of_Year_Month, YEAR(L1552),
    TRUE, YEAR(L1552) + 1
)</f>
        <v/>
      </c>
      <c r="F1552" s="1857">
        <f>IF(L1552="",0,L1552)</f>
        <v>0</v>
      </c>
      <c r="G1552" s="1856">
        <f>-(N1552-Q1552)</f>
        <v>0</v>
      </c>
      <c r="I1552" s="1815" t="b">
        <f>K1552&lt;=Number_Payments</f>
        <v>0</v>
      </c>
      <c r="J1552" s="1855"/>
      <c r="K1552" s="1351">
        <f>K1551+1</f>
        <v>1426</v>
      </c>
      <c r="L1552" s="1854" t="str" cm="1">
        <f t="array" ref="L1552">_xlfn.IFS(
    I1551=FALSE, "",
    Payment_Frequency="Monthly", EDATE(L1551, 1),
    Payment_Frequency="Weekly", DATE(YEAR(L1551), MONTH(L1551), DAY(L1551) + 7),
    Payment_Frequency="Fortnightly", DATE(YEAR(L1551), MONTH(L1551), DAY(L1551) + 14),
    Payment_Frequency="Quarterly", DATE(YEAR(L1551), MONTH(L1551) + 3, DAY(L1551)),
    Payment_Frequency="Yearly", DATE(YEAR(L1551) + 1, MONTH(L1551), DAY(L1551)),
    TRUE, ""
)</f>
        <v/>
      </c>
      <c r="M1552" s="1853">
        <f>IF(ISERROR(L1552-L1551),0,L1552-L1551)</f>
        <v>0</v>
      </c>
      <c r="N1552" s="1851" cm="1">
        <f t="array" ref="N1552">_xlfn.IFS(
    AND(I1552=TRUE, K1552&lt;=No_Regular_Payments), Repay_Amt,
    AND(I1552=TRUE, K1552=No_Regular_Payments+1), Tm_Balloon_Amt,
   TRUE, 0
)</f>
        <v>0</v>
      </c>
      <c r="O1552" s="1850" cm="1">
        <f t="array" ref="O1552">_xlfn.IFS(
    M1552=0,0,
   ABS(N1552 - S1551 - P1552-Q1552) &lt; 1, N1552 - S1551-Q1552,
    TRUE, P1552
)</f>
        <v>0</v>
      </c>
      <c r="P1552" s="1852">
        <f>IF(M1552=0,0,ROUND(S1551*EXP(Int_Rate/365.25 * M1552)-S1551,2))</f>
        <v>0</v>
      </c>
      <c r="Q1552" s="1851" cm="1">
        <f t="array" ref="Q1552">_xlfn.IFS(
    AND(I1552=TRUE, K1552&lt;=No_Regular_Payments), Periodic_Admin_Charge,
   TRUE, 0
)</f>
        <v>0</v>
      </c>
      <c r="R1552" s="1850">
        <f>N1552-O1552-Q1552</f>
        <v>0</v>
      </c>
      <c r="S1552" s="1850">
        <f>ROUND(S1551-R1552,2)</f>
        <v>0</v>
      </c>
      <c r="T1552" s="1850">
        <f>ROUND(T1551-(N1552-Q1552),2)</f>
        <v>0</v>
      </c>
      <c r="U1552" s="1849"/>
      <c r="W1552" s="1848"/>
      <c r="X1552" s="1848"/>
      <c r="Y1552" s="1848"/>
    </row>
    <row r="1553" spans="2:25" hidden="1">
      <c r="B1553" s="1815" t="b">
        <f>AND(I1553=FALSE,N1552=0,Q1552=0,L1552="")</f>
        <v>1</v>
      </c>
      <c r="C1553" s="1844" t="str" cm="1">
        <f t="array" ref="C1553">_xlfn.IFS(
    L1553="", "",
    MONTH(L1553) &lt;= End_of_Year_Month, YEAR(L1553),
    TRUE, YEAR(L1553) + 1
)</f>
        <v/>
      </c>
      <c r="F1553" s="1857">
        <f>IF(L1553="",0,L1553)</f>
        <v>0</v>
      </c>
      <c r="G1553" s="1856">
        <f>-(N1553-Q1553)</f>
        <v>0</v>
      </c>
      <c r="I1553" s="1815" t="b">
        <f>K1553&lt;=Number_Payments</f>
        <v>0</v>
      </c>
      <c r="J1553" s="1855"/>
      <c r="K1553" s="1351">
        <f>K1552+1</f>
        <v>1427</v>
      </c>
      <c r="L1553" s="1854" t="str" cm="1">
        <f t="array" ref="L1553">_xlfn.IFS(
    I1552=FALSE, "",
    Payment_Frequency="Monthly", EDATE(L1552, 1),
    Payment_Frequency="Weekly", DATE(YEAR(L1552), MONTH(L1552), DAY(L1552) + 7),
    Payment_Frequency="Fortnightly", DATE(YEAR(L1552), MONTH(L1552), DAY(L1552) + 14),
    Payment_Frequency="Quarterly", DATE(YEAR(L1552), MONTH(L1552) + 3, DAY(L1552)),
    Payment_Frequency="Yearly", DATE(YEAR(L1552) + 1, MONTH(L1552), DAY(L1552)),
    TRUE, ""
)</f>
        <v/>
      </c>
      <c r="M1553" s="1853">
        <f>IF(ISERROR(L1553-L1552),0,L1553-L1552)</f>
        <v>0</v>
      </c>
      <c r="N1553" s="1851" cm="1">
        <f t="array" ref="N1553">_xlfn.IFS(
    AND(I1553=TRUE, K1553&lt;=No_Regular_Payments), Repay_Amt,
    AND(I1553=TRUE, K1553=No_Regular_Payments+1), Tm_Balloon_Amt,
   TRUE, 0
)</f>
        <v>0</v>
      </c>
      <c r="O1553" s="1850" cm="1">
        <f t="array" ref="O1553">_xlfn.IFS(
    M1553=0,0,
   ABS(N1553 - S1552 - P1553-Q1553) &lt; 1, N1553 - S1552-Q1553,
    TRUE, P1553
)</f>
        <v>0</v>
      </c>
      <c r="P1553" s="1852">
        <f>IF(M1553=0,0,ROUND(S1552*EXP(Int_Rate/365.25 * M1553)-S1552,2))</f>
        <v>0</v>
      </c>
      <c r="Q1553" s="1851" cm="1">
        <f t="array" ref="Q1553">_xlfn.IFS(
    AND(I1553=TRUE, K1553&lt;=No_Regular_Payments), Periodic_Admin_Charge,
   TRUE, 0
)</f>
        <v>0</v>
      </c>
      <c r="R1553" s="1850">
        <f>N1553-O1553-Q1553</f>
        <v>0</v>
      </c>
      <c r="S1553" s="1850">
        <f>ROUND(S1552-R1553,2)</f>
        <v>0</v>
      </c>
      <c r="T1553" s="1850">
        <f>ROUND(T1552-(N1553-Q1553),2)</f>
        <v>0</v>
      </c>
      <c r="U1553" s="1849"/>
      <c r="W1553" s="1848"/>
      <c r="X1553" s="1848"/>
      <c r="Y1553" s="1848"/>
    </row>
    <row r="1554" spans="2:25" hidden="1">
      <c r="B1554" s="1815" t="b">
        <f>AND(I1554=FALSE,N1553=0,Q1553=0,L1553="")</f>
        <v>1</v>
      </c>
      <c r="C1554" s="1844" t="str" cm="1">
        <f t="array" ref="C1554">_xlfn.IFS(
    L1554="", "",
    MONTH(L1554) &lt;= End_of_Year_Month, YEAR(L1554),
    TRUE, YEAR(L1554) + 1
)</f>
        <v/>
      </c>
      <c r="F1554" s="1857">
        <f>IF(L1554="",0,L1554)</f>
        <v>0</v>
      </c>
      <c r="G1554" s="1856">
        <f>-(N1554-Q1554)</f>
        <v>0</v>
      </c>
      <c r="I1554" s="1815" t="b">
        <f>K1554&lt;=Number_Payments</f>
        <v>0</v>
      </c>
      <c r="J1554" s="1855"/>
      <c r="K1554" s="1351">
        <f>K1553+1</f>
        <v>1428</v>
      </c>
      <c r="L1554" s="1854" t="str" cm="1">
        <f t="array" ref="L1554">_xlfn.IFS(
    I1553=FALSE, "",
    Payment_Frequency="Monthly", EDATE(L1553, 1),
    Payment_Frequency="Weekly", DATE(YEAR(L1553), MONTH(L1553), DAY(L1553) + 7),
    Payment_Frequency="Fortnightly", DATE(YEAR(L1553), MONTH(L1553), DAY(L1553) + 14),
    Payment_Frequency="Quarterly", DATE(YEAR(L1553), MONTH(L1553) + 3, DAY(L1553)),
    Payment_Frequency="Yearly", DATE(YEAR(L1553) + 1, MONTH(L1553), DAY(L1553)),
    TRUE, ""
)</f>
        <v/>
      </c>
      <c r="M1554" s="1853">
        <f>IF(ISERROR(L1554-L1553),0,L1554-L1553)</f>
        <v>0</v>
      </c>
      <c r="N1554" s="1851" cm="1">
        <f t="array" ref="N1554">_xlfn.IFS(
    AND(I1554=TRUE, K1554&lt;=No_Regular_Payments), Repay_Amt,
    AND(I1554=TRUE, K1554=No_Regular_Payments+1), Tm_Balloon_Amt,
   TRUE, 0
)</f>
        <v>0</v>
      </c>
      <c r="O1554" s="1850" cm="1">
        <f t="array" ref="O1554">_xlfn.IFS(
    M1554=0,0,
   ABS(N1554 - S1553 - P1554-Q1554) &lt; 1, N1554 - S1553-Q1554,
    TRUE, P1554
)</f>
        <v>0</v>
      </c>
      <c r="P1554" s="1852">
        <f>IF(M1554=0,0,ROUND(S1553*EXP(Int_Rate/365.25 * M1554)-S1553,2))</f>
        <v>0</v>
      </c>
      <c r="Q1554" s="1851" cm="1">
        <f t="array" ref="Q1554">_xlfn.IFS(
    AND(I1554=TRUE, K1554&lt;=No_Regular_Payments), Periodic_Admin_Charge,
   TRUE, 0
)</f>
        <v>0</v>
      </c>
      <c r="R1554" s="1850">
        <f>N1554-O1554-Q1554</f>
        <v>0</v>
      </c>
      <c r="S1554" s="1850">
        <f>ROUND(S1553-R1554,2)</f>
        <v>0</v>
      </c>
      <c r="T1554" s="1850">
        <f>ROUND(T1553-(N1554-Q1554),2)</f>
        <v>0</v>
      </c>
      <c r="U1554" s="1849"/>
      <c r="W1554" s="1848"/>
      <c r="X1554" s="1848"/>
      <c r="Y1554" s="1848"/>
    </row>
    <row r="1555" spans="2:25" hidden="1">
      <c r="B1555" s="1815" t="b">
        <f>AND(I1555=FALSE,N1554=0,Q1554=0,L1554="")</f>
        <v>1</v>
      </c>
      <c r="C1555" s="1844" t="str" cm="1">
        <f t="array" ref="C1555">_xlfn.IFS(
    L1555="", "",
    MONTH(L1555) &lt;= End_of_Year_Month, YEAR(L1555),
    TRUE, YEAR(L1555) + 1
)</f>
        <v/>
      </c>
      <c r="F1555" s="1857">
        <f>IF(L1555="",0,L1555)</f>
        <v>0</v>
      </c>
      <c r="G1555" s="1856">
        <f>-(N1555-Q1555)</f>
        <v>0</v>
      </c>
      <c r="I1555" s="1815" t="b">
        <f>K1555&lt;=Number_Payments</f>
        <v>0</v>
      </c>
      <c r="J1555" s="1855"/>
      <c r="K1555" s="1351">
        <f>K1554+1</f>
        <v>1429</v>
      </c>
      <c r="L1555" s="1854" t="str" cm="1">
        <f t="array" ref="L1555">_xlfn.IFS(
    I1554=FALSE, "",
    Payment_Frequency="Monthly", EDATE(L1554, 1),
    Payment_Frequency="Weekly", DATE(YEAR(L1554), MONTH(L1554), DAY(L1554) + 7),
    Payment_Frequency="Fortnightly", DATE(YEAR(L1554), MONTH(L1554), DAY(L1554) + 14),
    Payment_Frequency="Quarterly", DATE(YEAR(L1554), MONTH(L1554) + 3, DAY(L1554)),
    Payment_Frequency="Yearly", DATE(YEAR(L1554) + 1, MONTH(L1554), DAY(L1554)),
    TRUE, ""
)</f>
        <v/>
      </c>
      <c r="M1555" s="1853">
        <f>IF(ISERROR(L1555-L1554),0,L1555-L1554)</f>
        <v>0</v>
      </c>
      <c r="N1555" s="1851" cm="1">
        <f t="array" ref="N1555">_xlfn.IFS(
    AND(I1555=TRUE, K1555&lt;=No_Regular_Payments), Repay_Amt,
    AND(I1555=TRUE, K1555=No_Regular_Payments+1), Tm_Balloon_Amt,
   TRUE, 0
)</f>
        <v>0</v>
      </c>
      <c r="O1555" s="1850" cm="1">
        <f t="array" ref="O1555">_xlfn.IFS(
    M1555=0,0,
   ABS(N1555 - S1554 - P1555-Q1555) &lt; 1, N1555 - S1554-Q1555,
    TRUE, P1555
)</f>
        <v>0</v>
      </c>
      <c r="P1555" s="1852">
        <f>IF(M1555=0,0,ROUND(S1554*EXP(Int_Rate/365.25 * M1555)-S1554,2))</f>
        <v>0</v>
      </c>
      <c r="Q1555" s="1851" cm="1">
        <f t="array" ref="Q1555">_xlfn.IFS(
    AND(I1555=TRUE, K1555&lt;=No_Regular_Payments), Periodic_Admin_Charge,
   TRUE, 0
)</f>
        <v>0</v>
      </c>
      <c r="R1555" s="1850">
        <f>N1555-O1555-Q1555</f>
        <v>0</v>
      </c>
      <c r="S1555" s="1850">
        <f>ROUND(S1554-R1555,2)</f>
        <v>0</v>
      </c>
      <c r="T1555" s="1850">
        <f>ROUND(T1554-(N1555-Q1555),2)</f>
        <v>0</v>
      </c>
      <c r="U1555" s="1849"/>
      <c r="W1555" s="1848"/>
      <c r="X1555" s="1848"/>
      <c r="Y1555" s="1848"/>
    </row>
    <row r="1556" spans="2:25" hidden="1">
      <c r="B1556" s="1815" t="b">
        <f>AND(I1556=FALSE,N1555=0,Q1555=0,L1555="")</f>
        <v>1</v>
      </c>
      <c r="C1556" s="1844" t="str" cm="1">
        <f t="array" ref="C1556">_xlfn.IFS(
    L1556="", "",
    MONTH(L1556) &lt;= End_of_Year_Month, YEAR(L1556),
    TRUE, YEAR(L1556) + 1
)</f>
        <v/>
      </c>
      <c r="F1556" s="1857">
        <f>IF(L1556="",0,L1556)</f>
        <v>0</v>
      </c>
      <c r="G1556" s="1856">
        <f>-(N1556-Q1556)</f>
        <v>0</v>
      </c>
      <c r="I1556" s="1815" t="b">
        <f>K1556&lt;=Number_Payments</f>
        <v>0</v>
      </c>
      <c r="J1556" s="1855"/>
      <c r="K1556" s="1351">
        <f>K1555+1</f>
        <v>1430</v>
      </c>
      <c r="L1556" s="1854" t="str" cm="1">
        <f t="array" ref="L1556">_xlfn.IFS(
    I1555=FALSE, "",
    Payment_Frequency="Monthly", EDATE(L1555, 1),
    Payment_Frequency="Weekly", DATE(YEAR(L1555), MONTH(L1555), DAY(L1555) + 7),
    Payment_Frequency="Fortnightly", DATE(YEAR(L1555), MONTH(L1555), DAY(L1555) + 14),
    Payment_Frequency="Quarterly", DATE(YEAR(L1555), MONTH(L1555) + 3, DAY(L1555)),
    Payment_Frequency="Yearly", DATE(YEAR(L1555) + 1, MONTH(L1555), DAY(L1555)),
    TRUE, ""
)</f>
        <v/>
      </c>
      <c r="M1556" s="1853">
        <f>IF(ISERROR(L1556-L1555),0,L1556-L1555)</f>
        <v>0</v>
      </c>
      <c r="N1556" s="1851" cm="1">
        <f t="array" ref="N1556">_xlfn.IFS(
    AND(I1556=TRUE, K1556&lt;=No_Regular_Payments), Repay_Amt,
    AND(I1556=TRUE, K1556=No_Regular_Payments+1), Tm_Balloon_Amt,
   TRUE, 0
)</f>
        <v>0</v>
      </c>
      <c r="O1556" s="1850" cm="1">
        <f t="array" ref="O1556">_xlfn.IFS(
    M1556=0,0,
   ABS(N1556 - S1555 - P1556-Q1556) &lt; 1, N1556 - S1555-Q1556,
    TRUE, P1556
)</f>
        <v>0</v>
      </c>
      <c r="P1556" s="1852">
        <f>IF(M1556=0,0,ROUND(S1555*EXP(Int_Rate/365.25 * M1556)-S1555,2))</f>
        <v>0</v>
      </c>
      <c r="Q1556" s="1851" cm="1">
        <f t="array" ref="Q1556">_xlfn.IFS(
    AND(I1556=TRUE, K1556&lt;=No_Regular_Payments), Periodic_Admin_Charge,
   TRUE, 0
)</f>
        <v>0</v>
      </c>
      <c r="R1556" s="1850">
        <f>N1556-O1556-Q1556</f>
        <v>0</v>
      </c>
      <c r="S1556" s="1850">
        <f>ROUND(S1555-R1556,2)</f>
        <v>0</v>
      </c>
      <c r="T1556" s="1850">
        <f>ROUND(T1555-(N1556-Q1556),2)</f>
        <v>0</v>
      </c>
      <c r="U1556" s="1849"/>
      <c r="W1556" s="1848"/>
      <c r="X1556" s="1848"/>
      <c r="Y1556" s="1848"/>
    </row>
    <row r="1557" spans="2:25" hidden="1">
      <c r="B1557" s="1815" t="b">
        <f>AND(I1557=FALSE,N1556=0,Q1556=0,L1556="")</f>
        <v>1</v>
      </c>
      <c r="C1557" s="1844" t="str" cm="1">
        <f t="array" ref="C1557">_xlfn.IFS(
    L1557="", "",
    MONTH(L1557) &lt;= End_of_Year_Month, YEAR(L1557),
    TRUE, YEAR(L1557) + 1
)</f>
        <v/>
      </c>
      <c r="F1557" s="1857">
        <f>IF(L1557="",0,L1557)</f>
        <v>0</v>
      </c>
      <c r="G1557" s="1856">
        <f>-(N1557-Q1557)</f>
        <v>0</v>
      </c>
      <c r="I1557" s="1815" t="b">
        <f>K1557&lt;=Number_Payments</f>
        <v>0</v>
      </c>
      <c r="J1557" s="1855"/>
      <c r="K1557" s="1351">
        <f>K1556+1</f>
        <v>1431</v>
      </c>
      <c r="L1557" s="1854" t="str" cm="1">
        <f t="array" ref="L1557">_xlfn.IFS(
    I1556=FALSE, "",
    Payment_Frequency="Monthly", EDATE(L1556, 1),
    Payment_Frequency="Weekly", DATE(YEAR(L1556), MONTH(L1556), DAY(L1556) + 7),
    Payment_Frequency="Fortnightly", DATE(YEAR(L1556), MONTH(L1556), DAY(L1556) + 14),
    Payment_Frequency="Quarterly", DATE(YEAR(L1556), MONTH(L1556) + 3, DAY(L1556)),
    Payment_Frequency="Yearly", DATE(YEAR(L1556) + 1, MONTH(L1556), DAY(L1556)),
    TRUE, ""
)</f>
        <v/>
      </c>
      <c r="M1557" s="1853">
        <f>IF(ISERROR(L1557-L1556),0,L1557-L1556)</f>
        <v>0</v>
      </c>
      <c r="N1557" s="1851" cm="1">
        <f t="array" ref="N1557">_xlfn.IFS(
    AND(I1557=TRUE, K1557&lt;=No_Regular_Payments), Repay_Amt,
    AND(I1557=TRUE, K1557=No_Regular_Payments+1), Tm_Balloon_Amt,
   TRUE, 0
)</f>
        <v>0</v>
      </c>
      <c r="O1557" s="1850" cm="1">
        <f t="array" ref="O1557">_xlfn.IFS(
    M1557=0,0,
   ABS(N1557 - S1556 - P1557-Q1557) &lt; 1, N1557 - S1556-Q1557,
    TRUE, P1557
)</f>
        <v>0</v>
      </c>
      <c r="P1557" s="1852">
        <f>IF(M1557=0,0,ROUND(S1556*EXP(Int_Rate/365.25 * M1557)-S1556,2))</f>
        <v>0</v>
      </c>
      <c r="Q1557" s="1851" cm="1">
        <f t="array" ref="Q1557">_xlfn.IFS(
    AND(I1557=TRUE, K1557&lt;=No_Regular_Payments), Periodic_Admin_Charge,
   TRUE, 0
)</f>
        <v>0</v>
      </c>
      <c r="R1557" s="1850">
        <f>N1557-O1557-Q1557</f>
        <v>0</v>
      </c>
      <c r="S1557" s="1850">
        <f>ROUND(S1556-R1557,2)</f>
        <v>0</v>
      </c>
      <c r="T1557" s="1850">
        <f>ROUND(T1556-(N1557-Q1557),2)</f>
        <v>0</v>
      </c>
      <c r="U1557" s="1849"/>
      <c r="W1557" s="1848"/>
      <c r="X1557" s="1848"/>
      <c r="Y1557" s="1848"/>
    </row>
    <row r="1558" spans="2:25" hidden="1">
      <c r="B1558" s="1815" t="b">
        <f>AND(I1558=FALSE,N1557=0,Q1557=0,L1557="")</f>
        <v>1</v>
      </c>
      <c r="C1558" s="1844" t="str" cm="1">
        <f t="array" ref="C1558">_xlfn.IFS(
    L1558="", "",
    MONTH(L1558) &lt;= End_of_Year_Month, YEAR(L1558),
    TRUE, YEAR(L1558) + 1
)</f>
        <v/>
      </c>
      <c r="F1558" s="1857">
        <f>IF(L1558="",0,L1558)</f>
        <v>0</v>
      </c>
      <c r="G1558" s="1856">
        <f>-(N1558-Q1558)</f>
        <v>0</v>
      </c>
      <c r="I1558" s="1815" t="b">
        <f>K1558&lt;=Number_Payments</f>
        <v>0</v>
      </c>
      <c r="J1558" s="1855"/>
      <c r="K1558" s="1351">
        <f>K1557+1</f>
        <v>1432</v>
      </c>
      <c r="L1558" s="1854" t="str" cm="1">
        <f t="array" ref="L1558">_xlfn.IFS(
    I1557=FALSE, "",
    Payment_Frequency="Monthly", EDATE(L1557, 1),
    Payment_Frequency="Weekly", DATE(YEAR(L1557), MONTH(L1557), DAY(L1557) + 7),
    Payment_Frequency="Fortnightly", DATE(YEAR(L1557), MONTH(L1557), DAY(L1557) + 14),
    Payment_Frequency="Quarterly", DATE(YEAR(L1557), MONTH(L1557) + 3, DAY(L1557)),
    Payment_Frequency="Yearly", DATE(YEAR(L1557) + 1, MONTH(L1557), DAY(L1557)),
    TRUE, ""
)</f>
        <v/>
      </c>
      <c r="M1558" s="1853">
        <f>IF(ISERROR(L1558-L1557),0,L1558-L1557)</f>
        <v>0</v>
      </c>
      <c r="N1558" s="1851" cm="1">
        <f t="array" ref="N1558">_xlfn.IFS(
    AND(I1558=TRUE, K1558&lt;=No_Regular_Payments), Repay_Amt,
    AND(I1558=TRUE, K1558=No_Regular_Payments+1), Tm_Balloon_Amt,
   TRUE, 0
)</f>
        <v>0</v>
      </c>
      <c r="O1558" s="1850" cm="1">
        <f t="array" ref="O1558">_xlfn.IFS(
    M1558=0,0,
   ABS(N1558 - S1557 - P1558-Q1558) &lt; 1, N1558 - S1557-Q1558,
    TRUE, P1558
)</f>
        <v>0</v>
      </c>
      <c r="P1558" s="1852">
        <f>IF(M1558=0,0,ROUND(S1557*EXP(Int_Rate/365.25 * M1558)-S1557,2))</f>
        <v>0</v>
      </c>
      <c r="Q1558" s="1851" cm="1">
        <f t="array" ref="Q1558">_xlfn.IFS(
    AND(I1558=TRUE, K1558&lt;=No_Regular_Payments), Periodic_Admin_Charge,
   TRUE, 0
)</f>
        <v>0</v>
      </c>
      <c r="R1558" s="1850">
        <f>N1558-O1558-Q1558</f>
        <v>0</v>
      </c>
      <c r="S1558" s="1850">
        <f>ROUND(S1557-R1558,2)</f>
        <v>0</v>
      </c>
      <c r="T1558" s="1850">
        <f>ROUND(T1557-(N1558-Q1558),2)</f>
        <v>0</v>
      </c>
      <c r="U1558" s="1849"/>
      <c r="W1558" s="1848"/>
      <c r="X1558" s="1848"/>
      <c r="Y1558" s="1848"/>
    </row>
    <row r="1559" spans="2:25" hidden="1">
      <c r="B1559" s="1815" t="b">
        <f>AND(I1559=FALSE,N1558=0,Q1558=0,L1558="")</f>
        <v>1</v>
      </c>
      <c r="C1559" s="1844" t="str" cm="1">
        <f t="array" ref="C1559">_xlfn.IFS(
    L1559="", "",
    MONTH(L1559) &lt;= End_of_Year_Month, YEAR(L1559),
    TRUE, YEAR(L1559) + 1
)</f>
        <v/>
      </c>
      <c r="F1559" s="1857">
        <f>IF(L1559="",0,L1559)</f>
        <v>0</v>
      </c>
      <c r="G1559" s="1856">
        <f>-(N1559-Q1559)</f>
        <v>0</v>
      </c>
      <c r="I1559" s="1815" t="b">
        <f>K1559&lt;=Number_Payments</f>
        <v>0</v>
      </c>
      <c r="J1559" s="1855"/>
      <c r="K1559" s="1351">
        <f>K1558+1</f>
        <v>1433</v>
      </c>
      <c r="L1559" s="1854" t="str" cm="1">
        <f t="array" ref="L1559">_xlfn.IFS(
    I1558=FALSE, "",
    Payment_Frequency="Monthly", EDATE(L1558, 1),
    Payment_Frequency="Weekly", DATE(YEAR(L1558), MONTH(L1558), DAY(L1558) + 7),
    Payment_Frequency="Fortnightly", DATE(YEAR(L1558), MONTH(L1558), DAY(L1558) + 14),
    Payment_Frequency="Quarterly", DATE(YEAR(L1558), MONTH(L1558) + 3, DAY(L1558)),
    Payment_Frequency="Yearly", DATE(YEAR(L1558) + 1, MONTH(L1558), DAY(L1558)),
    TRUE, ""
)</f>
        <v/>
      </c>
      <c r="M1559" s="1853">
        <f>IF(ISERROR(L1559-L1558),0,L1559-L1558)</f>
        <v>0</v>
      </c>
      <c r="N1559" s="1851" cm="1">
        <f t="array" ref="N1559">_xlfn.IFS(
    AND(I1559=TRUE, K1559&lt;=No_Regular_Payments), Repay_Amt,
    AND(I1559=TRUE, K1559=No_Regular_Payments+1), Tm_Balloon_Amt,
   TRUE, 0
)</f>
        <v>0</v>
      </c>
      <c r="O1559" s="1850" cm="1">
        <f t="array" ref="O1559">_xlfn.IFS(
    M1559=0,0,
   ABS(N1559 - S1558 - P1559-Q1559) &lt; 1, N1559 - S1558-Q1559,
    TRUE, P1559
)</f>
        <v>0</v>
      </c>
      <c r="P1559" s="1852">
        <f>IF(M1559=0,0,ROUND(S1558*EXP(Int_Rate/365.25 * M1559)-S1558,2))</f>
        <v>0</v>
      </c>
      <c r="Q1559" s="1851" cm="1">
        <f t="array" ref="Q1559">_xlfn.IFS(
    AND(I1559=TRUE, K1559&lt;=No_Regular_Payments), Periodic_Admin_Charge,
   TRUE, 0
)</f>
        <v>0</v>
      </c>
      <c r="R1559" s="1850">
        <f>N1559-O1559-Q1559</f>
        <v>0</v>
      </c>
      <c r="S1559" s="1850">
        <f>ROUND(S1558-R1559,2)</f>
        <v>0</v>
      </c>
      <c r="T1559" s="1850">
        <f>ROUND(T1558-(N1559-Q1559),2)</f>
        <v>0</v>
      </c>
      <c r="U1559" s="1849"/>
      <c r="W1559" s="1848"/>
      <c r="X1559" s="1848"/>
      <c r="Y1559" s="1848"/>
    </row>
    <row r="1560" spans="2:25" hidden="1">
      <c r="B1560" s="1815" t="b">
        <f>AND(I1560=FALSE,N1559=0,Q1559=0,L1559="")</f>
        <v>1</v>
      </c>
      <c r="C1560" s="1844" t="str" cm="1">
        <f t="array" ref="C1560">_xlfn.IFS(
    L1560="", "",
    MONTH(L1560) &lt;= End_of_Year_Month, YEAR(L1560),
    TRUE, YEAR(L1560) + 1
)</f>
        <v/>
      </c>
      <c r="F1560" s="1857">
        <f>IF(L1560="",0,L1560)</f>
        <v>0</v>
      </c>
      <c r="G1560" s="1856">
        <f>-(N1560-Q1560)</f>
        <v>0</v>
      </c>
      <c r="I1560" s="1815" t="b">
        <f>K1560&lt;=Number_Payments</f>
        <v>0</v>
      </c>
      <c r="J1560" s="1855"/>
      <c r="K1560" s="1351">
        <f>K1559+1</f>
        <v>1434</v>
      </c>
      <c r="L1560" s="1854" t="str" cm="1">
        <f t="array" ref="L1560">_xlfn.IFS(
    I1559=FALSE, "",
    Payment_Frequency="Monthly", EDATE(L1559, 1),
    Payment_Frequency="Weekly", DATE(YEAR(L1559), MONTH(L1559), DAY(L1559) + 7),
    Payment_Frequency="Fortnightly", DATE(YEAR(L1559), MONTH(L1559), DAY(L1559) + 14),
    Payment_Frequency="Quarterly", DATE(YEAR(L1559), MONTH(L1559) + 3, DAY(L1559)),
    Payment_Frequency="Yearly", DATE(YEAR(L1559) + 1, MONTH(L1559), DAY(L1559)),
    TRUE, ""
)</f>
        <v/>
      </c>
      <c r="M1560" s="1853">
        <f>IF(ISERROR(L1560-L1559),0,L1560-L1559)</f>
        <v>0</v>
      </c>
      <c r="N1560" s="1851" cm="1">
        <f t="array" ref="N1560">_xlfn.IFS(
    AND(I1560=TRUE, K1560&lt;=No_Regular_Payments), Repay_Amt,
    AND(I1560=TRUE, K1560=No_Regular_Payments+1), Tm_Balloon_Amt,
   TRUE, 0
)</f>
        <v>0</v>
      </c>
      <c r="O1560" s="1850" cm="1">
        <f t="array" ref="O1560">_xlfn.IFS(
    M1560=0,0,
   ABS(N1560 - S1559 - P1560-Q1560) &lt; 1, N1560 - S1559-Q1560,
    TRUE, P1560
)</f>
        <v>0</v>
      </c>
      <c r="P1560" s="1852">
        <f>IF(M1560=0,0,ROUND(S1559*EXP(Int_Rate/365.25 * M1560)-S1559,2))</f>
        <v>0</v>
      </c>
      <c r="Q1560" s="1851" cm="1">
        <f t="array" ref="Q1560">_xlfn.IFS(
    AND(I1560=TRUE, K1560&lt;=No_Regular_Payments), Periodic_Admin_Charge,
   TRUE, 0
)</f>
        <v>0</v>
      </c>
      <c r="R1560" s="1850">
        <f>N1560-O1560-Q1560</f>
        <v>0</v>
      </c>
      <c r="S1560" s="1850">
        <f>ROUND(S1559-R1560,2)</f>
        <v>0</v>
      </c>
      <c r="T1560" s="1850">
        <f>ROUND(T1559-(N1560-Q1560),2)</f>
        <v>0</v>
      </c>
      <c r="U1560" s="1849"/>
      <c r="W1560" s="1848"/>
      <c r="X1560" s="1848"/>
      <c r="Y1560" s="1848"/>
    </row>
    <row r="1561" spans="2:25" hidden="1">
      <c r="B1561" s="1815" t="b">
        <f>AND(I1561=FALSE,N1560=0,Q1560=0,L1560="")</f>
        <v>1</v>
      </c>
      <c r="C1561" s="1844" t="str" cm="1">
        <f t="array" ref="C1561">_xlfn.IFS(
    L1561="", "",
    MONTH(L1561) &lt;= End_of_Year_Month, YEAR(L1561),
    TRUE, YEAR(L1561) + 1
)</f>
        <v/>
      </c>
      <c r="F1561" s="1857">
        <f>IF(L1561="",0,L1561)</f>
        <v>0</v>
      </c>
      <c r="G1561" s="1856">
        <f>-(N1561-Q1561)</f>
        <v>0</v>
      </c>
      <c r="I1561" s="1815" t="b">
        <f>K1561&lt;=Number_Payments</f>
        <v>0</v>
      </c>
      <c r="J1561" s="1855"/>
      <c r="K1561" s="1351">
        <f>K1560+1</f>
        <v>1435</v>
      </c>
      <c r="L1561" s="1854" t="str" cm="1">
        <f t="array" ref="L1561">_xlfn.IFS(
    I1560=FALSE, "",
    Payment_Frequency="Monthly", EDATE(L1560, 1),
    Payment_Frequency="Weekly", DATE(YEAR(L1560), MONTH(L1560), DAY(L1560) + 7),
    Payment_Frequency="Fortnightly", DATE(YEAR(L1560), MONTH(L1560), DAY(L1560) + 14),
    Payment_Frequency="Quarterly", DATE(YEAR(L1560), MONTH(L1560) + 3, DAY(L1560)),
    Payment_Frequency="Yearly", DATE(YEAR(L1560) + 1, MONTH(L1560), DAY(L1560)),
    TRUE, ""
)</f>
        <v/>
      </c>
      <c r="M1561" s="1853">
        <f>IF(ISERROR(L1561-L1560),0,L1561-L1560)</f>
        <v>0</v>
      </c>
      <c r="N1561" s="1851" cm="1">
        <f t="array" ref="N1561">_xlfn.IFS(
    AND(I1561=TRUE, K1561&lt;=No_Regular_Payments), Repay_Amt,
    AND(I1561=TRUE, K1561=No_Regular_Payments+1), Tm_Balloon_Amt,
   TRUE, 0
)</f>
        <v>0</v>
      </c>
      <c r="O1561" s="1850" cm="1">
        <f t="array" ref="O1561">_xlfn.IFS(
    M1561=0,0,
   ABS(N1561 - S1560 - P1561-Q1561) &lt; 1, N1561 - S1560-Q1561,
    TRUE, P1561
)</f>
        <v>0</v>
      </c>
      <c r="P1561" s="1852">
        <f>IF(M1561=0,0,ROUND(S1560*EXP(Int_Rate/365.25 * M1561)-S1560,2))</f>
        <v>0</v>
      </c>
      <c r="Q1561" s="1851" cm="1">
        <f t="array" ref="Q1561">_xlfn.IFS(
    AND(I1561=TRUE, K1561&lt;=No_Regular_Payments), Periodic_Admin_Charge,
   TRUE, 0
)</f>
        <v>0</v>
      </c>
      <c r="R1561" s="1850">
        <f>N1561-O1561-Q1561</f>
        <v>0</v>
      </c>
      <c r="S1561" s="1850">
        <f>ROUND(S1560-R1561,2)</f>
        <v>0</v>
      </c>
      <c r="T1561" s="1850">
        <f>ROUND(T1560-(N1561-Q1561),2)</f>
        <v>0</v>
      </c>
      <c r="U1561" s="1849"/>
      <c r="W1561" s="1848"/>
      <c r="X1561" s="1848"/>
      <c r="Y1561" s="1848"/>
    </row>
    <row r="1562" spans="2:25" hidden="1">
      <c r="B1562" s="1815" t="b">
        <f>AND(I1562=FALSE,N1561=0,Q1561=0,L1561="")</f>
        <v>1</v>
      </c>
      <c r="C1562" s="1844" t="str" cm="1">
        <f t="array" ref="C1562">_xlfn.IFS(
    L1562="", "",
    MONTH(L1562) &lt;= End_of_Year_Month, YEAR(L1562),
    TRUE, YEAR(L1562) + 1
)</f>
        <v/>
      </c>
      <c r="F1562" s="1857">
        <f>IF(L1562="",0,L1562)</f>
        <v>0</v>
      </c>
      <c r="G1562" s="1856">
        <f>-(N1562-Q1562)</f>
        <v>0</v>
      </c>
      <c r="I1562" s="1815" t="b">
        <f>K1562&lt;=Number_Payments</f>
        <v>0</v>
      </c>
      <c r="J1562" s="1855"/>
      <c r="K1562" s="1351">
        <f>K1561+1</f>
        <v>1436</v>
      </c>
      <c r="L1562" s="1854" t="str" cm="1">
        <f t="array" ref="L1562">_xlfn.IFS(
    I1561=FALSE, "",
    Payment_Frequency="Monthly", EDATE(L1561, 1),
    Payment_Frequency="Weekly", DATE(YEAR(L1561), MONTH(L1561), DAY(L1561) + 7),
    Payment_Frequency="Fortnightly", DATE(YEAR(L1561), MONTH(L1561), DAY(L1561) + 14),
    Payment_Frequency="Quarterly", DATE(YEAR(L1561), MONTH(L1561) + 3, DAY(L1561)),
    Payment_Frequency="Yearly", DATE(YEAR(L1561) + 1, MONTH(L1561), DAY(L1561)),
    TRUE, ""
)</f>
        <v/>
      </c>
      <c r="M1562" s="1853">
        <f>IF(ISERROR(L1562-L1561),0,L1562-L1561)</f>
        <v>0</v>
      </c>
      <c r="N1562" s="1851" cm="1">
        <f t="array" ref="N1562">_xlfn.IFS(
    AND(I1562=TRUE, K1562&lt;=No_Regular_Payments), Repay_Amt,
    AND(I1562=TRUE, K1562=No_Regular_Payments+1), Tm_Balloon_Amt,
   TRUE, 0
)</f>
        <v>0</v>
      </c>
      <c r="O1562" s="1850" cm="1">
        <f t="array" ref="O1562">_xlfn.IFS(
    M1562=0,0,
   ABS(N1562 - S1561 - P1562-Q1562) &lt; 1, N1562 - S1561-Q1562,
    TRUE, P1562
)</f>
        <v>0</v>
      </c>
      <c r="P1562" s="1852">
        <f>IF(M1562=0,0,ROUND(S1561*EXP(Int_Rate/365.25 * M1562)-S1561,2))</f>
        <v>0</v>
      </c>
      <c r="Q1562" s="1851" cm="1">
        <f t="array" ref="Q1562">_xlfn.IFS(
    AND(I1562=TRUE, K1562&lt;=No_Regular_Payments), Periodic_Admin_Charge,
   TRUE, 0
)</f>
        <v>0</v>
      </c>
      <c r="R1562" s="1850">
        <f>N1562-O1562-Q1562</f>
        <v>0</v>
      </c>
      <c r="S1562" s="1850">
        <f>ROUND(S1561-R1562,2)</f>
        <v>0</v>
      </c>
      <c r="T1562" s="1850">
        <f>ROUND(T1561-(N1562-Q1562),2)</f>
        <v>0</v>
      </c>
      <c r="U1562" s="1849"/>
      <c r="W1562" s="1848"/>
      <c r="X1562" s="1848"/>
      <c r="Y1562" s="1848"/>
    </row>
    <row r="1563" spans="2:25" hidden="1">
      <c r="B1563" s="1815" t="b">
        <f>AND(I1563=FALSE,N1562=0,Q1562=0,L1562="")</f>
        <v>1</v>
      </c>
      <c r="C1563" s="1844" t="str" cm="1">
        <f t="array" ref="C1563">_xlfn.IFS(
    L1563="", "",
    MONTH(L1563) &lt;= End_of_Year_Month, YEAR(L1563),
    TRUE, YEAR(L1563) + 1
)</f>
        <v/>
      </c>
      <c r="F1563" s="1857">
        <f>IF(L1563="",0,L1563)</f>
        <v>0</v>
      </c>
      <c r="G1563" s="1856">
        <f>-(N1563-Q1563)</f>
        <v>0</v>
      </c>
      <c r="I1563" s="1815" t="b">
        <f>K1563&lt;=Number_Payments</f>
        <v>0</v>
      </c>
      <c r="J1563" s="1855"/>
      <c r="K1563" s="1351">
        <f>K1562+1</f>
        <v>1437</v>
      </c>
      <c r="L1563" s="1854" t="str" cm="1">
        <f t="array" ref="L1563">_xlfn.IFS(
    I1562=FALSE, "",
    Payment_Frequency="Monthly", EDATE(L1562, 1),
    Payment_Frequency="Weekly", DATE(YEAR(L1562), MONTH(L1562), DAY(L1562) + 7),
    Payment_Frequency="Fortnightly", DATE(YEAR(L1562), MONTH(L1562), DAY(L1562) + 14),
    Payment_Frequency="Quarterly", DATE(YEAR(L1562), MONTH(L1562) + 3, DAY(L1562)),
    Payment_Frequency="Yearly", DATE(YEAR(L1562) + 1, MONTH(L1562), DAY(L1562)),
    TRUE, ""
)</f>
        <v/>
      </c>
      <c r="M1563" s="1853">
        <f>IF(ISERROR(L1563-L1562),0,L1563-L1562)</f>
        <v>0</v>
      </c>
      <c r="N1563" s="1851" cm="1">
        <f t="array" ref="N1563">_xlfn.IFS(
    AND(I1563=TRUE, K1563&lt;=No_Regular_Payments), Repay_Amt,
    AND(I1563=TRUE, K1563=No_Regular_Payments+1), Tm_Balloon_Amt,
   TRUE, 0
)</f>
        <v>0</v>
      </c>
      <c r="O1563" s="1850" cm="1">
        <f t="array" ref="O1563">_xlfn.IFS(
    M1563=0,0,
   ABS(N1563 - S1562 - P1563-Q1563) &lt; 1, N1563 - S1562-Q1563,
    TRUE, P1563
)</f>
        <v>0</v>
      </c>
      <c r="P1563" s="1852">
        <f>IF(M1563=0,0,ROUND(S1562*EXP(Int_Rate/365.25 * M1563)-S1562,2))</f>
        <v>0</v>
      </c>
      <c r="Q1563" s="1851" cm="1">
        <f t="array" ref="Q1563">_xlfn.IFS(
    AND(I1563=TRUE, K1563&lt;=No_Regular_Payments), Periodic_Admin_Charge,
   TRUE, 0
)</f>
        <v>0</v>
      </c>
      <c r="R1563" s="1850">
        <f>N1563-O1563-Q1563</f>
        <v>0</v>
      </c>
      <c r="S1563" s="1850">
        <f>ROUND(S1562-R1563,2)</f>
        <v>0</v>
      </c>
      <c r="T1563" s="1850">
        <f>ROUND(T1562-(N1563-Q1563),2)</f>
        <v>0</v>
      </c>
      <c r="U1563" s="1849"/>
      <c r="W1563" s="1848"/>
      <c r="X1563" s="1848"/>
      <c r="Y1563" s="1848"/>
    </row>
    <row r="1564" spans="2:25" hidden="1">
      <c r="B1564" s="1815" t="b">
        <f>AND(I1564=FALSE,N1563=0,Q1563=0,L1563="")</f>
        <v>1</v>
      </c>
      <c r="C1564" s="1844" t="str" cm="1">
        <f t="array" ref="C1564">_xlfn.IFS(
    L1564="", "",
    MONTH(L1564) &lt;= End_of_Year_Month, YEAR(L1564),
    TRUE, YEAR(L1564) + 1
)</f>
        <v/>
      </c>
      <c r="F1564" s="1857">
        <f>IF(L1564="",0,L1564)</f>
        <v>0</v>
      </c>
      <c r="G1564" s="1856">
        <f>-(N1564-Q1564)</f>
        <v>0</v>
      </c>
      <c r="I1564" s="1815" t="b">
        <f>K1564&lt;=Number_Payments</f>
        <v>0</v>
      </c>
      <c r="J1564" s="1855"/>
      <c r="K1564" s="1351">
        <f>K1563+1</f>
        <v>1438</v>
      </c>
      <c r="L1564" s="1854" t="str" cm="1">
        <f t="array" ref="L1564">_xlfn.IFS(
    I1563=FALSE, "",
    Payment_Frequency="Monthly", EDATE(L1563, 1),
    Payment_Frequency="Weekly", DATE(YEAR(L1563), MONTH(L1563), DAY(L1563) + 7),
    Payment_Frequency="Fortnightly", DATE(YEAR(L1563), MONTH(L1563), DAY(L1563) + 14),
    Payment_Frequency="Quarterly", DATE(YEAR(L1563), MONTH(L1563) + 3, DAY(L1563)),
    Payment_Frequency="Yearly", DATE(YEAR(L1563) + 1, MONTH(L1563), DAY(L1563)),
    TRUE, ""
)</f>
        <v/>
      </c>
      <c r="M1564" s="1853">
        <f>IF(ISERROR(L1564-L1563),0,L1564-L1563)</f>
        <v>0</v>
      </c>
      <c r="N1564" s="1851" cm="1">
        <f t="array" ref="N1564">_xlfn.IFS(
    AND(I1564=TRUE, K1564&lt;=No_Regular_Payments), Repay_Amt,
    AND(I1564=TRUE, K1564=No_Regular_Payments+1), Tm_Balloon_Amt,
   TRUE, 0
)</f>
        <v>0</v>
      </c>
      <c r="O1564" s="1850" cm="1">
        <f t="array" ref="O1564">_xlfn.IFS(
    M1564=0,0,
   ABS(N1564 - S1563 - P1564-Q1564) &lt; 1, N1564 - S1563-Q1564,
    TRUE, P1564
)</f>
        <v>0</v>
      </c>
      <c r="P1564" s="1852">
        <f>IF(M1564=0,0,ROUND(S1563*EXP(Int_Rate/365.25 * M1564)-S1563,2))</f>
        <v>0</v>
      </c>
      <c r="Q1564" s="1851" cm="1">
        <f t="array" ref="Q1564">_xlfn.IFS(
    AND(I1564=TRUE, K1564&lt;=No_Regular_Payments), Periodic_Admin_Charge,
   TRUE, 0
)</f>
        <v>0</v>
      </c>
      <c r="R1564" s="1850">
        <f>N1564-O1564-Q1564</f>
        <v>0</v>
      </c>
      <c r="S1564" s="1850">
        <f>ROUND(S1563-R1564,2)</f>
        <v>0</v>
      </c>
      <c r="T1564" s="1850">
        <f>ROUND(T1563-(N1564-Q1564),2)</f>
        <v>0</v>
      </c>
      <c r="U1564" s="1849"/>
      <c r="W1564" s="1848"/>
      <c r="X1564" s="1848"/>
      <c r="Y1564" s="1848"/>
    </row>
    <row r="1565" spans="2:25" hidden="1">
      <c r="B1565" s="1815" t="b">
        <f>AND(I1565=FALSE,N1564=0,Q1564=0,L1564="")</f>
        <v>1</v>
      </c>
      <c r="C1565" s="1844" t="str" cm="1">
        <f t="array" ref="C1565">_xlfn.IFS(
    L1565="", "",
    MONTH(L1565) &lt;= End_of_Year_Month, YEAR(L1565),
    TRUE, YEAR(L1565) + 1
)</f>
        <v/>
      </c>
      <c r="F1565" s="1857">
        <f>IF(L1565="",0,L1565)</f>
        <v>0</v>
      </c>
      <c r="G1565" s="1856">
        <f>-(N1565-Q1565)</f>
        <v>0</v>
      </c>
      <c r="I1565" s="1815" t="b">
        <f>K1565&lt;=Number_Payments</f>
        <v>0</v>
      </c>
      <c r="J1565" s="1855"/>
      <c r="K1565" s="1351">
        <f>K1564+1</f>
        <v>1439</v>
      </c>
      <c r="L1565" s="1854" t="str" cm="1">
        <f t="array" ref="L1565">_xlfn.IFS(
    I1564=FALSE, "",
    Payment_Frequency="Monthly", EDATE(L1564, 1),
    Payment_Frequency="Weekly", DATE(YEAR(L1564), MONTH(L1564), DAY(L1564) + 7),
    Payment_Frequency="Fortnightly", DATE(YEAR(L1564), MONTH(L1564), DAY(L1564) + 14),
    Payment_Frequency="Quarterly", DATE(YEAR(L1564), MONTH(L1564) + 3, DAY(L1564)),
    Payment_Frequency="Yearly", DATE(YEAR(L1564) + 1, MONTH(L1564), DAY(L1564)),
    TRUE, ""
)</f>
        <v/>
      </c>
      <c r="M1565" s="1853">
        <f>IF(ISERROR(L1565-L1564),0,L1565-L1564)</f>
        <v>0</v>
      </c>
      <c r="N1565" s="1851" cm="1">
        <f t="array" ref="N1565">_xlfn.IFS(
    AND(I1565=TRUE, K1565&lt;=No_Regular_Payments), Repay_Amt,
    AND(I1565=TRUE, K1565=No_Regular_Payments+1), Tm_Balloon_Amt,
   TRUE, 0
)</f>
        <v>0</v>
      </c>
      <c r="O1565" s="1850" cm="1">
        <f t="array" ref="O1565">_xlfn.IFS(
    M1565=0,0,
   ABS(N1565 - S1564 - P1565-Q1565) &lt; 1, N1565 - S1564-Q1565,
    TRUE, P1565
)</f>
        <v>0</v>
      </c>
      <c r="P1565" s="1852">
        <f>IF(M1565=0,0,ROUND(S1564*EXP(Int_Rate/365.25 * M1565)-S1564,2))</f>
        <v>0</v>
      </c>
      <c r="Q1565" s="1851" cm="1">
        <f t="array" ref="Q1565">_xlfn.IFS(
    AND(I1565=TRUE, K1565&lt;=No_Regular_Payments), Periodic_Admin_Charge,
   TRUE, 0
)</f>
        <v>0</v>
      </c>
      <c r="R1565" s="1850">
        <f>N1565-O1565-Q1565</f>
        <v>0</v>
      </c>
      <c r="S1565" s="1850">
        <f>ROUND(S1564-R1565,2)</f>
        <v>0</v>
      </c>
      <c r="T1565" s="1850">
        <f>ROUND(T1564-(N1565-Q1565),2)</f>
        <v>0</v>
      </c>
      <c r="U1565" s="1849"/>
      <c r="W1565" s="1848"/>
      <c r="X1565" s="1848"/>
      <c r="Y1565" s="1848"/>
    </row>
    <row r="1566" spans="2:25" hidden="1">
      <c r="B1566" s="1815" t="b">
        <f>AND(I1566=FALSE,N1565=0,Q1565=0,L1565="")</f>
        <v>1</v>
      </c>
      <c r="C1566" s="1844" t="str" cm="1">
        <f t="array" ref="C1566">_xlfn.IFS(
    L1566="", "",
    MONTH(L1566) &lt;= End_of_Year_Month, YEAR(L1566),
    TRUE, YEAR(L1566) + 1
)</f>
        <v/>
      </c>
      <c r="F1566" s="1857">
        <f>IF(L1566="",0,L1566)</f>
        <v>0</v>
      </c>
      <c r="G1566" s="1856">
        <f>-(N1566-Q1566)</f>
        <v>0</v>
      </c>
      <c r="I1566" s="1815" t="b">
        <f>K1566&lt;=Number_Payments</f>
        <v>0</v>
      </c>
      <c r="J1566" s="1855"/>
      <c r="K1566" s="1351">
        <f>K1565+1</f>
        <v>1440</v>
      </c>
      <c r="L1566" s="1854" t="str" cm="1">
        <f t="array" ref="L1566">_xlfn.IFS(
    I1565=FALSE, "",
    Payment_Frequency="Monthly", EDATE(L1565, 1),
    Payment_Frequency="Weekly", DATE(YEAR(L1565), MONTH(L1565), DAY(L1565) + 7),
    Payment_Frequency="Fortnightly", DATE(YEAR(L1565), MONTH(L1565), DAY(L1565) + 14),
    Payment_Frequency="Quarterly", DATE(YEAR(L1565), MONTH(L1565) + 3, DAY(L1565)),
    Payment_Frequency="Yearly", DATE(YEAR(L1565) + 1, MONTH(L1565), DAY(L1565)),
    TRUE, ""
)</f>
        <v/>
      </c>
      <c r="M1566" s="1853">
        <f>IF(ISERROR(L1566-L1565),0,L1566-L1565)</f>
        <v>0</v>
      </c>
      <c r="N1566" s="1851" cm="1">
        <f t="array" ref="N1566">_xlfn.IFS(
    AND(I1566=TRUE, K1566&lt;=No_Regular_Payments), Repay_Amt,
    AND(I1566=TRUE, K1566=No_Regular_Payments+1), Tm_Balloon_Amt,
   TRUE, 0
)</f>
        <v>0</v>
      </c>
      <c r="O1566" s="1850" cm="1">
        <f t="array" ref="O1566">_xlfn.IFS(
    M1566=0,0,
   ABS(N1566 - S1565 - P1566-Q1566) &lt; 1, N1566 - S1565-Q1566,
    TRUE, P1566
)</f>
        <v>0</v>
      </c>
      <c r="P1566" s="1852">
        <f>IF(M1566=0,0,ROUND(S1565*EXP(Int_Rate/365.25 * M1566)-S1565,2))</f>
        <v>0</v>
      </c>
      <c r="Q1566" s="1851" cm="1">
        <f t="array" ref="Q1566">_xlfn.IFS(
    AND(I1566=TRUE, K1566&lt;=No_Regular_Payments), Periodic_Admin_Charge,
   TRUE, 0
)</f>
        <v>0</v>
      </c>
      <c r="R1566" s="1850">
        <f>N1566-O1566-Q1566</f>
        <v>0</v>
      </c>
      <c r="S1566" s="1850">
        <f>ROUND(S1565-R1566,2)</f>
        <v>0</v>
      </c>
      <c r="T1566" s="1850">
        <f>ROUND(T1565-(N1566-Q1566),2)</f>
        <v>0</v>
      </c>
      <c r="U1566" s="1849"/>
      <c r="W1566" s="1848"/>
      <c r="X1566" s="1848"/>
      <c r="Y1566" s="1848"/>
    </row>
    <row r="1567" spans="2:25" hidden="1">
      <c r="B1567" s="1815" t="b">
        <f>AND(I1567=FALSE,N1566=0,Q1566=0,L1566="")</f>
        <v>1</v>
      </c>
      <c r="C1567" s="1844" t="str" cm="1">
        <f t="array" ref="C1567">_xlfn.IFS(
    L1567="", "",
    MONTH(L1567) &lt;= End_of_Year_Month, YEAR(L1567),
    TRUE, YEAR(L1567) + 1
)</f>
        <v/>
      </c>
      <c r="F1567" s="1857">
        <f>IF(L1567="",0,L1567)</f>
        <v>0</v>
      </c>
      <c r="G1567" s="1856">
        <f>-(N1567-Q1567)</f>
        <v>0</v>
      </c>
      <c r="I1567" s="1815" t="b">
        <f>K1567&lt;=Number_Payments</f>
        <v>0</v>
      </c>
      <c r="J1567" s="1855"/>
      <c r="K1567" s="1351">
        <f>K1566+1</f>
        <v>1441</v>
      </c>
      <c r="L1567" s="1854" t="str" cm="1">
        <f t="array" ref="L1567">_xlfn.IFS(
    I1566=FALSE, "",
    Payment_Frequency="Monthly", EDATE(L1566, 1),
    Payment_Frequency="Weekly", DATE(YEAR(L1566), MONTH(L1566), DAY(L1566) + 7),
    Payment_Frequency="Fortnightly", DATE(YEAR(L1566), MONTH(L1566), DAY(L1566) + 14),
    Payment_Frequency="Quarterly", DATE(YEAR(L1566), MONTH(L1566) + 3, DAY(L1566)),
    Payment_Frequency="Yearly", DATE(YEAR(L1566) + 1, MONTH(L1566), DAY(L1566)),
    TRUE, ""
)</f>
        <v/>
      </c>
      <c r="M1567" s="1853">
        <f>IF(ISERROR(L1567-L1566),0,L1567-L1566)</f>
        <v>0</v>
      </c>
      <c r="N1567" s="1851" cm="1">
        <f t="array" ref="N1567">_xlfn.IFS(
    AND(I1567=TRUE, K1567&lt;=No_Regular_Payments), Repay_Amt,
    AND(I1567=TRUE, K1567=No_Regular_Payments+1), Tm_Balloon_Amt,
   TRUE, 0
)</f>
        <v>0</v>
      </c>
      <c r="O1567" s="1850" cm="1">
        <f t="array" ref="O1567">_xlfn.IFS(
    M1567=0,0,
   ABS(N1567 - S1566 - P1567-Q1567) &lt; 1, N1567 - S1566-Q1567,
    TRUE, P1567
)</f>
        <v>0</v>
      </c>
      <c r="P1567" s="1852">
        <f>IF(M1567=0,0,ROUND(S1566*EXP(Int_Rate/365.25 * M1567)-S1566,2))</f>
        <v>0</v>
      </c>
      <c r="Q1567" s="1851" cm="1">
        <f t="array" ref="Q1567">_xlfn.IFS(
    AND(I1567=TRUE, K1567&lt;=No_Regular_Payments), Periodic_Admin_Charge,
   TRUE, 0
)</f>
        <v>0</v>
      </c>
      <c r="R1567" s="1850">
        <f>N1567-O1567-Q1567</f>
        <v>0</v>
      </c>
      <c r="S1567" s="1850">
        <f>ROUND(S1566-R1567,2)</f>
        <v>0</v>
      </c>
      <c r="T1567" s="1850">
        <f>ROUND(T1566-(N1567-Q1567),2)</f>
        <v>0</v>
      </c>
      <c r="U1567" s="1849"/>
      <c r="W1567" s="1848"/>
      <c r="X1567" s="1848"/>
      <c r="Y1567" s="1848"/>
    </row>
    <row r="1568" spans="2:25" hidden="1">
      <c r="B1568" s="1815" t="b">
        <f>AND(I1568=FALSE,N1567=0,Q1567=0,L1567="")</f>
        <v>1</v>
      </c>
      <c r="C1568" s="1844" t="str" cm="1">
        <f t="array" ref="C1568">_xlfn.IFS(
    L1568="", "",
    MONTH(L1568) &lt;= End_of_Year_Month, YEAR(L1568),
    TRUE, YEAR(L1568) + 1
)</f>
        <v/>
      </c>
      <c r="F1568" s="1857">
        <f>IF(L1568="",0,L1568)</f>
        <v>0</v>
      </c>
      <c r="G1568" s="1856">
        <f>-(N1568-Q1568)</f>
        <v>0</v>
      </c>
      <c r="I1568" s="1815" t="b">
        <f>K1568&lt;=Number_Payments</f>
        <v>0</v>
      </c>
      <c r="J1568" s="1855"/>
      <c r="K1568" s="1351">
        <f>K1567+1</f>
        <v>1442</v>
      </c>
      <c r="L1568" s="1854" t="str" cm="1">
        <f t="array" ref="L1568">_xlfn.IFS(
    I1567=FALSE, "",
    Payment_Frequency="Monthly", EDATE(L1567, 1),
    Payment_Frequency="Weekly", DATE(YEAR(L1567), MONTH(L1567), DAY(L1567) + 7),
    Payment_Frequency="Fortnightly", DATE(YEAR(L1567), MONTH(L1567), DAY(L1567) + 14),
    Payment_Frequency="Quarterly", DATE(YEAR(L1567), MONTH(L1567) + 3, DAY(L1567)),
    Payment_Frequency="Yearly", DATE(YEAR(L1567) + 1, MONTH(L1567), DAY(L1567)),
    TRUE, ""
)</f>
        <v/>
      </c>
      <c r="M1568" s="1853">
        <f>IF(ISERROR(L1568-L1567),0,L1568-L1567)</f>
        <v>0</v>
      </c>
      <c r="N1568" s="1851" cm="1">
        <f t="array" ref="N1568">_xlfn.IFS(
    AND(I1568=TRUE, K1568&lt;=No_Regular_Payments), Repay_Amt,
    AND(I1568=TRUE, K1568=No_Regular_Payments+1), Tm_Balloon_Amt,
   TRUE, 0
)</f>
        <v>0</v>
      </c>
      <c r="O1568" s="1850" cm="1">
        <f t="array" ref="O1568">_xlfn.IFS(
    M1568=0,0,
   ABS(N1568 - S1567 - P1568-Q1568) &lt; 1, N1568 - S1567-Q1568,
    TRUE, P1568
)</f>
        <v>0</v>
      </c>
      <c r="P1568" s="1852">
        <f>IF(M1568=0,0,ROUND(S1567*EXP(Int_Rate/365.25 * M1568)-S1567,2))</f>
        <v>0</v>
      </c>
      <c r="Q1568" s="1851" cm="1">
        <f t="array" ref="Q1568">_xlfn.IFS(
    AND(I1568=TRUE, K1568&lt;=No_Regular_Payments), Periodic_Admin_Charge,
   TRUE, 0
)</f>
        <v>0</v>
      </c>
      <c r="R1568" s="1850">
        <f>N1568-O1568-Q1568</f>
        <v>0</v>
      </c>
      <c r="S1568" s="1850">
        <f>ROUND(S1567-R1568,2)</f>
        <v>0</v>
      </c>
      <c r="T1568" s="1850">
        <f>ROUND(T1567-(N1568-Q1568),2)</f>
        <v>0</v>
      </c>
      <c r="U1568" s="1849"/>
      <c r="W1568" s="1848"/>
      <c r="X1568" s="1848"/>
      <c r="Y1568" s="1848"/>
    </row>
    <row r="1569" spans="2:25" hidden="1">
      <c r="B1569" s="1815" t="b">
        <f>AND(I1569=FALSE,N1568=0,Q1568=0,L1568="")</f>
        <v>1</v>
      </c>
      <c r="C1569" s="1844" t="str" cm="1">
        <f t="array" ref="C1569">_xlfn.IFS(
    L1569="", "",
    MONTH(L1569) &lt;= End_of_Year_Month, YEAR(L1569),
    TRUE, YEAR(L1569) + 1
)</f>
        <v/>
      </c>
      <c r="F1569" s="1857">
        <f>IF(L1569="",0,L1569)</f>
        <v>0</v>
      </c>
      <c r="G1569" s="1856">
        <f>-(N1569-Q1569)</f>
        <v>0</v>
      </c>
      <c r="I1569" s="1815" t="b">
        <f>K1569&lt;=Number_Payments</f>
        <v>0</v>
      </c>
      <c r="J1569" s="1855"/>
      <c r="K1569" s="1351">
        <f>K1568+1</f>
        <v>1443</v>
      </c>
      <c r="L1569" s="1854" t="str" cm="1">
        <f t="array" ref="L1569">_xlfn.IFS(
    I1568=FALSE, "",
    Payment_Frequency="Monthly", EDATE(L1568, 1),
    Payment_Frequency="Weekly", DATE(YEAR(L1568), MONTH(L1568), DAY(L1568) + 7),
    Payment_Frequency="Fortnightly", DATE(YEAR(L1568), MONTH(L1568), DAY(L1568) + 14),
    Payment_Frequency="Quarterly", DATE(YEAR(L1568), MONTH(L1568) + 3, DAY(L1568)),
    Payment_Frequency="Yearly", DATE(YEAR(L1568) + 1, MONTH(L1568), DAY(L1568)),
    TRUE, ""
)</f>
        <v/>
      </c>
      <c r="M1569" s="1853">
        <f>IF(ISERROR(L1569-L1568),0,L1569-L1568)</f>
        <v>0</v>
      </c>
      <c r="N1569" s="1851" cm="1">
        <f t="array" ref="N1569">_xlfn.IFS(
    AND(I1569=TRUE, K1569&lt;=No_Regular_Payments), Repay_Amt,
    AND(I1569=TRUE, K1569=No_Regular_Payments+1), Tm_Balloon_Amt,
   TRUE, 0
)</f>
        <v>0</v>
      </c>
      <c r="O1569" s="1850" cm="1">
        <f t="array" ref="O1569">_xlfn.IFS(
    M1569=0,0,
   ABS(N1569 - S1568 - P1569-Q1569) &lt; 1, N1569 - S1568-Q1569,
    TRUE, P1569
)</f>
        <v>0</v>
      </c>
      <c r="P1569" s="1852">
        <f>IF(M1569=0,0,ROUND(S1568*EXP(Int_Rate/365.25 * M1569)-S1568,2))</f>
        <v>0</v>
      </c>
      <c r="Q1569" s="1851" cm="1">
        <f t="array" ref="Q1569">_xlfn.IFS(
    AND(I1569=TRUE, K1569&lt;=No_Regular_Payments), Periodic_Admin_Charge,
   TRUE, 0
)</f>
        <v>0</v>
      </c>
      <c r="R1569" s="1850">
        <f>N1569-O1569-Q1569</f>
        <v>0</v>
      </c>
      <c r="S1569" s="1850">
        <f>ROUND(S1568-R1569,2)</f>
        <v>0</v>
      </c>
      <c r="T1569" s="1850">
        <f>ROUND(T1568-(N1569-Q1569),2)</f>
        <v>0</v>
      </c>
      <c r="U1569" s="1849"/>
      <c r="W1569" s="1848"/>
      <c r="X1569" s="1848"/>
      <c r="Y1569" s="1848"/>
    </row>
    <row r="1570" spans="2:25" hidden="1">
      <c r="B1570" s="1815" t="b">
        <f>AND(I1570=FALSE,N1569=0,Q1569=0,L1569="")</f>
        <v>1</v>
      </c>
      <c r="C1570" s="1844" t="str" cm="1">
        <f t="array" ref="C1570">_xlfn.IFS(
    L1570="", "",
    MONTH(L1570) &lt;= End_of_Year_Month, YEAR(L1570),
    TRUE, YEAR(L1570) + 1
)</f>
        <v/>
      </c>
      <c r="F1570" s="1857">
        <f>IF(L1570="",0,L1570)</f>
        <v>0</v>
      </c>
      <c r="G1570" s="1856">
        <f>-(N1570-Q1570)</f>
        <v>0</v>
      </c>
      <c r="I1570" s="1815" t="b">
        <f>K1570&lt;=Number_Payments</f>
        <v>0</v>
      </c>
      <c r="J1570" s="1855"/>
      <c r="K1570" s="1351">
        <f>K1569+1</f>
        <v>1444</v>
      </c>
      <c r="L1570" s="1854" t="str" cm="1">
        <f t="array" ref="L1570">_xlfn.IFS(
    I1569=FALSE, "",
    Payment_Frequency="Monthly", EDATE(L1569, 1),
    Payment_Frequency="Weekly", DATE(YEAR(L1569), MONTH(L1569), DAY(L1569) + 7),
    Payment_Frequency="Fortnightly", DATE(YEAR(L1569), MONTH(L1569), DAY(L1569) + 14),
    Payment_Frequency="Quarterly", DATE(YEAR(L1569), MONTH(L1569) + 3, DAY(L1569)),
    Payment_Frequency="Yearly", DATE(YEAR(L1569) + 1, MONTH(L1569), DAY(L1569)),
    TRUE, ""
)</f>
        <v/>
      </c>
      <c r="M1570" s="1853">
        <f>IF(ISERROR(L1570-L1569),0,L1570-L1569)</f>
        <v>0</v>
      </c>
      <c r="N1570" s="1851" cm="1">
        <f t="array" ref="N1570">_xlfn.IFS(
    AND(I1570=TRUE, K1570&lt;=No_Regular_Payments), Repay_Amt,
    AND(I1570=TRUE, K1570=No_Regular_Payments+1), Tm_Balloon_Amt,
   TRUE, 0
)</f>
        <v>0</v>
      </c>
      <c r="O1570" s="1850" cm="1">
        <f t="array" ref="O1570">_xlfn.IFS(
    M1570=0,0,
   ABS(N1570 - S1569 - P1570-Q1570) &lt; 1, N1570 - S1569-Q1570,
    TRUE, P1570
)</f>
        <v>0</v>
      </c>
      <c r="P1570" s="1852">
        <f>IF(M1570=0,0,ROUND(S1569*EXP(Int_Rate/365.25 * M1570)-S1569,2))</f>
        <v>0</v>
      </c>
      <c r="Q1570" s="1851" cm="1">
        <f t="array" ref="Q1570">_xlfn.IFS(
    AND(I1570=TRUE, K1570&lt;=No_Regular_Payments), Periodic_Admin_Charge,
   TRUE, 0
)</f>
        <v>0</v>
      </c>
      <c r="R1570" s="1850">
        <f>N1570-O1570-Q1570</f>
        <v>0</v>
      </c>
      <c r="S1570" s="1850">
        <f>ROUND(S1569-R1570,2)</f>
        <v>0</v>
      </c>
      <c r="T1570" s="1850">
        <f>ROUND(T1569-(N1570-Q1570),2)</f>
        <v>0</v>
      </c>
      <c r="U1570" s="1849"/>
      <c r="W1570" s="1848"/>
      <c r="X1570" s="1848"/>
      <c r="Y1570" s="1848"/>
    </row>
    <row r="1571" spans="2:25" hidden="1">
      <c r="B1571" s="1815" t="b">
        <f>AND(I1571=FALSE,N1570=0,Q1570=0,L1570="")</f>
        <v>1</v>
      </c>
      <c r="C1571" s="1844" t="str" cm="1">
        <f t="array" ref="C1571">_xlfn.IFS(
    L1571="", "",
    MONTH(L1571) &lt;= End_of_Year_Month, YEAR(L1571),
    TRUE, YEAR(L1571) + 1
)</f>
        <v/>
      </c>
      <c r="F1571" s="1857">
        <f>IF(L1571="",0,L1571)</f>
        <v>0</v>
      </c>
      <c r="G1571" s="1856">
        <f>-(N1571-Q1571)</f>
        <v>0</v>
      </c>
      <c r="I1571" s="1815" t="b">
        <f>K1571&lt;=Number_Payments</f>
        <v>0</v>
      </c>
      <c r="J1571" s="1855"/>
      <c r="K1571" s="1351">
        <f>K1570+1</f>
        <v>1445</v>
      </c>
      <c r="L1571" s="1854" t="str" cm="1">
        <f t="array" ref="L1571">_xlfn.IFS(
    I1570=FALSE, "",
    Payment_Frequency="Monthly", EDATE(L1570, 1),
    Payment_Frequency="Weekly", DATE(YEAR(L1570), MONTH(L1570), DAY(L1570) + 7),
    Payment_Frequency="Fortnightly", DATE(YEAR(L1570), MONTH(L1570), DAY(L1570) + 14),
    Payment_Frequency="Quarterly", DATE(YEAR(L1570), MONTH(L1570) + 3, DAY(L1570)),
    Payment_Frequency="Yearly", DATE(YEAR(L1570) + 1, MONTH(L1570), DAY(L1570)),
    TRUE, ""
)</f>
        <v/>
      </c>
      <c r="M1571" s="1853">
        <f>IF(ISERROR(L1571-L1570),0,L1571-L1570)</f>
        <v>0</v>
      </c>
      <c r="N1571" s="1851" cm="1">
        <f t="array" ref="N1571">_xlfn.IFS(
    AND(I1571=TRUE, K1571&lt;=No_Regular_Payments), Repay_Amt,
    AND(I1571=TRUE, K1571=No_Regular_Payments+1), Tm_Balloon_Amt,
   TRUE, 0
)</f>
        <v>0</v>
      </c>
      <c r="O1571" s="1850" cm="1">
        <f t="array" ref="O1571">_xlfn.IFS(
    M1571=0,0,
   ABS(N1571 - S1570 - P1571-Q1571) &lt; 1, N1571 - S1570-Q1571,
    TRUE, P1571
)</f>
        <v>0</v>
      </c>
      <c r="P1571" s="1852">
        <f>IF(M1571=0,0,ROUND(S1570*EXP(Int_Rate/365.25 * M1571)-S1570,2))</f>
        <v>0</v>
      </c>
      <c r="Q1571" s="1851" cm="1">
        <f t="array" ref="Q1571">_xlfn.IFS(
    AND(I1571=TRUE, K1571&lt;=No_Regular_Payments), Periodic_Admin_Charge,
   TRUE, 0
)</f>
        <v>0</v>
      </c>
      <c r="R1571" s="1850">
        <f>N1571-O1571-Q1571</f>
        <v>0</v>
      </c>
      <c r="S1571" s="1850">
        <f>ROUND(S1570-R1571,2)</f>
        <v>0</v>
      </c>
      <c r="T1571" s="1850">
        <f>ROUND(T1570-(N1571-Q1571),2)</f>
        <v>0</v>
      </c>
      <c r="U1571" s="1849"/>
      <c r="W1571" s="1848"/>
      <c r="X1571" s="1848"/>
      <c r="Y1571" s="1848"/>
    </row>
    <row r="1572" spans="2:25" hidden="1">
      <c r="B1572" s="1815" t="b">
        <f>AND(I1572=FALSE,N1571=0,Q1571=0,L1571="")</f>
        <v>1</v>
      </c>
      <c r="C1572" s="1844" t="str" cm="1">
        <f t="array" ref="C1572">_xlfn.IFS(
    L1572="", "",
    MONTH(L1572) &lt;= End_of_Year_Month, YEAR(L1572),
    TRUE, YEAR(L1572) + 1
)</f>
        <v/>
      </c>
      <c r="F1572" s="1857">
        <f>IF(L1572="",0,L1572)</f>
        <v>0</v>
      </c>
      <c r="G1572" s="1856">
        <f>-(N1572-Q1572)</f>
        <v>0</v>
      </c>
      <c r="I1572" s="1815" t="b">
        <f>K1572&lt;=Number_Payments</f>
        <v>0</v>
      </c>
      <c r="J1572" s="1855"/>
      <c r="K1572" s="1351">
        <f>K1571+1</f>
        <v>1446</v>
      </c>
      <c r="L1572" s="1854" t="str" cm="1">
        <f t="array" ref="L1572">_xlfn.IFS(
    I1571=FALSE, "",
    Payment_Frequency="Monthly", EDATE(L1571, 1),
    Payment_Frequency="Weekly", DATE(YEAR(L1571), MONTH(L1571), DAY(L1571) + 7),
    Payment_Frequency="Fortnightly", DATE(YEAR(L1571), MONTH(L1571), DAY(L1571) + 14),
    Payment_Frequency="Quarterly", DATE(YEAR(L1571), MONTH(L1571) + 3, DAY(L1571)),
    Payment_Frequency="Yearly", DATE(YEAR(L1571) + 1, MONTH(L1571), DAY(L1571)),
    TRUE, ""
)</f>
        <v/>
      </c>
      <c r="M1572" s="1853">
        <f>IF(ISERROR(L1572-L1571),0,L1572-L1571)</f>
        <v>0</v>
      </c>
      <c r="N1572" s="1851" cm="1">
        <f t="array" ref="N1572">_xlfn.IFS(
    AND(I1572=TRUE, K1572&lt;=No_Regular_Payments), Repay_Amt,
    AND(I1572=TRUE, K1572=No_Regular_Payments+1), Tm_Balloon_Amt,
   TRUE, 0
)</f>
        <v>0</v>
      </c>
      <c r="O1572" s="1850" cm="1">
        <f t="array" ref="O1572">_xlfn.IFS(
    M1572=0,0,
   ABS(N1572 - S1571 - P1572-Q1572) &lt; 1, N1572 - S1571-Q1572,
    TRUE, P1572
)</f>
        <v>0</v>
      </c>
      <c r="P1572" s="1852">
        <f>IF(M1572=0,0,ROUND(S1571*EXP(Int_Rate/365.25 * M1572)-S1571,2))</f>
        <v>0</v>
      </c>
      <c r="Q1572" s="1851" cm="1">
        <f t="array" ref="Q1572">_xlfn.IFS(
    AND(I1572=TRUE, K1572&lt;=No_Regular_Payments), Periodic_Admin_Charge,
   TRUE, 0
)</f>
        <v>0</v>
      </c>
      <c r="R1572" s="1850">
        <f>N1572-O1572-Q1572</f>
        <v>0</v>
      </c>
      <c r="S1572" s="1850">
        <f>ROUND(S1571-R1572,2)</f>
        <v>0</v>
      </c>
      <c r="T1572" s="1850">
        <f>ROUND(T1571-(N1572-Q1572),2)</f>
        <v>0</v>
      </c>
      <c r="U1572" s="1849"/>
      <c r="W1572" s="1848"/>
      <c r="X1572" s="1848"/>
      <c r="Y1572" s="1848"/>
    </row>
    <row r="1573" spans="2:25" hidden="1">
      <c r="B1573" s="1815" t="b">
        <f>AND(I1573=FALSE,N1572=0,Q1572=0,L1572="")</f>
        <v>1</v>
      </c>
      <c r="C1573" s="1844" t="str" cm="1">
        <f t="array" ref="C1573">_xlfn.IFS(
    L1573="", "",
    MONTH(L1573) &lt;= End_of_Year_Month, YEAR(L1573),
    TRUE, YEAR(L1573) + 1
)</f>
        <v/>
      </c>
      <c r="F1573" s="1857">
        <f>IF(L1573="",0,L1573)</f>
        <v>0</v>
      </c>
      <c r="G1573" s="1856">
        <f>-(N1573-Q1573)</f>
        <v>0</v>
      </c>
      <c r="I1573" s="1815" t="b">
        <f>K1573&lt;=Number_Payments</f>
        <v>0</v>
      </c>
      <c r="J1573" s="1855"/>
      <c r="K1573" s="1351">
        <f>K1572+1</f>
        <v>1447</v>
      </c>
      <c r="L1573" s="1854" t="str" cm="1">
        <f t="array" ref="L1573">_xlfn.IFS(
    I1572=FALSE, "",
    Payment_Frequency="Monthly", EDATE(L1572, 1),
    Payment_Frequency="Weekly", DATE(YEAR(L1572), MONTH(L1572), DAY(L1572) + 7),
    Payment_Frequency="Fortnightly", DATE(YEAR(L1572), MONTH(L1572), DAY(L1572) + 14),
    Payment_Frequency="Quarterly", DATE(YEAR(L1572), MONTH(L1572) + 3, DAY(L1572)),
    Payment_Frequency="Yearly", DATE(YEAR(L1572) + 1, MONTH(L1572), DAY(L1572)),
    TRUE, ""
)</f>
        <v/>
      </c>
      <c r="M1573" s="1853">
        <f>IF(ISERROR(L1573-L1572),0,L1573-L1572)</f>
        <v>0</v>
      </c>
      <c r="N1573" s="1851" cm="1">
        <f t="array" ref="N1573">_xlfn.IFS(
    AND(I1573=TRUE, K1573&lt;=No_Regular_Payments), Repay_Amt,
    AND(I1573=TRUE, K1573=No_Regular_Payments+1), Tm_Balloon_Amt,
   TRUE, 0
)</f>
        <v>0</v>
      </c>
      <c r="O1573" s="1850" cm="1">
        <f t="array" ref="O1573">_xlfn.IFS(
    M1573=0,0,
   ABS(N1573 - S1572 - P1573-Q1573) &lt; 1, N1573 - S1572-Q1573,
    TRUE, P1573
)</f>
        <v>0</v>
      </c>
      <c r="P1573" s="1852">
        <f>IF(M1573=0,0,ROUND(S1572*EXP(Int_Rate/365.25 * M1573)-S1572,2))</f>
        <v>0</v>
      </c>
      <c r="Q1573" s="1851" cm="1">
        <f t="array" ref="Q1573">_xlfn.IFS(
    AND(I1573=TRUE, K1573&lt;=No_Regular_Payments), Periodic_Admin_Charge,
   TRUE, 0
)</f>
        <v>0</v>
      </c>
      <c r="R1573" s="1850">
        <f>N1573-O1573-Q1573</f>
        <v>0</v>
      </c>
      <c r="S1573" s="1850">
        <f>ROUND(S1572-R1573,2)</f>
        <v>0</v>
      </c>
      <c r="T1573" s="1850">
        <f>ROUND(T1572-(N1573-Q1573),2)</f>
        <v>0</v>
      </c>
      <c r="U1573" s="1849"/>
      <c r="W1573" s="1848"/>
      <c r="X1573" s="1848"/>
      <c r="Y1573" s="1848"/>
    </row>
    <row r="1574" spans="2:25" hidden="1">
      <c r="B1574" s="1815" t="b">
        <f>AND(I1574=FALSE,N1573=0,Q1573=0,L1573="")</f>
        <v>1</v>
      </c>
      <c r="C1574" s="1844" t="str" cm="1">
        <f t="array" ref="C1574">_xlfn.IFS(
    L1574="", "",
    MONTH(L1574) &lt;= End_of_Year_Month, YEAR(L1574),
    TRUE, YEAR(L1574) + 1
)</f>
        <v/>
      </c>
      <c r="F1574" s="1857">
        <f>IF(L1574="",0,L1574)</f>
        <v>0</v>
      </c>
      <c r="G1574" s="1856">
        <f>-(N1574-Q1574)</f>
        <v>0</v>
      </c>
      <c r="I1574" s="1815" t="b">
        <f>K1574&lt;=Number_Payments</f>
        <v>0</v>
      </c>
      <c r="J1574" s="1855"/>
      <c r="K1574" s="1351">
        <f>K1573+1</f>
        <v>1448</v>
      </c>
      <c r="L1574" s="1854" t="str" cm="1">
        <f t="array" ref="L1574">_xlfn.IFS(
    I1573=FALSE, "",
    Payment_Frequency="Monthly", EDATE(L1573, 1),
    Payment_Frequency="Weekly", DATE(YEAR(L1573), MONTH(L1573), DAY(L1573) + 7),
    Payment_Frequency="Fortnightly", DATE(YEAR(L1573), MONTH(L1573), DAY(L1573) + 14),
    Payment_Frequency="Quarterly", DATE(YEAR(L1573), MONTH(L1573) + 3, DAY(L1573)),
    Payment_Frequency="Yearly", DATE(YEAR(L1573) + 1, MONTH(L1573), DAY(L1573)),
    TRUE, ""
)</f>
        <v/>
      </c>
      <c r="M1574" s="1853">
        <f>IF(ISERROR(L1574-L1573),0,L1574-L1573)</f>
        <v>0</v>
      </c>
      <c r="N1574" s="1851" cm="1">
        <f t="array" ref="N1574">_xlfn.IFS(
    AND(I1574=TRUE, K1574&lt;=No_Regular_Payments), Repay_Amt,
    AND(I1574=TRUE, K1574=No_Regular_Payments+1), Tm_Balloon_Amt,
   TRUE, 0
)</f>
        <v>0</v>
      </c>
      <c r="O1574" s="1850" cm="1">
        <f t="array" ref="O1574">_xlfn.IFS(
    M1574=0,0,
   ABS(N1574 - S1573 - P1574-Q1574) &lt; 1, N1574 - S1573-Q1574,
    TRUE, P1574
)</f>
        <v>0</v>
      </c>
      <c r="P1574" s="1852">
        <f>IF(M1574=0,0,ROUND(S1573*EXP(Int_Rate/365.25 * M1574)-S1573,2))</f>
        <v>0</v>
      </c>
      <c r="Q1574" s="1851" cm="1">
        <f t="array" ref="Q1574">_xlfn.IFS(
    AND(I1574=TRUE, K1574&lt;=No_Regular_Payments), Periodic_Admin_Charge,
   TRUE, 0
)</f>
        <v>0</v>
      </c>
      <c r="R1574" s="1850">
        <f>N1574-O1574-Q1574</f>
        <v>0</v>
      </c>
      <c r="S1574" s="1850">
        <f>ROUND(S1573-R1574,2)</f>
        <v>0</v>
      </c>
      <c r="T1574" s="1850">
        <f>ROUND(T1573-(N1574-Q1574),2)</f>
        <v>0</v>
      </c>
      <c r="U1574" s="1849"/>
      <c r="W1574" s="1848"/>
      <c r="X1574" s="1848"/>
      <c r="Y1574" s="1848"/>
    </row>
    <row r="1575" spans="2:25" hidden="1">
      <c r="B1575" s="1815" t="b">
        <f>AND(I1575=FALSE,N1574=0,Q1574=0,L1574="")</f>
        <v>1</v>
      </c>
      <c r="C1575" s="1844" t="str" cm="1">
        <f t="array" ref="C1575">_xlfn.IFS(
    L1575="", "",
    MONTH(L1575) &lt;= End_of_Year_Month, YEAR(L1575),
    TRUE, YEAR(L1575) + 1
)</f>
        <v/>
      </c>
      <c r="F1575" s="1857">
        <f>IF(L1575="",0,L1575)</f>
        <v>0</v>
      </c>
      <c r="G1575" s="1856">
        <f>-(N1575-Q1575)</f>
        <v>0</v>
      </c>
      <c r="I1575" s="1815" t="b">
        <f>K1575&lt;=Number_Payments</f>
        <v>0</v>
      </c>
      <c r="J1575" s="1855"/>
      <c r="K1575" s="1351">
        <f>K1574+1</f>
        <v>1449</v>
      </c>
      <c r="L1575" s="1854" t="str" cm="1">
        <f t="array" ref="L1575">_xlfn.IFS(
    I1574=FALSE, "",
    Payment_Frequency="Monthly", EDATE(L1574, 1),
    Payment_Frequency="Weekly", DATE(YEAR(L1574), MONTH(L1574), DAY(L1574) + 7),
    Payment_Frequency="Fortnightly", DATE(YEAR(L1574), MONTH(L1574), DAY(L1574) + 14),
    Payment_Frequency="Quarterly", DATE(YEAR(L1574), MONTH(L1574) + 3, DAY(L1574)),
    Payment_Frequency="Yearly", DATE(YEAR(L1574) + 1, MONTH(L1574), DAY(L1574)),
    TRUE, ""
)</f>
        <v/>
      </c>
      <c r="M1575" s="1853">
        <f>IF(ISERROR(L1575-L1574),0,L1575-L1574)</f>
        <v>0</v>
      </c>
      <c r="N1575" s="1851" cm="1">
        <f t="array" ref="N1575">_xlfn.IFS(
    AND(I1575=TRUE, K1575&lt;=No_Regular_Payments), Repay_Amt,
    AND(I1575=TRUE, K1575=No_Regular_Payments+1), Tm_Balloon_Amt,
   TRUE, 0
)</f>
        <v>0</v>
      </c>
      <c r="O1575" s="1850" cm="1">
        <f t="array" ref="O1575">_xlfn.IFS(
    M1575=0,0,
   ABS(N1575 - S1574 - P1575-Q1575) &lt; 1, N1575 - S1574-Q1575,
    TRUE, P1575
)</f>
        <v>0</v>
      </c>
      <c r="P1575" s="1852">
        <f>IF(M1575=0,0,ROUND(S1574*EXP(Int_Rate/365.25 * M1575)-S1574,2))</f>
        <v>0</v>
      </c>
      <c r="Q1575" s="1851" cm="1">
        <f t="array" ref="Q1575">_xlfn.IFS(
    AND(I1575=TRUE, K1575&lt;=No_Regular_Payments), Periodic_Admin_Charge,
   TRUE, 0
)</f>
        <v>0</v>
      </c>
      <c r="R1575" s="1850">
        <f>N1575-O1575-Q1575</f>
        <v>0</v>
      </c>
      <c r="S1575" s="1850">
        <f>ROUND(S1574-R1575,2)</f>
        <v>0</v>
      </c>
      <c r="T1575" s="1850">
        <f>ROUND(T1574-(N1575-Q1575),2)</f>
        <v>0</v>
      </c>
      <c r="U1575" s="1849"/>
      <c r="W1575" s="1848"/>
      <c r="X1575" s="1848"/>
      <c r="Y1575" s="1848"/>
    </row>
    <row r="1576" spans="2:25" hidden="1">
      <c r="B1576" s="1815" t="b">
        <f>AND(I1576=FALSE,N1575=0,Q1575=0,L1575="")</f>
        <v>1</v>
      </c>
      <c r="C1576" s="1844" t="str" cm="1">
        <f t="array" ref="C1576">_xlfn.IFS(
    L1576="", "",
    MONTH(L1576) &lt;= End_of_Year_Month, YEAR(L1576),
    TRUE, YEAR(L1576) + 1
)</f>
        <v/>
      </c>
      <c r="F1576" s="1857">
        <f>IF(L1576="",0,L1576)</f>
        <v>0</v>
      </c>
      <c r="G1576" s="1856">
        <f>-(N1576-Q1576)</f>
        <v>0</v>
      </c>
      <c r="I1576" s="1815" t="b">
        <f>K1576&lt;=Number_Payments</f>
        <v>0</v>
      </c>
      <c r="J1576" s="1855"/>
      <c r="K1576" s="1351">
        <f>K1575+1</f>
        <v>1450</v>
      </c>
      <c r="L1576" s="1854" t="str" cm="1">
        <f t="array" ref="L1576">_xlfn.IFS(
    I1575=FALSE, "",
    Payment_Frequency="Monthly", EDATE(L1575, 1),
    Payment_Frequency="Weekly", DATE(YEAR(L1575), MONTH(L1575), DAY(L1575) + 7),
    Payment_Frequency="Fortnightly", DATE(YEAR(L1575), MONTH(L1575), DAY(L1575) + 14),
    Payment_Frequency="Quarterly", DATE(YEAR(L1575), MONTH(L1575) + 3, DAY(L1575)),
    Payment_Frequency="Yearly", DATE(YEAR(L1575) + 1, MONTH(L1575), DAY(L1575)),
    TRUE, ""
)</f>
        <v/>
      </c>
      <c r="M1576" s="1853">
        <f>IF(ISERROR(L1576-L1575),0,L1576-L1575)</f>
        <v>0</v>
      </c>
      <c r="N1576" s="1851" cm="1">
        <f t="array" ref="N1576">_xlfn.IFS(
    AND(I1576=TRUE, K1576&lt;=No_Regular_Payments), Repay_Amt,
    AND(I1576=TRUE, K1576=No_Regular_Payments+1), Tm_Balloon_Amt,
   TRUE, 0
)</f>
        <v>0</v>
      </c>
      <c r="O1576" s="1850" cm="1">
        <f t="array" ref="O1576">_xlfn.IFS(
    M1576=0,0,
   ABS(N1576 - S1575 - P1576-Q1576) &lt; 1, N1576 - S1575-Q1576,
    TRUE, P1576
)</f>
        <v>0</v>
      </c>
      <c r="P1576" s="1852">
        <f>IF(M1576=0,0,ROUND(S1575*EXP(Int_Rate/365.25 * M1576)-S1575,2))</f>
        <v>0</v>
      </c>
      <c r="Q1576" s="1851" cm="1">
        <f t="array" ref="Q1576">_xlfn.IFS(
    AND(I1576=TRUE, K1576&lt;=No_Regular_Payments), Periodic_Admin_Charge,
   TRUE, 0
)</f>
        <v>0</v>
      </c>
      <c r="R1576" s="1850">
        <f>N1576-O1576-Q1576</f>
        <v>0</v>
      </c>
      <c r="S1576" s="1850">
        <f>ROUND(S1575-R1576,2)</f>
        <v>0</v>
      </c>
      <c r="T1576" s="1850">
        <f>ROUND(T1575-(N1576-Q1576),2)</f>
        <v>0</v>
      </c>
      <c r="U1576" s="1849"/>
      <c r="W1576" s="1848"/>
      <c r="X1576" s="1848"/>
      <c r="Y1576" s="1848"/>
    </row>
    <row r="1577" spans="2:25" hidden="1">
      <c r="B1577" s="1815" t="b">
        <f>AND(I1577=FALSE,N1576=0,Q1576=0,L1576="")</f>
        <v>1</v>
      </c>
      <c r="C1577" s="1844" t="str" cm="1">
        <f t="array" ref="C1577">_xlfn.IFS(
    L1577="", "",
    MONTH(L1577) &lt;= End_of_Year_Month, YEAR(L1577),
    TRUE, YEAR(L1577) + 1
)</f>
        <v/>
      </c>
      <c r="F1577" s="1857">
        <f>IF(L1577="",0,L1577)</f>
        <v>0</v>
      </c>
      <c r="G1577" s="1856">
        <f>-(N1577-Q1577)</f>
        <v>0</v>
      </c>
      <c r="I1577" s="1815" t="b">
        <f>K1577&lt;=Number_Payments</f>
        <v>0</v>
      </c>
      <c r="J1577" s="1855"/>
      <c r="K1577" s="1351">
        <f>K1576+1</f>
        <v>1451</v>
      </c>
      <c r="L1577" s="1854" t="str" cm="1">
        <f t="array" ref="L1577">_xlfn.IFS(
    I1576=FALSE, "",
    Payment_Frequency="Monthly", EDATE(L1576, 1),
    Payment_Frequency="Weekly", DATE(YEAR(L1576), MONTH(L1576), DAY(L1576) + 7),
    Payment_Frequency="Fortnightly", DATE(YEAR(L1576), MONTH(L1576), DAY(L1576) + 14),
    Payment_Frequency="Quarterly", DATE(YEAR(L1576), MONTH(L1576) + 3, DAY(L1576)),
    Payment_Frequency="Yearly", DATE(YEAR(L1576) + 1, MONTH(L1576), DAY(L1576)),
    TRUE, ""
)</f>
        <v/>
      </c>
      <c r="M1577" s="1853">
        <f>IF(ISERROR(L1577-L1576),0,L1577-L1576)</f>
        <v>0</v>
      </c>
      <c r="N1577" s="1851" cm="1">
        <f t="array" ref="N1577">_xlfn.IFS(
    AND(I1577=TRUE, K1577&lt;=No_Regular_Payments), Repay_Amt,
    AND(I1577=TRUE, K1577=No_Regular_Payments+1), Tm_Balloon_Amt,
   TRUE, 0
)</f>
        <v>0</v>
      </c>
      <c r="O1577" s="1850" cm="1">
        <f t="array" ref="O1577">_xlfn.IFS(
    M1577=0,0,
   ABS(N1577 - S1576 - P1577-Q1577) &lt; 1, N1577 - S1576-Q1577,
    TRUE, P1577
)</f>
        <v>0</v>
      </c>
      <c r="P1577" s="1852">
        <f>IF(M1577=0,0,ROUND(S1576*EXP(Int_Rate/365.25 * M1577)-S1576,2))</f>
        <v>0</v>
      </c>
      <c r="Q1577" s="1851" cm="1">
        <f t="array" ref="Q1577">_xlfn.IFS(
    AND(I1577=TRUE, K1577&lt;=No_Regular_Payments), Periodic_Admin_Charge,
   TRUE, 0
)</f>
        <v>0</v>
      </c>
      <c r="R1577" s="1850">
        <f>N1577-O1577-Q1577</f>
        <v>0</v>
      </c>
      <c r="S1577" s="1850">
        <f>ROUND(S1576-R1577,2)</f>
        <v>0</v>
      </c>
      <c r="T1577" s="1850">
        <f>ROUND(T1576-(N1577-Q1577),2)</f>
        <v>0</v>
      </c>
      <c r="U1577" s="1849"/>
      <c r="W1577" s="1848"/>
      <c r="X1577" s="1848"/>
      <c r="Y1577" s="1848"/>
    </row>
    <row r="1578" spans="2:25" hidden="1">
      <c r="B1578" s="1815" t="b">
        <f>AND(I1578=FALSE,N1577=0,Q1577=0,L1577="")</f>
        <v>1</v>
      </c>
      <c r="C1578" s="1844" t="str" cm="1">
        <f t="array" ref="C1578">_xlfn.IFS(
    L1578="", "",
    MONTH(L1578) &lt;= End_of_Year_Month, YEAR(L1578),
    TRUE, YEAR(L1578) + 1
)</f>
        <v/>
      </c>
      <c r="F1578" s="1857">
        <f>IF(L1578="",0,L1578)</f>
        <v>0</v>
      </c>
      <c r="G1578" s="1856">
        <f>-(N1578-Q1578)</f>
        <v>0</v>
      </c>
      <c r="I1578" s="1815" t="b">
        <f>K1578&lt;=Number_Payments</f>
        <v>0</v>
      </c>
      <c r="J1578" s="1855"/>
      <c r="K1578" s="1351">
        <f>K1577+1</f>
        <v>1452</v>
      </c>
      <c r="L1578" s="1854" t="str" cm="1">
        <f t="array" ref="L1578">_xlfn.IFS(
    I1577=FALSE, "",
    Payment_Frequency="Monthly", EDATE(L1577, 1),
    Payment_Frequency="Weekly", DATE(YEAR(L1577), MONTH(L1577), DAY(L1577) + 7),
    Payment_Frequency="Fortnightly", DATE(YEAR(L1577), MONTH(L1577), DAY(L1577) + 14),
    Payment_Frequency="Quarterly", DATE(YEAR(L1577), MONTH(L1577) + 3, DAY(L1577)),
    Payment_Frequency="Yearly", DATE(YEAR(L1577) + 1, MONTH(L1577), DAY(L1577)),
    TRUE, ""
)</f>
        <v/>
      </c>
      <c r="M1578" s="1853">
        <f>IF(ISERROR(L1578-L1577),0,L1578-L1577)</f>
        <v>0</v>
      </c>
      <c r="N1578" s="1851" cm="1">
        <f t="array" ref="N1578">_xlfn.IFS(
    AND(I1578=TRUE, K1578&lt;=No_Regular_Payments), Repay_Amt,
    AND(I1578=TRUE, K1578=No_Regular_Payments+1), Tm_Balloon_Amt,
   TRUE, 0
)</f>
        <v>0</v>
      </c>
      <c r="O1578" s="1850" cm="1">
        <f t="array" ref="O1578">_xlfn.IFS(
    M1578=0,0,
   ABS(N1578 - S1577 - P1578-Q1578) &lt; 1, N1578 - S1577-Q1578,
    TRUE, P1578
)</f>
        <v>0</v>
      </c>
      <c r="P1578" s="1852">
        <f>IF(M1578=0,0,ROUND(S1577*EXP(Int_Rate/365.25 * M1578)-S1577,2))</f>
        <v>0</v>
      </c>
      <c r="Q1578" s="1851" cm="1">
        <f t="array" ref="Q1578">_xlfn.IFS(
    AND(I1578=TRUE, K1578&lt;=No_Regular_Payments), Periodic_Admin_Charge,
   TRUE, 0
)</f>
        <v>0</v>
      </c>
      <c r="R1578" s="1850">
        <f>N1578-O1578-Q1578</f>
        <v>0</v>
      </c>
      <c r="S1578" s="1850">
        <f>ROUND(S1577-R1578,2)</f>
        <v>0</v>
      </c>
      <c r="T1578" s="1850">
        <f>ROUND(T1577-(N1578-Q1578),2)</f>
        <v>0</v>
      </c>
      <c r="U1578" s="1849"/>
      <c r="W1578" s="1848"/>
      <c r="X1578" s="1848"/>
      <c r="Y1578" s="1848"/>
    </row>
    <row r="1579" spans="2:25" hidden="1">
      <c r="B1579" s="1815" t="b">
        <f>AND(I1579=FALSE,N1578=0,Q1578=0,L1578="")</f>
        <v>1</v>
      </c>
      <c r="C1579" s="1844" t="str" cm="1">
        <f t="array" ref="C1579">_xlfn.IFS(
    L1579="", "",
    MONTH(L1579) &lt;= End_of_Year_Month, YEAR(L1579),
    TRUE, YEAR(L1579) + 1
)</f>
        <v/>
      </c>
      <c r="F1579" s="1857">
        <f>IF(L1579="",0,L1579)</f>
        <v>0</v>
      </c>
      <c r="G1579" s="1856">
        <f>-(N1579-Q1579)</f>
        <v>0</v>
      </c>
      <c r="I1579" s="1815" t="b">
        <f>K1579&lt;=Number_Payments</f>
        <v>0</v>
      </c>
      <c r="J1579" s="1855"/>
      <c r="K1579" s="1351">
        <f>K1578+1</f>
        <v>1453</v>
      </c>
      <c r="L1579" s="1854" t="str" cm="1">
        <f t="array" ref="L1579">_xlfn.IFS(
    I1578=FALSE, "",
    Payment_Frequency="Monthly", EDATE(L1578, 1),
    Payment_Frequency="Weekly", DATE(YEAR(L1578), MONTH(L1578), DAY(L1578) + 7),
    Payment_Frequency="Fortnightly", DATE(YEAR(L1578), MONTH(L1578), DAY(L1578) + 14),
    Payment_Frequency="Quarterly", DATE(YEAR(L1578), MONTH(L1578) + 3, DAY(L1578)),
    Payment_Frequency="Yearly", DATE(YEAR(L1578) + 1, MONTH(L1578), DAY(L1578)),
    TRUE, ""
)</f>
        <v/>
      </c>
      <c r="M1579" s="1853">
        <f>IF(ISERROR(L1579-L1578),0,L1579-L1578)</f>
        <v>0</v>
      </c>
      <c r="N1579" s="1851" cm="1">
        <f t="array" ref="N1579">_xlfn.IFS(
    AND(I1579=TRUE, K1579&lt;=No_Regular_Payments), Repay_Amt,
    AND(I1579=TRUE, K1579=No_Regular_Payments+1), Tm_Balloon_Amt,
   TRUE, 0
)</f>
        <v>0</v>
      </c>
      <c r="O1579" s="1850" cm="1">
        <f t="array" ref="O1579">_xlfn.IFS(
    M1579=0,0,
   ABS(N1579 - S1578 - P1579-Q1579) &lt; 1, N1579 - S1578-Q1579,
    TRUE, P1579
)</f>
        <v>0</v>
      </c>
      <c r="P1579" s="1852">
        <f>IF(M1579=0,0,ROUND(S1578*EXP(Int_Rate/365.25 * M1579)-S1578,2))</f>
        <v>0</v>
      </c>
      <c r="Q1579" s="1851" cm="1">
        <f t="array" ref="Q1579">_xlfn.IFS(
    AND(I1579=TRUE, K1579&lt;=No_Regular_Payments), Periodic_Admin_Charge,
   TRUE, 0
)</f>
        <v>0</v>
      </c>
      <c r="R1579" s="1850">
        <f>N1579-O1579-Q1579</f>
        <v>0</v>
      </c>
      <c r="S1579" s="1850">
        <f>ROUND(S1578-R1579,2)</f>
        <v>0</v>
      </c>
      <c r="T1579" s="1850">
        <f>ROUND(T1578-(N1579-Q1579),2)</f>
        <v>0</v>
      </c>
      <c r="U1579" s="1849"/>
      <c r="W1579" s="1848"/>
      <c r="X1579" s="1848"/>
      <c r="Y1579" s="1848"/>
    </row>
    <row r="1580" spans="2:25" hidden="1">
      <c r="B1580" s="1815" t="b">
        <f>AND(I1580=FALSE,N1579=0,Q1579=0,L1579="")</f>
        <v>1</v>
      </c>
      <c r="C1580" s="1844" t="str" cm="1">
        <f t="array" ref="C1580">_xlfn.IFS(
    L1580="", "",
    MONTH(L1580) &lt;= End_of_Year_Month, YEAR(L1580),
    TRUE, YEAR(L1580) + 1
)</f>
        <v/>
      </c>
      <c r="F1580" s="1857">
        <f>IF(L1580="",0,L1580)</f>
        <v>0</v>
      </c>
      <c r="G1580" s="1856">
        <f>-(N1580-Q1580)</f>
        <v>0</v>
      </c>
      <c r="I1580" s="1815" t="b">
        <f>K1580&lt;=Number_Payments</f>
        <v>0</v>
      </c>
      <c r="J1580" s="1855"/>
      <c r="K1580" s="1351">
        <f>K1579+1</f>
        <v>1454</v>
      </c>
      <c r="L1580" s="1854" t="str" cm="1">
        <f t="array" ref="L1580">_xlfn.IFS(
    I1579=FALSE, "",
    Payment_Frequency="Monthly", EDATE(L1579, 1),
    Payment_Frequency="Weekly", DATE(YEAR(L1579), MONTH(L1579), DAY(L1579) + 7),
    Payment_Frequency="Fortnightly", DATE(YEAR(L1579), MONTH(L1579), DAY(L1579) + 14),
    Payment_Frequency="Quarterly", DATE(YEAR(L1579), MONTH(L1579) + 3, DAY(L1579)),
    Payment_Frequency="Yearly", DATE(YEAR(L1579) + 1, MONTH(L1579), DAY(L1579)),
    TRUE, ""
)</f>
        <v/>
      </c>
      <c r="M1580" s="1853">
        <f>IF(ISERROR(L1580-L1579),0,L1580-L1579)</f>
        <v>0</v>
      </c>
      <c r="N1580" s="1851" cm="1">
        <f t="array" ref="N1580">_xlfn.IFS(
    AND(I1580=TRUE, K1580&lt;=No_Regular_Payments), Repay_Amt,
    AND(I1580=TRUE, K1580=No_Regular_Payments+1), Tm_Balloon_Amt,
   TRUE, 0
)</f>
        <v>0</v>
      </c>
      <c r="O1580" s="1850" cm="1">
        <f t="array" ref="O1580">_xlfn.IFS(
    M1580=0,0,
   ABS(N1580 - S1579 - P1580-Q1580) &lt; 1, N1580 - S1579-Q1580,
    TRUE, P1580
)</f>
        <v>0</v>
      </c>
      <c r="P1580" s="1852">
        <f>IF(M1580=0,0,ROUND(S1579*EXP(Int_Rate/365.25 * M1580)-S1579,2))</f>
        <v>0</v>
      </c>
      <c r="Q1580" s="1851" cm="1">
        <f t="array" ref="Q1580">_xlfn.IFS(
    AND(I1580=TRUE, K1580&lt;=No_Regular_Payments), Periodic_Admin_Charge,
   TRUE, 0
)</f>
        <v>0</v>
      </c>
      <c r="R1580" s="1850">
        <f>N1580-O1580-Q1580</f>
        <v>0</v>
      </c>
      <c r="S1580" s="1850">
        <f>ROUND(S1579-R1580,2)</f>
        <v>0</v>
      </c>
      <c r="T1580" s="1850">
        <f>ROUND(T1579-(N1580-Q1580),2)</f>
        <v>0</v>
      </c>
      <c r="U1580" s="1849"/>
      <c r="W1580" s="1848"/>
      <c r="X1580" s="1848"/>
      <c r="Y1580" s="1848"/>
    </row>
    <row r="1581" spans="2:25" hidden="1">
      <c r="B1581" s="1815" t="b">
        <f>AND(I1581=FALSE,N1580=0,Q1580=0,L1580="")</f>
        <v>1</v>
      </c>
      <c r="C1581" s="1844" t="str" cm="1">
        <f t="array" ref="C1581">_xlfn.IFS(
    L1581="", "",
    MONTH(L1581) &lt;= End_of_Year_Month, YEAR(L1581),
    TRUE, YEAR(L1581) + 1
)</f>
        <v/>
      </c>
      <c r="F1581" s="1857">
        <f>IF(L1581="",0,L1581)</f>
        <v>0</v>
      </c>
      <c r="G1581" s="1856">
        <f>-(N1581-Q1581)</f>
        <v>0</v>
      </c>
      <c r="I1581" s="1815" t="b">
        <f>K1581&lt;=Number_Payments</f>
        <v>0</v>
      </c>
      <c r="J1581" s="1855"/>
      <c r="K1581" s="1351">
        <f>K1580+1</f>
        <v>1455</v>
      </c>
      <c r="L1581" s="1854" t="str" cm="1">
        <f t="array" ref="L1581">_xlfn.IFS(
    I1580=FALSE, "",
    Payment_Frequency="Monthly", EDATE(L1580, 1),
    Payment_Frequency="Weekly", DATE(YEAR(L1580), MONTH(L1580), DAY(L1580) + 7),
    Payment_Frequency="Fortnightly", DATE(YEAR(L1580), MONTH(L1580), DAY(L1580) + 14),
    Payment_Frequency="Quarterly", DATE(YEAR(L1580), MONTH(L1580) + 3, DAY(L1580)),
    Payment_Frequency="Yearly", DATE(YEAR(L1580) + 1, MONTH(L1580), DAY(L1580)),
    TRUE, ""
)</f>
        <v/>
      </c>
      <c r="M1581" s="1853">
        <f>IF(ISERROR(L1581-L1580),0,L1581-L1580)</f>
        <v>0</v>
      </c>
      <c r="N1581" s="1851" cm="1">
        <f t="array" ref="N1581">_xlfn.IFS(
    AND(I1581=TRUE, K1581&lt;=No_Regular_Payments), Repay_Amt,
    AND(I1581=TRUE, K1581=No_Regular_Payments+1), Tm_Balloon_Amt,
   TRUE, 0
)</f>
        <v>0</v>
      </c>
      <c r="O1581" s="1850" cm="1">
        <f t="array" ref="O1581">_xlfn.IFS(
    M1581=0,0,
   ABS(N1581 - S1580 - P1581-Q1581) &lt; 1, N1581 - S1580-Q1581,
    TRUE, P1581
)</f>
        <v>0</v>
      </c>
      <c r="P1581" s="1852">
        <f>IF(M1581=0,0,ROUND(S1580*EXP(Int_Rate/365.25 * M1581)-S1580,2))</f>
        <v>0</v>
      </c>
      <c r="Q1581" s="1851" cm="1">
        <f t="array" ref="Q1581">_xlfn.IFS(
    AND(I1581=TRUE, K1581&lt;=No_Regular_Payments), Periodic_Admin_Charge,
   TRUE, 0
)</f>
        <v>0</v>
      </c>
      <c r="R1581" s="1850">
        <f>N1581-O1581-Q1581</f>
        <v>0</v>
      </c>
      <c r="S1581" s="1850">
        <f>ROUND(S1580-R1581,2)</f>
        <v>0</v>
      </c>
      <c r="T1581" s="1850">
        <f>ROUND(T1580-(N1581-Q1581),2)</f>
        <v>0</v>
      </c>
      <c r="U1581" s="1849"/>
      <c r="W1581" s="1848"/>
      <c r="X1581" s="1848"/>
      <c r="Y1581" s="1848"/>
    </row>
    <row r="1582" spans="2:25" hidden="1">
      <c r="B1582" s="1815" t="b">
        <f>AND(I1582=FALSE,N1581=0,Q1581=0,L1581="")</f>
        <v>1</v>
      </c>
      <c r="C1582" s="1844" t="str" cm="1">
        <f t="array" ref="C1582">_xlfn.IFS(
    L1582="", "",
    MONTH(L1582) &lt;= End_of_Year_Month, YEAR(L1582),
    TRUE, YEAR(L1582) + 1
)</f>
        <v/>
      </c>
      <c r="F1582" s="1857">
        <f>IF(L1582="",0,L1582)</f>
        <v>0</v>
      </c>
      <c r="G1582" s="1856">
        <f>-(N1582-Q1582)</f>
        <v>0</v>
      </c>
      <c r="I1582" s="1815" t="b">
        <f>K1582&lt;=Number_Payments</f>
        <v>0</v>
      </c>
      <c r="J1582" s="1855"/>
      <c r="K1582" s="1351">
        <f>K1581+1</f>
        <v>1456</v>
      </c>
      <c r="L1582" s="1854" t="str" cm="1">
        <f t="array" ref="L1582">_xlfn.IFS(
    I1581=FALSE, "",
    Payment_Frequency="Monthly", EDATE(L1581, 1),
    Payment_Frequency="Weekly", DATE(YEAR(L1581), MONTH(L1581), DAY(L1581) + 7),
    Payment_Frequency="Fortnightly", DATE(YEAR(L1581), MONTH(L1581), DAY(L1581) + 14),
    Payment_Frequency="Quarterly", DATE(YEAR(L1581), MONTH(L1581) + 3, DAY(L1581)),
    Payment_Frequency="Yearly", DATE(YEAR(L1581) + 1, MONTH(L1581), DAY(L1581)),
    TRUE, ""
)</f>
        <v/>
      </c>
      <c r="M1582" s="1853">
        <f>IF(ISERROR(L1582-L1581),0,L1582-L1581)</f>
        <v>0</v>
      </c>
      <c r="N1582" s="1851" cm="1">
        <f t="array" ref="N1582">_xlfn.IFS(
    AND(I1582=TRUE, K1582&lt;=No_Regular_Payments), Repay_Amt,
    AND(I1582=TRUE, K1582=No_Regular_Payments+1), Tm_Balloon_Amt,
   TRUE, 0
)</f>
        <v>0</v>
      </c>
      <c r="O1582" s="1850" cm="1">
        <f t="array" ref="O1582">_xlfn.IFS(
    M1582=0,0,
   ABS(N1582 - S1581 - P1582-Q1582) &lt; 1, N1582 - S1581-Q1582,
    TRUE, P1582
)</f>
        <v>0</v>
      </c>
      <c r="P1582" s="1852">
        <f>IF(M1582=0,0,ROUND(S1581*EXP(Int_Rate/365.25 * M1582)-S1581,2))</f>
        <v>0</v>
      </c>
      <c r="Q1582" s="1851" cm="1">
        <f t="array" ref="Q1582">_xlfn.IFS(
    AND(I1582=TRUE, K1582&lt;=No_Regular_Payments), Periodic_Admin_Charge,
   TRUE, 0
)</f>
        <v>0</v>
      </c>
      <c r="R1582" s="1850">
        <f>N1582-O1582-Q1582</f>
        <v>0</v>
      </c>
      <c r="S1582" s="1850">
        <f>ROUND(S1581-R1582,2)</f>
        <v>0</v>
      </c>
      <c r="T1582" s="1850">
        <f>ROUND(T1581-(N1582-Q1582),2)</f>
        <v>0</v>
      </c>
      <c r="U1582" s="1849"/>
      <c r="W1582" s="1848"/>
      <c r="X1582" s="1848"/>
      <c r="Y1582" s="1848"/>
    </row>
    <row r="1583" spans="2:25" hidden="1">
      <c r="B1583" s="1815" t="b">
        <f>AND(I1583=FALSE,N1582=0,Q1582=0,L1582="")</f>
        <v>1</v>
      </c>
      <c r="C1583" s="1844" t="str" cm="1">
        <f t="array" ref="C1583">_xlfn.IFS(
    L1583="", "",
    MONTH(L1583) &lt;= End_of_Year_Month, YEAR(L1583),
    TRUE, YEAR(L1583) + 1
)</f>
        <v/>
      </c>
      <c r="F1583" s="1857">
        <f>IF(L1583="",0,L1583)</f>
        <v>0</v>
      </c>
      <c r="G1583" s="1856">
        <f>-(N1583-Q1583)</f>
        <v>0</v>
      </c>
      <c r="I1583" s="1815" t="b">
        <f>K1583&lt;=Number_Payments</f>
        <v>0</v>
      </c>
      <c r="J1583" s="1855"/>
      <c r="K1583" s="1351">
        <f>K1582+1</f>
        <v>1457</v>
      </c>
      <c r="L1583" s="1854" t="str" cm="1">
        <f t="array" ref="L1583">_xlfn.IFS(
    I1582=FALSE, "",
    Payment_Frequency="Monthly", EDATE(L1582, 1),
    Payment_Frequency="Weekly", DATE(YEAR(L1582), MONTH(L1582), DAY(L1582) + 7),
    Payment_Frequency="Fortnightly", DATE(YEAR(L1582), MONTH(L1582), DAY(L1582) + 14),
    Payment_Frequency="Quarterly", DATE(YEAR(L1582), MONTH(L1582) + 3, DAY(L1582)),
    Payment_Frequency="Yearly", DATE(YEAR(L1582) + 1, MONTH(L1582), DAY(L1582)),
    TRUE, ""
)</f>
        <v/>
      </c>
      <c r="M1583" s="1853">
        <f>IF(ISERROR(L1583-L1582),0,L1583-L1582)</f>
        <v>0</v>
      </c>
      <c r="N1583" s="1851" cm="1">
        <f t="array" ref="N1583">_xlfn.IFS(
    AND(I1583=TRUE, K1583&lt;=No_Regular_Payments), Repay_Amt,
    AND(I1583=TRUE, K1583=No_Regular_Payments+1), Tm_Balloon_Amt,
   TRUE, 0
)</f>
        <v>0</v>
      </c>
      <c r="O1583" s="1850" cm="1">
        <f t="array" ref="O1583">_xlfn.IFS(
    M1583=0,0,
   ABS(N1583 - S1582 - P1583-Q1583) &lt; 1, N1583 - S1582-Q1583,
    TRUE, P1583
)</f>
        <v>0</v>
      </c>
      <c r="P1583" s="1852">
        <f>IF(M1583=0,0,ROUND(S1582*EXP(Int_Rate/365.25 * M1583)-S1582,2))</f>
        <v>0</v>
      </c>
      <c r="Q1583" s="1851" cm="1">
        <f t="array" ref="Q1583">_xlfn.IFS(
    AND(I1583=TRUE, K1583&lt;=No_Regular_Payments), Periodic_Admin_Charge,
   TRUE, 0
)</f>
        <v>0</v>
      </c>
      <c r="R1583" s="1850">
        <f>N1583-O1583-Q1583</f>
        <v>0</v>
      </c>
      <c r="S1583" s="1850">
        <f>ROUND(S1582-R1583,2)</f>
        <v>0</v>
      </c>
      <c r="T1583" s="1850">
        <f>ROUND(T1582-(N1583-Q1583),2)</f>
        <v>0</v>
      </c>
      <c r="U1583" s="1849"/>
      <c r="W1583" s="1848"/>
      <c r="X1583" s="1848"/>
      <c r="Y1583" s="1848"/>
    </row>
    <row r="1584" spans="2:25" hidden="1">
      <c r="B1584" s="1815" t="b">
        <f>AND(I1584=FALSE,N1583=0,Q1583=0,L1583="")</f>
        <v>1</v>
      </c>
      <c r="C1584" s="1844" t="str" cm="1">
        <f t="array" ref="C1584">_xlfn.IFS(
    L1584="", "",
    MONTH(L1584) &lt;= End_of_Year_Month, YEAR(L1584),
    TRUE, YEAR(L1584) + 1
)</f>
        <v/>
      </c>
      <c r="F1584" s="1857">
        <f>IF(L1584="",0,L1584)</f>
        <v>0</v>
      </c>
      <c r="G1584" s="1856">
        <f>-(N1584-Q1584)</f>
        <v>0</v>
      </c>
      <c r="I1584" s="1815" t="b">
        <f>K1584&lt;=Number_Payments</f>
        <v>0</v>
      </c>
      <c r="J1584" s="1855"/>
      <c r="K1584" s="1351">
        <f>K1583+1</f>
        <v>1458</v>
      </c>
      <c r="L1584" s="1854" t="str" cm="1">
        <f t="array" ref="L1584">_xlfn.IFS(
    I1583=FALSE, "",
    Payment_Frequency="Monthly", EDATE(L1583, 1),
    Payment_Frequency="Weekly", DATE(YEAR(L1583), MONTH(L1583), DAY(L1583) + 7),
    Payment_Frequency="Fortnightly", DATE(YEAR(L1583), MONTH(L1583), DAY(L1583) + 14),
    Payment_Frequency="Quarterly", DATE(YEAR(L1583), MONTH(L1583) + 3, DAY(L1583)),
    Payment_Frequency="Yearly", DATE(YEAR(L1583) + 1, MONTH(L1583), DAY(L1583)),
    TRUE, ""
)</f>
        <v/>
      </c>
      <c r="M1584" s="1853">
        <f>IF(ISERROR(L1584-L1583),0,L1584-L1583)</f>
        <v>0</v>
      </c>
      <c r="N1584" s="1851" cm="1">
        <f t="array" ref="N1584">_xlfn.IFS(
    AND(I1584=TRUE, K1584&lt;=No_Regular_Payments), Repay_Amt,
    AND(I1584=TRUE, K1584=No_Regular_Payments+1), Tm_Balloon_Amt,
   TRUE, 0
)</f>
        <v>0</v>
      </c>
      <c r="O1584" s="1850" cm="1">
        <f t="array" ref="O1584">_xlfn.IFS(
    M1584=0,0,
   ABS(N1584 - S1583 - P1584-Q1584) &lt; 1, N1584 - S1583-Q1584,
    TRUE, P1584
)</f>
        <v>0</v>
      </c>
      <c r="P1584" s="1852">
        <f>IF(M1584=0,0,ROUND(S1583*EXP(Int_Rate/365.25 * M1584)-S1583,2))</f>
        <v>0</v>
      </c>
      <c r="Q1584" s="1851" cm="1">
        <f t="array" ref="Q1584">_xlfn.IFS(
    AND(I1584=TRUE, K1584&lt;=No_Regular_Payments), Periodic_Admin_Charge,
   TRUE, 0
)</f>
        <v>0</v>
      </c>
      <c r="R1584" s="1850">
        <f>N1584-O1584-Q1584</f>
        <v>0</v>
      </c>
      <c r="S1584" s="1850">
        <f>ROUND(S1583-R1584,2)</f>
        <v>0</v>
      </c>
      <c r="T1584" s="1850">
        <f>ROUND(T1583-(N1584-Q1584),2)</f>
        <v>0</v>
      </c>
      <c r="U1584" s="1849"/>
      <c r="W1584" s="1848"/>
      <c r="X1584" s="1848"/>
      <c r="Y1584" s="1848"/>
    </row>
    <row r="1585" spans="2:25" hidden="1">
      <c r="B1585" s="1815" t="b">
        <f>AND(I1585=FALSE,N1584=0,Q1584=0,L1584="")</f>
        <v>1</v>
      </c>
      <c r="C1585" s="1844" t="str" cm="1">
        <f t="array" ref="C1585">_xlfn.IFS(
    L1585="", "",
    MONTH(L1585) &lt;= End_of_Year_Month, YEAR(L1585),
    TRUE, YEAR(L1585) + 1
)</f>
        <v/>
      </c>
      <c r="F1585" s="1857">
        <f>IF(L1585="",0,L1585)</f>
        <v>0</v>
      </c>
      <c r="G1585" s="1856">
        <f>-(N1585-Q1585)</f>
        <v>0</v>
      </c>
      <c r="I1585" s="1815" t="b">
        <f>K1585&lt;=Number_Payments</f>
        <v>0</v>
      </c>
      <c r="J1585" s="1855"/>
      <c r="K1585" s="1351">
        <f>K1584+1</f>
        <v>1459</v>
      </c>
      <c r="L1585" s="1854" t="str" cm="1">
        <f t="array" ref="L1585">_xlfn.IFS(
    I1584=FALSE, "",
    Payment_Frequency="Monthly", EDATE(L1584, 1),
    Payment_Frequency="Weekly", DATE(YEAR(L1584), MONTH(L1584), DAY(L1584) + 7),
    Payment_Frequency="Fortnightly", DATE(YEAR(L1584), MONTH(L1584), DAY(L1584) + 14),
    Payment_Frequency="Quarterly", DATE(YEAR(L1584), MONTH(L1584) + 3, DAY(L1584)),
    Payment_Frequency="Yearly", DATE(YEAR(L1584) + 1, MONTH(L1584), DAY(L1584)),
    TRUE, ""
)</f>
        <v/>
      </c>
      <c r="M1585" s="1853">
        <f>IF(ISERROR(L1585-L1584),0,L1585-L1584)</f>
        <v>0</v>
      </c>
      <c r="N1585" s="1851" cm="1">
        <f t="array" ref="N1585">_xlfn.IFS(
    AND(I1585=TRUE, K1585&lt;=No_Regular_Payments), Repay_Amt,
    AND(I1585=TRUE, K1585=No_Regular_Payments+1), Tm_Balloon_Amt,
   TRUE, 0
)</f>
        <v>0</v>
      </c>
      <c r="O1585" s="1850" cm="1">
        <f t="array" ref="O1585">_xlfn.IFS(
    M1585=0,0,
   ABS(N1585 - S1584 - P1585-Q1585) &lt; 1, N1585 - S1584-Q1585,
    TRUE, P1585
)</f>
        <v>0</v>
      </c>
      <c r="P1585" s="1852">
        <f>IF(M1585=0,0,ROUND(S1584*EXP(Int_Rate/365.25 * M1585)-S1584,2))</f>
        <v>0</v>
      </c>
      <c r="Q1585" s="1851" cm="1">
        <f t="array" ref="Q1585">_xlfn.IFS(
    AND(I1585=TRUE, K1585&lt;=No_Regular_Payments), Periodic_Admin_Charge,
   TRUE, 0
)</f>
        <v>0</v>
      </c>
      <c r="R1585" s="1850">
        <f>N1585-O1585-Q1585</f>
        <v>0</v>
      </c>
      <c r="S1585" s="1850">
        <f>ROUND(S1584-R1585,2)</f>
        <v>0</v>
      </c>
      <c r="T1585" s="1850">
        <f>ROUND(T1584-(N1585-Q1585),2)</f>
        <v>0</v>
      </c>
      <c r="U1585" s="1849"/>
      <c r="W1585" s="1848"/>
      <c r="X1585" s="1848"/>
      <c r="Y1585" s="1848"/>
    </row>
    <row r="1586" spans="2:25" hidden="1">
      <c r="B1586" s="1815" t="b">
        <f>AND(I1586=FALSE,N1585=0,Q1585=0,L1585="")</f>
        <v>1</v>
      </c>
      <c r="C1586" s="1844" t="str" cm="1">
        <f t="array" ref="C1586">_xlfn.IFS(
    L1586="", "",
    MONTH(L1586) &lt;= End_of_Year_Month, YEAR(L1586),
    TRUE, YEAR(L1586) + 1
)</f>
        <v/>
      </c>
      <c r="F1586" s="1857">
        <f>IF(L1586="",0,L1586)</f>
        <v>0</v>
      </c>
      <c r="G1586" s="1856">
        <f>-(N1586-Q1586)</f>
        <v>0</v>
      </c>
      <c r="I1586" s="1815" t="b">
        <f>K1586&lt;=Number_Payments</f>
        <v>0</v>
      </c>
      <c r="J1586" s="1855"/>
      <c r="K1586" s="1351">
        <f>K1585+1</f>
        <v>1460</v>
      </c>
      <c r="L1586" s="1854" t="str" cm="1">
        <f t="array" ref="L1586">_xlfn.IFS(
    I1585=FALSE, "",
    Payment_Frequency="Monthly", EDATE(L1585, 1),
    Payment_Frequency="Weekly", DATE(YEAR(L1585), MONTH(L1585), DAY(L1585) + 7),
    Payment_Frequency="Fortnightly", DATE(YEAR(L1585), MONTH(L1585), DAY(L1585) + 14),
    Payment_Frequency="Quarterly", DATE(YEAR(L1585), MONTH(L1585) + 3, DAY(L1585)),
    Payment_Frequency="Yearly", DATE(YEAR(L1585) + 1, MONTH(L1585), DAY(L1585)),
    TRUE, ""
)</f>
        <v/>
      </c>
      <c r="M1586" s="1853">
        <f>IF(ISERROR(L1586-L1585),0,L1586-L1585)</f>
        <v>0</v>
      </c>
      <c r="N1586" s="1851" cm="1">
        <f t="array" ref="N1586">_xlfn.IFS(
    AND(I1586=TRUE, K1586&lt;=No_Regular_Payments), Repay_Amt,
    AND(I1586=TRUE, K1586=No_Regular_Payments+1), Tm_Balloon_Amt,
   TRUE, 0
)</f>
        <v>0</v>
      </c>
      <c r="O1586" s="1850" cm="1">
        <f t="array" ref="O1586">_xlfn.IFS(
    M1586=0,0,
   ABS(N1586 - S1585 - P1586-Q1586) &lt; 1, N1586 - S1585-Q1586,
    TRUE, P1586
)</f>
        <v>0</v>
      </c>
      <c r="P1586" s="1852">
        <f>IF(M1586=0,0,ROUND(S1585*EXP(Int_Rate/365.25 * M1586)-S1585,2))</f>
        <v>0</v>
      </c>
      <c r="Q1586" s="1851" cm="1">
        <f t="array" ref="Q1586">_xlfn.IFS(
    AND(I1586=TRUE, K1586&lt;=No_Regular_Payments), Periodic_Admin_Charge,
   TRUE, 0
)</f>
        <v>0</v>
      </c>
      <c r="R1586" s="1850">
        <f>N1586-O1586-Q1586</f>
        <v>0</v>
      </c>
      <c r="S1586" s="1850">
        <f>ROUND(S1585-R1586,2)</f>
        <v>0</v>
      </c>
      <c r="T1586" s="1850">
        <f>ROUND(T1585-(N1586-Q1586),2)</f>
        <v>0</v>
      </c>
      <c r="U1586" s="1849"/>
      <c r="W1586" s="1848"/>
      <c r="X1586" s="1848"/>
      <c r="Y1586" s="1848"/>
    </row>
    <row r="1587" spans="2:25" hidden="1">
      <c r="B1587" s="1815" t="b">
        <f>AND(I1587=FALSE,N1586=0,Q1586=0,L1586="")</f>
        <v>1</v>
      </c>
      <c r="C1587" s="1844" t="str" cm="1">
        <f t="array" ref="C1587">_xlfn.IFS(
    L1587="", "",
    MONTH(L1587) &lt;= End_of_Year_Month, YEAR(L1587),
    TRUE, YEAR(L1587) + 1
)</f>
        <v/>
      </c>
      <c r="F1587" s="1857">
        <f>IF(L1587="",0,L1587)</f>
        <v>0</v>
      </c>
      <c r="G1587" s="1856">
        <f>-(N1587-Q1587)</f>
        <v>0</v>
      </c>
      <c r="I1587" s="1815" t="b">
        <f>K1587&lt;=Number_Payments</f>
        <v>0</v>
      </c>
      <c r="J1587" s="1855"/>
      <c r="K1587" s="1351">
        <f>K1586+1</f>
        <v>1461</v>
      </c>
      <c r="L1587" s="1854" t="str" cm="1">
        <f t="array" ref="L1587">_xlfn.IFS(
    I1586=FALSE, "",
    Payment_Frequency="Monthly", EDATE(L1586, 1),
    Payment_Frequency="Weekly", DATE(YEAR(L1586), MONTH(L1586), DAY(L1586) + 7),
    Payment_Frequency="Fortnightly", DATE(YEAR(L1586), MONTH(L1586), DAY(L1586) + 14),
    Payment_Frequency="Quarterly", DATE(YEAR(L1586), MONTH(L1586) + 3, DAY(L1586)),
    Payment_Frequency="Yearly", DATE(YEAR(L1586) + 1, MONTH(L1586), DAY(L1586)),
    TRUE, ""
)</f>
        <v/>
      </c>
      <c r="M1587" s="1853">
        <f>IF(ISERROR(L1587-L1586),0,L1587-L1586)</f>
        <v>0</v>
      </c>
      <c r="N1587" s="1851" cm="1">
        <f t="array" ref="N1587">_xlfn.IFS(
    AND(I1587=TRUE, K1587&lt;=No_Regular_Payments), Repay_Amt,
    AND(I1587=TRUE, K1587=No_Regular_Payments+1), Tm_Balloon_Amt,
   TRUE, 0
)</f>
        <v>0</v>
      </c>
      <c r="O1587" s="1850" cm="1">
        <f t="array" ref="O1587">_xlfn.IFS(
    M1587=0,0,
   ABS(N1587 - S1586 - P1587-Q1587) &lt; 1, N1587 - S1586-Q1587,
    TRUE, P1587
)</f>
        <v>0</v>
      </c>
      <c r="P1587" s="1852">
        <f>IF(M1587=0,0,ROUND(S1586*EXP(Int_Rate/365.25 * M1587)-S1586,2))</f>
        <v>0</v>
      </c>
      <c r="Q1587" s="1851" cm="1">
        <f t="array" ref="Q1587">_xlfn.IFS(
    AND(I1587=TRUE, K1587&lt;=No_Regular_Payments), Periodic_Admin_Charge,
   TRUE, 0
)</f>
        <v>0</v>
      </c>
      <c r="R1587" s="1850">
        <f>N1587-O1587-Q1587</f>
        <v>0</v>
      </c>
      <c r="S1587" s="1850">
        <f>ROUND(S1586-R1587,2)</f>
        <v>0</v>
      </c>
      <c r="T1587" s="1850">
        <f>ROUND(T1586-(N1587-Q1587),2)</f>
        <v>0</v>
      </c>
      <c r="U1587" s="1849"/>
      <c r="W1587" s="1848"/>
      <c r="X1587" s="1848"/>
      <c r="Y1587" s="1848"/>
    </row>
    <row r="1588" spans="2:25" hidden="1">
      <c r="B1588" s="1815" t="b">
        <f>AND(I1588=FALSE,N1587=0,Q1587=0,L1587="")</f>
        <v>1</v>
      </c>
      <c r="C1588" s="1844" t="str" cm="1">
        <f t="array" ref="C1588">_xlfn.IFS(
    L1588="", "",
    MONTH(L1588) &lt;= End_of_Year_Month, YEAR(L1588),
    TRUE, YEAR(L1588) + 1
)</f>
        <v/>
      </c>
      <c r="F1588" s="1857">
        <f>IF(L1588="",0,L1588)</f>
        <v>0</v>
      </c>
      <c r="G1588" s="1856">
        <f>-(N1588-Q1588)</f>
        <v>0</v>
      </c>
      <c r="I1588" s="1815" t="b">
        <f>K1588&lt;=Number_Payments</f>
        <v>0</v>
      </c>
      <c r="J1588" s="1855"/>
      <c r="K1588" s="1351">
        <f>K1587+1</f>
        <v>1462</v>
      </c>
      <c r="L1588" s="1854" t="str" cm="1">
        <f t="array" ref="L1588">_xlfn.IFS(
    I1587=FALSE, "",
    Payment_Frequency="Monthly", EDATE(L1587, 1),
    Payment_Frequency="Weekly", DATE(YEAR(L1587), MONTH(L1587), DAY(L1587) + 7),
    Payment_Frequency="Fortnightly", DATE(YEAR(L1587), MONTH(L1587), DAY(L1587) + 14),
    Payment_Frequency="Quarterly", DATE(YEAR(L1587), MONTH(L1587) + 3, DAY(L1587)),
    Payment_Frequency="Yearly", DATE(YEAR(L1587) + 1, MONTH(L1587), DAY(L1587)),
    TRUE, ""
)</f>
        <v/>
      </c>
      <c r="M1588" s="1853">
        <f>IF(ISERROR(L1588-L1587),0,L1588-L1587)</f>
        <v>0</v>
      </c>
      <c r="N1588" s="1851" cm="1">
        <f t="array" ref="N1588">_xlfn.IFS(
    AND(I1588=TRUE, K1588&lt;=No_Regular_Payments), Repay_Amt,
    AND(I1588=TRUE, K1588=No_Regular_Payments+1), Tm_Balloon_Amt,
   TRUE, 0
)</f>
        <v>0</v>
      </c>
      <c r="O1588" s="1850" cm="1">
        <f t="array" ref="O1588">_xlfn.IFS(
    M1588=0,0,
   ABS(N1588 - S1587 - P1588-Q1588) &lt; 1, N1588 - S1587-Q1588,
    TRUE, P1588
)</f>
        <v>0</v>
      </c>
      <c r="P1588" s="1852">
        <f>IF(M1588=0,0,ROUND(S1587*EXP(Int_Rate/365.25 * M1588)-S1587,2))</f>
        <v>0</v>
      </c>
      <c r="Q1588" s="1851" cm="1">
        <f t="array" ref="Q1588">_xlfn.IFS(
    AND(I1588=TRUE, K1588&lt;=No_Regular_Payments), Periodic_Admin_Charge,
   TRUE, 0
)</f>
        <v>0</v>
      </c>
      <c r="R1588" s="1850">
        <f>N1588-O1588-Q1588</f>
        <v>0</v>
      </c>
      <c r="S1588" s="1850">
        <f>ROUND(S1587-R1588,2)</f>
        <v>0</v>
      </c>
      <c r="T1588" s="1850">
        <f>ROUND(T1587-(N1588-Q1588),2)</f>
        <v>0</v>
      </c>
      <c r="U1588" s="1849"/>
      <c r="W1588" s="1848"/>
      <c r="X1588" s="1848"/>
      <c r="Y1588" s="1848"/>
    </row>
    <row r="1589" spans="2:25" hidden="1">
      <c r="B1589" s="1815" t="b">
        <f>AND(I1589=FALSE,N1588=0,Q1588=0,L1588="")</f>
        <v>1</v>
      </c>
      <c r="C1589" s="1844" t="str" cm="1">
        <f t="array" ref="C1589">_xlfn.IFS(
    L1589="", "",
    MONTH(L1589) &lt;= End_of_Year_Month, YEAR(L1589),
    TRUE, YEAR(L1589) + 1
)</f>
        <v/>
      </c>
      <c r="F1589" s="1857">
        <f>IF(L1589="",0,L1589)</f>
        <v>0</v>
      </c>
      <c r="G1589" s="1856">
        <f>-(N1589-Q1589)</f>
        <v>0</v>
      </c>
      <c r="I1589" s="1815" t="b">
        <f>K1589&lt;=Number_Payments</f>
        <v>0</v>
      </c>
      <c r="J1589" s="1855"/>
      <c r="K1589" s="1351">
        <f>K1588+1</f>
        <v>1463</v>
      </c>
      <c r="L1589" s="1854" t="str" cm="1">
        <f t="array" ref="L1589">_xlfn.IFS(
    I1588=FALSE, "",
    Payment_Frequency="Monthly", EDATE(L1588, 1),
    Payment_Frequency="Weekly", DATE(YEAR(L1588), MONTH(L1588), DAY(L1588) + 7),
    Payment_Frequency="Fortnightly", DATE(YEAR(L1588), MONTH(L1588), DAY(L1588) + 14),
    Payment_Frequency="Quarterly", DATE(YEAR(L1588), MONTH(L1588) + 3, DAY(L1588)),
    Payment_Frequency="Yearly", DATE(YEAR(L1588) + 1, MONTH(L1588), DAY(L1588)),
    TRUE, ""
)</f>
        <v/>
      </c>
      <c r="M1589" s="1853">
        <f>IF(ISERROR(L1589-L1588),0,L1589-L1588)</f>
        <v>0</v>
      </c>
      <c r="N1589" s="1851" cm="1">
        <f t="array" ref="N1589">_xlfn.IFS(
    AND(I1589=TRUE, K1589&lt;=No_Regular_Payments), Repay_Amt,
    AND(I1589=TRUE, K1589=No_Regular_Payments+1), Tm_Balloon_Amt,
   TRUE, 0
)</f>
        <v>0</v>
      </c>
      <c r="O1589" s="1850" cm="1">
        <f t="array" ref="O1589">_xlfn.IFS(
    M1589=0,0,
   ABS(N1589 - S1588 - P1589-Q1589) &lt; 1, N1589 - S1588-Q1589,
    TRUE, P1589
)</f>
        <v>0</v>
      </c>
      <c r="P1589" s="1852">
        <f>IF(M1589=0,0,ROUND(S1588*EXP(Int_Rate/365.25 * M1589)-S1588,2))</f>
        <v>0</v>
      </c>
      <c r="Q1589" s="1851" cm="1">
        <f t="array" ref="Q1589">_xlfn.IFS(
    AND(I1589=TRUE, K1589&lt;=No_Regular_Payments), Periodic_Admin_Charge,
   TRUE, 0
)</f>
        <v>0</v>
      </c>
      <c r="R1589" s="1850">
        <f>N1589-O1589-Q1589</f>
        <v>0</v>
      </c>
      <c r="S1589" s="1850">
        <f>ROUND(S1588-R1589,2)</f>
        <v>0</v>
      </c>
      <c r="T1589" s="1850">
        <f>ROUND(T1588-(N1589-Q1589),2)</f>
        <v>0</v>
      </c>
      <c r="U1589" s="1849"/>
      <c r="W1589" s="1848"/>
      <c r="X1589" s="1848"/>
      <c r="Y1589" s="1848"/>
    </row>
    <row r="1590" spans="2:25" hidden="1">
      <c r="B1590" s="1815" t="b">
        <f>AND(I1590=FALSE,N1589=0,Q1589=0,L1589="")</f>
        <v>1</v>
      </c>
      <c r="C1590" s="1844" t="str" cm="1">
        <f t="array" ref="C1590">_xlfn.IFS(
    L1590="", "",
    MONTH(L1590) &lt;= End_of_Year_Month, YEAR(L1590),
    TRUE, YEAR(L1590) + 1
)</f>
        <v/>
      </c>
      <c r="F1590" s="1857">
        <f>IF(L1590="",0,L1590)</f>
        <v>0</v>
      </c>
      <c r="G1590" s="1856">
        <f>-(N1590-Q1590)</f>
        <v>0</v>
      </c>
      <c r="I1590" s="1815" t="b">
        <f>K1590&lt;=Number_Payments</f>
        <v>0</v>
      </c>
      <c r="J1590" s="1855"/>
      <c r="K1590" s="1351">
        <f>K1589+1</f>
        <v>1464</v>
      </c>
      <c r="L1590" s="1854" t="str" cm="1">
        <f t="array" ref="L1590">_xlfn.IFS(
    I1589=FALSE, "",
    Payment_Frequency="Monthly", EDATE(L1589, 1),
    Payment_Frequency="Weekly", DATE(YEAR(L1589), MONTH(L1589), DAY(L1589) + 7),
    Payment_Frequency="Fortnightly", DATE(YEAR(L1589), MONTH(L1589), DAY(L1589) + 14),
    Payment_Frequency="Quarterly", DATE(YEAR(L1589), MONTH(L1589) + 3, DAY(L1589)),
    Payment_Frequency="Yearly", DATE(YEAR(L1589) + 1, MONTH(L1589), DAY(L1589)),
    TRUE, ""
)</f>
        <v/>
      </c>
      <c r="M1590" s="1853">
        <f>IF(ISERROR(L1590-L1589),0,L1590-L1589)</f>
        <v>0</v>
      </c>
      <c r="N1590" s="1851" cm="1">
        <f t="array" ref="N1590">_xlfn.IFS(
    AND(I1590=TRUE, K1590&lt;=No_Regular_Payments), Repay_Amt,
    AND(I1590=TRUE, K1590=No_Regular_Payments+1), Tm_Balloon_Amt,
   TRUE, 0
)</f>
        <v>0</v>
      </c>
      <c r="O1590" s="1850" cm="1">
        <f t="array" ref="O1590">_xlfn.IFS(
    M1590=0,0,
   ABS(N1590 - S1589 - P1590-Q1590) &lt; 1, N1590 - S1589-Q1590,
    TRUE, P1590
)</f>
        <v>0</v>
      </c>
      <c r="P1590" s="1852">
        <f>IF(M1590=0,0,ROUND(S1589*EXP(Int_Rate/365.25 * M1590)-S1589,2))</f>
        <v>0</v>
      </c>
      <c r="Q1590" s="1851" cm="1">
        <f t="array" ref="Q1590">_xlfn.IFS(
    AND(I1590=TRUE, K1590&lt;=No_Regular_Payments), Periodic_Admin_Charge,
   TRUE, 0
)</f>
        <v>0</v>
      </c>
      <c r="R1590" s="1850">
        <f>N1590-O1590-Q1590</f>
        <v>0</v>
      </c>
      <c r="S1590" s="1850">
        <f>ROUND(S1589-R1590,2)</f>
        <v>0</v>
      </c>
      <c r="T1590" s="1850">
        <f>ROUND(T1589-(N1590-Q1590),2)</f>
        <v>0</v>
      </c>
      <c r="U1590" s="1849"/>
      <c r="W1590" s="1848"/>
      <c r="X1590" s="1848"/>
      <c r="Y1590" s="1848"/>
    </row>
    <row r="1591" spans="2:25" hidden="1">
      <c r="B1591" s="1815" t="b">
        <f>AND(I1591=FALSE,N1590=0,Q1590=0,L1590="")</f>
        <v>1</v>
      </c>
      <c r="C1591" s="1844" t="str" cm="1">
        <f t="array" ref="C1591">_xlfn.IFS(
    L1591="", "",
    MONTH(L1591) &lt;= End_of_Year_Month, YEAR(L1591),
    TRUE, YEAR(L1591) + 1
)</f>
        <v/>
      </c>
      <c r="F1591" s="1857">
        <f>IF(L1591="",0,L1591)</f>
        <v>0</v>
      </c>
      <c r="G1591" s="1856">
        <f>-(N1591-Q1591)</f>
        <v>0</v>
      </c>
      <c r="I1591" s="1815" t="b">
        <f>K1591&lt;=Number_Payments</f>
        <v>0</v>
      </c>
      <c r="J1591" s="1855"/>
      <c r="K1591" s="1351">
        <f>K1590+1</f>
        <v>1465</v>
      </c>
      <c r="L1591" s="1854" t="str" cm="1">
        <f t="array" ref="L1591">_xlfn.IFS(
    I1590=FALSE, "",
    Payment_Frequency="Monthly", EDATE(L1590, 1),
    Payment_Frequency="Weekly", DATE(YEAR(L1590), MONTH(L1590), DAY(L1590) + 7),
    Payment_Frequency="Fortnightly", DATE(YEAR(L1590), MONTH(L1590), DAY(L1590) + 14),
    Payment_Frequency="Quarterly", DATE(YEAR(L1590), MONTH(L1590) + 3, DAY(L1590)),
    Payment_Frequency="Yearly", DATE(YEAR(L1590) + 1, MONTH(L1590), DAY(L1590)),
    TRUE, ""
)</f>
        <v/>
      </c>
      <c r="M1591" s="1853">
        <f>IF(ISERROR(L1591-L1590),0,L1591-L1590)</f>
        <v>0</v>
      </c>
      <c r="N1591" s="1851" cm="1">
        <f t="array" ref="N1591">_xlfn.IFS(
    AND(I1591=TRUE, K1591&lt;=No_Regular_Payments), Repay_Amt,
    AND(I1591=TRUE, K1591=No_Regular_Payments+1), Tm_Balloon_Amt,
   TRUE, 0
)</f>
        <v>0</v>
      </c>
      <c r="O1591" s="1850" cm="1">
        <f t="array" ref="O1591">_xlfn.IFS(
    M1591=0,0,
   ABS(N1591 - S1590 - P1591-Q1591) &lt; 1, N1591 - S1590-Q1591,
    TRUE, P1591
)</f>
        <v>0</v>
      </c>
      <c r="P1591" s="1852">
        <f>IF(M1591=0,0,ROUND(S1590*EXP(Int_Rate/365.25 * M1591)-S1590,2))</f>
        <v>0</v>
      </c>
      <c r="Q1591" s="1851" cm="1">
        <f t="array" ref="Q1591">_xlfn.IFS(
    AND(I1591=TRUE, K1591&lt;=No_Regular_Payments), Periodic_Admin_Charge,
   TRUE, 0
)</f>
        <v>0</v>
      </c>
      <c r="R1591" s="1850">
        <f>N1591-O1591-Q1591</f>
        <v>0</v>
      </c>
      <c r="S1591" s="1850">
        <f>ROUND(S1590-R1591,2)</f>
        <v>0</v>
      </c>
      <c r="T1591" s="1850">
        <f>ROUND(T1590-(N1591-Q1591),2)</f>
        <v>0</v>
      </c>
      <c r="U1591" s="1849"/>
      <c r="W1591" s="1848"/>
      <c r="X1591" s="1848"/>
      <c r="Y1591" s="1848"/>
    </row>
    <row r="1592" spans="2:25" hidden="1">
      <c r="B1592" s="1815" t="b">
        <f>AND(I1592=FALSE,N1591=0,Q1591=0,L1591="")</f>
        <v>1</v>
      </c>
      <c r="C1592" s="1844" t="str" cm="1">
        <f t="array" ref="C1592">_xlfn.IFS(
    L1592="", "",
    MONTH(L1592) &lt;= End_of_Year_Month, YEAR(L1592),
    TRUE, YEAR(L1592) + 1
)</f>
        <v/>
      </c>
      <c r="F1592" s="1857">
        <f>IF(L1592="",0,L1592)</f>
        <v>0</v>
      </c>
      <c r="G1592" s="1856">
        <f>-(N1592-Q1592)</f>
        <v>0</v>
      </c>
      <c r="I1592" s="1815" t="b">
        <f>K1592&lt;=Number_Payments</f>
        <v>0</v>
      </c>
      <c r="J1592" s="1855"/>
      <c r="K1592" s="1351">
        <f>K1591+1</f>
        <v>1466</v>
      </c>
      <c r="L1592" s="1854" t="str" cm="1">
        <f t="array" ref="L1592">_xlfn.IFS(
    I1591=FALSE, "",
    Payment_Frequency="Monthly", EDATE(L1591, 1),
    Payment_Frequency="Weekly", DATE(YEAR(L1591), MONTH(L1591), DAY(L1591) + 7),
    Payment_Frequency="Fortnightly", DATE(YEAR(L1591), MONTH(L1591), DAY(L1591) + 14),
    Payment_Frequency="Quarterly", DATE(YEAR(L1591), MONTH(L1591) + 3, DAY(L1591)),
    Payment_Frequency="Yearly", DATE(YEAR(L1591) + 1, MONTH(L1591), DAY(L1591)),
    TRUE, ""
)</f>
        <v/>
      </c>
      <c r="M1592" s="1853">
        <f>IF(ISERROR(L1592-L1591),0,L1592-L1591)</f>
        <v>0</v>
      </c>
      <c r="N1592" s="1851" cm="1">
        <f t="array" ref="N1592">_xlfn.IFS(
    AND(I1592=TRUE, K1592&lt;=No_Regular_Payments), Repay_Amt,
    AND(I1592=TRUE, K1592=No_Regular_Payments+1), Tm_Balloon_Amt,
   TRUE, 0
)</f>
        <v>0</v>
      </c>
      <c r="O1592" s="1850" cm="1">
        <f t="array" ref="O1592">_xlfn.IFS(
    M1592=0,0,
   ABS(N1592 - S1591 - P1592-Q1592) &lt; 1, N1592 - S1591-Q1592,
    TRUE, P1592
)</f>
        <v>0</v>
      </c>
      <c r="P1592" s="1852">
        <f>IF(M1592=0,0,ROUND(S1591*EXP(Int_Rate/365.25 * M1592)-S1591,2))</f>
        <v>0</v>
      </c>
      <c r="Q1592" s="1851" cm="1">
        <f t="array" ref="Q1592">_xlfn.IFS(
    AND(I1592=TRUE, K1592&lt;=No_Regular_Payments), Periodic_Admin_Charge,
   TRUE, 0
)</f>
        <v>0</v>
      </c>
      <c r="R1592" s="1850">
        <f>N1592-O1592-Q1592</f>
        <v>0</v>
      </c>
      <c r="S1592" s="1850">
        <f>ROUND(S1591-R1592,2)</f>
        <v>0</v>
      </c>
      <c r="T1592" s="1850">
        <f>ROUND(T1591-(N1592-Q1592),2)</f>
        <v>0</v>
      </c>
      <c r="U1592" s="1849"/>
      <c r="W1592" s="1848"/>
      <c r="X1592" s="1848"/>
      <c r="Y1592" s="1848"/>
    </row>
    <row r="1593" spans="2:25" hidden="1">
      <c r="B1593" s="1815" t="b">
        <f>AND(I1593=FALSE,N1592=0,Q1592=0,L1592="")</f>
        <v>1</v>
      </c>
      <c r="C1593" s="1844" t="str" cm="1">
        <f t="array" ref="C1593">_xlfn.IFS(
    L1593="", "",
    MONTH(L1593) &lt;= End_of_Year_Month, YEAR(L1593),
    TRUE, YEAR(L1593) + 1
)</f>
        <v/>
      </c>
      <c r="F1593" s="1857">
        <f>IF(L1593="",0,L1593)</f>
        <v>0</v>
      </c>
      <c r="G1593" s="1856">
        <f>-(N1593-Q1593)</f>
        <v>0</v>
      </c>
      <c r="I1593" s="1815" t="b">
        <f>K1593&lt;=Number_Payments</f>
        <v>0</v>
      </c>
      <c r="J1593" s="1855"/>
      <c r="K1593" s="1351">
        <f>K1592+1</f>
        <v>1467</v>
      </c>
      <c r="L1593" s="1854" t="str" cm="1">
        <f t="array" ref="L1593">_xlfn.IFS(
    I1592=FALSE, "",
    Payment_Frequency="Monthly", EDATE(L1592, 1),
    Payment_Frequency="Weekly", DATE(YEAR(L1592), MONTH(L1592), DAY(L1592) + 7),
    Payment_Frequency="Fortnightly", DATE(YEAR(L1592), MONTH(L1592), DAY(L1592) + 14),
    Payment_Frequency="Quarterly", DATE(YEAR(L1592), MONTH(L1592) + 3, DAY(L1592)),
    Payment_Frequency="Yearly", DATE(YEAR(L1592) + 1, MONTH(L1592), DAY(L1592)),
    TRUE, ""
)</f>
        <v/>
      </c>
      <c r="M1593" s="1853">
        <f>IF(ISERROR(L1593-L1592),0,L1593-L1592)</f>
        <v>0</v>
      </c>
      <c r="N1593" s="1851" cm="1">
        <f t="array" ref="N1593">_xlfn.IFS(
    AND(I1593=TRUE, K1593&lt;=No_Regular_Payments), Repay_Amt,
    AND(I1593=TRUE, K1593=No_Regular_Payments+1), Tm_Balloon_Amt,
   TRUE, 0
)</f>
        <v>0</v>
      </c>
      <c r="O1593" s="1850" cm="1">
        <f t="array" ref="O1593">_xlfn.IFS(
    M1593=0,0,
   ABS(N1593 - S1592 - P1593-Q1593) &lt; 1, N1593 - S1592-Q1593,
    TRUE, P1593
)</f>
        <v>0</v>
      </c>
      <c r="P1593" s="1852">
        <f>IF(M1593=0,0,ROUND(S1592*EXP(Int_Rate/365.25 * M1593)-S1592,2))</f>
        <v>0</v>
      </c>
      <c r="Q1593" s="1851" cm="1">
        <f t="array" ref="Q1593">_xlfn.IFS(
    AND(I1593=TRUE, K1593&lt;=No_Regular_Payments), Periodic_Admin_Charge,
   TRUE, 0
)</f>
        <v>0</v>
      </c>
      <c r="R1593" s="1850">
        <f>N1593-O1593-Q1593</f>
        <v>0</v>
      </c>
      <c r="S1593" s="1850">
        <f>ROUND(S1592-R1593,2)</f>
        <v>0</v>
      </c>
      <c r="T1593" s="1850">
        <f>ROUND(T1592-(N1593-Q1593),2)</f>
        <v>0</v>
      </c>
      <c r="U1593" s="1849"/>
      <c r="W1593" s="1848"/>
      <c r="X1593" s="1848"/>
      <c r="Y1593" s="1848"/>
    </row>
    <row r="1594" spans="2:25" hidden="1">
      <c r="B1594" s="1815" t="b">
        <f>AND(I1594=FALSE,N1593=0,Q1593=0,L1593="")</f>
        <v>1</v>
      </c>
      <c r="C1594" s="1844" t="str" cm="1">
        <f t="array" ref="C1594">_xlfn.IFS(
    L1594="", "",
    MONTH(L1594) &lt;= End_of_Year_Month, YEAR(L1594),
    TRUE, YEAR(L1594) + 1
)</f>
        <v/>
      </c>
      <c r="F1594" s="1857">
        <f>IF(L1594="",0,L1594)</f>
        <v>0</v>
      </c>
      <c r="G1594" s="1856">
        <f>-(N1594-Q1594)</f>
        <v>0</v>
      </c>
      <c r="I1594" s="1815" t="b">
        <f>K1594&lt;=Number_Payments</f>
        <v>0</v>
      </c>
      <c r="J1594" s="1855"/>
      <c r="K1594" s="1351">
        <f>K1593+1</f>
        <v>1468</v>
      </c>
      <c r="L1594" s="1854" t="str" cm="1">
        <f t="array" ref="L1594">_xlfn.IFS(
    I1593=FALSE, "",
    Payment_Frequency="Monthly", EDATE(L1593, 1),
    Payment_Frequency="Weekly", DATE(YEAR(L1593), MONTH(L1593), DAY(L1593) + 7),
    Payment_Frequency="Fortnightly", DATE(YEAR(L1593), MONTH(L1593), DAY(L1593) + 14),
    Payment_Frequency="Quarterly", DATE(YEAR(L1593), MONTH(L1593) + 3, DAY(L1593)),
    Payment_Frequency="Yearly", DATE(YEAR(L1593) + 1, MONTH(L1593), DAY(L1593)),
    TRUE, ""
)</f>
        <v/>
      </c>
      <c r="M1594" s="1853">
        <f>IF(ISERROR(L1594-L1593),0,L1594-L1593)</f>
        <v>0</v>
      </c>
      <c r="N1594" s="1851" cm="1">
        <f t="array" ref="N1594">_xlfn.IFS(
    AND(I1594=TRUE, K1594&lt;=No_Regular_Payments), Repay_Amt,
    AND(I1594=TRUE, K1594=No_Regular_Payments+1), Tm_Balloon_Amt,
   TRUE, 0
)</f>
        <v>0</v>
      </c>
      <c r="O1594" s="1850" cm="1">
        <f t="array" ref="O1594">_xlfn.IFS(
    M1594=0,0,
   ABS(N1594 - S1593 - P1594-Q1594) &lt; 1, N1594 - S1593-Q1594,
    TRUE, P1594
)</f>
        <v>0</v>
      </c>
      <c r="P1594" s="1852">
        <f>IF(M1594=0,0,ROUND(S1593*EXP(Int_Rate/365.25 * M1594)-S1593,2))</f>
        <v>0</v>
      </c>
      <c r="Q1594" s="1851" cm="1">
        <f t="array" ref="Q1594">_xlfn.IFS(
    AND(I1594=TRUE, K1594&lt;=No_Regular_Payments), Periodic_Admin_Charge,
   TRUE, 0
)</f>
        <v>0</v>
      </c>
      <c r="R1594" s="1850">
        <f>N1594-O1594-Q1594</f>
        <v>0</v>
      </c>
      <c r="S1594" s="1850">
        <f>ROUND(S1593-R1594,2)</f>
        <v>0</v>
      </c>
      <c r="T1594" s="1850">
        <f>ROUND(T1593-(N1594-Q1594),2)</f>
        <v>0</v>
      </c>
      <c r="U1594" s="1849"/>
      <c r="W1594" s="1848"/>
      <c r="X1594" s="1848"/>
      <c r="Y1594" s="1848"/>
    </row>
    <row r="1595" spans="2:25" hidden="1">
      <c r="B1595" s="1815" t="b">
        <f>AND(I1595=FALSE,N1594=0,Q1594=0,L1594="")</f>
        <v>1</v>
      </c>
      <c r="C1595" s="1844" t="str" cm="1">
        <f t="array" ref="C1595">_xlfn.IFS(
    L1595="", "",
    MONTH(L1595) &lt;= End_of_Year_Month, YEAR(L1595),
    TRUE, YEAR(L1595) + 1
)</f>
        <v/>
      </c>
      <c r="F1595" s="1857">
        <f>IF(L1595="",0,L1595)</f>
        <v>0</v>
      </c>
      <c r="G1595" s="1856">
        <f>-(N1595-Q1595)</f>
        <v>0</v>
      </c>
      <c r="I1595" s="1815" t="b">
        <f>K1595&lt;=Number_Payments</f>
        <v>0</v>
      </c>
      <c r="J1595" s="1855"/>
      <c r="K1595" s="1351">
        <f>K1594+1</f>
        <v>1469</v>
      </c>
      <c r="L1595" s="1854" t="str" cm="1">
        <f t="array" ref="L1595">_xlfn.IFS(
    I1594=FALSE, "",
    Payment_Frequency="Monthly", EDATE(L1594, 1),
    Payment_Frequency="Weekly", DATE(YEAR(L1594), MONTH(L1594), DAY(L1594) + 7),
    Payment_Frequency="Fortnightly", DATE(YEAR(L1594), MONTH(L1594), DAY(L1594) + 14),
    Payment_Frequency="Quarterly", DATE(YEAR(L1594), MONTH(L1594) + 3, DAY(L1594)),
    Payment_Frequency="Yearly", DATE(YEAR(L1594) + 1, MONTH(L1594), DAY(L1594)),
    TRUE, ""
)</f>
        <v/>
      </c>
      <c r="M1595" s="1853">
        <f>IF(ISERROR(L1595-L1594),0,L1595-L1594)</f>
        <v>0</v>
      </c>
      <c r="N1595" s="1851" cm="1">
        <f t="array" ref="N1595">_xlfn.IFS(
    AND(I1595=TRUE, K1595&lt;=No_Regular_Payments), Repay_Amt,
    AND(I1595=TRUE, K1595=No_Regular_Payments+1), Tm_Balloon_Amt,
   TRUE, 0
)</f>
        <v>0</v>
      </c>
      <c r="O1595" s="1850" cm="1">
        <f t="array" ref="O1595">_xlfn.IFS(
    M1595=0,0,
   ABS(N1595 - S1594 - P1595-Q1595) &lt; 1, N1595 - S1594-Q1595,
    TRUE, P1595
)</f>
        <v>0</v>
      </c>
      <c r="P1595" s="1852">
        <f>IF(M1595=0,0,ROUND(S1594*EXP(Int_Rate/365.25 * M1595)-S1594,2))</f>
        <v>0</v>
      </c>
      <c r="Q1595" s="1851" cm="1">
        <f t="array" ref="Q1595">_xlfn.IFS(
    AND(I1595=TRUE, K1595&lt;=No_Regular_Payments), Periodic_Admin_Charge,
   TRUE, 0
)</f>
        <v>0</v>
      </c>
      <c r="R1595" s="1850">
        <f>N1595-O1595-Q1595</f>
        <v>0</v>
      </c>
      <c r="S1595" s="1850">
        <f>ROUND(S1594-R1595,2)</f>
        <v>0</v>
      </c>
      <c r="T1595" s="1850">
        <f>ROUND(T1594-(N1595-Q1595),2)</f>
        <v>0</v>
      </c>
      <c r="U1595" s="1849"/>
      <c r="W1595" s="1848"/>
      <c r="X1595" s="1848"/>
      <c r="Y1595" s="1848"/>
    </row>
    <row r="1596" spans="2:25" hidden="1">
      <c r="B1596" s="1815" t="b">
        <f>AND(I1596=FALSE,N1595=0,Q1595=0,L1595="")</f>
        <v>1</v>
      </c>
      <c r="C1596" s="1844" t="str" cm="1">
        <f t="array" ref="C1596">_xlfn.IFS(
    L1596="", "",
    MONTH(L1596) &lt;= End_of_Year_Month, YEAR(L1596),
    TRUE, YEAR(L1596) + 1
)</f>
        <v/>
      </c>
      <c r="F1596" s="1857">
        <f>IF(L1596="",0,L1596)</f>
        <v>0</v>
      </c>
      <c r="G1596" s="1856">
        <f>-(N1596-Q1596)</f>
        <v>0</v>
      </c>
      <c r="I1596" s="1815" t="b">
        <f>K1596&lt;=Number_Payments</f>
        <v>0</v>
      </c>
      <c r="J1596" s="1855"/>
      <c r="K1596" s="1351">
        <f>K1595+1</f>
        <v>1470</v>
      </c>
      <c r="L1596" s="1854" t="str" cm="1">
        <f t="array" ref="L1596">_xlfn.IFS(
    I1595=FALSE, "",
    Payment_Frequency="Monthly", EDATE(L1595, 1),
    Payment_Frequency="Weekly", DATE(YEAR(L1595), MONTH(L1595), DAY(L1595) + 7),
    Payment_Frequency="Fortnightly", DATE(YEAR(L1595), MONTH(L1595), DAY(L1595) + 14),
    Payment_Frequency="Quarterly", DATE(YEAR(L1595), MONTH(L1595) + 3, DAY(L1595)),
    Payment_Frequency="Yearly", DATE(YEAR(L1595) + 1, MONTH(L1595), DAY(L1595)),
    TRUE, ""
)</f>
        <v/>
      </c>
      <c r="M1596" s="1853">
        <f>IF(ISERROR(L1596-L1595),0,L1596-L1595)</f>
        <v>0</v>
      </c>
      <c r="N1596" s="1851" cm="1">
        <f t="array" ref="N1596">_xlfn.IFS(
    AND(I1596=TRUE, K1596&lt;=No_Regular_Payments), Repay_Amt,
    AND(I1596=TRUE, K1596=No_Regular_Payments+1), Tm_Balloon_Amt,
   TRUE, 0
)</f>
        <v>0</v>
      </c>
      <c r="O1596" s="1850" cm="1">
        <f t="array" ref="O1596">_xlfn.IFS(
    M1596=0,0,
   ABS(N1596 - S1595 - P1596-Q1596) &lt; 1, N1596 - S1595-Q1596,
    TRUE, P1596
)</f>
        <v>0</v>
      </c>
      <c r="P1596" s="1852">
        <f>IF(M1596=0,0,ROUND(S1595*EXP(Int_Rate/365.25 * M1596)-S1595,2))</f>
        <v>0</v>
      </c>
      <c r="Q1596" s="1851" cm="1">
        <f t="array" ref="Q1596">_xlfn.IFS(
    AND(I1596=TRUE, K1596&lt;=No_Regular_Payments), Periodic_Admin_Charge,
   TRUE, 0
)</f>
        <v>0</v>
      </c>
      <c r="R1596" s="1850">
        <f>N1596-O1596-Q1596</f>
        <v>0</v>
      </c>
      <c r="S1596" s="1850">
        <f>ROUND(S1595-R1596,2)</f>
        <v>0</v>
      </c>
      <c r="T1596" s="1850">
        <f>ROUND(T1595-(N1596-Q1596),2)</f>
        <v>0</v>
      </c>
      <c r="U1596" s="1849"/>
      <c r="W1596" s="1848"/>
      <c r="X1596" s="1848"/>
      <c r="Y1596" s="1848"/>
    </row>
    <row r="1597" spans="2:25" hidden="1">
      <c r="B1597" s="1815" t="b">
        <f>AND(I1597=FALSE,N1596=0,Q1596=0,L1596="")</f>
        <v>1</v>
      </c>
      <c r="C1597" s="1844" t="str" cm="1">
        <f t="array" ref="C1597">_xlfn.IFS(
    L1597="", "",
    MONTH(L1597) &lt;= End_of_Year_Month, YEAR(L1597),
    TRUE, YEAR(L1597) + 1
)</f>
        <v/>
      </c>
      <c r="F1597" s="1857">
        <f>IF(L1597="",0,L1597)</f>
        <v>0</v>
      </c>
      <c r="G1597" s="1856">
        <f>-(N1597-Q1597)</f>
        <v>0</v>
      </c>
      <c r="I1597" s="1815" t="b">
        <f>K1597&lt;=Number_Payments</f>
        <v>0</v>
      </c>
      <c r="J1597" s="1855"/>
      <c r="K1597" s="1351">
        <f>K1596+1</f>
        <v>1471</v>
      </c>
      <c r="L1597" s="1854" t="str" cm="1">
        <f t="array" ref="L1597">_xlfn.IFS(
    I1596=FALSE, "",
    Payment_Frequency="Monthly", EDATE(L1596, 1),
    Payment_Frequency="Weekly", DATE(YEAR(L1596), MONTH(L1596), DAY(L1596) + 7),
    Payment_Frequency="Fortnightly", DATE(YEAR(L1596), MONTH(L1596), DAY(L1596) + 14),
    Payment_Frequency="Quarterly", DATE(YEAR(L1596), MONTH(L1596) + 3, DAY(L1596)),
    Payment_Frequency="Yearly", DATE(YEAR(L1596) + 1, MONTH(L1596), DAY(L1596)),
    TRUE, ""
)</f>
        <v/>
      </c>
      <c r="M1597" s="1853">
        <f>IF(ISERROR(L1597-L1596),0,L1597-L1596)</f>
        <v>0</v>
      </c>
      <c r="N1597" s="1851" cm="1">
        <f t="array" ref="N1597">_xlfn.IFS(
    AND(I1597=TRUE, K1597&lt;=No_Regular_Payments), Repay_Amt,
    AND(I1597=TRUE, K1597=No_Regular_Payments+1), Tm_Balloon_Amt,
   TRUE, 0
)</f>
        <v>0</v>
      </c>
      <c r="O1597" s="1850" cm="1">
        <f t="array" ref="O1597">_xlfn.IFS(
    M1597=0,0,
   ABS(N1597 - S1596 - P1597-Q1597) &lt; 1, N1597 - S1596-Q1597,
    TRUE, P1597
)</f>
        <v>0</v>
      </c>
      <c r="P1597" s="1852">
        <f>IF(M1597=0,0,ROUND(S1596*EXP(Int_Rate/365.25 * M1597)-S1596,2))</f>
        <v>0</v>
      </c>
      <c r="Q1597" s="1851" cm="1">
        <f t="array" ref="Q1597">_xlfn.IFS(
    AND(I1597=TRUE, K1597&lt;=No_Regular_Payments), Periodic_Admin_Charge,
   TRUE, 0
)</f>
        <v>0</v>
      </c>
      <c r="R1597" s="1850">
        <f>N1597-O1597-Q1597</f>
        <v>0</v>
      </c>
      <c r="S1597" s="1850">
        <f>ROUND(S1596-R1597,2)</f>
        <v>0</v>
      </c>
      <c r="T1597" s="1850">
        <f>ROUND(T1596-(N1597-Q1597),2)</f>
        <v>0</v>
      </c>
      <c r="U1597" s="1849"/>
      <c r="W1597" s="1848"/>
      <c r="X1597" s="1848"/>
      <c r="Y1597" s="1848"/>
    </row>
    <row r="1598" spans="2:25" hidden="1">
      <c r="B1598" s="1815" t="b">
        <f>AND(I1598=FALSE,N1597=0,Q1597=0,L1597="")</f>
        <v>1</v>
      </c>
      <c r="C1598" s="1844" t="str" cm="1">
        <f t="array" ref="C1598">_xlfn.IFS(
    L1598="", "",
    MONTH(L1598) &lt;= End_of_Year_Month, YEAR(L1598),
    TRUE, YEAR(L1598) + 1
)</f>
        <v/>
      </c>
      <c r="F1598" s="1857">
        <f>IF(L1598="",0,L1598)</f>
        <v>0</v>
      </c>
      <c r="G1598" s="1856">
        <f>-(N1598-Q1598)</f>
        <v>0</v>
      </c>
      <c r="I1598" s="1815" t="b">
        <f>K1598&lt;=Number_Payments</f>
        <v>0</v>
      </c>
      <c r="J1598" s="1855"/>
      <c r="K1598" s="1351">
        <f>K1597+1</f>
        <v>1472</v>
      </c>
      <c r="L1598" s="1854" t="str" cm="1">
        <f t="array" ref="L1598">_xlfn.IFS(
    I1597=FALSE, "",
    Payment_Frequency="Monthly", EDATE(L1597, 1),
    Payment_Frequency="Weekly", DATE(YEAR(L1597), MONTH(L1597), DAY(L1597) + 7),
    Payment_Frequency="Fortnightly", DATE(YEAR(L1597), MONTH(L1597), DAY(L1597) + 14),
    Payment_Frequency="Quarterly", DATE(YEAR(L1597), MONTH(L1597) + 3, DAY(L1597)),
    Payment_Frequency="Yearly", DATE(YEAR(L1597) + 1, MONTH(L1597), DAY(L1597)),
    TRUE, ""
)</f>
        <v/>
      </c>
      <c r="M1598" s="1853">
        <f>IF(ISERROR(L1598-L1597),0,L1598-L1597)</f>
        <v>0</v>
      </c>
      <c r="N1598" s="1851" cm="1">
        <f t="array" ref="N1598">_xlfn.IFS(
    AND(I1598=TRUE, K1598&lt;=No_Regular_Payments), Repay_Amt,
    AND(I1598=TRUE, K1598=No_Regular_Payments+1), Tm_Balloon_Amt,
   TRUE, 0
)</f>
        <v>0</v>
      </c>
      <c r="O1598" s="1850" cm="1">
        <f t="array" ref="O1598">_xlfn.IFS(
    M1598=0,0,
   ABS(N1598 - S1597 - P1598-Q1598) &lt; 1, N1598 - S1597-Q1598,
    TRUE, P1598
)</f>
        <v>0</v>
      </c>
      <c r="P1598" s="1852">
        <f>IF(M1598=0,0,ROUND(S1597*EXP(Int_Rate/365.25 * M1598)-S1597,2))</f>
        <v>0</v>
      </c>
      <c r="Q1598" s="1851" cm="1">
        <f t="array" ref="Q1598">_xlfn.IFS(
    AND(I1598=TRUE, K1598&lt;=No_Regular_Payments), Periodic_Admin_Charge,
   TRUE, 0
)</f>
        <v>0</v>
      </c>
      <c r="R1598" s="1850">
        <f>N1598-O1598-Q1598</f>
        <v>0</v>
      </c>
      <c r="S1598" s="1850">
        <f>ROUND(S1597-R1598,2)</f>
        <v>0</v>
      </c>
      <c r="T1598" s="1850">
        <f>ROUND(T1597-(N1598-Q1598),2)</f>
        <v>0</v>
      </c>
      <c r="U1598" s="1849"/>
      <c r="W1598" s="1848"/>
      <c r="X1598" s="1848"/>
      <c r="Y1598" s="1848"/>
    </row>
    <row r="1599" spans="2:25" hidden="1">
      <c r="B1599" s="1815" t="b">
        <f>AND(I1599=FALSE,N1598=0,Q1598=0,L1598="")</f>
        <v>1</v>
      </c>
      <c r="C1599" s="1844" t="str" cm="1">
        <f t="array" ref="C1599">_xlfn.IFS(
    L1599="", "",
    MONTH(L1599) &lt;= End_of_Year_Month, YEAR(L1599),
    TRUE, YEAR(L1599) + 1
)</f>
        <v/>
      </c>
      <c r="F1599" s="1857">
        <f>IF(L1599="",0,L1599)</f>
        <v>0</v>
      </c>
      <c r="G1599" s="1856">
        <f>-(N1599-Q1599)</f>
        <v>0</v>
      </c>
      <c r="I1599" s="1815" t="b">
        <f>K1599&lt;=Number_Payments</f>
        <v>0</v>
      </c>
      <c r="J1599" s="1855"/>
      <c r="K1599" s="1351">
        <f>K1598+1</f>
        <v>1473</v>
      </c>
      <c r="L1599" s="1854" t="str" cm="1">
        <f t="array" ref="L1599">_xlfn.IFS(
    I1598=FALSE, "",
    Payment_Frequency="Monthly", EDATE(L1598, 1),
    Payment_Frequency="Weekly", DATE(YEAR(L1598), MONTH(L1598), DAY(L1598) + 7),
    Payment_Frequency="Fortnightly", DATE(YEAR(L1598), MONTH(L1598), DAY(L1598) + 14),
    Payment_Frequency="Quarterly", DATE(YEAR(L1598), MONTH(L1598) + 3, DAY(L1598)),
    Payment_Frequency="Yearly", DATE(YEAR(L1598) + 1, MONTH(L1598), DAY(L1598)),
    TRUE, ""
)</f>
        <v/>
      </c>
      <c r="M1599" s="1853">
        <f>IF(ISERROR(L1599-L1598),0,L1599-L1598)</f>
        <v>0</v>
      </c>
      <c r="N1599" s="1851" cm="1">
        <f t="array" ref="N1599">_xlfn.IFS(
    AND(I1599=TRUE, K1599&lt;=No_Regular_Payments), Repay_Amt,
    AND(I1599=TRUE, K1599=No_Regular_Payments+1), Tm_Balloon_Amt,
   TRUE, 0
)</f>
        <v>0</v>
      </c>
      <c r="O1599" s="1850" cm="1">
        <f t="array" ref="O1599">_xlfn.IFS(
    M1599=0,0,
   ABS(N1599 - S1598 - P1599-Q1599) &lt; 1, N1599 - S1598-Q1599,
    TRUE, P1599
)</f>
        <v>0</v>
      </c>
      <c r="P1599" s="1852">
        <f>IF(M1599=0,0,ROUND(S1598*EXP(Int_Rate/365.25 * M1599)-S1598,2))</f>
        <v>0</v>
      </c>
      <c r="Q1599" s="1851" cm="1">
        <f t="array" ref="Q1599">_xlfn.IFS(
    AND(I1599=TRUE, K1599&lt;=No_Regular_Payments), Periodic_Admin_Charge,
   TRUE, 0
)</f>
        <v>0</v>
      </c>
      <c r="R1599" s="1850">
        <f>N1599-O1599-Q1599</f>
        <v>0</v>
      </c>
      <c r="S1599" s="1850">
        <f>ROUND(S1598-R1599,2)</f>
        <v>0</v>
      </c>
      <c r="T1599" s="1850">
        <f>ROUND(T1598-(N1599-Q1599),2)</f>
        <v>0</v>
      </c>
      <c r="U1599" s="1849"/>
      <c r="W1599" s="1848"/>
      <c r="X1599" s="1848"/>
      <c r="Y1599" s="1848"/>
    </row>
    <row r="1600" spans="2:25" hidden="1">
      <c r="B1600" s="1815" t="b">
        <f>AND(I1600=FALSE,N1599=0,Q1599=0,L1599="")</f>
        <v>1</v>
      </c>
      <c r="C1600" s="1844" t="str" cm="1">
        <f t="array" ref="C1600">_xlfn.IFS(
    L1600="", "",
    MONTH(L1600) &lt;= End_of_Year_Month, YEAR(L1600),
    TRUE, YEAR(L1600) + 1
)</f>
        <v/>
      </c>
      <c r="F1600" s="1857">
        <f>IF(L1600="",0,L1600)</f>
        <v>0</v>
      </c>
      <c r="G1600" s="1856">
        <f>-(N1600-Q1600)</f>
        <v>0</v>
      </c>
      <c r="I1600" s="1815" t="b">
        <f>K1600&lt;=Number_Payments</f>
        <v>0</v>
      </c>
      <c r="J1600" s="1855"/>
      <c r="K1600" s="1351">
        <f>K1599+1</f>
        <v>1474</v>
      </c>
      <c r="L1600" s="1854" t="str" cm="1">
        <f t="array" ref="L1600">_xlfn.IFS(
    I1599=FALSE, "",
    Payment_Frequency="Monthly", EDATE(L1599, 1),
    Payment_Frequency="Weekly", DATE(YEAR(L1599), MONTH(L1599), DAY(L1599) + 7),
    Payment_Frequency="Fortnightly", DATE(YEAR(L1599), MONTH(L1599), DAY(L1599) + 14),
    Payment_Frequency="Quarterly", DATE(YEAR(L1599), MONTH(L1599) + 3, DAY(L1599)),
    Payment_Frequency="Yearly", DATE(YEAR(L1599) + 1, MONTH(L1599), DAY(L1599)),
    TRUE, ""
)</f>
        <v/>
      </c>
      <c r="M1600" s="1853">
        <f>IF(ISERROR(L1600-L1599),0,L1600-L1599)</f>
        <v>0</v>
      </c>
      <c r="N1600" s="1851" cm="1">
        <f t="array" ref="N1600">_xlfn.IFS(
    AND(I1600=TRUE, K1600&lt;=No_Regular_Payments), Repay_Amt,
    AND(I1600=TRUE, K1600=No_Regular_Payments+1), Tm_Balloon_Amt,
   TRUE, 0
)</f>
        <v>0</v>
      </c>
      <c r="O1600" s="1850" cm="1">
        <f t="array" ref="O1600">_xlfn.IFS(
    M1600=0,0,
   ABS(N1600 - S1599 - P1600-Q1600) &lt; 1, N1600 - S1599-Q1600,
    TRUE, P1600
)</f>
        <v>0</v>
      </c>
      <c r="P1600" s="1852">
        <f>IF(M1600=0,0,ROUND(S1599*EXP(Int_Rate/365.25 * M1600)-S1599,2))</f>
        <v>0</v>
      </c>
      <c r="Q1600" s="1851" cm="1">
        <f t="array" ref="Q1600">_xlfn.IFS(
    AND(I1600=TRUE, K1600&lt;=No_Regular_Payments), Periodic_Admin_Charge,
   TRUE, 0
)</f>
        <v>0</v>
      </c>
      <c r="R1600" s="1850">
        <f>N1600-O1600-Q1600</f>
        <v>0</v>
      </c>
      <c r="S1600" s="1850">
        <f>ROUND(S1599-R1600,2)</f>
        <v>0</v>
      </c>
      <c r="T1600" s="1850">
        <f>ROUND(T1599-(N1600-Q1600),2)</f>
        <v>0</v>
      </c>
      <c r="U1600" s="1849"/>
      <c r="W1600" s="1848"/>
      <c r="X1600" s="1848"/>
      <c r="Y1600" s="1848"/>
    </row>
    <row r="1601" spans="2:25" hidden="1">
      <c r="B1601" s="1815" t="b">
        <f>AND(I1601=FALSE,N1600=0,Q1600=0,L1600="")</f>
        <v>1</v>
      </c>
      <c r="C1601" s="1844" t="str" cm="1">
        <f t="array" ref="C1601">_xlfn.IFS(
    L1601="", "",
    MONTH(L1601) &lt;= End_of_Year_Month, YEAR(L1601),
    TRUE, YEAR(L1601) + 1
)</f>
        <v/>
      </c>
      <c r="F1601" s="1857">
        <f>IF(L1601="",0,L1601)</f>
        <v>0</v>
      </c>
      <c r="G1601" s="1856">
        <f>-(N1601-Q1601)</f>
        <v>0</v>
      </c>
      <c r="I1601" s="1815" t="b">
        <f>K1601&lt;=Number_Payments</f>
        <v>0</v>
      </c>
      <c r="J1601" s="1855"/>
      <c r="K1601" s="1351">
        <f>K1600+1</f>
        <v>1475</v>
      </c>
      <c r="L1601" s="1854" t="str" cm="1">
        <f t="array" ref="L1601">_xlfn.IFS(
    I1600=FALSE, "",
    Payment_Frequency="Monthly", EDATE(L1600, 1),
    Payment_Frequency="Weekly", DATE(YEAR(L1600), MONTH(L1600), DAY(L1600) + 7),
    Payment_Frequency="Fortnightly", DATE(YEAR(L1600), MONTH(L1600), DAY(L1600) + 14),
    Payment_Frequency="Quarterly", DATE(YEAR(L1600), MONTH(L1600) + 3, DAY(L1600)),
    Payment_Frequency="Yearly", DATE(YEAR(L1600) + 1, MONTH(L1600), DAY(L1600)),
    TRUE, ""
)</f>
        <v/>
      </c>
      <c r="M1601" s="1853">
        <f>IF(ISERROR(L1601-L1600),0,L1601-L1600)</f>
        <v>0</v>
      </c>
      <c r="N1601" s="1851" cm="1">
        <f t="array" ref="N1601">_xlfn.IFS(
    AND(I1601=TRUE, K1601&lt;=No_Regular_Payments), Repay_Amt,
    AND(I1601=TRUE, K1601=No_Regular_Payments+1), Tm_Balloon_Amt,
   TRUE, 0
)</f>
        <v>0</v>
      </c>
      <c r="O1601" s="1850" cm="1">
        <f t="array" ref="O1601">_xlfn.IFS(
    M1601=0,0,
   ABS(N1601 - S1600 - P1601-Q1601) &lt; 1, N1601 - S1600-Q1601,
    TRUE, P1601
)</f>
        <v>0</v>
      </c>
      <c r="P1601" s="1852">
        <f>IF(M1601=0,0,ROUND(S1600*EXP(Int_Rate/365.25 * M1601)-S1600,2))</f>
        <v>0</v>
      </c>
      <c r="Q1601" s="1851" cm="1">
        <f t="array" ref="Q1601">_xlfn.IFS(
    AND(I1601=TRUE, K1601&lt;=No_Regular_Payments), Periodic_Admin_Charge,
   TRUE, 0
)</f>
        <v>0</v>
      </c>
      <c r="R1601" s="1850">
        <f>N1601-O1601-Q1601</f>
        <v>0</v>
      </c>
      <c r="S1601" s="1850">
        <f>ROUND(S1600-R1601,2)</f>
        <v>0</v>
      </c>
      <c r="T1601" s="1850">
        <f>ROUND(T1600-(N1601-Q1601),2)</f>
        <v>0</v>
      </c>
      <c r="U1601" s="1849"/>
      <c r="W1601" s="1848"/>
      <c r="X1601" s="1848"/>
      <c r="Y1601" s="1848"/>
    </row>
    <row r="1602" spans="2:25" hidden="1">
      <c r="B1602" s="1815" t="b">
        <f>AND(I1602=FALSE,N1601=0,Q1601=0,L1601="")</f>
        <v>1</v>
      </c>
      <c r="C1602" s="1844" t="str" cm="1">
        <f t="array" ref="C1602">_xlfn.IFS(
    L1602="", "",
    MONTH(L1602) &lt;= End_of_Year_Month, YEAR(L1602),
    TRUE, YEAR(L1602) + 1
)</f>
        <v/>
      </c>
      <c r="F1602" s="1857">
        <f>IF(L1602="",0,L1602)</f>
        <v>0</v>
      </c>
      <c r="G1602" s="1856">
        <f>-(N1602-Q1602)</f>
        <v>0</v>
      </c>
      <c r="I1602" s="1815" t="b">
        <f>K1602&lt;=Number_Payments</f>
        <v>0</v>
      </c>
      <c r="J1602" s="1855"/>
      <c r="K1602" s="1351">
        <f>K1601+1</f>
        <v>1476</v>
      </c>
      <c r="L1602" s="1854" t="str" cm="1">
        <f t="array" ref="L1602">_xlfn.IFS(
    I1601=FALSE, "",
    Payment_Frequency="Monthly", EDATE(L1601, 1),
    Payment_Frequency="Weekly", DATE(YEAR(L1601), MONTH(L1601), DAY(L1601) + 7),
    Payment_Frequency="Fortnightly", DATE(YEAR(L1601), MONTH(L1601), DAY(L1601) + 14),
    Payment_Frequency="Quarterly", DATE(YEAR(L1601), MONTH(L1601) + 3, DAY(L1601)),
    Payment_Frequency="Yearly", DATE(YEAR(L1601) + 1, MONTH(L1601), DAY(L1601)),
    TRUE, ""
)</f>
        <v/>
      </c>
      <c r="M1602" s="1853">
        <f>IF(ISERROR(L1602-L1601),0,L1602-L1601)</f>
        <v>0</v>
      </c>
      <c r="N1602" s="1851" cm="1">
        <f t="array" ref="N1602">_xlfn.IFS(
    AND(I1602=TRUE, K1602&lt;=No_Regular_Payments), Repay_Amt,
    AND(I1602=TRUE, K1602=No_Regular_Payments+1), Tm_Balloon_Amt,
   TRUE, 0
)</f>
        <v>0</v>
      </c>
      <c r="O1602" s="1850" cm="1">
        <f t="array" ref="O1602">_xlfn.IFS(
    M1602=0,0,
   ABS(N1602 - S1601 - P1602-Q1602) &lt; 1, N1602 - S1601-Q1602,
    TRUE, P1602
)</f>
        <v>0</v>
      </c>
      <c r="P1602" s="1852">
        <f>IF(M1602=0,0,ROUND(S1601*EXP(Int_Rate/365.25 * M1602)-S1601,2))</f>
        <v>0</v>
      </c>
      <c r="Q1602" s="1851" cm="1">
        <f t="array" ref="Q1602">_xlfn.IFS(
    AND(I1602=TRUE, K1602&lt;=No_Regular_Payments), Periodic_Admin_Charge,
   TRUE, 0
)</f>
        <v>0</v>
      </c>
      <c r="R1602" s="1850">
        <f>N1602-O1602-Q1602</f>
        <v>0</v>
      </c>
      <c r="S1602" s="1850">
        <f>ROUND(S1601-R1602,2)</f>
        <v>0</v>
      </c>
      <c r="T1602" s="1850">
        <f>ROUND(T1601-(N1602-Q1602),2)</f>
        <v>0</v>
      </c>
      <c r="U1602" s="1849"/>
      <c r="W1602" s="1848"/>
      <c r="X1602" s="1848"/>
      <c r="Y1602" s="1848"/>
    </row>
    <row r="1603" spans="2:25" hidden="1">
      <c r="B1603" s="1815" t="b">
        <f>AND(I1603=FALSE,N1602=0,Q1602=0,L1602="")</f>
        <v>1</v>
      </c>
      <c r="C1603" s="1844" t="str" cm="1">
        <f t="array" ref="C1603">_xlfn.IFS(
    L1603="", "",
    MONTH(L1603) &lt;= End_of_Year_Month, YEAR(L1603),
    TRUE, YEAR(L1603) + 1
)</f>
        <v/>
      </c>
      <c r="F1603" s="1857">
        <f>IF(L1603="",0,L1603)</f>
        <v>0</v>
      </c>
      <c r="G1603" s="1856">
        <f>-(N1603-Q1603)</f>
        <v>0</v>
      </c>
      <c r="I1603" s="1815" t="b">
        <f>K1603&lt;=Number_Payments</f>
        <v>0</v>
      </c>
      <c r="J1603" s="1855"/>
      <c r="K1603" s="1351">
        <f>K1602+1</f>
        <v>1477</v>
      </c>
      <c r="L1603" s="1854" t="str" cm="1">
        <f t="array" ref="L1603">_xlfn.IFS(
    I1602=FALSE, "",
    Payment_Frequency="Monthly", EDATE(L1602, 1),
    Payment_Frequency="Weekly", DATE(YEAR(L1602), MONTH(L1602), DAY(L1602) + 7),
    Payment_Frequency="Fortnightly", DATE(YEAR(L1602), MONTH(L1602), DAY(L1602) + 14),
    Payment_Frequency="Quarterly", DATE(YEAR(L1602), MONTH(L1602) + 3, DAY(L1602)),
    Payment_Frequency="Yearly", DATE(YEAR(L1602) + 1, MONTH(L1602), DAY(L1602)),
    TRUE, ""
)</f>
        <v/>
      </c>
      <c r="M1603" s="1853">
        <f>IF(ISERROR(L1603-L1602),0,L1603-L1602)</f>
        <v>0</v>
      </c>
      <c r="N1603" s="1851" cm="1">
        <f t="array" ref="N1603">_xlfn.IFS(
    AND(I1603=TRUE, K1603&lt;=No_Regular_Payments), Repay_Amt,
    AND(I1603=TRUE, K1603=No_Regular_Payments+1), Tm_Balloon_Amt,
   TRUE, 0
)</f>
        <v>0</v>
      </c>
      <c r="O1603" s="1850" cm="1">
        <f t="array" ref="O1603">_xlfn.IFS(
    M1603=0,0,
   ABS(N1603 - S1602 - P1603-Q1603) &lt; 1, N1603 - S1602-Q1603,
    TRUE, P1603
)</f>
        <v>0</v>
      </c>
      <c r="P1603" s="1852">
        <f>IF(M1603=0,0,ROUND(S1602*EXP(Int_Rate/365.25 * M1603)-S1602,2))</f>
        <v>0</v>
      </c>
      <c r="Q1603" s="1851" cm="1">
        <f t="array" ref="Q1603">_xlfn.IFS(
    AND(I1603=TRUE, K1603&lt;=No_Regular_Payments), Periodic_Admin_Charge,
   TRUE, 0
)</f>
        <v>0</v>
      </c>
      <c r="R1603" s="1850">
        <f>N1603-O1603-Q1603</f>
        <v>0</v>
      </c>
      <c r="S1603" s="1850">
        <f>ROUND(S1602-R1603,2)</f>
        <v>0</v>
      </c>
      <c r="T1603" s="1850">
        <f>ROUND(T1602-(N1603-Q1603),2)</f>
        <v>0</v>
      </c>
      <c r="U1603" s="1849"/>
      <c r="W1603" s="1848"/>
      <c r="X1603" s="1848"/>
      <c r="Y1603" s="1848"/>
    </row>
    <row r="1604" spans="2:25" hidden="1">
      <c r="B1604" s="1815" t="b">
        <f>AND(I1604=FALSE,N1603=0,Q1603=0,L1603="")</f>
        <v>1</v>
      </c>
      <c r="C1604" s="1844" t="str" cm="1">
        <f t="array" ref="C1604">_xlfn.IFS(
    L1604="", "",
    MONTH(L1604) &lt;= End_of_Year_Month, YEAR(L1604),
    TRUE, YEAR(L1604) + 1
)</f>
        <v/>
      </c>
      <c r="F1604" s="1857">
        <f>IF(L1604="",0,L1604)</f>
        <v>0</v>
      </c>
      <c r="G1604" s="1856">
        <f>-(N1604-Q1604)</f>
        <v>0</v>
      </c>
      <c r="I1604" s="1815" t="b">
        <f>K1604&lt;=Number_Payments</f>
        <v>0</v>
      </c>
      <c r="J1604" s="1855"/>
      <c r="K1604" s="1351">
        <f>K1603+1</f>
        <v>1478</v>
      </c>
      <c r="L1604" s="1854" t="str" cm="1">
        <f t="array" ref="L1604">_xlfn.IFS(
    I1603=FALSE, "",
    Payment_Frequency="Monthly", EDATE(L1603, 1),
    Payment_Frequency="Weekly", DATE(YEAR(L1603), MONTH(L1603), DAY(L1603) + 7),
    Payment_Frequency="Fortnightly", DATE(YEAR(L1603), MONTH(L1603), DAY(L1603) + 14),
    Payment_Frequency="Quarterly", DATE(YEAR(L1603), MONTH(L1603) + 3, DAY(L1603)),
    Payment_Frequency="Yearly", DATE(YEAR(L1603) + 1, MONTH(L1603), DAY(L1603)),
    TRUE, ""
)</f>
        <v/>
      </c>
      <c r="M1604" s="1853">
        <f>IF(ISERROR(L1604-L1603),0,L1604-L1603)</f>
        <v>0</v>
      </c>
      <c r="N1604" s="1851" cm="1">
        <f t="array" ref="N1604">_xlfn.IFS(
    AND(I1604=TRUE, K1604&lt;=No_Regular_Payments), Repay_Amt,
    AND(I1604=TRUE, K1604=No_Regular_Payments+1), Tm_Balloon_Amt,
   TRUE, 0
)</f>
        <v>0</v>
      </c>
      <c r="O1604" s="1850" cm="1">
        <f t="array" ref="O1604">_xlfn.IFS(
    M1604=0,0,
   ABS(N1604 - S1603 - P1604-Q1604) &lt; 1, N1604 - S1603-Q1604,
    TRUE, P1604
)</f>
        <v>0</v>
      </c>
      <c r="P1604" s="1852">
        <f>IF(M1604=0,0,ROUND(S1603*EXP(Int_Rate/365.25 * M1604)-S1603,2))</f>
        <v>0</v>
      </c>
      <c r="Q1604" s="1851" cm="1">
        <f t="array" ref="Q1604">_xlfn.IFS(
    AND(I1604=TRUE, K1604&lt;=No_Regular_Payments), Periodic_Admin_Charge,
   TRUE, 0
)</f>
        <v>0</v>
      </c>
      <c r="R1604" s="1850">
        <f>N1604-O1604-Q1604</f>
        <v>0</v>
      </c>
      <c r="S1604" s="1850">
        <f>ROUND(S1603-R1604,2)</f>
        <v>0</v>
      </c>
      <c r="T1604" s="1850">
        <f>ROUND(T1603-(N1604-Q1604),2)</f>
        <v>0</v>
      </c>
      <c r="U1604" s="1849"/>
      <c r="W1604" s="1848"/>
      <c r="X1604" s="1848"/>
      <c r="Y1604" s="1848"/>
    </row>
    <row r="1605" spans="2:25" hidden="1">
      <c r="B1605" s="1815" t="b">
        <f>AND(I1605=FALSE,N1604=0,Q1604=0,L1604="")</f>
        <v>1</v>
      </c>
      <c r="C1605" s="1844" t="str" cm="1">
        <f t="array" ref="C1605">_xlfn.IFS(
    L1605="", "",
    MONTH(L1605) &lt;= End_of_Year_Month, YEAR(L1605),
    TRUE, YEAR(L1605) + 1
)</f>
        <v/>
      </c>
      <c r="F1605" s="1857">
        <f>IF(L1605="",0,L1605)</f>
        <v>0</v>
      </c>
      <c r="G1605" s="1856">
        <f>-(N1605-Q1605)</f>
        <v>0</v>
      </c>
      <c r="I1605" s="1815" t="b">
        <f>K1605&lt;=Number_Payments</f>
        <v>0</v>
      </c>
      <c r="J1605" s="1855"/>
      <c r="K1605" s="1351">
        <f>K1604+1</f>
        <v>1479</v>
      </c>
      <c r="L1605" s="1854" t="str" cm="1">
        <f t="array" ref="L1605">_xlfn.IFS(
    I1604=FALSE, "",
    Payment_Frequency="Monthly", EDATE(L1604, 1),
    Payment_Frequency="Weekly", DATE(YEAR(L1604), MONTH(L1604), DAY(L1604) + 7),
    Payment_Frequency="Fortnightly", DATE(YEAR(L1604), MONTH(L1604), DAY(L1604) + 14),
    Payment_Frequency="Quarterly", DATE(YEAR(L1604), MONTH(L1604) + 3, DAY(L1604)),
    Payment_Frequency="Yearly", DATE(YEAR(L1604) + 1, MONTH(L1604), DAY(L1604)),
    TRUE, ""
)</f>
        <v/>
      </c>
      <c r="M1605" s="1853">
        <f>IF(ISERROR(L1605-L1604),0,L1605-L1604)</f>
        <v>0</v>
      </c>
      <c r="N1605" s="1851" cm="1">
        <f t="array" ref="N1605">_xlfn.IFS(
    AND(I1605=TRUE, K1605&lt;=No_Regular_Payments), Repay_Amt,
    AND(I1605=TRUE, K1605=No_Regular_Payments+1), Tm_Balloon_Amt,
   TRUE, 0
)</f>
        <v>0</v>
      </c>
      <c r="O1605" s="1850" cm="1">
        <f t="array" ref="O1605">_xlfn.IFS(
    M1605=0,0,
   ABS(N1605 - S1604 - P1605-Q1605) &lt; 1, N1605 - S1604-Q1605,
    TRUE, P1605
)</f>
        <v>0</v>
      </c>
      <c r="P1605" s="1852">
        <f>IF(M1605=0,0,ROUND(S1604*EXP(Int_Rate/365.25 * M1605)-S1604,2))</f>
        <v>0</v>
      </c>
      <c r="Q1605" s="1851" cm="1">
        <f t="array" ref="Q1605">_xlfn.IFS(
    AND(I1605=TRUE, K1605&lt;=No_Regular_Payments), Periodic_Admin_Charge,
   TRUE, 0
)</f>
        <v>0</v>
      </c>
      <c r="R1605" s="1850">
        <f>N1605-O1605-Q1605</f>
        <v>0</v>
      </c>
      <c r="S1605" s="1850">
        <f>ROUND(S1604-R1605,2)</f>
        <v>0</v>
      </c>
      <c r="T1605" s="1850">
        <f>ROUND(T1604-(N1605-Q1605),2)</f>
        <v>0</v>
      </c>
      <c r="U1605" s="1849"/>
      <c r="W1605" s="1848"/>
      <c r="X1605" s="1848"/>
      <c r="Y1605" s="1848"/>
    </row>
    <row r="1606" spans="2:25" hidden="1">
      <c r="B1606" s="1815" t="b">
        <f>AND(I1606=FALSE,N1605=0,Q1605=0,L1605="")</f>
        <v>1</v>
      </c>
      <c r="C1606" s="1844" t="str" cm="1">
        <f t="array" ref="C1606">_xlfn.IFS(
    L1606="", "",
    MONTH(L1606) &lt;= End_of_Year_Month, YEAR(L1606),
    TRUE, YEAR(L1606) + 1
)</f>
        <v/>
      </c>
      <c r="F1606" s="1857">
        <f>IF(L1606="",0,L1606)</f>
        <v>0</v>
      </c>
      <c r="G1606" s="1856">
        <f>-(N1606-Q1606)</f>
        <v>0</v>
      </c>
      <c r="I1606" s="1815" t="b">
        <f>K1606&lt;=Number_Payments</f>
        <v>0</v>
      </c>
      <c r="J1606" s="1855"/>
      <c r="K1606" s="1351">
        <f>K1605+1</f>
        <v>1480</v>
      </c>
      <c r="L1606" s="1854" t="str" cm="1">
        <f t="array" ref="L1606">_xlfn.IFS(
    I1605=FALSE, "",
    Payment_Frequency="Monthly", EDATE(L1605, 1),
    Payment_Frequency="Weekly", DATE(YEAR(L1605), MONTH(L1605), DAY(L1605) + 7),
    Payment_Frequency="Fortnightly", DATE(YEAR(L1605), MONTH(L1605), DAY(L1605) + 14),
    Payment_Frequency="Quarterly", DATE(YEAR(L1605), MONTH(L1605) + 3, DAY(L1605)),
    Payment_Frequency="Yearly", DATE(YEAR(L1605) + 1, MONTH(L1605), DAY(L1605)),
    TRUE, ""
)</f>
        <v/>
      </c>
      <c r="M1606" s="1853">
        <f>IF(ISERROR(L1606-L1605),0,L1606-L1605)</f>
        <v>0</v>
      </c>
      <c r="N1606" s="1851" cm="1">
        <f t="array" ref="N1606">_xlfn.IFS(
    AND(I1606=TRUE, K1606&lt;=No_Regular_Payments), Repay_Amt,
    AND(I1606=TRUE, K1606=No_Regular_Payments+1), Tm_Balloon_Amt,
   TRUE, 0
)</f>
        <v>0</v>
      </c>
      <c r="O1606" s="1850" cm="1">
        <f t="array" ref="O1606">_xlfn.IFS(
    M1606=0,0,
   ABS(N1606 - S1605 - P1606-Q1606) &lt; 1, N1606 - S1605-Q1606,
    TRUE, P1606
)</f>
        <v>0</v>
      </c>
      <c r="P1606" s="1852">
        <f>IF(M1606=0,0,ROUND(S1605*EXP(Int_Rate/365.25 * M1606)-S1605,2))</f>
        <v>0</v>
      </c>
      <c r="Q1606" s="1851" cm="1">
        <f t="array" ref="Q1606">_xlfn.IFS(
    AND(I1606=TRUE, K1606&lt;=No_Regular_Payments), Periodic_Admin_Charge,
   TRUE, 0
)</f>
        <v>0</v>
      </c>
      <c r="R1606" s="1850">
        <f>N1606-O1606-Q1606</f>
        <v>0</v>
      </c>
      <c r="S1606" s="1850">
        <f>ROUND(S1605-R1606,2)</f>
        <v>0</v>
      </c>
      <c r="T1606" s="1850">
        <f>ROUND(T1605-(N1606-Q1606),2)</f>
        <v>0</v>
      </c>
      <c r="U1606" s="1849"/>
      <c r="W1606" s="1848"/>
      <c r="X1606" s="1848"/>
      <c r="Y1606" s="1848"/>
    </row>
    <row r="1607" spans="2:25" hidden="1">
      <c r="B1607" s="1815" t="b">
        <f>AND(I1607=FALSE,N1606=0,Q1606=0,L1606="")</f>
        <v>1</v>
      </c>
      <c r="C1607" s="1844" t="str" cm="1">
        <f t="array" ref="C1607">_xlfn.IFS(
    L1607="", "",
    MONTH(L1607) &lt;= End_of_Year_Month, YEAR(L1607),
    TRUE, YEAR(L1607) + 1
)</f>
        <v/>
      </c>
      <c r="F1607" s="1857">
        <f>IF(L1607="",0,L1607)</f>
        <v>0</v>
      </c>
      <c r="G1607" s="1856">
        <f>-(N1607-Q1607)</f>
        <v>0</v>
      </c>
      <c r="I1607" s="1815" t="b">
        <f>K1607&lt;=Number_Payments</f>
        <v>0</v>
      </c>
      <c r="J1607" s="1855"/>
      <c r="K1607" s="1351">
        <f>K1606+1</f>
        <v>1481</v>
      </c>
      <c r="L1607" s="1854" t="str" cm="1">
        <f t="array" ref="L1607">_xlfn.IFS(
    I1606=FALSE, "",
    Payment_Frequency="Monthly", EDATE(L1606, 1),
    Payment_Frequency="Weekly", DATE(YEAR(L1606), MONTH(L1606), DAY(L1606) + 7),
    Payment_Frequency="Fortnightly", DATE(YEAR(L1606), MONTH(L1606), DAY(L1606) + 14),
    Payment_Frequency="Quarterly", DATE(YEAR(L1606), MONTH(L1606) + 3, DAY(L1606)),
    Payment_Frequency="Yearly", DATE(YEAR(L1606) + 1, MONTH(L1606), DAY(L1606)),
    TRUE, ""
)</f>
        <v/>
      </c>
      <c r="M1607" s="1853">
        <f>IF(ISERROR(L1607-L1606),0,L1607-L1606)</f>
        <v>0</v>
      </c>
      <c r="N1607" s="1851" cm="1">
        <f t="array" ref="N1607">_xlfn.IFS(
    AND(I1607=TRUE, K1607&lt;=No_Regular_Payments), Repay_Amt,
    AND(I1607=TRUE, K1607=No_Regular_Payments+1), Tm_Balloon_Amt,
   TRUE, 0
)</f>
        <v>0</v>
      </c>
      <c r="O1607" s="1850" cm="1">
        <f t="array" ref="O1607">_xlfn.IFS(
    M1607=0,0,
   ABS(N1607 - S1606 - P1607-Q1607) &lt; 1, N1607 - S1606-Q1607,
    TRUE, P1607
)</f>
        <v>0</v>
      </c>
      <c r="P1607" s="1852">
        <f>IF(M1607=0,0,ROUND(S1606*EXP(Int_Rate/365.25 * M1607)-S1606,2))</f>
        <v>0</v>
      </c>
      <c r="Q1607" s="1851" cm="1">
        <f t="array" ref="Q1607">_xlfn.IFS(
    AND(I1607=TRUE, K1607&lt;=No_Regular_Payments), Periodic_Admin_Charge,
   TRUE, 0
)</f>
        <v>0</v>
      </c>
      <c r="R1607" s="1850">
        <f>N1607-O1607-Q1607</f>
        <v>0</v>
      </c>
      <c r="S1607" s="1850">
        <f>ROUND(S1606-R1607,2)</f>
        <v>0</v>
      </c>
      <c r="T1607" s="1850">
        <f>ROUND(T1606-(N1607-Q1607),2)</f>
        <v>0</v>
      </c>
      <c r="U1607" s="1849"/>
      <c r="W1607" s="1848"/>
      <c r="X1607" s="1848"/>
      <c r="Y1607" s="1848"/>
    </row>
    <row r="1608" spans="2:25" hidden="1">
      <c r="B1608" s="1815" t="b">
        <f>AND(I1608=FALSE,N1607=0,Q1607=0,L1607="")</f>
        <v>1</v>
      </c>
      <c r="C1608" s="1844" t="str" cm="1">
        <f t="array" ref="C1608">_xlfn.IFS(
    L1608="", "",
    MONTH(L1608) &lt;= End_of_Year_Month, YEAR(L1608),
    TRUE, YEAR(L1608) + 1
)</f>
        <v/>
      </c>
      <c r="F1608" s="1857">
        <f>IF(L1608="",0,L1608)</f>
        <v>0</v>
      </c>
      <c r="G1608" s="1856">
        <f>-(N1608-Q1608)</f>
        <v>0</v>
      </c>
      <c r="I1608" s="1815" t="b">
        <f>K1608&lt;=Number_Payments</f>
        <v>0</v>
      </c>
      <c r="J1608" s="1855"/>
      <c r="K1608" s="1351">
        <f>K1607+1</f>
        <v>1482</v>
      </c>
      <c r="L1608" s="1854" t="str" cm="1">
        <f t="array" ref="L1608">_xlfn.IFS(
    I1607=FALSE, "",
    Payment_Frequency="Monthly", EDATE(L1607, 1),
    Payment_Frequency="Weekly", DATE(YEAR(L1607), MONTH(L1607), DAY(L1607) + 7),
    Payment_Frequency="Fortnightly", DATE(YEAR(L1607), MONTH(L1607), DAY(L1607) + 14),
    Payment_Frequency="Quarterly", DATE(YEAR(L1607), MONTH(L1607) + 3, DAY(L1607)),
    Payment_Frequency="Yearly", DATE(YEAR(L1607) + 1, MONTH(L1607), DAY(L1607)),
    TRUE, ""
)</f>
        <v/>
      </c>
      <c r="M1608" s="1853">
        <f>IF(ISERROR(L1608-L1607),0,L1608-L1607)</f>
        <v>0</v>
      </c>
      <c r="N1608" s="1851" cm="1">
        <f t="array" ref="N1608">_xlfn.IFS(
    AND(I1608=TRUE, K1608&lt;=No_Regular_Payments), Repay_Amt,
    AND(I1608=TRUE, K1608=No_Regular_Payments+1), Tm_Balloon_Amt,
   TRUE, 0
)</f>
        <v>0</v>
      </c>
      <c r="O1608" s="1850" cm="1">
        <f t="array" ref="O1608">_xlfn.IFS(
    M1608=0,0,
   ABS(N1608 - S1607 - P1608-Q1608) &lt; 1, N1608 - S1607-Q1608,
    TRUE, P1608
)</f>
        <v>0</v>
      </c>
      <c r="P1608" s="1852">
        <f>IF(M1608=0,0,ROUND(S1607*EXP(Int_Rate/365.25 * M1608)-S1607,2))</f>
        <v>0</v>
      </c>
      <c r="Q1608" s="1851" cm="1">
        <f t="array" ref="Q1608">_xlfn.IFS(
    AND(I1608=TRUE, K1608&lt;=No_Regular_Payments), Periodic_Admin_Charge,
   TRUE, 0
)</f>
        <v>0</v>
      </c>
      <c r="R1608" s="1850">
        <f>N1608-O1608-Q1608</f>
        <v>0</v>
      </c>
      <c r="S1608" s="1850">
        <f>ROUND(S1607-R1608,2)</f>
        <v>0</v>
      </c>
      <c r="T1608" s="1850">
        <f>ROUND(T1607-(N1608-Q1608),2)</f>
        <v>0</v>
      </c>
      <c r="U1608" s="1849"/>
      <c r="W1608" s="1848"/>
      <c r="X1608" s="1848"/>
      <c r="Y1608" s="1848"/>
    </row>
    <row r="1609" spans="2:25" hidden="1">
      <c r="B1609" s="1815" t="b">
        <f>AND(I1609=FALSE,N1608=0,Q1608=0,L1608="")</f>
        <v>1</v>
      </c>
      <c r="C1609" s="1844" t="str" cm="1">
        <f t="array" ref="C1609">_xlfn.IFS(
    L1609="", "",
    MONTH(L1609) &lt;= End_of_Year_Month, YEAR(L1609),
    TRUE, YEAR(L1609) + 1
)</f>
        <v/>
      </c>
      <c r="F1609" s="1857">
        <f>IF(L1609="",0,L1609)</f>
        <v>0</v>
      </c>
      <c r="G1609" s="1856">
        <f>-(N1609-Q1609)</f>
        <v>0</v>
      </c>
      <c r="I1609" s="1815" t="b">
        <f>K1609&lt;=Number_Payments</f>
        <v>0</v>
      </c>
      <c r="J1609" s="1855"/>
      <c r="K1609" s="1351">
        <f>K1608+1</f>
        <v>1483</v>
      </c>
      <c r="L1609" s="1854" t="str" cm="1">
        <f t="array" ref="L1609">_xlfn.IFS(
    I1608=FALSE, "",
    Payment_Frequency="Monthly", EDATE(L1608, 1),
    Payment_Frequency="Weekly", DATE(YEAR(L1608), MONTH(L1608), DAY(L1608) + 7),
    Payment_Frequency="Fortnightly", DATE(YEAR(L1608), MONTH(L1608), DAY(L1608) + 14),
    Payment_Frequency="Quarterly", DATE(YEAR(L1608), MONTH(L1608) + 3, DAY(L1608)),
    Payment_Frequency="Yearly", DATE(YEAR(L1608) + 1, MONTH(L1608), DAY(L1608)),
    TRUE, ""
)</f>
        <v/>
      </c>
      <c r="M1609" s="1853">
        <f>IF(ISERROR(L1609-L1608),0,L1609-L1608)</f>
        <v>0</v>
      </c>
      <c r="N1609" s="1851" cm="1">
        <f t="array" ref="N1609">_xlfn.IFS(
    AND(I1609=TRUE, K1609&lt;=No_Regular_Payments), Repay_Amt,
    AND(I1609=TRUE, K1609=No_Regular_Payments+1), Tm_Balloon_Amt,
   TRUE, 0
)</f>
        <v>0</v>
      </c>
      <c r="O1609" s="1850" cm="1">
        <f t="array" ref="O1609">_xlfn.IFS(
    M1609=0,0,
   ABS(N1609 - S1608 - P1609-Q1609) &lt; 1, N1609 - S1608-Q1609,
    TRUE, P1609
)</f>
        <v>0</v>
      </c>
      <c r="P1609" s="1852">
        <f>IF(M1609=0,0,ROUND(S1608*EXP(Int_Rate/365.25 * M1609)-S1608,2))</f>
        <v>0</v>
      </c>
      <c r="Q1609" s="1851" cm="1">
        <f t="array" ref="Q1609">_xlfn.IFS(
    AND(I1609=TRUE, K1609&lt;=No_Regular_Payments), Periodic_Admin_Charge,
   TRUE, 0
)</f>
        <v>0</v>
      </c>
      <c r="R1609" s="1850">
        <f>N1609-O1609-Q1609</f>
        <v>0</v>
      </c>
      <c r="S1609" s="1850">
        <f>ROUND(S1608-R1609,2)</f>
        <v>0</v>
      </c>
      <c r="T1609" s="1850">
        <f>ROUND(T1608-(N1609-Q1609),2)</f>
        <v>0</v>
      </c>
      <c r="U1609" s="1849"/>
      <c r="W1609" s="1848"/>
      <c r="X1609" s="1848"/>
      <c r="Y1609" s="1848"/>
    </row>
    <row r="1610" spans="2:25" hidden="1">
      <c r="B1610" s="1815" t="b">
        <f>AND(I1610=FALSE,N1609=0,Q1609=0,L1609="")</f>
        <v>1</v>
      </c>
      <c r="C1610" s="1844" t="str" cm="1">
        <f t="array" ref="C1610">_xlfn.IFS(
    L1610="", "",
    MONTH(L1610) &lt;= End_of_Year_Month, YEAR(L1610),
    TRUE, YEAR(L1610) + 1
)</f>
        <v/>
      </c>
      <c r="F1610" s="1857">
        <f>IF(L1610="",0,L1610)</f>
        <v>0</v>
      </c>
      <c r="G1610" s="1856">
        <f>-(N1610-Q1610)</f>
        <v>0</v>
      </c>
      <c r="I1610" s="1815" t="b">
        <f>K1610&lt;=Number_Payments</f>
        <v>0</v>
      </c>
      <c r="J1610" s="1855"/>
      <c r="K1610" s="1351">
        <f>K1609+1</f>
        <v>1484</v>
      </c>
      <c r="L1610" s="1854" t="str" cm="1">
        <f t="array" ref="L1610">_xlfn.IFS(
    I1609=FALSE, "",
    Payment_Frequency="Monthly", EDATE(L1609, 1),
    Payment_Frequency="Weekly", DATE(YEAR(L1609), MONTH(L1609), DAY(L1609) + 7),
    Payment_Frequency="Fortnightly", DATE(YEAR(L1609), MONTH(L1609), DAY(L1609) + 14),
    Payment_Frequency="Quarterly", DATE(YEAR(L1609), MONTH(L1609) + 3, DAY(L1609)),
    Payment_Frequency="Yearly", DATE(YEAR(L1609) + 1, MONTH(L1609), DAY(L1609)),
    TRUE, ""
)</f>
        <v/>
      </c>
      <c r="M1610" s="1853">
        <f>IF(ISERROR(L1610-L1609),0,L1610-L1609)</f>
        <v>0</v>
      </c>
      <c r="N1610" s="1851" cm="1">
        <f t="array" ref="N1610">_xlfn.IFS(
    AND(I1610=TRUE, K1610&lt;=No_Regular_Payments), Repay_Amt,
    AND(I1610=TRUE, K1610=No_Regular_Payments+1), Tm_Balloon_Amt,
   TRUE, 0
)</f>
        <v>0</v>
      </c>
      <c r="O1610" s="1850" cm="1">
        <f t="array" ref="O1610">_xlfn.IFS(
    M1610=0,0,
   ABS(N1610 - S1609 - P1610-Q1610) &lt; 1, N1610 - S1609-Q1610,
    TRUE, P1610
)</f>
        <v>0</v>
      </c>
      <c r="P1610" s="1852">
        <f>IF(M1610=0,0,ROUND(S1609*EXP(Int_Rate/365.25 * M1610)-S1609,2))</f>
        <v>0</v>
      </c>
      <c r="Q1610" s="1851" cm="1">
        <f t="array" ref="Q1610">_xlfn.IFS(
    AND(I1610=TRUE, K1610&lt;=No_Regular_Payments), Periodic_Admin_Charge,
   TRUE, 0
)</f>
        <v>0</v>
      </c>
      <c r="R1610" s="1850">
        <f>N1610-O1610-Q1610</f>
        <v>0</v>
      </c>
      <c r="S1610" s="1850">
        <f>ROUND(S1609-R1610,2)</f>
        <v>0</v>
      </c>
      <c r="T1610" s="1850">
        <f>ROUND(T1609-(N1610-Q1610),2)</f>
        <v>0</v>
      </c>
      <c r="U1610" s="1849"/>
      <c r="W1610" s="1848"/>
      <c r="X1610" s="1848"/>
      <c r="Y1610" s="1848"/>
    </row>
    <row r="1611" spans="2:25" hidden="1">
      <c r="B1611" s="1815" t="b">
        <f>AND(I1611=FALSE,N1610=0,Q1610=0,L1610="")</f>
        <v>1</v>
      </c>
      <c r="C1611" s="1844" t="str" cm="1">
        <f t="array" ref="C1611">_xlfn.IFS(
    L1611="", "",
    MONTH(L1611) &lt;= End_of_Year_Month, YEAR(L1611),
    TRUE, YEAR(L1611) + 1
)</f>
        <v/>
      </c>
      <c r="F1611" s="1857">
        <f>IF(L1611="",0,L1611)</f>
        <v>0</v>
      </c>
      <c r="G1611" s="1856">
        <f>-(N1611-Q1611)</f>
        <v>0</v>
      </c>
      <c r="I1611" s="1815" t="b">
        <f>K1611&lt;=Number_Payments</f>
        <v>0</v>
      </c>
      <c r="J1611" s="1855"/>
      <c r="K1611" s="1351">
        <f>K1610+1</f>
        <v>1485</v>
      </c>
      <c r="L1611" s="1854" t="str" cm="1">
        <f t="array" ref="L1611">_xlfn.IFS(
    I1610=FALSE, "",
    Payment_Frequency="Monthly", EDATE(L1610, 1),
    Payment_Frequency="Weekly", DATE(YEAR(L1610), MONTH(L1610), DAY(L1610) + 7),
    Payment_Frequency="Fortnightly", DATE(YEAR(L1610), MONTH(L1610), DAY(L1610) + 14),
    Payment_Frequency="Quarterly", DATE(YEAR(L1610), MONTH(L1610) + 3, DAY(L1610)),
    Payment_Frequency="Yearly", DATE(YEAR(L1610) + 1, MONTH(L1610), DAY(L1610)),
    TRUE, ""
)</f>
        <v/>
      </c>
      <c r="M1611" s="1853">
        <f>IF(ISERROR(L1611-L1610),0,L1611-L1610)</f>
        <v>0</v>
      </c>
      <c r="N1611" s="1851" cm="1">
        <f t="array" ref="N1611">_xlfn.IFS(
    AND(I1611=TRUE, K1611&lt;=No_Regular_Payments), Repay_Amt,
    AND(I1611=TRUE, K1611=No_Regular_Payments+1), Tm_Balloon_Amt,
   TRUE, 0
)</f>
        <v>0</v>
      </c>
      <c r="O1611" s="1850" cm="1">
        <f t="array" ref="O1611">_xlfn.IFS(
    M1611=0,0,
   ABS(N1611 - S1610 - P1611-Q1611) &lt; 1, N1611 - S1610-Q1611,
    TRUE, P1611
)</f>
        <v>0</v>
      </c>
      <c r="P1611" s="1852">
        <f>IF(M1611=0,0,ROUND(S1610*EXP(Int_Rate/365.25 * M1611)-S1610,2))</f>
        <v>0</v>
      </c>
      <c r="Q1611" s="1851" cm="1">
        <f t="array" ref="Q1611">_xlfn.IFS(
    AND(I1611=TRUE, K1611&lt;=No_Regular_Payments), Periodic_Admin_Charge,
   TRUE, 0
)</f>
        <v>0</v>
      </c>
      <c r="R1611" s="1850">
        <f>N1611-O1611-Q1611</f>
        <v>0</v>
      </c>
      <c r="S1611" s="1850">
        <f>ROUND(S1610-R1611,2)</f>
        <v>0</v>
      </c>
      <c r="T1611" s="1850">
        <f>ROUND(T1610-(N1611-Q1611),2)</f>
        <v>0</v>
      </c>
      <c r="U1611" s="1849"/>
      <c r="W1611" s="1848"/>
      <c r="X1611" s="1848"/>
      <c r="Y1611" s="1848"/>
    </row>
    <row r="1612" spans="2:25" hidden="1">
      <c r="B1612" s="1815" t="b">
        <f>AND(I1612=FALSE,N1611=0,Q1611=0,L1611="")</f>
        <v>1</v>
      </c>
      <c r="C1612" s="1844" t="str" cm="1">
        <f t="array" ref="C1612">_xlfn.IFS(
    L1612="", "",
    MONTH(L1612) &lt;= End_of_Year_Month, YEAR(L1612),
    TRUE, YEAR(L1612) + 1
)</f>
        <v/>
      </c>
      <c r="F1612" s="1857">
        <f>IF(L1612="",0,L1612)</f>
        <v>0</v>
      </c>
      <c r="G1612" s="1856">
        <f>-(N1612-Q1612)</f>
        <v>0</v>
      </c>
      <c r="I1612" s="1815" t="b">
        <f>K1612&lt;=Number_Payments</f>
        <v>0</v>
      </c>
      <c r="J1612" s="1855"/>
      <c r="K1612" s="1351">
        <f>K1611+1</f>
        <v>1486</v>
      </c>
      <c r="L1612" s="1854" t="str" cm="1">
        <f t="array" ref="L1612">_xlfn.IFS(
    I1611=FALSE, "",
    Payment_Frequency="Monthly", EDATE(L1611, 1),
    Payment_Frequency="Weekly", DATE(YEAR(L1611), MONTH(L1611), DAY(L1611) + 7),
    Payment_Frequency="Fortnightly", DATE(YEAR(L1611), MONTH(L1611), DAY(L1611) + 14),
    Payment_Frequency="Quarterly", DATE(YEAR(L1611), MONTH(L1611) + 3, DAY(L1611)),
    Payment_Frequency="Yearly", DATE(YEAR(L1611) + 1, MONTH(L1611), DAY(L1611)),
    TRUE, ""
)</f>
        <v/>
      </c>
      <c r="M1612" s="1853">
        <f>IF(ISERROR(L1612-L1611),0,L1612-L1611)</f>
        <v>0</v>
      </c>
      <c r="N1612" s="1851" cm="1">
        <f t="array" ref="N1612">_xlfn.IFS(
    AND(I1612=TRUE, K1612&lt;=No_Regular_Payments), Repay_Amt,
    AND(I1612=TRUE, K1612=No_Regular_Payments+1), Tm_Balloon_Amt,
   TRUE, 0
)</f>
        <v>0</v>
      </c>
      <c r="O1612" s="1850" cm="1">
        <f t="array" ref="O1612">_xlfn.IFS(
    M1612=0,0,
   ABS(N1612 - S1611 - P1612-Q1612) &lt; 1, N1612 - S1611-Q1612,
    TRUE, P1612
)</f>
        <v>0</v>
      </c>
      <c r="P1612" s="1852">
        <f>IF(M1612=0,0,ROUND(S1611*EXP(Int_Rate/365.25 * M1612)-S1611,2))</f>
        <v>0</v>
      </c>
      <c r="Q1612" s="1851" cm="1">
        <f t="array" ref="Q1612">_xlfn.IFS(
    AND(I1612=TRUE, K1612&lt;=No_Regular_Payments), Periodic_Admin_Charge,
   TRUE, 0
)</f>
        <v>0</v>
      </c>
      <c r="R1612" s="1850">
        <f>N1612-O1612-Q1612</f>
        <v>0</v>
      </c>
      <c r="S1612" s="1850">
        <f>ROUND(S1611-R1612,2)</f>
        <v>0</v>
      </c>
      <c r="T1612" s="1850">
        <f>ROUND(T1611-(N1612-Q1612),2)</f>
        <v>0</v>
      </c>
      <c r="U1612" s="1849"/>
      <c r="W1612" s="1848"/>
      <c r="X1612" s="1848"/>
      <c r="Y1612" s="1848"/>
    </row>
    <row r="1613" spans="2:25" hidden="1">
      <c r="B1613" s="1815" t="b">
        <f>AND(I1613=FALSE,N1612=0,Q1612=0,L1612="")</f>
        <v>1</v>
      </c>
      <c r="C1613" s="1844" t="str" cm="1">
        <f t="array" ref="C1613">_xlfn.IFS(
    L1613="", "",
    MONTH(L1613) &lt;= End_of_Year_Month, YEAR(L1613),
    TRUE, YEAR(L1613) + 1
)</f>
        <v/>
      </c>
      <c r="F1613" s="1857">
        <f>IF(L1613="",0,L1613)</f>
        <v>0</v>
      </c>
      <c r="G1613" s="1856">
        <f>-(N1613-Q1613)</f>
        <v>0</v>
      </c>
      <c r="I1613" s="1815" t="b">
        <f>K1613&lt;=Number_Payments</f>
        <v>0</v>
      </c>
      <c r="J1613" s="1855"/>
      <c r="K1613" s="1351">
        <f>K1612+1</f>
        <v>1487</v>
      </c>
      <c r="L1613" s="1854" t="str" cm="1">
        <f t="array" ref="L1613">_xlfn.IFS(
    I1612=FALSE, "",
    Payment_Frequency="Monthly", EDATE(L1612, 1),
    Payment_Frequency="Weekly", DATE(YEAR(L1612), MONTH(L1612), DAY(L1612) + 7),
    Payment_Frequency="Fortnightly", DATE(YEAR(L1612), MONTH(L1612), DAY(L1612) + 14),
    Payment_Frequency="Quarterly", DATE(YEAR(L1612), MONTH(L1612) + 3, DAY(L1612)),
    Payment_Frequency="Yearly", DATE(YEAR(L1612) + 1, MONTH(L1612), DAY(L1612)),
    TRUE, ""
)</f>
        <v/>
      </c>
      <c r="M1613" s="1853">
        <f>IF(ISERROR(L1613-L1612),0,L1613-L1612)</f>
        <v>0</v>
      </c>
      <c r="N1613" s="1851" cm="1">
        <f t="array" ref="N1613">_xlfn.IFS(
    AND(I1613=TRUE, K1613&lt;=No_Regular_Payments), Repay_Amt,
    AND(I1613=TRUE, K1613=No_Regular_Payments+1), Tm_Balloon_Amt,
   TRUE, 0
)</f>
        <v>0</v>
      </c>
      <c r="O1613" s="1850" cm="1">
        <f t="array" ref="O1613">_xlfn.IFS(
    M1613=0,0,
   ABS(N1613 - S1612 - P1613-Q1613) &lt; 1, N1613 - S1612-Q1613,
    TRUE, P1613
)</f>
        <v>0</v>
      </c>
      <c r="P1613" s="1852">
        <f>IF(M1613=0,0,ROUND(S1612*EXP(Int_Rate/365.25 * M1613)-S1612,2))</f>
        <v>0</v>
      </c>
      <c r="Q1613" s="1851" cm="1">
        <f t="array" ref="Q1613">_xlfn.IFS(
    AND(I1613=TRUE, K1613&lt;=No_Regular_Payments), Periodic_Admin_Charge,
   TRUE, 0
)</f>
        <v>0</v>
      </c>
      <c r="R1613" s="1850">
        <f>N1613-O1613-Q1613</f>
        <v>0</v>
      </c>
      <c r="S1613" s="1850">
        <f>ROUND(S1612-R1613,2)</f>
        <v>0</v>
      </c>
      <c r="T1613" s="1850">
        <f>ROUND(T1612-(N1613-Q1613),2)</f>
        <v>0</v>
      </c>
      <c r="U1613" s="1849"/>
      <c r="W1613" s="1848"/>
      <c r="X1613" s="1848"/>
      <c r="Y1613" s="1848"/>
    </row>
    <row r="1614" spans="2:25" hidden="1">
      <c r="B1614" s="1815" t="b">
        <f>AND(I1614=FALSE,N1613=0,Q1613=0,L1613="")</f>
        <v>1</v>
      </c>
      <c r="C1614" s="1844" t="str" cm="1">
        <f t="array" ref="C1614">_xlfn.IFS(
    L1614="", "",
    MONTH(L1614) &lt;= End_of_Year_Month, YEAR(L1614),
    TRUE, YEAR(L1614) + 1
)</f>
        <v/>
      </c>
      <c r="F1614" s="1857">
        <f>IF(L1614="",0,L1614)</f>
        <v>0</v>
      </c>
      <c r="G1614" s="1856">
        <f>-(N1614-Q1614)</f>
        <v>0</v>
      </c>
      <c r="I1614" s="1815" t="b">
        <f>K1614&lt;=Number_Payments</f>
        <v>0</v>
      </c>
      <c r="J1614" s="1855"/>
      <c r="K1614" s="1351">
        <f>K1613+1</f>
        <v>1488</v>
      </c>
      <c r="L1614" s="1854" t="str" cm="1">
        <f t="array" ref="L1614">_xlfn.IFS(
    I1613=FALSE, "",
    Payment_Frequency="Monthly", EDATE(L1613, 1),
    Payment_Frequency="Weekly", DATE(YEAR(L1613), MONTH(L1613), DAY(L1613) + 7),
    Payment_Frequency="Fortnightly", DATE(YEAR(L1613), MONTH(L1613), DAY(L1613) + 14),
    Payment_Frequency="Quarterly", DATE(YEAR(L1613), MONTH(L1613) + 3, DAY(L1613)),
    Payment_Frequency="Yearly", DATE(YEAR(L1613) + 1, MONTH(L1613), DAY(L1613)),
    TRUE, ""
)</f>
        <v/>
      </c>
      <c r="M1614" s="1853">
        <f>IF(ISERROR(L1614-L1613),0,L1614-L1613)</f>
        <v>0</v>
      </c>
      <c r="N1614" s="1851" cm="1">
        <f t="array" ref="N1614">_xlfn.IFS(
    AND(I1614=TRUE, K1614&lt;=No_Regular_Payments), Repay_Amt,
    AND(I1614=TRUE, K1614=No_Regular_Payments+1), Tm_Balloon_Amt,
   TRUE, 0
)</f>
        <v>0</v>
      </c>
      <c r="O1614" s="1850" cm="1">
        <f t="array" ref="O1614">_xlfn.IFS(
    M1614=0,0,
   ABS(N1614 - S1613 - P1614-Q1614) &lt; 1, N1614 - S1613-Q1614,
    TRUE, P1614
)</f>
        <v>0</v>
      </c>
      <c r="P1614" s="1852">
        <f>IF(M1614=0,0,ROUND(S1613*EXP(Int_Rate/365.25 * M1614)-S1613,2))</f>
        <v>0</v>
      </c>
      <c r="Q1614" s="1851" cm="1">
        <f t="array" ref="Q1614">_xlfn.IFS(
    AND(I1614=TRUE, K1614&lt;=No_Regular_Payments), Periodic_Admin_Charge,
   TRUE, 0
)</f>
        <v>0</v>
      </c>
      <c r="R1614" s="1850">
        <f>N1614-O1614-Q1614</f>
        <v>0</v>
      </c>
      <c r="S1614" s="1850">
        <f>ROUND(S1613-R1614,2)</f>
        <v>0</v>
      </c>
      <c r="T1614" s="1850">
        <f>ROUND(T1613-(N1614-Q1614),2)</f>
        <v>0</v>
      </c>
      <c r="U1614" s="1849"/>
      <c r="W1614" s="1848"/>
      <c r="X1614" s="1848"/>
      <c r="Y1614" s="1848"/>
    </row>
    <row r="1615" spans="2:25" hidden="1">
      <c r="B1615" s="1815" t="b">
        <f>AND(I1615=FALSE,N1614=0,Q1614=0,L1614="")</f>
        <v>1</v>
      </c>
      <c r="C1615" s="1844" t="str" cm="1">
        <f t="array" ref="C1615">_xlfn.IFS(
    L1615="", "",
    MONTH(L1615) &lt;= End_of_Year_Month, YEAR(L1615),
    TRUE, YEAR(L1615) + 1
)</f>
        <v/>
      </c>
      <c r="F1615" s="1857">
        <f>IF(L1615="",0,L1615)</f>
        <v>0</v>
      </c>
      <c r="G1615" s="1856">
        <f>-(N1615-Q1615)</f>
        <v>0</v>
      </c>
      <c r="I1615" s="1815" t="b">
        <f>K1615&lt;=Number_Payments</f>
        <v>0</v>
      </c>
      <c r="J1615" s="1855"/>
      <c r="K1615" s="1351">
        <f>K1614+1</f>
        <v>1489</v>
      </c>
      <c r="L1615" s="1854" t="str" cm="1">
        <f t="array" ref="L1615">_xlfn.IFS(
    I1614=FALSE, "",
    Payment_Frequency="Monthly", EDATE(L1614, 1),
    Payment_Frequency="Weekly", DATE(YEAR(L1614), MONTH(L1614), DAY(L1614) + 7),
    Payment_Frequency="Fortnightly", DATE(YEAR(L1614), MONTH(L1614), DAY(L1614) + 14),
    Payment_Frequency="Quarterly", DATE(YEAR(L1614), MONTH(L1614) + 3, DAY(L1614)),
    Payment_Frequency="Yearly", DATE(YEAR(L1614) + 1, MONTH(L1614), DAY(L1614)),
    TRUE, ""
)</f>
        <v/>
      </c>
      <c r="M1615" s="1853">
        <f>IF(ISERROR(L1615-L1614),0,L1615-L1614)</f>
        <v>0</v>
      </c>
      <c r="N1615" s="1851" cm="1">
        <f t="array" ref="N1615">_xlfn.IFS(
    AND(I1615=TRUE, K1615&lt;=No_Regular_Payments), Repay_Amt,
    AND(I1615=TRUE, K1615=No_Regular_Payments+1), Tm_Balloon_Amt,
   TRUE, 0
)</f>
        <v>0</v>
      </c>
      <c r="O1615" s="1850" cm="1">
        <f t="array" ref="O1615">_xlfn.IFS(
    M1615=0,0,
   ABS(N1615 - S1614 - P1615-Q1615) &lt; 1, N1615 - S1614-Q1615,
    TRUE, P1615
)</f>
        <v>0</v>
      </c>
      <c r="P1615" s="1852">
        <f>IF(M1615=0,0,ROUND(S1614*EXP(Int_Rate/365.25 * M1615)-S1614,2))</f>
        <v>0</v>
      </c>
      <c r="Q1615" s="1851" cm="1">
        <f t="array" ref="Q1615">_xlfn.IFS(
    AND(I1615=TRUE, K1615&lt;=No_Regular_Payments), Periodic_Admin_Charge,
   TRUE, 0
)</f>
        <v>0</v>
      </c>
      <c r="R1615" s="1850">
        <f>N1615-O1615-Q1615</f>
        <v>0</v>
      </c>
      <c r="S1615" s="1850">
        <f>ROUND(S1614-R1615,2)</f>
        <v>0</v>
      </c>
      <c r="T1615" s="1850">
        <f>ROUND(T1614-(N1615-Q1615),2)</f>
        <v>0</v>
      </c>
      <c r="U1615" s="1849"/>
      <c r="W1615" s="1848"/>
      <c r="X1615" s="1848"/>
      <c r="Y1615" s="1848"/>
    </row>
    <row r="1616" spans="2:25" hidden="1">
      <c r="B1616" s="1815" t="b">
        <f>AND(I1616=FALSE,N1615=0,Q1615=0,L1615="")</f>
        <v>1</v>
      </c>
      <c r="C1616" s="1844" t="str" cm="1">
        <f t="array" ref="C1616">_xlfn.IFS(
    L1616="", "",
    MONTH(L1616) &lt;= End_of_Year_Month, YEAR(L1616),
    TRUE, YEAR(L1616) + 1
)</f>
        <v/>
      </c>
      <c r="F1616" s="1857">
        <f>IF(L1616="",0,L1616)</f>
        <v>0</v>
      </c>
      <c r="G1616" s="1856">
        <f>-(N1616-Q1616)</f>
        <v>0</v>
      </c>
      <c r="I1616" s="1815" t="b">
        <f>K1616&lt;=Number_Payments</f>
        <v>0</v>
      </c>
      <c r="J1616" s="1855"/>
      <c r="K1616" s="1351">
        <f>K1615+1</f>
        <v>1490</v>
      </c>
      <c r="L1616" s="1854" t="str" cm="1">
        <f t="array" ref="L1616">_xlfn.IFS(
    I1615=FALSE, "",
    Payment_Frequency="Monthly", EDATE(L1615, 1),
    Payment_Frequency="Weekly", DATE(YEAR(L1615), MONTH(L1615), DAY(L1615) + 7),
    Payment_Frequency="Fortnightly", DATE(YEAR(L1615), MONTH(L1615), DAY(L1615) + 14),
    Payment_Frequency="Quarterly", DATE(YEAR(L1615), MONTH(L1615) + 3, DAY(L1615)),
    Payment_Frequency="Yearly", DATE(YEAR(L1615) + 1, MONTH(L1615), DAY(L1615)),
    TRUE, ""
)</f>
        <v/>
      </c>
      <c r="M1616" s="1853">
        <f>IF(ISERROR(L1616-L1615),0,L1616-L1615)</f>
        <v>0</v>
      </c>
      <c r="N1616" s="1851" cm="1">
        <f t="array" ref="N1616">_xlfn.IFS(
    AND(I1616=TRUE, K1616&lt;=No_Regular_Payments), Repay_Amt,
    AND(I1616=TRUE, K1616=No_Regular_Payments+1), Tm_Balloon_Amt,
   TRUE, 0
)</f>
        <v>0</v>
      </c>
      <c r="O1616" s="1850" cm="1">
        <f t="array" ref="O1616">_xlfn.IFS(
    M1616=0,0,
   ABS(N1616 - S1615 - P1616-Q1616) &lt; 1, N1616 - S1615-Q1616,
    TRUE, P1616
)</f>
        <v>0</v>
      </c>
      <c r="P1616" s="1852">
        <f>IF(M1616=0,0,ROUND(S1615*EXP(Int_Rate/365.25 * M1616)-S1615,2))</f>
        <v>0</v>
      </c>
      <c r="Q1616" s="1851" cm="1">
        <f t="array" ref="Q1616">_xlfn.IFS(
    AND(I1616=TRUE, K1616&lt;=No_Regular_Payments), Periodic_Admin_Charge,
   TRUE, 0
)</f>
        <v>0</v>
      </c>
      <c r="R1616" s="1850">
        <f>N1616-O1616-Q1616</f>
        <v>0</v>
      </c>
      <c r="S1616" s="1850">
        <f>ROUND(S1615-R1616,2)</f>
        <v>0</v>
      </c>
      <c r="T1616" s="1850">
        <f>ROUND(T1615-(N1616-Q1616),2)</f>
        <v>0</v>
      </c>
      <c r="U1616" s="1849"/>
      <c r="W1616" s="1848"/>
      <c r="X1616" s="1848"/>
      <c r="Y1616" s="1848"/>
    </row>
    <row r="1617" spans="2:25" hidden="1">
      <c r="B1617" s="1815" t="b">
        <f>AND(I1617=FALSE,N1616=0,Q1616=0,L1616="")</f>
        <v>1</v>
      </c>
      <c r="C1617" s="1844" t="str" cm="1">
        <f t="array" ref="C1617">_xlfn.IFS(
    L1617="", "",
    MONTH(L1617) &lt;= End_of_Year_Month, YEAR(L1617),
    TRUE, YEAR(L1617) + 1
)</f>
        <v/>
      </c>
      <c r="F1617" s="1857">
        <f>IF(L1617="",0,L1617)</f>
        <v>0</v>
      </c>
      <c r="G1617" s="1856">
        <f>-(N1617-Q1617)</f>
        <v>0</v>
      </c>
      <c r="I1617" s="1815" t="b">
        <f>K1617&lt;=Number_Payments</f>
        <v>0</v>
      </c>
      <c r="J1617" s="1855"/>
      <c r="K1617" s="1351">
        <f>K1616+1</f>
        <v>1491</v>
      </c>
      <c r="L1617" s="1854" t="str" cm="1">
        <f t="array" ref="L1617">_xlfn.IFS(
    I1616=FALSE, "",
    Payment_Frequency="Monthly", EDATE(L1616, 1),
    Payment_Frequency="Weekly", DATE(YEAR(L1616), MONTH(L1616), DAY(L1616) + 7),
    Payment_Frequency="Fortnightly", DATE(YEAR(L1616), MONTH(L1616), DAY(L1616) + 14),
    Payment_Frequency="Quarterly", DATE(YEAR(L1616), MONTH(L1616) + 3, DAY(L1616)),
    Payment_Frequency="Yearly", DATE(YEAR(L1616) + 1, MONTH(L1616), DAY(L1616)),
    TRUE, ""
)</f>
        <v/>
      </c>
      <c r="M1617" s="1853">
        <f>IF(ISERROR(L1617-L1616),0,L1617-L1616)</f>
        <v>0</v>
      </c>
      <c r="N1617" s="1851" cm="1">
        <f t="array" ref="N1617">_xlfn.IFS(
    AND(I1617=TRUE, K1617&lt;=No_Regular_Payments), Repay_Amt,
    AND(I1617=TRUE, K1617=No_Regular_Payments+1), Tm_Balloon_Amt,
   TRUE, 0
)</f>
        <v>0</v>
      </c>
      <c r="O1617" s="1850" cm="1">
        <f t="array" ref="O1617">_xlfn.IFS(
    M1617=0,0,
   ABS(N1617 - S1616 - P1617-Q1617) &lt; 1, N1617 - S1616-Q1617,
    TRUE, P1617
)</f>
        <v>0</v>
      </c>
      <c r="P1617" s="1852">
        <f>IF(M1617=0,0,ROUND(S1616*EXP(Int_Rate/365.25 * M1617)-S1616,2))</f>
        <v>0</v>
      </c>
      <c r="Q1617" s="1851" cm="1">
        <f t="array" ref="Q1617">_xlfn.IFS(
    AND(I1617=TRUE, K1617&lt;=No_Regular_Payments), Periodic_Admin_Charge,
   TRUE, 0
)</f>
        <v>0</v>
      </c>
      <c r="R1617" s="1850">
        <f>N1617-O1617-Q1617</f>
        <v>0</v>
      </c>
      <c r="S1617" s="1850">
        <f>ROUND(S1616-R1617,2)</f>
        <v>0</v>
      </c>
      <c r="T1617" s="1850">
        <f>ROUND(T1616-(N1617-Q1617),2)</f>
        <v>0</v>
      </c>
      <c r="U1617" s="1849"/>
      <c r="W1617" s="1848"/>
      <c r="X1617" s="1848"/>
      <c r="Y1617" s="1848"/>
    </row>
    <row r="1618" spans="2:25" hidden="1">
      <c r="B1618" s="1815" t="b">
        <f>AND(I1618=FALSE,N1617=0,Q1617=0,L1617="")</f>
        <v>1</v>
      </c>
      <c r="C1618" s="1844" t="str" cm="1">
        <f t="array" ref="C1618">_xlfn.IFS(
    L1618="", "",
    MONTH(L1618) &lt;= End_of_Year_Month, YEAR(L1618),
    TRUE, YEAR(L1618) + 1
)</f>
        <v/>
      </c>
      <c r="F1618" s="1857">
        <f>IF(L1618="",0,L1618)</f>
        <v>0</v>
      </c>
      <c r="G1618" s="1856">
        <f>-(N1618-Q1618)</f>
        <v>0</v>
      </c>
      <c r="I1618" s="1815" t="b">
        <f>K1618&lt;=Number_Payments</f>
        <v>0</v>
      </c>
      <c r="J1618" s="1855"/>
      <c r="K1618" s="1351">
        <f>K1617+1</f>
        <v>1492</v>
      </c>
      <c r="L1618" s="1854" t="str" cm="1">
        <f t="array" ref="L1618">_xlfn.IFS(
    I1617=FALSE, "",
    Payment_Frequency="Monthly", EDATE(L1617, 1),
    Payment_Frequency="Weekly", DATE(YEAR(L1617), MONTH(L1617), DAY(L1617) + 7),
    Payment_Frequency="Fortnightly", DATE(YEAR(L1617), MONTH(L1617), DAY(L1617) + 14),
    Payment_Frequency="Quarterly", DATE(YEAR(L1617), MONTH(L1617) + 3, DAY(L1617)),
    Payment_Frequency="Yearly", DATE(YEAR(L1617) + 1, MONTH(L1617), DAY(L1617)),
    TRUE, ""
)</f>
        <v/>
      </c>
      <c r="M1618" s="1853">
        <f>IF(ISERROR(L1618-L1617),0,L1618-L1617)</f>
        <v>0</v>
      </c>
      <c r="N1618" s="1851" cm="1">
        <f t="array" ref="N1618">_xlfn.IFS(
    AND(I1618=TRUE, K1618&lt;=No_Regular_Payments), Repay_Amt,
    AND(I1618=TRUE, K1618=No_Regular_Payments+1), Tm_Balloon_Amt,
   TRUE, 0
)</f>
        <v>0</v>
      </c>
      <c r="O1618" s="1850" cm="1">
        <f t="array" ref="O1618">_xlfn.IFS(
    M1618=0,0,
   ABS(N1618 - S1617 - P1618-Q1618) &lt; 1, N1618 - S1617-Q1618,
    TRUE, P1618
)</f>
        <v>0</v>
      </c>
      <c r="P1618" s="1852">
        <f>IF(M1618=0,0,ROUND(S1617*EXP(Int_Rate/365.25 * M1618)-S1617,2))</f>
        <v>0</v>
      </c>
      <c r="Q1618" s="1851" cm="1">
        <f t="array" ref="Q1618">_xlfn.IFS(
    AND(I1618=TRUE, K1618&lt;=No_Regular_Payments), Periodic_Admin_Charge,
   TRUE, 0
)</f>
        <v>0</v>
      </c>
      <c r="R1618" s="1850">
        <f>N1618-O1618-Q1618</f>
        <v>0</v>
      </c>
      <c r="S1618" s="1850">
        <f>ROUND(S1617-R1618,2)</f>
        <v>0</v>
      </c>
      <c r="T1618" s="1850">
        <f>ROUND(T1617-(N1618-Q1618),2)</f>
        <v>0</v>
      </c>
      <c r="U1618" s="1849"/>
      <c r="W1618" s="1848"/>
      <c r="X1618" s="1848"/>
      <c r="Y1618" s="1848"/>
    </row>
    <row r="1619" spans="2:25" hidden="1">
      <c r="B1619" s="1815" t="b">
        <f>AND(I1619=FALSE,N1618=0,Q1618=0,L1618="")</f>
        <v>1</v>
      </c>
      <c r="C1619" s="1844" t="str" cm="1">
        <f t="array" ref="C1619">_xlfn.IFS(
    L1619="", "",
    MONTH(L1619) &lt;= End_of_Year_Month, YEAR(L1619),
    TRUE, YEAR(L1619) + 1
)</f>
        <v/>
      </c>
      <c r="F1619" s="1857">
        <f>IF(L1619="",0,L1619)</f>
        <v>0</v>
      </c>
      <c r="G1619" s="1856">
        <f>-(N1619-Q1619)</f>
        <v>0</v>
      </c>
      <c r="I1619" s="1815" t="b">
        <f>K1619&lt;=Number_Payments</f>
        <v>0</v>
      </c>
      <c r="J1619" s="1855"/>
      <c r="K1619" s="1351">
        <f>K1618+1</f>
        <v>1493</v>
      </c>
      <c r="L1619" s="1854" t="str" cm="1">
        <f t="array" ref="L1619">_xlfn.IFS(
    I1618=FALSE, "",
    Payment_Frequency="Monthly", EDATE(L1618, 1),
    Payment_Frequency="Weekly", DATE(YEAR(L1618), MONTH(L1618), DAY(L1618) + 7),
    Payment_Frequency="Fortnightly", DATE(YEAR(L1618), MONTH(L1618), DAY(L1618) + 14),
    Payment_Frequency="Quarterly", DATE(YEAR(L1618), MONTH(L1618) + 3, DAY(L1618)),
    Payment_Frequency="Yearly", DATE(YEAR(L1618) + 1, MONTH(L1618), DAY(L1618)),
    TRUE, ""
)</f>
        <v/>
      </c>
      <c r="M1619" s="1853">
        <f>IF(ISERROR(L1619-L1618),0,L1619-L1618)</f>
        <v>0</v>
      </c>
      <c r="N1619" s="1851" cm="1">
        <f t="array" ref="N1619">_xlfn.IFS(
    AND(I1619=TRUE, K1619&lt;=No_Regular_Payments), Repay_Amt,
    AND(I1619=TRUE, K1619=No_Regular_Payments+1), Tm_Balloon_Amt,
   TRUE, 0
)</f>
        <v>0</v>
      </c>
      <c r="O1619" s="1850" cm="1">
        <f t="array" ref="O1619">_xlfn.IFS(
    M1619=0,0,
   ABS(N1619 - S1618 - P1619-Q1619) &lt; 1, N1619 - S1618-Q1619,
    TRUE, P1619
)</f>
        <v>0</v>
      </c>
      <c r="P1619" s="1852">
        <f>IF(M1619=0,0,ROUND(S1618*EXP(Int_Rate/365.25 * M1619)-S1618,2))</f>
        <v>0</v>
      </c>
      <c r="Q1619" s="1851" cm="1">
        <f t="array" ref="Q1619">_xlfn.IFS(
    AND(I1619=TRUE, K1619&lt;=No_Regular_Payments), Periodic_Admin_Charge,
   TRUE, 0
)</f>
        <v>0</v>
      </c>
      <c r="R1619" s="1850">
        <f>N1619-O1619-Q1619</f>
        <v>0</v>
      </c>
      <c r="S1619" s="1850">
        <f>ROUND(S1618-R1619,2)</f>
        <v>0</v>
      </c>
      <c r="T1619" s="1850">
        <f>ROUND(T1618-(N1619-Q1619),2)</f>
        <v>0</v>
      </c>
      <c r="U1619" s="1849"/>
      <c r="W1619" s="1848"/>
      <c r="X1619" s="1848"/>
      <c r="Y1619" s="1848"/>
    </row>
    <row r="1620" spans="2:25" hidden="1">
      <c r="B1620" s="1815" t="b">
        <f>AND(I1620=FALSE,N1619=0,Q1619=0,L1619="")</f>
        <v>1</v>
      </c>
      <c r="C1620" s="1844" t="str" cm="1">
        <f t="array" ref="C1620">_xlfn.IFS(
    L1620="", "",
    MONTH(L1620) &lt;= End_of_Year_Month, YEAR(L1620),
    TRUE, YEAR(L1620) + 1
)</f>
        <v/>
      </c>
      <c r="F1620" s="1857">
        <f>IF(L1620="",0,L1620)</f>
        <v>0</v>
      </c>
      <c r="G1620" s="1856">
        <f>-(N1620-Q1620)</f>
        <v>0</v>
      </c>
      <c r="I1620" s="1815" t="b">
        <f>K1620&lt;=Number_Payments</f>
        <v>0</v>
      </c>
      <c r="J1620" s="1855"/>
      <c r="K1620" s="1351">
        <f>K1619+1</f>
        <v>1494</v>
      </c>
      <c r="L1620" s="1854" t="str" cm="1">
        <f t="array" ref="L1620">_xlfn.IFS(
    I1619=FALSE, "",
    Payment_Frequency="Monthly", EDATE(L1619, 1),
    Payment_Frequency="Weekly", DATE(YEAR(L1619), MONTH(L1619), DAY(L1619) + 7),
    Payment_Frequency="Fortnightly", DATE(YEAR(L1619), MONTH(L1619), DAY(L1619) + 14),
    Payment_Frequency="Quarterly", DATE(YEAR(L1619), MONTH(L1619) + 3, DAY(L1619)),
    Payment_Frequency="Yearly", DATE(YEAR(L1619) + 1, MONTH(L1619), DAY(L1619)),
    TRUE, ""
)</f>
        <v/>
      </c>
      <c r="M1620" s="1853">
        <f>IF(ISERROR(L1620-L1619),0,L1620-L1619)</f>
        <v>0</v>
      </c>
      <c r="N1620" s="1851" cm="1">
        <f t="array" ref="N1620">_xlfn.IFS(
    AND(I1620=TRUE, K1620&lt;=No_Regular_Payments), Repay_Amt,
    AND(I1620=TRUE, K1620=No_Regular_Payments+1), Tm_Balloon_Amt,
   TRUE, 0
)</f>
        <v>0</v>
      </c>
      <c r="O1620" s="1850" cm="1">
        <f t="array" ref="O1620">_xlfn.IFS(
    M1620=0,0,
   ABS(N1620 - S1619 - P1620-Q1620) &lt; 1, N1620 - S1619-Q1620,
    TRUE, P1620
)</f>
        <v>0</v>
      </c>
      <c r="P1620" s="1852">
        <f>IF(M1620=0,0,ROUND(S1619*EXP(Int_Rate/365.25 * M1620)-S1619,2))</f>
        <v>0</v>
      </c>
      <c r="Q1620" s="1851" cm="1">
        <f t="array" ref="Q1620">_xlfn.IFS(
    AND(I1620=TRUE, K1620&lt;=No_Regular_Payments), Periodic_Admin_Charge,
   TRUE, 0
)</f>
        <v>0</v>
      </c>
      <c r="R1620" s="1850">
        <f>N1620-O1620-Q1620</f>
        <v>0</v>
      </c>
      <c r="S1620" s="1850">
        <f>ROUND(S1619-R1620,2)</f>
        <v>0</v>
      </c>
      <c r="T1620" s="1850">
        <f>ROUND(T1619-(N1620-Q1620),2)</f>
        <v>0</v>
      </c>
      <c r="U1620" s="1849"/>
      <c r="W1620" s="1848"/>
      <c r="X1620" s="1848"/>
      <c r="Y1620" s="1848"/>
    </row>
    <row r="1621" spans="2:25" hidden="1">
      <c r="B1621" s="1815" t="b">
        <f>AND(I1621=FALSE,N1620=0,Q1620=0,L1620="")</f>
        <v>1</v>
      </c>
      <c r="C1621" s="1844" t="str" cm="1">
        <f t="array" ref="C1621">_xlfn.IFS(
    L1621="", "",
    MONTH(L1621) &lt;= End_of_Year_Month, YEAR(L1621),
    TRUE, YEAR(L1621) + 1
)</f>
        <v/>
      </c>
      <c r="F1621" s="1857">
        <f>IF(L1621="",0,L1621)</f>
        <v>0</v>
      </c>
      <c r="G1621" s="1856">
        <f>-(N1621-Q1621)</f>
        <v>0</v>
      </c>
      <c r="I1621" s="1815" t="b">
        <f>K1621&lt;=Number_Payments</f>
        <v>0</v>
      </c>
      <c r="J1621" s="1855"/>
      <c r="K1621" s="1351">
        <f>K1620+1</f>
        <v>1495</v>
      </c>
      <c r="L1621" s="1854" t="str" cm="1">
        <f t="array" ref="L1621">_xlfn.IFS(
    I1620=FALSE, "",
    Payment_Frequency="Monthly", EDATE(L1620, 1),
    Payment_Frequency="Weekly", DATE(YEAR(L1620), MONTH(L1620), DAY(L1620) + 7),
    Payment_Frequency="Fortnightly", DATE(YEAR(L1620), MONTH(L1620), DAY(L1620) + 14),
    Payment_Frequency="Quarterly", DATE(YEAR(L1620), MONTH(L1620) + 3, DAY(L1620)),
    Payment_Frequency="Yearly", DATE(YEAR(L1620) + 1, MONTH(L1620), DAY(L1620)),
    TRUE, ""
)</f>
        <v/>
      </c>
      <c r="M1621" s="1853">
        <f>IF(ISERROR(L1621-L1620),0,L1621-L1620)</f>
        <v>0</v>
      </c>
      <c r="N1621" s="1851" cm="1">
        <f t="array" ref="N1621">_xlfn.IFS(
    AND(I1621=TRUE, K1621&lt;=No_Regular_Payments), Repay_Amt,
    AND(I1621=TRUE, K1621=No_Regular_Payments+1), Tm_Balloon_Amt,
   TRUE, 0
)</f>
        <v>0</v>
      </c>
      <c r="O1621" s="1850" cm="1">
        <f t="array" ref="O1621">_xlfn.IFS(
    M1621=0,0,
   ABS(N1621 - S1620 - P1621-Q1621) &lt; 1, N1621 - S1620-Q1621,
    TRUE, P1621
)</f>
        <v>0</v>
      </c>
      <c r="P1621" s="1852">
        <f>IF(M1621=0,0,ROUND(S1620*EXP(Int_Rate/365.25 * M1621)-S1620,2))</f>
        <v>0</v>
      </c>
      <c r="Q1621" s="1851" cm="1">
        <f t="array" ref="Q1621">_xlfn.IFS(
    AND(I1621=TRUE, K1621&lt;=No_Regular_Payments), Periodic_Admin_Charge,
   TRUE, 0
)</f>
        <v>0</v>
      </c>
      <c r="R1621" s="1850">
        <f>N1621-O1621-Q1621</f>
        <v>0</v>
      </c>
      <c r="S1621" s="1850">
        <f>ROUND(S1620-R1621,2)</f>
        <v>0</v>
      </c>
      <c r="T1621" s="1850">
        <f>ROUND(T1620-(N1621-Q1621),2)</f>
        <v>0</v>
      </c>
      <c r="U1621" s="1849"/>
      <c r="W1621" s="1848"/>
      <c r="X1621" s="1848"/>
      <c r="Y1621" s="1848"/>
    </row>
    <row r="1622" spans="2:25" hidden="1">
      <c r="B1622" s="1815" t="b">
        <f>AND(I1622=FALSE,N1621=0,Q1621=0,L1621="")</f>
        <v>1</v>
      </c>
      <c r="C1622" s="1844" t="str" cm="1">
        <f t="array" ref="C1622">_xlfn.IFS(
    L1622="", "",
    MONTH(L1622) &lt;= End_of_Year_Month, YEAR(L1622),
    TRUE, YEAR(L1622) + 1
)</f>
        <v/>
      </c>
      <c r="F1622" s="1857">
        <f>IF(L1622="",0,L1622)</f>
        <v>0</v>
      </c>
      <c r="G1622" s="1856">
        <f>-(N1622-Q1622)</f>
        <v>0</v>
      </c>
      <c r="I1622" s="1815" t="b">
        <f>K1622&lt;=Number_Payments</f>
        <v>0</v>
      </c>
      <c r="J1622" s="1855"/>
      <c r="K1622" s="1351">
        <f>K1621+1</f>
        <v>1496</v>
      </c>
      <c r="L1622" s="1854" t="str" cm="1">
        <f t="array" ref="L1622">_xlfn.IFS(
    I1621=FALSE, "",
    Payment_Frequency="Monthly", EDATE(L1621, 1),
    Payment_Frequency="Weekly", DATE(YEAR(L1621), MONTH(L1621), DAY(L1621) + 7),
    Payment_Frequency="Fortnightly", DATE(YEAR(L1621), MONTH(L1621), DAY(L1621) + 14),
    Payment_Frequency="Quarterly", DATE(YEAR(L1621), MONTH(L1621) + 3, DAY(L1621)),
    Payment_Frequency="Yearly", DATE(YEAR(L1621) + 1, MONTH(L1621), DAY(L1621)),
    TRUE, ""
)</f>
        <v/>
      </c>
      <c r="M1622" s="1853">
        <f>IF(ISERROR(L1622-L1621),0,L1622-L1621)</f>
        <v>0</v>
      </c>
      <c r="N1622" s="1851" cm="1">
        <f t="array" ref="N1622">_xlfn.IFS(
    AND(I1622=TRUE, K1622&lt;=No_Regular_Payments), Repay_Amt,
    AND(I1622=TRUE, K1622=No_Regular_Payments+1), Tm_Balloon_Amt,
   TRUE, 0
)</f>
        <v>0</v>
      </c>
      <c r="O1622" s="1850" cm="1">
        <f t="array" ref="O1622">_xlfn.IFS(
    M1622=0,0,
   ABS(N1622 - S1621 - P1622-Q1622) &lt; 1, N1622 - S1621-Q1622,
    TRUE, P1622
)</f>
        <v>0</v>
      </c>
      <c r="P1622" s="1852">
        <f>IF(M1622=0,0,ROUND(S1621*EXP(Int_Rate/365.25 * M1622)-S1621,2))</f>
        <v>0</v>
      </c>
      <c r="Q1622" s="1851" cm="1">
        <f t="array" ref="Q1622">_xlfn.IFS(
    AND(I1622=TRUE, K1622&lt;=No_Regular_Payments), Periodic_Admin_Charge,
   TRUE, 0
)</f>
        <v>0</v>
      </c>
      <c r="R1622" s="1850">
        <f>N1622-O1622-Q1622</f>
        <v>0</v>
      </c>
      <c r="S1622" s="1850">
        <f>ROUND(S1621-R1622,2)</f>
        <v>0</v>
      </c>
      <c r="T1622" s="1850">
        <f>ROUND(T1621-(N1622-Q1622),2)</f>
        <v>0</v>
      </c>
      <c r="U1622" s="1849"/>
      <c r="W1622" s="1848"/>
      <c r="X1622" s="1848"/>
      <c r="Y1622" s="1848"/>
    </row>
    <row r="1623" spans="2:25" hidden="1">
      <c r="B1623" s="1815" t="b">
        <f>AND(I1623=FALSE,N1622=0,Q1622=0,L1622="")</f>
        <v>1</v>
      </c>
      <c r="C1623" s="1844" t="str" cm="1">
        <f t="array" ref="C1623">_xlfn.IFS(
    L1623="", "",
    MONTH(L1623) &lt;= End_of_Year_Month, YEAR(L1623),
    TRUE, YEAR(L1623) + 1
)</f>
        <v/>
      </c>
      <c r="F1623" s="1857">
        <f>IF(L1623="",0,L1623)</f>
        <v>0</v>
      </c>
      <c r="G1623" s="1856">
        <f>-(N1623-Q1623)</f>
        <v>0</v>
      </c>
      <c r="I1623" s="1815" t="b">
        <f>K1623&lt;=Number_Payments</f>
        <v>0</v>
      </c>
      <c r="J1623" s="1855"/>
      <c r="K1623" s="1351">
        <f>K1622+1</f>
        <v>1497</v>
      </c>
      <c r="L1623" s="1854" t="str" cm="1">
        <f t="array" ref="L1623">_xlfn.IFS(
    I1622=FALSE, "",
    Payment_Frequency="Monthly", EDATE(L1622, 1),
    Payment_Frequency="Weekly", DATE(YEAR(L1622), MONTH(L1622), DAY(L1622) + 7),
    Payment_Frequency="Fortnightly", DATE(YEAR(L1622), MONTH(L1622), DAY(L1622) + 14),
    Payment_Frequency="Quarterly", DATE(YEAR(L1622), MONTH(L1622) + 3, DAY(L1622)),
    Payment_Frequency="Yearly", DATE(YEAR(L1622) + 1, MONTH(L1622), DAY(L1622)),
    TRUE, ""
)</f>
        <v/>
      </c>
      <c r="M1623" s="1853">
        <f>IF(ISERROR(L1623-L1622),0,L1623-L1622)</f>
        <v>0</v>
      </c>
      <c r="N1623" s="1851" cm="1">
        <f t="array" ref="N1623">_xlfn.IFS(
    AND(I1623=TRUE, K1623&lt;=No_Regular_Payments), Repay_Amt,
    AND(I1623=TRUE, K1623=No_Regular_Payments+1), Tm_Balloon_Amt,
   TRUE, 0
)</f>
        <v>0</v>
      </c>
      <c r="O1623" s="1850" cm="1">
        <f t="array" ref="O1623">_xlfn.IFS(
    M1623=0,0,
   ABS(N1623 - S1622 - P1623-Q1623) &lt; 1, N1623 - S1622-Q1623,
    TRUE, P1623
)</f>
        <v>0</v>
      </c>
      <c r="P1623" s="1852">
        <f>IF(M1623=0,0,ROUND(S1622*EXP(Int_Rate/365.25 * M1623)-S1622,2))</f>
        <v>0</v>
      </c>
      <c r="Q1623" s="1851" cm="1">
        <f t="array" ref="Q1623">_xlfn.IFS(
    AND(I1623=TRUE, K1623&lt;=No_Regular_Payments), Periodic_Admin_Charge,
   TRUE, 0
)</f>
        <v>0</v>
      </c>
      <c r="R1623" s="1850">
        <f>N1623-O1623-Q1623</f>
        <v>0</v>
      </c>
      <c r="S1623" s="1850">
        <f>ROUND(S1622-R1623,2)</f>
        <v>0</v>
      </c>
      <c r="T1623" s="1850">
        <f>ROUND(T1622-(N1623-Q1623),2)</f>
        <v>0</v>
      </c>
      <c r="U1623" s="1849"/>
      <c r="W1623" s="1848"/>
      <c r="X1623" s="1848"/>
      <c r="Y1623" s="1848"/>
    </row>
    <row r="1624" spans="2:25" hidden="1">
      <c r="B1624" s="1815" t="b">
        <f>AND(I1624=FALSE,N1623=0,Q1623=0,L1623="")</f>
        <v>1</v>
      </c>
      <c r="C1624" s="1844" t="str" cm="1">
        <f t="array" ref="C1624">_xlfn.IFS(
    L1624="", "",
    MONTH(L1624) &lt;= End_of_Year_Month, YEAR(L1624),
    TRUE, YEAR(L1624) + 1
)</f>
        <v/>
      </c>
      <c r="F1624" s="1857">
        <f>IF(L1624="",0,L1624)</f>
        <v>0</v>
      </c>
      <c r="G1624" s="1856">
        <f>-(N1624-Q1624)</f>
        <v>0</v>
      </c>
      <c r="I1624" s="1815" t="b">
        <f>K1624&lt;=Number_Payments</f>
        <v>0</v>
      </c>
      <c r="J1624" s="1855"/>
      <c r="K1624" s="1351">
        <f>K1623+1</f>
        <v>1498</v>
      </c>
      <c r="L1624" s="1854" t="str" cm="1">
        <f t="array" ref="L1624">_xlfn.IFS(
    I1623=FALSE, "",
    Payment_Frequency="Monthly", EDATE(L1623, 1),
    Payment_Frequency="Weekly", DATE(YEAR(L1623), MONTH(L1623), DAY(L1623) + 7),
    Payment_Frequency="Fortnightly", DATE(YEAR(L1623), MONTH(L1623), DAY(L1623) + 14),
    Payment_Frequency="Quarterly", DATE(YEAR(L1623), MONTH(L1623) + 3, DAY(L1623)),
    Payment_Frequency="Yearly", DATE(YEAR(L1623) + 1, MONTH(L1623), DAY(L1623)),
    TRUE, ""
)</f>
        <v/>
      </c>
      <c r="M1624" s="1853">
        <f>IF(ISERROR(L1624-L1623),0,L1624-L1623)</f>
        <v>0</v>
      </c>
      <c r="N1624" s="1851" cm="1">
        <f t="array" ref="N1624">_xlfn.IFS(
    AND(I1624=TRUE, K1624&lt;=No_Regular_Payments), Repay_Amt,
    AND(I1624=TRUE, K1624=No_Regular_Payments+1), Tm_Balloon_Amt,
   TRUE, 0
)</f>
        <v>0</v>
      </c>
      <c r="O1624" s="1850" cm="1">
        <f t="array" ref="O1624">_xlfn.IFS(
    M1624=0,0,
   ABS(N1624 - S1623 - P1624-Q1624) &lt; 1, N1624 - S1623-Q1624,
    TRUE, P1624
)</f>
        <v>0</v>
      </c>
      <c r="P1624" s="1852">
        <f>IF(M1624=0,0,ROUND(S1623*EXP(Int_Rate/365.25 * M1624)-S1623,2))</f>
        <v>0</v>
      </c>
      <c r="Q1624" s="1851" cm="1">
        <f t="array" ref="Q1624">_xlfn.IFS(
    AND(I1624=TRUE, K1624&lt;=No_Regular_Payments), Periodic_Admin_Charge,
   TRUE, 0
)</f>
        <v>0</v>
      </c>
      <c r="R1624" s="1850">
        <f>N1624-O1624-Q1624</f>
        <v>0</v>
      </c>
      <c r="S1624" s="1850">
        <f>ROUND(S1623-R1624,2)</f>
        <v>0</v>
      </c>
      <c r="T1624" s="1850">
        <f>ROUND(T1623-(N1624-Q1624),2)</f>
        <v>0</v>
      </c>
      <c r="U1624" s="1849"/>
      <c r="W1624" s="1848"/>
      <c r="X1624" s="1848"/>
      <c r="Y1624" s="1848"/>
    </row>
    <row r="1625" spans="2:25" hidden="1">
      <c r="B1625" s="1815" t="b">
        <f>AND(I1625=FALSE,N1624=0,Q1624=0,L1624="")</f>
        <v>1</v>
      </c>
      <c r="C1625" s="1844" t="str" cm="1">
        <f t="array" ref="C1625">_xlfn.IFS(
    L1625="", "",
    MONTH(L1625) &lt;= End_of_Year_Month, YEAR(L1625),
    TRUE, YEAR(L1625) + 1
)</f>
        <v/>
      </c>
      <c r="F1625" s="1857">
        <f>IF(L1625="",0,L1625)</f>
        <v>0</v>
      </c>
      <c r="G1625" s="1856">
        <f>-(N1625-Q1625)</f>
        <v>0</v>
      </c>
      <c r="I1625" s="1815" t="b">
        <f>K1625&lt;=Number_Payments</f>
        <v>0</v>
      </c>
      <c r="J1625" s="1855"/>
      <c r="K1625" s="1351">
        <f>K1624+1</f>
        <v>1499</v>
      </c>
      <c r="L1625" s="1854" t="str" cm="1">
        <f t="array" ref="L1625">_xlfn.IFS(
    I1624=FALSE, "",
    Payment_Frequency="Monthly", EDATE(L1624, 1),
    Payment_Frequency="Weekly", DATE(YEAR(L1624), MONTH(L1624), DAY(L1624) + 7),
    Payment_Frequency="Fortnightly", DATE(YEAR(L1624), MONTH(L1624), DAY(L1624) + 14),
    Payment_Frequency="Quarterly", DATE(YEAR(L1624), MONTH(L1624) + 3, DAY(L1624)),
    Payment_Frequency="Yearly", DATE(YEAR(L1624) + 1, MONTH(L1624), DAY(L1624)),
    TRUE, ""
)</f>
        <v/>
      </c>
      <c r="M1625" s="1853">
        <f>IF(ISERROR(L1625-L1624),0,L1625-L1624)</f>
        <v>0</v>
      </c>
      <c r="N1625" s="1851" cm="1">
        <f t="array" ref="N1625">_xlfn.IFS(
    AND(I1625=TRUE, K1625&lt;=No_Regular_Payments), Repay_Amt,
    AND(I1625=TRUE, K1625=No_Regular_Payments+1), Tm_Balloon_Amt,
   TRUE, 0
)</f>
        <v>0</v>
      </c>
      <c r="O1625" s="1850" cm="1">
        <f t="array" ref="O1625">_xlfn.IFS(
    M1625=0,0,
   ABS(N1625 - S1624 - P1625-Q1625) &lt; 1, N1625 - S1624-Q1625,
    TRUE, P1625
)</f>
        <v>0</v>
      </c>
      <c r="P1625" s="1852">
        <f>IF(M1625=0,0,ROUND(S1624*EXP(Int_Rate/365.25 * M1625)-S1624,2))</f>
        <v>0</v>
      </c>
      <c r="Q1625" s="1851" cm="1">
        <f t="array" ref="Q1625">_xlfn.IFS(
    AND(I1625=TRUE, K1625&lt;=No_Regular_Payments), Periodic_Admin_Charge,
   TRUE, 0
)</f>
        <v>0</v>
      </c>
      <c r="R1625" s="1850">
        <f>N1625-O1625-Q1625</f>
        <v>0</v>
      </c>
      <c r="S1625" s="1850">
        <f>ROUND(S1624-R1625,2)</f>
        <v>0</v>
      </c>
      <c r="T1625" s="1850">
        <f>ROUND(T1624-(N1625-Q1625),2)</f>
        <v>0</v>
      </c>
      <c r="U1625" s="1849"/>
      <c r="W1625" s="1848"/>
      <c r="X1625" s="1848"/>
      <c r="Y1625" s="1848"/>
    </row>
    <row r="1626" spans="2:25" hidden="1">
      <c r="B1626" s="1815" t="b">
        <f>AND(I1626=FALSE,N1625=0,Q1625=0,L1625="")</f>
        <v>1</v>
      </c>
      <c r="C1626" s="1844" t="str" cm="1">
        <f t="array" ref="C1626">_xlfn.IFS(
    L1626="", "",
    MONTH(L1626) &lt;= End_of_Year_Month, YEAR(L1626),
    TRUE, YEAR(L1626) + 1
)</f>
        <v/>
      </c>
      <c r="F1626" s="1857">
        <f>IF(L1626="",0,L1626)</f>
        <v>0</v>
      </c>
      <c r="G1626" s="1856">
        <f>-(N1626-Q1626)</f>
        <v>0</v>
      </c>
      <c r="I1626" s="1815" t="b">
        <f>K1626&lt;=Number_Payments</f>
        <v>0</v>
      </c>
      <c r="J1626" s="1855"/>
      <c r="K1626" s="1351">
        <f>K1625+1</f>
        <v>1500</v>
      </c>
      <c r="L1626" s="1854" t="str" cm="1">
        <f t="array" ref="L1626">_xlfn.IFS(
    I1625=FALSE, "",
    Payment_Frequency="Monthly", EDATE(L1625, 1),
    Payment_Frequency="Weekly", DATE(YEAR(L1625), MONTH(L1625), DAY(L1625) + 7),
    Payment_Frequency="Fortnightly", DATE(YEAR(L1625), MONTH(L1625), DAY(L1625) + 14),
    Payment_Frequency="Quarterly", DATE(YEAR(L1625), MONTH(L1625) + 3, DAY(L1625)),
    Payment_Frequency="Yearly", DATE(YEAR(L1625) + 1, MONTH(L1625), DAY(L1625)),
    TRUE, ""
)</f>
        <v/>
      </c>
      <c r="M1626" s="1853">
        <f>IF(ISERROR(L1626-L1625),0,L1626-L1625)</f>
        <v>0</v>
      </c>
      <c r="N1626" s="1851" cm="1">
        <f t="array" ref="N1626">_xlfn.IFS(
    AND(I1626=TRUE, K1626&lt;=No_Regular_Payments), Repay_Amt,
    AND(I1626=TRUE, K1626=No_Regular_Payments+1), Tm_Balloon_Amt,
   TRUE, 0
)</f>
        <v>0</v>
      </c>
      <c r="O1626" s="1850" cm="1">
        <f t="array" ref="O1626">_xlfn.IFS(
    M1626=0,0,
   ABS(N1626 - S1625 - P1626-Q1626) &lt; 1, N1626 - S1625-Q1626,
    TRUE, P1626
)</f>
        <v>0</v>
      </c>
      <c r="P1626" s="1852">
        <f>IF(M1626=0,0,ROUND(S1625*EXP(Int_Rate/365.25 * M1626)-S1625,2))</f>
        <v>0</v>
      </c>
      <c r="Q1626" s="1851" cm="1">
        <f t="array" ref="Q1626">_xlfn.IFS(
    AND(I1626=TRUE, K1626&lt;=No_Regular_Payments), Periodic_Admin_Charge,
   TRUE, 0
)</f>
        <v>0</v>
      </c>
      <c r="R1626" s="1850">
        <f>N1626-O1626-Q1626</f>
        <v>0</v>
      </c>
      <c r="S1626" s="1850">
        <f>ROUND(S1625-R1626,2)</f>
        <v>0</v>
      </c>
      <c r="T1626" s="1850">
        <f>ROUND(T1625-(N1626-Q1626),2)</f>
        <v>0</v>
      </c>
      <c r="U1626" s="1849"/>
      <c r="W1626" s="1848"/>
      <c r="X1626" s="1848"/>
      <c r="Y1626" s="1848"/>
    </row>
    <row r="1627" spans="2:25" hidden="1">
      <c r="B1627" s="1815" t="b">
        <f>AND(I1627=FALSE,N1626=0,Q1626=0,L1626="")</f>
        <v>1</v>
      </c>
      <c r="C1627" s="1844" t="str" cm="1">
        <f t="array" ref="C1627">_xlfn.IFS(
    L1627="", "",
    MONTH(L1627) &lt;= End_of_Year_Month, YEAR(L1627),
    TRUE, YEAR(L1627) + 1
)</f>
        <v/>
      </c>
      <c r="F1627" s="1857">
        <f>IF(L1627="",0,L1627)</f>
        <v>0</v>
      </c>
      <c r="G1627" s="1856">
        <f>-(N1627-Q1627)</f>
        <v>0</v>
      </c>
      <c r="I1627" s="1815" t="b">
        <f>K1627&lt;=Number_Payments</f>
        <v>0</v>
      </c>
      <c r="J1627" s="1855"/>
      <c r="K1627" s="1351">
        <f>K1626+1</f>
        <v>1501</v>
      </c>
      <c r="L1627" s="1854" t="str" cm="1">
        <f t="array" ref="L1627">_xlfn.IFS(
    I1626=FALSE, "",
    Payment_Frequency="Monthly", EDATE(L1626, 1),
    Payment_Frequency="Weekly", DATE(YEAR(L1626), MONTH(L1626), DAY(L1626) + 7),
    Payment_Frequency="Fortnightly", DATE(YEAR(L1626), MONTH(L1626), DAY(L1626) + 14),
    Payment_Frequency="Quarterly", DATE(YEAR(L1626), MONTH(L1626) + 3, DAY(L1626)),
    Payment_Frequency="Yearly", DATE(YEAR(L1626) + 1, MONTH(L1626), DAY(L1626)),
    TRUE, ""
)</f>
        <v/>
      </c>
      <c r="M1627" s="1853">
        <f>IF(ISERROR(L1627-L1626),0,L1627-L1626)</f>
        <v>0</v>
      </c>
      <c r="N1627" s="1851" cm="1">
        <f t="array" ref="N1627">_xlfn.IFS(
    AND(I1627=TRUE, K1627&lt;=No_Regular_Payments), Repay_Amt,
    AND(I1627=TRUE, K1627=No_Regular_Payments+1), Tm_Balloon_Amt,
   TRUE, 0
)</f>
        <v>0</v>
      </c>
      <c r="O1627" s="1850" cm="1">
        <f t="array" ref="O1627">_xlfn.IFS(
    M1627=0,0,
   ABS(N1627 - S1626 - P1627-Q1627) &lt; 1, N1627 - S1626-Q1627,
    TRUE, P1627
)</f>
        <v>0</v>
      </c>
      <c r="P1627" s="1852">
        <f>IF(M1627=0,0,ROUND(S1626*EXP(Int_Rate/365.25 * M1627)-S1626,2))</f>
        <v>0</v>
      </c>
      <c r="Q1627" s="1851" cm="1">
        <f t="array" ref="Q1627">_xlfn.IFS(
    AND(I1627=TRUE, K1627&lt;=No_Regular_Payments), Periodic_Admin_Charge,
   TRUE, 0
)</f>
        <v>0</v>
      </c>
      <c r="R1627" s="1850">
        <f>N1627-O1627-Q1627</f>
        <v>0</v>
      </c>
      <c r="S1627" s="1850">
        <f>ROUND(S1626-R1627,2)</f>
        <v>0</v>
      </c>
      <c r="T1627" s="1850">
        <f>ROUND(T1626-(N1627-Q1627),2)</f>
        <v>0</v>
      </c>
      <c r="U1627" s="1849"/>
      <c r="W1627" s="1848"/>
      <c r="X1627" s="1848"/>
      <c r="Y1627" s="1848"/>
    </row>
    <row r="1628" spans="2:25" hidden="1">
      <c r="B1628" s="1815" t="b">
        <f>AND(I1628=FALSE,N1627=0,Q1627=0,L1627="")</f>
        <v>1</v>
      </c>
      <c r="C1628" s="1844" t="str" cm="1">
        <f t="array" ref="C1628">_xlfn.IFS(
    L1628="", "",
    MONTH(L1628) &lt;= End_of_Year_Month, YEAR(L1628),
    TRUE, YEAR(L1628) + 1
)</f>
        <v/>
      </c>
      <c r="F1628" s="1857">
        <f>IF(L1628="",0,L1628)</f>
        <v>0</v>
      </c>
      <c r="G1628" s="1856">
        <f>-(N1628-Q1628)</f>
        <v>0</v>
      </c>
      <c r="I1628" s="1815" t="b">
        <f>K1628&lt;=Number_Payments</f>
        <v>0</v>
      </c>
      <c r="J1628" s="1855"/>
      <c r="K1628" s="1351">
        <f>K1627+1</f>
        <v>1502</v>
      </c>
      <c r="L1628" s="1854" t="str" cm="1">
        <f t="array" ref="L1628">_xlfn.IFS(
    I1627=FALSE, "",
    Payment_Frequency="Monthly", EDATE(L1627, 1),
    Payment_Frequency="Weekly", DATE(YEAR(L1627), MONTH(L1627), DAY(L1627) + 7),
    Payment_Frequency="Fortnightly", DATE(YEAR(L1627), MONTH(L1627), DAY(L1627) + 14),
    Payment_Frequency="Quarterly", DATE(YEAR(L1627), MONTH(L1627) + 3, DAY(L1627)),
    Payment_Frequency="Yearly", DATE(YEAR(L1627) + 1, MONTH(L1627), DAY(L1627)),
    TRUE, ""
)</f>
        <v/>
      </c>
      <c r="M1628" s="1853">
        <f>IF(ISERROR(L1628-L1627),0,L1628-L1627)</f>
        <v>0</v>
      </c>
      <c r="N1628" s="1851" cm="1">
        <f t="array" ref="N1628">_xlfn.IFS(
    AND(I1628=TRUE, K1628&lt;=No_Regular_Payments), Repay_Amt,
    AND(I1628=TRUE, K1628=No_Regular_Payments+1), Tm_Balloon_Amt,
   TRUE, 0
)</f>
        <v>0</v>
      </c>
      <c r="O1628" s="1850" cm="1">
        <f t="array" ref="O1628">_xlfn.IFS(
    M1628=0,0,
   ABS(N1628 - S1627 - P1628-Q1628) &lt; 1, N1628 - S1627-Q1628,
    TRUE, P1628
)</f>
        <v>0</v>
      </c>
      <c r="P1628" s="1852">
        <f>IF(M1628=0,0,ROUND(S1627*EXP(Int_Rate/365.25 * M1628)-S1627,2))</f>
        <v>0</v>
      </c>
      <c r="Q1628" s="1851" cm="1">
        <f t="array" ref="Q1628">_xlfn.IFS(
    AND(I1628=TRUE, K1628&lt;=No_Regular_Payments), Periodic_Admin_Charge,
   TRUE, 0
)</f>
        <v>0</v>
      </c>
      <c r="R1628" s="1850">
        <f>N1628-O1628-Q1628</f>
        <v>0</v>
      </c>
      <c r="S1628" s="1850">
        <f>ROUND(S1627-R1628,2)</f>
        <v>0</v>
      </c>
      <c r="T1628" s="1850">
        <f>ROUND(T1627-(N1628-Q1628),2)</f>
        <v>0</v>
      </c>
      <c r="U1628" s="1849"/>
      <c r="W1628" s="1848"/>
      <c r="X1628" s="1848"/>
      <c r="Y1628" s="1848"/>
    </row>
    <row r="1629" spans="2:25" hidden="1">
      <c r="B1629" s="1815" t="b">
        <f>AND(I1629=FALSE,N1628=0,Q1628=0,L1628="")</f>
        <v>1</v>
      </c>
      <c r="C1629" s="1844" t="str" cm="1">
        <f t="array" ref="C1629">_xlfn.IFS(
    L1629="", "",
    MONTH(L1629) &lt;= End_of_Year_Month, YEAR(L1629),
    TRUE, YEAR(L1629) + 1
)</f>
        <v/>
      </c>
      <c r="F1629" s="1857">
        <f>IF(L1629="",0,L1629)</f>
        <v>0</v>
      </c>
      <c r="G1629" s="1856">
        <f>-(N1629-Q1629)</f>
        <v>0</v>
      </c>
      <c r="I1629" s="1815" t="b">
        <f>K1629&lt;=Number_Payments</f>
        <v>0</v>
      </c>
      <c r="J1629" s="1855"/>
      <c r="K1629" s="1351">
        <f>K1628+1</f>
        <v>1503</v>
      </c>
      <c r="L1629" s="1854" t="str" cm="1">
        <f t="array" ref="L1629">_xlfn.IFS(
    I1628=FALSE, "",
    Payment_Frequency="Monthly", EDATE(L1628, 1),
    Payment_Frequency="Weekly", DATE(YEAR(L1628), MONTH(L1628), DAY(L1628) + 7),
    Payment_Frequency="Fortnightly", DATE(YEAR(L1628), MONTH(L1628), DAY(L1628) + 14),
    Payment_Frequency="Quarterly", DATE(YEAR(L1628), MONTH(L1628) + 3, DAY(L1628)),
    Payment_Frequency="Yearly", DATE(YEAR(L1628) + 1, MONTH(L1628), DAY(L1628)),
    TRUE, ""
)</f>
        <v/>
      </c>
      <c r="M1629" s="1853">
        <f>IF(ISERROR(L1629-L1628),0,L1629-L1628)</f>
        <v>0</v>
      </c>
      <c r="N1629" s="1851" cm="1">
        <f t="array" ref="N1629">_xlfn.IFS(
    AND(I1629=TRUE, K1629&lt;=No_Regular_Payments), Repay_Amt,
    AND(I1629=TRUE, K1629=No_Regular_Payments+1), Tm_Balloon_Amt,
   TRUE, 0
)</f>
        <v>0</v>
      </c>
      <c r="O1629" s="1850" cm="1">
        <f t="array" ref="O1629">_xlfn.IFS(
    M1629=0,0,
   ABS(N1629 - S1628 - P1629-Q1629) &lt; 1, N1629 - S1628-Q1629,
    TRUE, P1629
)</f>
        <v>0</v>
      </c>
      <c r="P1629" s="1852">
        <f>IF(M1629=0,0,ROUND(S1628*EXP(Int_Rate/365.25 * M1629)-S1628,2))</f>
        <v>0</v>
      </c>
      <c r="Q1629" s="1851" cm="1">
        <f t="array" ref="Q1629">_xlfn.IFS(
    AND(I1629=TRUE, K1629&lt;=No_Regular_Payments), Periodic_Admin_Charge,
   TRUE, 0
)</f>
        <v>0</v>
      </c>
      <c r="R1629" s="1850">
        <f>N1629-O1629-Q1629</f>
        <v>0</v>
      </c>
      <c r="S1629" s="1850">
        <f>ROUND(S1628-R1629,2)</f>
        <v>0</v>
      </c>
      <c r="T1629" s="1850">
        <f>ROUND(T1628-(N1629-Q1629),2)</f>
        <v>0</v>
      </c>
      <c r="U1629" s="1849"/>
      <c r="W1629" s="1848"/>
      <c r="X1629" s="1848"/>
      <c r="Y1629" s="1848"/>
    </row>
    <row r="1630" spans="2:25" hidden="1">
      <c r="B1630" s="1815" t="b">
        <f>AND(I1630=FALSE,N1629=0,Q1629=0,L1629="")</f>
        <v>1</v>
      </c>
      <c r="C1630" s="1844" t="str" cm="1">
        <f t="array" ref="C1630">_xlfn.IFS(
    L1630="", "",
    MONTH(L1630) &lt;= End_of_Year_Month, YEAR(L1630),
    TRUE, YEAR(L1630) + 1
)</f>
        <v/>
      </c>
      <c r="F1630" s="1857">
        <f>IF(L1630="",0,L1630)</f>
        <v>0</v>
      </c>
      <c r="G1630" s="1856">
        <f>-(N1630-Q1630)</f>
        <v>0</v>
      </c>
      <c r="I1630" s="1815" t="b">
        <f>K1630&lt;=Number_Payments</f>
        <v>0</v>
      </c>
      <c r="J1630" s="1855"/>
      <c r="K1630" s="1351">
        <f>K1629+1</f>
        <v>1504</v>
      </c>
      <c r="L1630" s="1854" t="str" cm="1">
        <f t="array" ref="L1630">_xlfn.IFS(
    I1629=FALSE, "",
    Payment_Frequency="Monthly", EDATE(L1629, 1),
    Payment_Frequency="Weekly", DATE(YEAR(L1629), MONTH(L1629), DAY(L1629) + 7),
    Payment_Frequency="Fortnightly", DATE(YEAR(L1629), MONTH(L1629), DAY(L1629) + 14),
    Payment_Frequency="Quarterly", DATE(YEAR(L1629), MONTH(L1629) + 3, DAY(L1629)),
    Payment_Frequency="Yearly", DATE(YEAR(L1629) + 1, MONTH(L1629), DAY(L1629)),
    TRUE, ""
)</f>
        <v/>
      </c>
      <c r="M1630" s="1853">
        <f>IF(ISERROR(L1630-L1629),0,L1630-L1629)</f>
        <v>0</v>
      </c>
      <c r="N1630" s="1851" cm="1">
        <f t="array" ref="N1630">_xlfn.IFS(
    AND(I1630=TRUE, K1630&lt;=No_Regular_Payments), Repay_Amt,
    AND(I1630=TRUE, K1630=No_Regular_Payments+1), Tm_Balloon_Amt,
   TRUE, 0
)</f>
        <v>0</v>
      </c>
      <c r="O1630" s="1850" cm="1">
        <f t="array" ref="O1630">_xlfn.IFS(
    M1630=0,0,
   ABS(N1630 - S1629 - P1630-Q1630) &lt; 1, N1630 - S1629-Q1630,
    TRUE, P1630
)</f>
        <v>0</v>
      </c>
      <c r="P1630" s="1852">
        <f>IF(M1630=0,0,ROUND(S1629*EXP(Int_Rate/365.25 * M1630)-S1629,2))</f>
        <v>0</v>
      </c>
      <c r="Q1630" s="1851" cm="1">
        <f t="array" ref="Q1630">_xlfn.IFS(
    AND(I1630=TRUE, K1630&lt;=No_Regular_Payments), Periodic_Admin_Charge,
   TRUE, 0
)</f>
        <v>0</v>
      </c>
      <c r="R1630" s="1850">
        <f>N1630-O1630-Q1630</f>
        <v>0</v>
      </c>
      <c r="S1630" s="1850">
        <f>ROUND(S1629-R1630,2)</f>
        <v>0</v>
      </c>
      <c r="T1630" s="1850">
        <f>ROUND(T1629-(N1630-Q1630),2)</f>
        <v>0</v>
      </c>
      <c r="U1630" s="1849"/>
      <c r="W1630" s="1848"/>
      <c r="X1630" s="1848"/>
      <c r="Y1630" s="1848"/>
    </row>
    <row r="1631" spans="2:25" hidden="1">
      <c r="B1631" s="1815" t="b">
        <f>AND(I1631=FALSE,N1630=0,Q1630=0,L1630="")</f>
        <v>1</v>
      </c>
      <c r="C1631" s="1844" t="str" cm="1">
        <f t="array" ref="C1631">_xlfn.IFS(
    L1631="", "",
    MONTH(L1631) &lt;= End_of_Year_Month, YEAR(L1631),
    TRUE, YEAR(L1631) + 1
)</f>
        <v/>
      </c>
      <c r="F1631" s="1857">
        <f>IF(L1631="",0,L1631)</f>
        <v>0</v>
      </c>
      <c r="G1631" s="1856">
        <f>-(N1631-Q1631)</f>
        <v>0</v>
      </c>
      <c r="I1631" s="1815" t="b">
        <f>K1631&lt;=Number_Payments</f>
        <v>0</v>
      </c>
      <c r="J1631" s="1855"/>
      <c r="K1631" s="1351">
        <f>K1630+1</f>
        <v>1505</v>
      </c>
      <c r="L1631" s="1854" t="str" cm="1">
        <f t="array" ref="L1631">_xlfn.IFS(
    I1630=FALSE, "",
    Payment_Frequency="Monthly", EDATE(L1630, 1),
    Payment_Frequency="Weekly", DATE(YEAR(L1630), MONTH(L1630), DAY(L1630) + 7),
    Payment_Frequency="Fortnightly", DATE(YEAR(L1630), MONTH(L1630), DAY(L1630) + 14),
    Payment_Frequency="Quarterly", DATE(YEAR(L1630), MONTH(L1630) + 3, DAY(L1630)),
    Payment_Frequency="Yearly", DATE(YEAR(L1630) + 1, MONTH(L1630), DAY(L1630)),
    TRUE, ""
)</f>
        <v/>
      </c>
      <c r="M1631" s="1853">
        <f>IF(ISERROR(L1631-L1630),0,L1631-L1630)</f>
        <v>0</v>
      </c>
      <c r="N1631" s="1851" cm="1">
        <f t="array" ref="N1631">_xlfn.IFS(
    AND(I1631=TRUE, K1631&lt;=No_Regular_Payments), Repay_Amt,
    AND(I1631=TRUE, K1631=No_Regular_Payments+1), Tm_Balloon_Amt,
   TRUE, 0
)</f>
        <v>0</v>
      </c>
      <c r="O1631" s="1850" cm="1">
        <f t="array" ref="O1631">_xlfn.IFS(
    M1631=0,0,
   ABS(N1631 - S1630 - P1631-Q1631) &lt; 1, N1631 - S1630-Q1631,
    TRUE, P1631
)</f>
        <v>0</v>
      </c>
      <c r="P1631" s="1852">
        <f>IF(M1631=0,0,ROUND(S1630*EXP(Int_Rate/365.25 * M1631)-S1630,2))</f>
        <v>0</v>
      </c>
      <c r="Q1631" s="1851" cm="1">
        <f t="array" ref="Q1631">_xlfn.IFS(
    AND(I1631=TRUE, K1631&lt;=No_Regular_Payments), Periodic_Admin_Charge,
   TRUE, 0
)</f>
        <v>0</v>
      </c>
      <c r="R1631" s="1850">
        <f>N1631-O1631-Q1631</f>
        <v>0</v>
      </c>
      <c r="S1631" s="1850">
        <f>ROUND(S1630-R1631,2)</f>
        <v>0</v>
      </c>
      <c r="T1631" s="1850">
        <f>ROUND(T1630-(N1631-Q1631),2)</f>
        <v>0</v>
      </c>
      <c r="U1631" s="1849"/>
      <c r="W1631" s="1848"/>
      <c r="X1631" s="1848"/>
      <c r="Y1631" s="1848"/>
    </row>
    <row r="1632" spans="2:25" hidden="1">
      <c r="B1632" s="1815" t="b">
        <f>AND(I1632=FALSE,N1631=0,Q1631=0,L1631="")</f>
        <v>1</v>
      </c>
      <c r="C1632" s="1844" t="str" cm="1">
        <f t="array" ref="C1632">_xlfn.IFS(
    L1632="", "",
    MONTH(L1632) &lt;= End_of_Year_Month, YEAR(L1632),
    TRUE, YEAR(L1632) + 1
)</f>
        <v/>
      </c>
      <c r="F1632" s="1857">
        <f>IF(L1632="",0,L1632)</f>
        <v>0</v>
      </c>
      <c r="G1632" s="1856">
        <f>-(N1632-Q1632)</f>
        <v>0</v>
      </c>
      <c r="I1632" s="1815" t="b">
        <f>K1632&lt;=Number_Payments</f>
        <v>0</v>
      </c>
      <c r="J1632" s="1855"/>
      <c r="K1632" s="1351">
        <f>K1631+1</f>
        <v>1506</v>
      </c>
      <c r="L1632" s="1854" t="str" cm="1">
        <f t="array" ref="L1632">_xlfn.IFS(
    I1631=FALSE, "",
    Payment_Frequency="Monthly", EDATE(L1631, 1),
    Payment_Frequency="Weekly", DATE(YEAR(L1631), MONTH(L1631), DAY(L1631) + 7),
    Payment_Frequency="Fortnightly", DATE(YEAR(L1631), MONTH(L1631), DAY(L1631) + 14),
    Payment_Frequency="Quarterly", DATE(YEAR(L1631), MONTH(L1631) + 3, DAY(L1631)),
    Payment_Frequency="Yearly", DATE(YEAR(L1631) + 1, MONTH(L1631), DAY(L1631)),
    TRUE, ""
)</f>
        <v/>
      </c>
      <c r="M1632" s="1853">
        <f>IF(ISERROR(L1632-L1631),0,L1632-L1631)</f>
        <v>0</v>
      </c>
      <c r="N1632" s="1851" cm="1">
        <f t="array" ref="N1632">_xlfn.IFS(
    AND(I1632=TRUE, K1632&lt;=No_Regular_Payments), Repay_Amt,
    AND(I1632=TRUE, K1632=No_Regular_Payments+1), Tm_Balloon_Amt,
   TRUE, 0
)</f>
        <v>0</v>
      </c>
      <c r="O1632" s="1850" cm="1">
        <f t="array" ref="O1632">_xlfn.IFS(
    M1632=0,0,
   ABS(N1632 - S1631 - P1632-Q1632) &lt; 1, N1632 - S1631-Q1632,
    TRUE, P1632
)</f>
        <v>0</v>
      </c>
      <c r="P1632" s="1852">
        <f>IF(M1632=0,0,ROUND(S1631*EXP(Int_Rate/365.25 * M1632)-S1631,2))</f>
        <v>0</v>
      </c>
      <c r="Q1632" s="1851" cm="1">
        <f t="array" ref="Q1632">_xlfn.IFS(
    AND(I1632=TRUE, K1632&lt;=No_Regular_Payments), Periodic_Admin_Charge,
   TRUE, 0
)</f>
        <v>0</v>
      </c>
      <c r="R1632" s="1850">
        <f>N1632-O1632-Q1632</f>
        <v>0</v>
      </c>
      <c r="S1632" s="1850">
        <f>ROUND(S1631-R1632,2)</f>
        <v>0</v>
      </c>
      <c r="T1632" s="1850">
        <f>ROUND(T1631-(N1632-Q1632),2)</f>
        <v>0</v>
      </c>
      <c r="U1632" s="1849"/>
      <c r="W1632" s="1848"/>
      <c r="X1632" s="1848"/>
      <c r="Y1632" s="1848"/>
    </row>
    <row r="1633" spans="2:25" hidden="1">
      <c r="B1633" s="1815" t="b">
        <f>AND(I1633=FALSE,N1632=0,Q1632=0,L1632="")</f>
        <v>1</v>
      </c>
      <c r="C1633" s="1844" t="str" cm="1">
        <f t="array" ref="C1633">_xlfn.IFS(
    L1633="", "",
    MONTH(L1633) &lt;= End_of_Year_Month, YEAR(L1633),
    TRUE, YEAR(L1633) + 1
)</f>
        <v/>
      </c>
      <c r="F1633" s="1857">
        <f>IF(L1633="",0,L1633)</f>
        <v>0</v>
      </c>
      <c r="G1633" s="1856">
        <f>-(N1633-Q1633)</f>
        <v>0</v>
      </c>
      <c r="I1633" s="1815" t="b">
        <f>K1633&lt;=Number_Payments</f>
        <v>0</v>
      </c>
      <c r="J1633" s="1855"/>
      <c r="K1633" s="1351">
        <f>K1632+1</f>
        <v>1507</v>
      </c>
      <c r="L1633" s="1854" t="str" cm="1">
        <f t="array" ref="L1633">_xlfn.IFS(
    I1632=FALSE, "",
    Payment_Frequency="Monthly", EDATE(L1632, 1),
    Payment_Frequency="Weekly", DATE(YEAR(L1632), MONTH(L1632), DAY(L1632) + 7),
    Payment_Frequency="Fortnightly", DATE(YEAR(L1632), MONTH(L1632), DAY(L1632) + 14),
    Payment_Frequency="Quarterly", DATE(YEAR(L1632), MONTH(L1632) + 3, DAY(L1632)),
    Payment_Frequency="Yearly", DATE(YEAR(L1632) + 1, MONTH(L1632), DAY(L1632)),
    TRUE, ""
)</f>
        <v/>
      </c>
      <c r="M1633" s="1853">
        <f>IF(ISERROR(L1633-L1632),0,L1633-L1632)</f>
        <v>0</v>
      </c>
      <c r="N1633" s="1851" cm="1">
        <f t="array" ref="N1633">_xlfn.IFS(
    AND(I1633=TRUE, K1633&lt;=No_Regular_Payments), Repay_Amt,
    AND(I1633=TRUE, K1633=No_Regular_Payments+1), Tm_Balloon_Amt,
   TRUE, 0
)</f>
        <v>0</v>
      </c>
      <c r="O1633" s="1850" cm="1">
        <f t="array" ref="O1633">_xlfn.IFS(
    M1633=0,0,
   ABS(N1633 - S1632 - P1633-Q1633) &lt; 1, N1633 - S1632-Q1633,
    TRUE, P1633
)</f>
        <v>0</v>
      </c>
      <c r="P1633" s="1852">
        <f>IF(M1633=0,0,ROUND(S1632*EXP(Int_Rate/365.25 * M1633)-S1632,2))</f>
        <v>0</v>
      </c>
      <c r="Q1633" s="1851" cm="1">
        <f t="array" ref="Q1633">_xlfn.IFS(
    AND(I1633=TRUE, K1633&lt;=No_Regular_Payments), Periodic_Admin_Charge,
   TRUE, 0
)</f>
        <v>0</v>
      </c>
      <c r="R1633" s="1850">
        <f>N1633-O1633-Q1633</f>
        <v>0</v>
      </c>
      <c r="S1633" s="1850">
        <f>ROUND(S1632-R1633,2)</f>
        <v>0</v>
      </c>
      <c r="T1633" s="1850">
        <f>ROUND(T1632-(N1633-Q1633),2)</f>
        <v>0</v>
      </c>
      <c r="U1633" s="1849"/>
      <c r="W1633" s="1848"/>
      <c r="X1633" s="1848"/>
      <c r="Y1633" s="1848"/>
    </row>
    <row r="1634" spans="2:25" hidden="1">
      <c r="B1634" s="1815" t="b">
        <f>AND(I1634=FALSE,N1633=0,Q1633=0,L1633="")</f>
        <v>1</v>
      </c>
      <c r="C1634" s="1844" t="str" cm="1">
        <f t="array" ref="C1634">_xlfn.IFS(
    L1634="", "",
    MONTH(L1634) &lt;= End_of_Year_Month, YEAR(L1634),
    TRUE, YEAR(L1634) + 1
)</f>
        <v/>
      </c>
      <c r="F1634" s="1857">
        <f>IF(L1634="",0,L1634)</f>
        <v>0</v>
      </c>
      <c r="G1634" s="1856">
        <f>-(N1634-Q1634)</f>
        <v>0</v>
      </c>
      <c r="I1634" s="1815" t="b">
        <f>K1634&lt;=Number_Payments</f>
        <v>0</v>
      </c>
      <c r="J1634" s="1855"/>
      <c r="K1634" s="1351">
        <f>K1633+1</f>
        <v>1508</v>
      </c>
      <c r="L1634" s="1854" t="str" cm="1">
        <f t="array" ref="L1634">_xlfn.IFS(
    I1633=FALSE, "",
    Payment_Frequency="Monthly", EDATE(L1633, 1),
    Payment_Frequency="Weekly", DATE(YEAR(L1633), MONTH(L1633), DAY(L1633) + 7),
    Payment_Frequency="Fortnightly", DATE(YEAR(L1633), MONTH(L1633), DAY(L1633) + 14),
    Payment_Frequency="Quarterly", DATE(YEAR(L1633), MONTH(L1633) + 3, DAY(L1633)),
    Payment_Frequency="Yearly", DATE(YEAR(L1633) + 1, MONTH(L1633), DAY(L1633)),
    TRUE, ""
)</f>
        <v/>
      </c>
      <c r="M1634" s="1853">
        <f>IF(ISERROR(L1634-L1633),0,L1634-L1633)</f>
        <v>0</v>
      </c>
      <c r="N1634" s="1851" cm="1">
        <f t="array" ref="N1634">_xlfn.IFS(
    AND(I1634=TRUE, K1634&lt;=No_Regular_Payments), Repay_Amt,
    AND(I1634=TRUE, K1634=No_Regular_Payments+1), Tm_Balloon_Amt,
   TRUE, 0
)</f>
        <v>0</v>
      </c>
      <c r="O1634" s="1850" cm="1">
        <f t="array" ref="O1634">_xlfn.IFS(
    M1634=0,0,
   ABS(N1634 - S1633 - P1634-Q1634) &lt; 1, N1634 - S1633-Q1634,
    TRUE, P1634
)</f>
        <v>0</v>
      </c>
      <c r="P1634" s="1852">
        <f>IF(M1634=0,0,ROUND(S1633*EXP(Int_Rate/365.25 * M1634)-S1633,2))</f>
        <v>0</v>
      </c>
      <c r="Q1634" s="1851" cm="1">
        <f t="array" ref="Q1634">_xlfn.IFS(
    AND(I1634=TRUE, K1634&lt;=No_Regular_Payments), Periodic_Admin_Charge,
   TRUE, 0
)</f>
        <v>0</v>
      </c>
      <c r="R1634" s="1850">
        <f>N1634-O1634-Q1634</f>
        <v>0</v>
      </c>
      <c r="S1634" s="1850">
        <f>ROUND(S1633-R1634,2)</f>
        <v>0</v>
      </c>
      <c r="T1634" s="1850">
        <f>ROUND(T1633-(N1634-Q1634),2)</f>
        <v>0</v>
      </c>
      <c r="U1634" s="1849"/>
      <c r="W1634" s="1848"/>
      <c r="X1634" s="1848"/>
      <c r="Y1634" s="1848"/>
    </row>
    <row r="1635" spans="2:25" hidden="1">
      <c r="B1635" s="1815" t="b">
        <f>AND(I1635=FALSE,N1634=0,Q1634=0,L1634="")</f>
        <v>1</v>
      </c>
      <c r="C1635" s="1844" t="str" cm="1">
        <f t="array" ref="C1635">_xlfn.IFS(
    L1635="", "",
    MONTH(L1635) &lt;= End_of_Year_Month, YEAR(L1635),
    TRUE, YEAR(L1635) + 1
)</f>
        <v/>
      </c>
      <c r="F1635" s="1857">
        <f>IF(L1635="",0,L1635)</f>
        <v>0</v>
      </c>
      <c r="G1635" s="1856">
        <f>-(N1635-Q1635)</f>
        <v>0</v>
      </c>
      <c r="I1635" s="1815" t="b">
        <f>K1635&lt;=Number_Payments</f>
        <v>0</v>
      </c>
      <c r="J1635" s="1855"/>
      <c r="K1635" s="1351">
        <f>K1634+1</f>
        <v>1509</v>
      </c>
      <c r="L1635" s="1854" t="str" cm="1">
        <f t="array" ref="L1635">_xlfn.IFS(
    I1634=FALSE, "",
    Payment_Frequency="Monthly", EDATE(L1634, 1),
    Payment_Frequency="Weekly", DATE(YEAR(L1634), MONTH(L1634), DAY(L1634) + 7),
    Payment_Frequency="Fortnightly", DATE(YEAR(L1634), MONTH(L1634), DAY(L1634) + 14),
    Payment_Frequency="Quarterly", DATE(YEAR(L1634), MONTH(L1634) + 3, DAY(L1634)),
    Payment_Frequency="Yearly", DATE(YEAR(L1634) + 1, MONTH(L1634), DAY(L1634)),
    TRUE, ""
)</f>
        <v/>
      </c>
      <c r="M1635" s="1853">
        <f>IF(ISERROR(L1635-L1634),0,L1635-L1634)</f>
        <v>0</v>
      </c>
      <c r="N1635" s="1851" cm="1">
        <f t="array" ref="N1635">_xlfn.IFS(
    AND(I1635=TRUE, K1635&lt;=No_Regular_Payments), Repay_Amt,
    AND(I1635=TRUE, K1635=No_Regular_Payments+1), Tm_Balloon_Amt,
   TRUE, 0
)</f>
        <v>0</v>
      </c>
      <c r="O1635" s="1850" cm="1">
        <f t="array" ref="O1635">_xlfn.IFS(
    M1635=0,0,
   ABS(N1635 - S1634 - P1635-Q1635) &lt; 1, N1635 - S1634-Q1635,
    TRUE, P1635
)</f>
        <v>0</v>
      </c>
      <c r="P1635" s="1852">
        <f>IF(M1635=0,0,ROUND(S1634*EXP(Int_Rate/365.25 * M1635)-S1634,2))</f>
        <v>0</v>
      </c>
      <c r="Q1635" s="1851" cm="1">
        <f t="array" ref="Q1635">_xlfn.IFS(
    AND(I1635=TRUE, K1635&lt;=No_Regular_Payments), Periodic_Admin_Charge,
   TRUE, 0
)</f>
        <v>0</v>
      </c>
      <c r="R1635" s="1850">
        <f>N1635-O1635-Q1635</f>
        <v>0</v>
      </c>
      <c r="S1635" s="1850">
        <f>ROUND(S1634-R1635,2)</f>
        <v>0</v>
      </c>
      <c r="T1635" s="1850">
        <f>ROUND(T1634-(N1635-Q1635),2)</f>
        <v>0</v>
      </c>
      <c r="U1635" s="1849"/>
      <c r="W1635" s="1848"/>
      <c r="X1635" s="1848"/>
      <c r="Y1635" s="1848"/>
    </row>
    <row r="1636" spans="2:25" hidden="1">
      <c r="B1636" s="1815" t="b">
        <f>AND(I1636=FALSE,N1635=0,Q1635=0,L1635="")</f>
        <v>1</v>
      </c>
      <c r="C1636" s="1844" t="str" cm="1">
        <f t="array" ref="C1636">_xlfn.IFS(
    L1636="", "",
    MONTH(L1636) &lt;= End_of_Year_Month, YEAR(L1636),
    TRUE, YEAR(L1636) + 1
)</f>
        <v/>
      </c>
      <c r="F1636" s="1857">
        <f>IF(L1636="",0,L1636)</f>
        <v>0</v>
      </c>
      <c r="G1636" s="1856">
        <f>-(N1636-Q1636)</f>
        <v>0</v>
      </c>
      <c r="I1636" s="1815" t="b">
        <f>K1636&lt;=Number_Payments</f>
        <v>0</v>
      </c>
      <c r="J1636" s="1855"/>
      <c r="K1636" s="1351">
        <f>K1635+1</f>
        <v>1510</v>
      </c>
      <c r="L1636" s="1854" t="str" cm="1">
        <f t="array" ref="L1636">_xlfn.IFS(
    I1635=FALSE, "",
    Payment_Frequency="Monthly", EDATE(L1635, 1),
    Payment_Frequency="Weekly", DATE(YEAR(L1635), MONTH(L1635), DAY(L1635) + 7),
    Payment_Frequency="Fortnightly", DATE(YEAR(L1635), MONTH(L1635), DAY(L1635) + 14),
    Payment_Frequency="Quarterly", DATE(YEAR(L1635), MONTH(L1635) + 3, DAY(L1635)),
    Payment_Frequency="Yearly", DATE(YEAR(L1635) + 1, MONTH(L1635), DAY(L1635)),
    TRUE, ""
)</f>
        <v/>
      </c>
      <c r="M1636" s="1853">
        <f>IF(ISERROR(L1636-L1635),0,L1636-L1635)</f>
        <v>0</v>
      </c>
      <c r="N1636" s="1851" cm="1">
        <f t="array" ref="N1636">_xlfn.IFS(
    AND(I1636=TRUE, K1636&lt;=No_Regular_Payments), Repay_Amt,
    AND(I1636=TRUE, K1636=No_Regular_Payments+1), Tm_Balloon_Amt,
   TRUE, 0
)</f>
        <v>0</v>
      </c>
      <c r="O1636" s="1850" cm="1">
        <f t="array" ref="O1636">_xlfn.IFS(
    M1636=0,0,
   ABS(N1636 - S1635 - P1636-Q1636) &lt; 1, N1636 - S1635-Q1636,
    TRUE, P1636
)</f>
        <v>0</v>
      </c>
      <c r="P1636" s="1852">
        <f>IF(M1636=0,0,ROUND(S1635*EXP(Int_Rate/365.25 * M1636)-S1635,2))</f>
        <v>0</v>
      </c>
      <c r="Q1636" s="1851" cm="1">
        <f t="array" ref="Q1636">_xlfn.IFS(
    AND(I1636=TRUE, K1636&lt;=No_Regular_Payments), Periodic_Admin_Charge,
   TRUE, 0
)</f>
        <v>0</v>
      </c>
      <c r="R1636" s="1850">
        <f>N1636-O1636-Q1636</f>
        <v>0</v>
      </c>
      <c r="S1636" s="1850">
        <f>ROUND(S1635-R1636,2)</f>
        <v>0</v>
      </c>
      <c r="T1636" s="1850">
        <f>ROUND(T1635-(N1636-Q1636),2)</f>
        <v>0</v>
      </c>
      <c r="U1636" s="1849"/>
      <c r="W1636" s="1848"/>
      <c r="X1636" s="1848"/>
      <c r="Y1636" s="1848"/>
    </row>
    <row r="1637" spans="2:25" hidden="1">
      <c r="B1637" s="1815" t="b">
        <f>AND(I1637=FALSE,N1636=0,Q1636=0,L1636="")</f>
        <v>1</v>
      </c>
      <c r="C1637" s="1844" t="str" cm="1">
        <f t="array" ref="C1637">_xlfn.IFS(
    L1637="", "",
    MONTH(L1637) &lt;= End_of_Year_Month, YEAR(L1637),
    TRUE, YEAR(L1637) + 1
)</f>
        <v/>
      </c>
      <c r="F1637" s="1857">
        <f>IF(L1637="",0,L1637)</f>
        <v>0</v>
      </c>
      <c r="G1637" s="1856">
        <f>-(N1637-Q1637)</f>
        <v>0</v>
      </c>
      <c r="I1637" s="1815" t="b">
        <f>K1637&lt;=Number_Payments</f>
        <v>0</v>
      </c>
      <c r="J1637" s="1855"/>
      <c r="K1637" s="1351">
        <f>K1636+1</f>
        <v>1511</v>
      </c>
      <c r="L1637" s="1854" t="str" cm="1">
        <f t="array" ref="L1637">_xlfn.IFS(
    I1636=FALSE, "",
    Payment_Frequency="Monthly", EDATE(L1636, 1),
    Payment_Frequency="Weekly", DATE(YEAR(L1636), MONTH(L1636), DAY(L1636) + 7),
    Payment_Frequency="Fortnightly", DATE(YEAR(L1636), MONTH(L1636), DAY(L1636) + 14),
    Payment_Frequency="Quarterly", DATE(YEAR(L1636), MONTH(L1636) + 3, DAY(L1636)),
    Payment_Frequency="Yearly", DATE(YEAR(L1636) + 1, MONTH(L1636), DAY(L1636)),
    TRUE, ""
)</f>
        <v/>
      </c>
      <c r="M1637" s="1853">
        <f>IF(ISERROR(L1637-L1636),0,L1637-L1636)</f>
        <v>0</v>
      </c>
      <c r="N1637" s="1851" cm="1">
        <f t="array" ref="N1637">_xlfn.IFS(
    AND(I1637=TRUE, K1637&lt;=No_Regular_Payments), Repay_Amt,
    AND(I1637=TRUE, K1637=No_Regular_Payments+1), Tm_Balloon_Amt,
   TRUE, 0
)</f>
        <v>0</v>
      </c>
      <c r="O1637" s="1850" cm="1">
        <f t="array" ref="O1637">_xlfn.IFS(
    M1637=0,0,
   ABS(N1637 - S1636 - P1637-Q1637) &lt; 1, N1637 - S1636-Q1637,
    TRUE, P1637
)</f>
        <v>0</v>
      </c>
      <c r="P1637" s="1852">
        <f>IF(M1637=0,0,ROUND(S1636*EXP(Int_Rate/365.25 * M1637)-S1636,2))</f>
        <v>0</v>
      </c>
      <c r="Q1637" s="1851" cm="1">
        <f t="array" ref="Q1637">_xlfn.IFS(
    AND(I1637=TRUE, K1637&lt;=No_Regular_Payments), Periodic_Admin_Charge,
   TRUE, 0
)</f>
        <v>0</v>
      </c>
      <c r="R1637" s="1850">
        <f>N1637-O1637-Q1637</f>
        <v>0</v>
      </c>
      <c r="S1637" s="1850">
        <f>ROUND(S1636-R1637,2)</f>
        <v>0</v>
      </c>
      <c r="T1637" s="1850">
        <f>ROUND(T1636-(N1637-Q1637),2)</f>
        <v>0</v>
      </c>
      <c r="U1637" s="1849"/>
      <c r="W1637" s="1848"/>
      <c r="X1637" s="1848"/>
      <c r="Y1637" s="1848"/>
    </row>
    <row r="1638" spans="2:25" hidden="1">
      <c r="B1638" s="1815" t="b">
        <f>AND(I1638=FALSE,N1637=0,Q1637=0,L1637="")</f>
        <v>1</v>
      </c>
      <c r="C1638" s="1844" t="str" cm="1">
        <f t="array" ref="C1638">_xlfn.IFS(
    L1638="", "",
    MONTH(L1638) &lt;= End_of_Year_Month, YEAR(L1638),
    TRUE, YEAR(L1638) + 1
)</f>
        <v/>
      </c>
      <c r="F1638" s="1857">
        <f>IF(L1638="",0,L1638)</f>
        <v>0</v>
      </c>
      <c r="G1638" s="1856">
        <f>-(N1638-Q1638)</f>
        <v>0</v>
      </c>
      <c r="I1638" s="1815" t="b">
        <f>K1638&lt;=Number_Payments</f>
        <v>0</v>
      </c>
      <c r="J1638" s="1855"/>
      <c r="K1638" s="1351">
        <f>K1637+1</f>
        <v>1512</v>
      </c>
      <c r="L1638" s="1854" t="str" cm="1">
        <f t="array" ref="L1638">_xlfn.IFS(
    I1637=FALSE, "",
    Payment_Frequency="Monthly", EDATE(L1637, 1),
    Payment_Frequency="Weekly", DATE(YEAR(L1637), MONTH(L1637), DAY(L1637) + 7),
    Payment_Frequency="Fortnightly", DATE(YEAR(L1637), MONTH(L1637), DAY(L1637) + 14),
    Payment_Frequency="Quarterly", DATE(YEAR(L1637), MONTH(L1637) + 3, DAY(L1637)),
    Payment_Frequency="Yearly", DATE(YEAR(L1637) + 1, MONTH(L1637), DAY(L1637)),
    TRUE, ""
)</f>
        <v/>
      </c>
      <c r="M1638" s="1853">
        <f>IF(ISERROR(L1638-L1637),0,L1638-L1637)</f>
        <v>0</v>
      </c>
      <c r="N1638" s="1851" cm="1">
        <f t="array" ref="N1638">_xlfn.IFS(
    AND(I1638=TRUE, K1638&lt;=No_Regular_Payments), Repay_Amt,
    AND(I1638=TRUE, K1638=No_Regular_Payments+1), Tm_Balloon_Amt,
   TRUE, 0
)</f>
        <v>0</v>
      </c>
      <c r="O1638" s="1850" cm="1">
        <f t="array" ref="O1638">_xlfn.IFS(
    M1638=0,0,
   ABS(N1638 - S1637 - P1638-Q1638) &lt; 1, N1638 - S1637-Q1638,
    TRUE, P1638
)</f>
        <v>0</v>
      </c>
      <c r="P1638" s="1852">
        <f>IF(M1638=0,0,ROUND(S1637*EXP(Int_Rate/365.25 * M1638)-S1637,2))</f>
        <v>0</v>
      </c>
      <c r="Q1638" s="1851" cm="1">
        <f t="array" ref="Q1638">_xlfn.IFS(
    AND(I1638=TRUE, K1638&lt;=No_Regular_Payments), Periodic_Admin_Charge,
   TRUE, 0
)</f>
        <v>0</v>
      </c>
      <c r="R1638" s="1850">
        <f>N1638-O1638-Q1638</f>
        <v>0</v>
      </c>
      <c r="S1638" s="1850">
        <f>ROUND(S1637-R1638,2)</f>
        <v>0</v>
      </c>
      <c r="T1638" s="1850">
        <f>ROUND(T1637-(N1638-Q1638),2)</f>
        <v>0</v>
      </c>
      <c r="U1638" s="1849"/>
      <c r="W1638" s="1848"/>
      <c r="X1638" s="1848"/>
      <c r="Y1638" s="1848"/>
    </row>
    <row r="1639" spans="2:25" hidden="1">
      <c r="B1639" s="1815" t="b">
        <f>AND(I1639=FALSE,N1638=0,Q1638=0,L1638="")</f>
        <v>1</v>
      </c>
      <c r="C1639" s="1844" t="str" cm="1">
        <f t="array" ref="C1639">_xlfn.IFS(
    L1639="", "",
    MONTH(L1639) &lt;= End_of_Year_Month, YEAR(L1639),
    TRUE, YEAR(L1639) + 1
)</f>
        <v/>
      </c>
      <c r="F1639" s="1857">
        <f>IF(L1639="",0,L1639)</f>
        <v>0</v>
      </c>
      <c r="G1639" s="1856">
        <f>-(N1639-Q1639)</f>
        <v>0</v>
      </c>
      <c r="I1639" s="1815" t="b">
        <f>K1639&lt;=Number_Payments</f>
        <v>0</v>
      </c>
      <c r="J1639" s="1855"/>
      <c r="K1639" s="1351">
        <f>K1638+1</f>
        <v>1513</v>
      </c>
      <c r="L1639" s="1854" t="str" cm="1">
        <f t="array" ref="L1639">_xlfn.IFS(
    I1638=FALSE, "",
    Payment_Frequency="Monthly", EDATE(L1638, 1),
    Payment_Frequency="Weekly", DATE(YEAR(L1638), MONTH(L1638), DAY(L1638) + 7),
    Payment_Frequency="Fortnightly", DATE(YEAR(L1638), MONTH(L1638), DAY(L1638) + 14),
    Payment_Frequency="Quarterly", DATE(YEAR(L1638), MONTH(L1638) + 3, DAY(L1638)),
    Payment_Frequency="Yearly", DATE(YEAR(L1638) + 1, MONTH(L1638), DAY(L1638)),
    TRUE, ""
)</f>
        <v/>
      </c>
      <c r="M1639" s="1853">
        <f>IF(ISERROR(L1639-L1638),0,L1639-L1638)</f>
        <v>0</v>
      </c>
      <c r="N1639" s="1851" cm="1">
        <f t="array" ref="N1639">_xlfn.IFS(
    AND(I1639=TRUE, K1639&lt;=No_Regular_Payments), Repay_Amt,
    AND(I1639=TRUE, K1639=No_Regular_Payments+1), Tm_Balloon_Amt,
   TRUE, 0
)</f>
        <v>0</v>
      </c>
      <c r="O1639" s="1850" cm="1">
        <f t="array" ref="O1639">_xlfn.IFS(
    M1639=0,0,
   ABS(N1639 - S1638 - P1639-Q1639) &lt; 1, N1639 - S1638-Q1639,
    TRUE, P1639
)</f>
        <v>0</v>
      </c>
      <c r="P1639" s="1852">
        <f>IF(M1639=0,0,ROUND(S1638*EXP(Int_Rate/365.25 * M1639)-S1638,2))</f>
        <v>0</v>
      </c>
      <c r="Q1639" s="1851" cm="1">
        <f t="array" ref="Q1639">_xlfn.IFS(
    AND(I1639=TRUE, K1639&lt;=No_Regular_Payments), Periodic_Admin_Charge,
   TRUE, 0
)</f>
        <v>0</v>
      </c>
      <c r="R1639" s="1850">
        <f>N1639-O1639-Q1639</f>
        <v>0</v>
      </c>
      <c r="S1639" s="1850">
        <f>ROUND(S1638-R1639,2)</f>
        <v>0</v>
      </c>
      <c r="T1639" s="1850">
        <f>ROUND(T1638-(N1639-Q1639),2)</f>
        <v>0</v>
      </c>
      <c r="U1639" s="1849"/>
      <c r="W1639" s="1848"/>
      <c r="X1639" s="1848"/>
      <c r="Y1639" s="1848"/>
    </row>
    <row r="1640" spans="2:25" hidden="1">
      <c r="B1640" s="1815" t="b">
        <f>AND(I1640=FALSE,N1639=0,Q1639=0,L1639="")</f>
        <v>1</v>
      </c>
      <c r="C1640" s="1844" t="str" cm="1">
        <f t="array" ref="C1640">_xlfn.IFS(
    L1640="", "",
    MONTH(L1640) &lt;= End_of_Year_Month, YEAR(L1640),
    TRUE, YEAR(L1640) + 1
)</f>
        <v/>
      </c>
      <c r="F1640" s="1857">
        <f>IF(L1640="",0,L1640)</f>
        <v>0</v>
      </c>
      <c r="G1640" s="1856">
        <f>-(N1640-Q1640)</f>
        <v>0</v>
      </c>
      <c r="I1640" s="1815" t="b">
        <f>K1640&lt;=Number_Payments</f>
        <v>0</v>
      </c>
      <c r="J1640" s="1855"/>
      <c r="K1640" s="1351">
        <f>K1639+1</f>
        <v>1514</v>
      </c>
      <c r="L1640" s="1854" t="str" cm="1">
        <f t="array" ref="L1640">_xlfn.IFS(
    I1639=FALSE, "",
    Payment_Frequency="Monthly", EDATE(L1639, 1),
    Payment_Frequency="Weekly", DATE(YEAR(L1639), MONTH(L1639), DAY(L1639) + 7),
    Payment_Frequency="Fortnightly", DATE(YEAR(L1639), MONTH(L1639), DAY(L1639) + 14),
    Payment_Frequency="Quarterly", DATE(YEAR(L1639), MONTH(L1639) + 3, DAY(L1639)),
    Payment_Frequency="Yearly", DATE(YEAR(L1639) + 1, MONTH(L1639), DAY(L1639)),
    TRUE, ""
)</f>
        <v/>
      </c>
      <c r="M1640" s="1853">
        <f>IF(ISERROR(L1640-L1639),0,L1640-L1639)</f>
        <v>0</v>
      </c>
      <c r="N1640" s="1851" cm="1">
        <f t="array" ref="N1640">_xlfn.IFS(
    AND(I1640=TRUE, K1640&lt;=No_Regular_Payments), Repay_Amt,
    AND(I1640=TRUE, K1640=No_Regular_Payments+1), Tm_Balloon_Amt,
   TRUE, 0
)</f>
        <v>0</v>
      </c>
      <c r="O1640" s="1850" cm="1">
        <f t="array" ref="O1640">_xlfn.IFS(
    M1640=0,0,
   ABS(N1640 - S1639 - P1640-Q1640) &lt; 1, N1640 - S1639-Q1640,
    TRUE, P1640
)</f>
        <v>0</v>
      </c>
      <c r="P1640" s="1852">
        <f>IF(M1640=0,0,ROUND(S1639*EXP(Int_Rate/365.25 * M1640)-S1639,2))</f>
        <v>0</v>
      </c>
      <c r="Q1640" s="1851" cm="1">
        <f t="array" ref="Q1640">_xlfn.IFS(
    AND(I1640=TRUE, K1640&lt;=No_Regular_Payments), Periodic_Admin_Charge,
   TRUE, 0
)</f>
        <v>0</v>
      </c>
      <c r="R1640" s="1850">
        <f>N1640-O1640-Q1640</f>
        <v>0</v>
      </c>
      <c r="S1640" s="1850">
        <f>ROUND(S1639-R1640,2)</f>
        <v>0</v>
      </c>
      <c r="T1640" s="1850">
        <f>ROUND(T1639-(N1640-Q1640),2)</f>
        <v>0</v>
      </c>
      <c r="U1640" s="1849"/>
      <c r="W1640" s="1848"/>
      <c r="X1640" s="1848"/>
      <c r="Y1640" s="1848"/>
    </row>
    <row r="1641" spans="2:25" hidden="1">
      <c r="B1641" s="1815" t="b">
        <f>AND(I1641=FALSE,N1640=0,Q1640=0,L1640="")</f>
        <v>1</v>
      </c>
      <c r="C1641" s="1844" t="str" cm="1">
        <f t="array" ref="C1641">_xlfn.IFS(
    L1641="", "",
    MONTH(L1641) &lt;= End_of_Year_Month, YEAR(L1641),
    TRUE, YEAR(L1641) + 1
)</f>
        <v/>
      </c>
      <c r="F1641" s="1857">
        <f>IF(L1641="",0,L1641)</f>
        <v>0</v>
      </c>
      <c r="G1641" s="1856">
        <f>-(N1641-Q1641)</f>
        <v>0</v>
      </c>
      <c r="I1641" s="1815" t="b">
        <f>K1641&lt;=Number_Payments</f>
        <v>0</v>
      </c>
      <c r="J1641" s="1855"/>
      <c r="K1641" s="1351">
        <f>K1640+1</f>
        <v>1515</v>
      </c>
      <c r="L1641" s="1854" t="str" cm="1">
        <f t="array" ref="L1641">_xlfn.IFS(
    I1640=FALSE, "",
    Payment_Frequency="Monthly", EDATE(L1640, 1),
    Payment_Frequency="Weekly", DATE(YEAR(L1640), MONTH(L1640), DAY(L1640) + 7),
    Payment_Frequency="Fortnightly", DATE(YEAR(L1640), MONTH(L1640), DAY(L1640) + 14),
    Payment_Frequency="Quarterly", DATE(YEAR(L1640), MONTH(L1640) + 3, DAY(L1640)),
    Payment_Frequency="Yearly", DATE(YEAR(L1640) + 1, MONTH(L1640), DAY(L1640)),
    TRUE, ""
)</f>
        <v/>
      </c>
      <c r="M1641" s="1853">
        <f>IF(ISERROR(L1641-L1640),0,L1641-L1640)</f>
        <v>0</v>
      </c>
      <c r="N1641" s="1851" cm="1">
        <f t="array" ref="N1641">_xlfn.IFS(
    AND(I1641=TRUE, K1641&lt;=No_Regular_Payments), Repay_Amt,
    AND(I1641=TRUE, K1641=No_Regular_Payments+1), Tm_Balloon_Amt,
   TRUE, 0
)</f>
        <v>0</v>
      </c>
      <c r="O1641" s="1850" cm="1">
        <f t="array" ref="O1641">_xlfn.IFS(
    M1641=0,0,
   ABS(N1641 - S1640 - P1641-Q1641) &lt; 1, N1641 - S1640-Q1641,
    TRUE, P1641
)</f>
        <v>0</v>
      </c>
      <c r="P1641" s="1852">
        <f>IF(M1641=0,0,ROUND(S1640*EXP(Int_Rate/365.25 * M1641)-S1640,2))</f>
        <v>0</v>
      </c>
      <c r="Q1641" s="1851" cm="1">
        <f t="array" ref="Q1641">_xlfn.IFS(
    AND(I1641=TRUE, K1641&lt;=No_Regular_Payments), Periodic_Admin_Charge,
   TRUE, 0
)</f>
        <v>0</v>
      </c>
      <c r="R1641" s="1850">
        <f>N1641-O1641-Q1641</f>
        <v>0</v>
      </c>
      <c r="S1641" s="1850">
        <f>ROUND(S1640-R1641,2)</f>
        <v>0</v>
      </c>
      <c r="T1641" s="1850">
        <f>ROUND(T1640-(N1641-Q1641),2)</f>
        <v>0</v>
      </c>
      <c r="U1641" s="1849"/>
      <c r="W1641" s="1848"/>
      <c r="X1641" s="1848"/>
      <c r="Y1641" s="1848"/>
    </row>
    <row r="1642" spans="2:25" hidden="1">
      <c r="B1642" s="1815" t="b">
        <f>AND(I1642=FALSE,N1641=0,Q1641=0,L1641="")</f>
        <v>1</v>
      </c>
      <c r="C1642" s="1844" t="str" cm="1">
        <f t="array" ref="C1642">_xlfn.IFS(
    L1642="", "",
    MONTH(L1642) &lt;= End_of_Year_Month, YEAR(L1642),
    TRUE, YEAR(L1642) + 1
)</f>
        <v/>
      </c>
      <c r="F1642" s="1857">
        <f>IF(L1642="",0,L1642)</f>
        <v>0</v>
      </c>
      <c r="G1642" s="1856">
        <f>-(N1642-Q1642)</f>
        <v>0</v>
      </c>
      <c r="I1642" s="1815" t="b">
        <f>K1642&lt;=Number_Payments</f>
        <v>0</v>
      </c>
      <c r="J1642" s="1855"/>
      <c r="K1642" s="1351">
        <f>K1641+1</f>
        <v>1516</v>
      </c>
      <c r="L1642" s="1854" t="str" cm="1">
        <f t="array" ref="L1642">_xlfn.IFS(
    I1641=FALSE, "",
    Payment_Frequency="Monthly", EDATE(L1641, 1),
    Payment_Frequency="Weekly", DATE(YEAR(L1641), MONTH(L1641), DAY(L1641) + 7),
    Payment_Frequency="Fortnightly", DATE(YEAR(L1641), MONTH(L1641), DAY(L1641) + 14),
    Payment_Frequency="Quarterly", DATE(YEAR(L1641), MONTH(L1641) + 3, DAY(L1641)),
    Payment_Frequency="Yearly", DATE(YEAR(L1641) + 1, MONTH(L1641), DAY(L1641)),
    TRUE, ""
)</f>
        <v/>
      </c>
      <c r="M1642" s="1853">
        <f>IF(ISERROR(L1642-L1641),0,L1642-L1641)</f>
        <v>0</v>
      </c>
      <c r="N1642" s="1851" cm="1">
        <f t="array" ref="N1642">_xlfn.IFS(
    AND(I1642=TRUE, K1642&lt;=No_Regular_Payments), Repay_Amt,
    AND(I1642=TRUE, K1642=No_Regular_Payments+1), Tm_Balloon_Amt,
   TRUE, 0
)</f>
        <v>0</v>
      </c>
      <c r="O1642" s="1850" cm="1">
        <f t="array" ref="O1642">_xlfn.IFS(
    M1642=0,0,
   ABS(N1642 - S1641 - P1642-Q1642) &lt; 1, N1642 - S1641-Q1642,
    TRUE, P1642
)</f>
        <v>0</v>
      </c>
      <c r="P1642" s="1852">
        <f>IF(M1642=0,0,ROUND(S1641*EXP(Int_Rate/365.25 * M1642)-S1641,2))</f>
        <v>0</v>
      </c>
      <c r="Q1642" s="1851" cm="1">
        <f t="array" ref="Q1642">_xlfn.IFS(
    AND(I1642=TRUE, K1642&lt;=No_Regular_Payments), Periodic_Admin_Charge,
   TRUE, 0
)</f>
        <v>0</v>
      </c>
      <c r="R1642" s="1850">
        <f>N1642-O1642-Q1642</f>
        <v>0</v>
      </c>
      <c r="S1642" s="1850">
        <f>ROUND(S1641-R1642,2)</f>
        <v>0</v>
      </c>
      <c r="T1642" s="1850">
        <f>ROUND(T1641-(N1642-Q1642),2)</f>
        <v>0</v>
      </c>
      <c r="U1642" s="1849"/>
      <c r="W1642" s="1848"/>
      <c r="X1642" s="1848"/>
      <c r="Y1642" s="1848"/>
    </row>
    <row r="1643" spans="2:25" hidden="1">
      <c r="B1643" s="1815" t="b">
        <f>AND(I1643=FALSE,N1642=0,Q1642=0,L1642="")</f>
        <v>1</v>
      </c>
      <c r="C1643" s="1844" t="str" cm="1">
        <f t="array" ref="C1643">_xlfn.IFS(
    L1643="", "",
    MONTH(L1643) &lt;= End_of_Year_Month, YEAR(L1643),
    TRUE, YEAR(L1643) + 1
)</f>
        <v/>
      </c>
      <c r="F1643" s="1857">
        <f>IF(L1643="",0,L1643)</f>
        <v>0</v>
      </c>
      <c r="G1643" s="1856">
        <f>-(N1643-Q1643)</f>
        <v>0</v>
      </c>
      <c r="I1643" s="1815" t="b">
        <f>K1643&lt;=Number_Payments</f>
        <v>0</v>
      </c>
      <c r="J1643" s="1855"/>
      <c r="K1643" s="1351">
        <f>K1642+1</f>
        <v>1517</v>
      </c>
      <c r="L1643" s="1854" t="str" cm="1">
        <f t="array" ref="L1643">_xlfn.IFS(
    I1642=FALSE, "",
    Payment_Frequency="Monthly", EDATE(L1642, 1),
    Payment_Frequency="Weekly", DATE(YEAR(L1642), MONTH(L1642), DAY(L1642) + 7),
    Payment_Frequency="Fortnightly", DATE(YEAR(L1642), MONTH(L1642), DAY(L1642) + 14),
    Payment_Frequency="Quarterly", DATE(YEAR(L1642), MONTH(L1642) + 3, DAY(L1642)),
    Payment_Frequency="Yearly", DATE(YEAR(L1642) + 1, MONTH(L1642), DAY(L1642)),
    TRUE, ""
)</f>
        <v/>
      </c>
      <c r="M1643" s="1853">
        <f>IF(ISERROR(L1643-L1642),0,L1643-L1642)</f>
        <v>0</v>
      </c>
      <c r="N1643" s="1851" cm="1">
        <f t="array" ref="N1643">_xlfn.IFS(
    AND(I1643=TRUE, K1643&lt;=No_Regular_Payments), Repay_Amt,
    AND(I1643=TRUE, K1643=No_Regular_Payments+1), Tm_Balloon_Amt,
   TRUE, 0
)</f>
        <v>0</v>
      </c>
      <c r="O1643" s="1850" cm="1">
        <f t="array" ref="O1643">_xlfn.IFS(
    M1643=0,0,
   ABS(N1643 - S1642 - P1643-Q1643) &lt; 1, N1643 - S1642-Q1643,
    TRUE, P1643
)</f>
        <v>0</v>
      </c>
      <c r="P1643" s="1852">
        <f>IF(M1643=0,0,ROUND(S1642*EXP(Int_Rate/365.25 * M1643)-S1642,2))</f>
        <v>0</v>
      </c>
      <c r="Q1643" s="1851" cm="1">
        <f t="array" ref="Q1643">_xlfn.IFS(
    AND(I1643=TRUE, K1643&lt;=No_Regular_Payments), Periodic_Admin_Charge,
   TRUE, 0
)</f>
        <v>0</v>
      </c>
      <c r="R1643" s="1850">
        <f>N1643-O1643-Q1643</f>
        <v>0</v>
      </c>
      <c r="S1643" s="1850">
        <f>ROUND(S1642-R1643,2)</f>
        <v>0</v>
      </c>
      <c r="T1643" s="1850">
        <f>ROUND(T1642-(N1643-Q1643),2)</f>
        <v>0</v>
      </c>
      <c r="U1643" s="1849"/>
      <c r="W1643" s="1848"/>
      <c r="X1643" s="1848"/>
      <c r="Y1643" s="1848"/>
    </row>
    <row r="1644" spans="2:25" hidden="1">
      <c r="B1644" s="1815" t="b">
        <f>AND(I1644=FALSE,N1643=0,Q1643=0,L1643="")</f>
        <v>1</v>
      </c>
      <c r="C1644" s="1844" t="str" cm="1">
        <f t="array" ref="C1644">_xlfn.IFS(
    L1644="", "",
    MONTH(L1644) &lt;= End_of_Year_Month, YEAR(L1644),
    TRUE, YEAR(L1644) + 1
)</f>
        <v/>
      </c>
      <c r="F1644" s="1857">
        <f>IF(L1644="",0,L1644)</f>
        <v>0</v>
      </c>
      <c r="G1644" s="1856">
        <f>-(N1644-Q1644)</f>
        <v>0</v>
      </c>
      <c r="I1644" s="1815" t="b">
        <f>K1644&lt;=Number_Payments</f>
        <v>0</v>
      </c>
      <c r="J1644" s="1855"/>
      <c r="K1644" s="1351">
        <f>K1643+1</f>
        <v>1518</v>
      </c>
      <c r="L1644" s="1854" t="str" cm="1">
        <f t="array" ref="L1644">_xlfn.IFS(
    I1643=FALSE, "",
    Payment_Frequency="Monthly", EDATE(L1643, 1),
    Payment_Frequency="Weekly", DATE(YEAR(L1643), MONTH(L1643), DAY(L1643) + 7),
    Payment_Frequency="Fortnightly", DATE(YEAR(L1643), MONTH(L1643), DAY(L1643) + 14),
    Payment_Frequency="Quarterly", DATE(YEAR(L1643), MONTH(L1643) + 3, DAY(L1643)),
    Payment_Frequency="Yearly", DATE(YEAR(L1643) + 1, MONTH(L1643), DAY(L1643)),
    TRUE, ""
)</f>
        <v/>
      </c>
      <c r="M1644" s="1853">
        <f>IF(ISERROR(L1644-L1643),0,L1644-L1643)</f>
        <v>0</v>
      </c>
      <c r="N1644" s="1851" cm="1">
        <f t="array" ref="N1644">_xlfn.IFS(
    AND(I1644=TRUE, K1644&lt;=No_Regular_Payments), Repay_Amt,
    AND(I1644=TRUE, K1644=No_Regular_Payments+1), Tm_Balloon_Amt,
   TRUE, 0
)</f>
        <v>0</v>
      </c>
      <c r="O1644" s="1850" cm="1">
        <f t="array" ref="O1644">_xlfn.IFS(
    M1644=0,0,
   ABS(N1644 - S1643 - P1644-Q1644) &lt; 1, N1644 - S1643-Q1644,
    TRUE, P1644
)</f>
        <v>0</v>
      </c>
      <c r="P1644" s="1852">
        <f>IF(M1644=0,0,ROUND(S1643*EXP(Int_Rate/365.25 * M1644)-S1643,2))</f>
        <v>0</v>
      </c>
      <c r="Q1644" s="1851" cm="1">
        <f t="array" ref="Q1644">_xlfn.IFS(
    AND(I1644=TRUE, K1644&lt;=No_Regular_Payments), Periodic_Admin_Charge,
   TRUE, 0
)</f>
        <v>0</v>
      </c>
      <c r="R1644" s="1850">
        <f>N1644-O1644-Q1644</f>
        <v>0</v>
      </c>
      <c r="S1644" s="1850">
        <f>ROUND(S1643-R1644,2)</f>
        <v>0</v>
      </c>
      <c r="T1644" s="1850">
        <f>ROUND(T1643-(N1644-Q1644),2)</f>
        <v>0</v>
      </c>
      <c r="U1644" s="1849"/>
      <c r="W1644" s="1848"/>
      <c r="X1644" s="1848"/>
      <c r="Y1644" s="1848"/>
    </row>
    <row r="1645" spans="2:25" hidden="1">
      <c r="B1645" s="1815" t="b">
        <f>AND(I1645=FALSE,N1644=0,Q1644=0,L1644="")</f>
        <v>1</v>
      </c>
      <c r="C1645" s="1844" t="str" cm="1">
        <f t="array" ref="C1645">_xlfn.IFS(
    L1645="", "",
    MONTH(L1645) &lt;= End_of_Year_Month, YEAR(L1645),
    TRUE, YEAR(L1645) + 1
)</f>
        <v/>
      </c>
      <c r="F1645" s="1857">
        <f>IF(L1645="",0,L1645)</f>
        <v>0</v>
      </c>
      <c r="G1645" s="1856">
        <f>-(N1645-Q1645)</f>
        <v>0</v>
      </c>
      <c r="I1645" s="1815" t="b">
        <f>K1645&lt;=Number_Payments</f>
        <v>0</v>
      </c>
      <c r="J1645" s="1855"/>
      <c r="K1645" s="1351">
        <f>K1644+1</f>
        <v>1519</v>
      </c>
      <c r="L1645" s="1854" t="str" cm="1">
        <f t="array" ref="L1645">_xlfn.IFS(
    I1644=FALSE, "",
    Payment_Frequency="Monthly", EDATE(L1644, 1),
    Payment_Frequency="Weekly", DATE(YEAR(L1644), MONTH(L1644), DAY(L1644) + 7),
    Payment_Frequency="Fortnightly", DATE(YEAR(L1644), MONTH(L1644), DAY(L1644) + 14),
    Payment_Frequency="Quarterly", DATE(YEAR(L1644), MONTH(L1644) + 3, DAY(L1644)),
    Payment_Frequency="Yearly", DATE(YEAR(L1644) + 1, MONTH(L1644), DAY(L1644)),
    TRUE, ""
)</f>
        <v/>
      </c>
      <c r="M1645" s="1853">
        <f>IF(ISERROR(L1645-L1644),0,L1645-L1644)</f>
        <v>0</v>
      </c>
      <c r="N1645" s="1851" cm="1">
        <f t="array" ref="N1645">_xlfn.IFS(
    AND(I1645=TRUE, K1645&lt;=No_Regular_Payments), Repay_Amt,
    AND(I1645=TRUE, K1645=No_Regular_Payments+1), Tm_Balloon_Amt,
   TRUE, 0
)</f>
        <v>0</v>
      </c>
      <c r="O1645" s="1850" cm="1">
        <f t="array" ref="O1645">_xlfn.IFS(
    M1645=0,0,
   ABS(N1645 - S1644 - P1645-Q1645) &lt; 1, N1645 - S1644-Q1645,
    TRUE, P1645
)</f>
        <v>0</v>
      </c>
      <c r="P1645" s="1852">
        <f>IF(M1645=0,0,ROUND(S1644*EXP(Int_Rate/365.25 * M1645)-S1644,2))</f>
        <v>0</v>
      </c>
      <c r="Q1645" s="1851" cm="1">
        <f t="array" ref="Q1645">_xlfn.IFS(
    AND(I1645=TRUE, K1645&lt;=No_Regular_Payments), Periodic_Admin_Charge,
   TRUE, 0
)</f>
        <v>0</v>
      </c>
      <c r="R1645" s="1850">
        <f>N1645-O1645-Q1645</f>
        <v>0</v>
      </c>
      <c r="S1645" s="1850">
        <f>ROUND(S1644-R1645,2)</f>
        <v>0</v>
      </c>
      <c r="T1645" s="1850">
        <f>ROUND(T1644-(N1645-Q1645),2)</f>
        <v>0</v>
      </c>
      <c r="U1645" s="1849"/>
      <c r="W1645" s="1848"/>
      <c r="X1645" s="1848"/>
      <c r="Y1645" s="1848"/>
    </row>
    <row r="1646" spans="2:25" hidden="1">
      <c r="B1646" s="1815" t="b">
        <f>AND(I1646=FALSE,N1645=0,Q1645=0,L1645="")</f>
        <v>1</v>
      </c>
      <c r="C1646" s="1844" t="str" cm="1">
        <f t="array" ref="C1646">_xlfn.IFS(
    L1646="", "",
    MONTH(L1646) &lt;= End_of_Year_Month, YEAR(L1646),
    TRUE, YEAR(L1646) + 1
)</f>
        <v/>
      </c>
      <c r="F1646" s="1857">
        <f>IF(L1646="",0,L1646)</f>
        <v>0</v>
      </c>
      <c r="G1646" s="1856">
        <f>-(N1646-Q1646)</f>
        <v>0</v>
      </c>
      <c r="I1646" s="1815" t="b">
        <f>K1646&lt;=Number_Payments</f>
        <v>0</v>
      </c>
      <c r="J1646" s="1855"/>
      <c r="K1646" s="1351">
        <f>K1645+1</f>
        <v>1520</v>
      </c>
      <c r="L1646" s="1854" t="str" cm="1">
        <f t="array" ref="L1646">_xlfn.IFS(
    I1645=FALSE, "",
    Payment_Frequency="Monthly", EDATE(L1645, 1),
    Payment_Frequency="Weekly", DATE(YEAR(L1645), MONTH(L1645), DAY(L1645) + 7),
    Payment_Frequency="Fortnightly", DATE(YEAR(L1645), MONTH(L1645), DAY(L1645) + 14),
    Payment_Frequency="Quarterly", DATE(YEAR(L1645), MONTH(L1645) + 3, DAY(L1645)),
    Payment_Frequency="Yearly", DATE(YEAR(L1645) + 1, MONTH(L1645), DAY(L1645)),
    TRUE, ""
)</f>
        <v/>
      </c>
      <c r="M1646" s="1853">
        <f>IF(ISERROR(L1646-L1645),0,L1646-L1645)</f>
        <v>0</v>
      </c>
      <c r="N1646" s="1851" cm="1">
        <f t="array" ref="N1646">_xlfn.IFS(
    AND(I1646=TRUE, K1646&lt;=No_Regular_Payments), Repay_Amt,
    AND(I1646=TRUE, K1646=No_Regular_Payments+1), Tm_Balloon_Amt,
   TRUE, 0
)</f>
        <v>0</v>
      </c>
      <c r="O1646" s="1850" cm="1">
        <f t="array" ref="O1646">_xlfn.IFS(
    M1646=0,0,
   ABS(N1646 - S1645 - P1646-Q1646) &lt; 1, N1646 - S1645-Q1646,
    TRUE, P1646
)</f>
        <v>0</v>
      </c>
      <c r="P1646" s="1852">
        <f>IF(M1646=0,0,ROUND(S1645*EXP(Int_Rate/365.25 * M1646)-S1645,2))</f>
        <v>0</v>
      </c>
      <c r="Q1646" s="1851" cm="1">
        <f t="array" ref="Q1646">_xlfn.IFS(
    AND(I1646=TRUE, K1646&lt;=No_Regular_Payments), Periodic_Admin_Charge,
   TRUE, 0
)</f>
        <v>0</v>
      </c>
      <c r="R1646" s="1850">
        <f>N1646-O1646-Q1646</f>
        <v>0</v>
      </c>
      <c r="S1646" s="1850">
        <f>ROUND(S1645-R1646,2)</f>
        <v>0</v>
      </c>
      <c r="T1646" s="1850">
        <f>ROUND(T1645-(N1646-Q1646),2)</f>
        <v>0</v>
      </c>
      <c r="U1646" s="1849"/>
      <c r="W1646" s="1848"/>
      <c r="X1646" s="1848"/>
      <c r="Y1646" s="1848"/>
    </row>
    <row r="1647" spans="2:25" hidden="1">
      <c r="B1647" s="1815" t="b">
        <f>AND(I1647=FALSE,N1646=0,Q1646=0,L1646="")</f>
        <v>1</v>
      </c>
      <c r="C1647" s="1844" t="str" cm="1">
        <f t="array" ref="C1647">_xlfn.IFS(
    L1647="", "",
    MONTH(L1647) &lt;= End_of_Year_Month, YEAR(L1647),
    TRUE, YEAR(L1647) + 1
)</f>
        <v/>
      </c>
      <c r="F1647" s="1857">
        <f>IF(L1647="",0,L1647)</f>
        <v>0</v>
      </c>
      <c r="G1647" s="1856">
        <f>-(N1647-Q1647)</f>
        <v>0</v>
      </c>
      <c r="I1647" s="1815" t="b">
        <f>K1647&lt;=Number_Payments</f>
        <v>0</v>
      </c>
      <c r="J1647" s="1855"/>
      <c r="K1647" s="1351">
        <f>K1646+1</f>
        <v>1521</v>
      </c>
      <c r="L1647" s="1854" t="str" cm="1">
        <f t="array" ref="L1647">_xlfn.IFS(
    I1646=FALSE, "",
    Payment_Frequency="Monthly", EDATE(L1646, 1),
    Payment_Frequency="Weekly", DATE(YEAR(L1646), MONTH(L1646), DAY(L1646) + 7),
    Payment_Frequency="Fortnightly", DATE(YEAR(L1646), MONTH(L1646), DAY(L1646) + 14),
    Payment_Frequency="Quarterly", DATE(YEAR(L1646), MONTH(L1646) + 3, DAY(L1646)),
    Payment_Frequency="Yearly", DATE(YEAR(L1646) + 1, MONTH(L1646), DAY(L1646)),
    TRUE, ""
)</f>
        <v/>
      </c>
      <c r="M1647" s="1853">
        <f>IF(ISERROR(L1647-L1646),0,L1647-L1646)</f>
        <v>0</v>
      </c>
      <c r="N1647" s="1851" cm="1">
        <f t="array" ref="N1647">_xlfn.IFS(
    AND(I1647=TRUE, K1647&lt;=No_Regular_Payments), Repay_Amt,
    AND(I1647=TRUE, K1647=No_Regular_Payments+1), Tm_Balloon_Amt,
   TRUE, 0
)</f>
        <v>0</v>
      </c>
      <c r="O1647" s="1850" cm="1">
        <f t="array" ref="O1647">_xlfn.IFS(
    M1647=0,0,
   ABS(N1647 - S1646 - P1647-Q1647) &lt; 1, N1647 - S1646-Q1647,
    TRUE, P1647
)</f>
        <v>0</v>
      </c>
      <c r="P1647" s="1852">
        <f>IF(M1647=0,0,ROUND(S1646*EXP(Int_Rate/365.25 * M1647)-S1646,2))</f>
        <v>0</v>
      </c>
      <c r="Q1647" s="1851" cm="1">
        <f t="array" ref="Q1647">_xlfn.IFS(
    AND(I1647=TRUE, K1647&lt;=No_Regular_Payments), Periodic_Admin_Charge,
   TRUE, 0
)</f>
        <v>0</v>
      </c>
      <c r="R1647" s="1850">
        <f>N1647-O1647-Q1647</f>
        <v>0</v>
      </c>
      <c r="S1647" s="1850">
        <f>ROUND(S1646-R1647,2)</f>
        <v>0</v>
      </c>
      <c r="T1647" s="1850">
        <f>ROUND(T1646-(N1647-Q1647),2)</f>
        <v>0</v>
      </c>
      <c r="U1647" s="1849"/>
      <c r="W1647" s="1848"/>
      <c r="X1647" s="1848"/>
      <c r="Y1647" s="1848"/>
    </row>
    <row r="1648" spans="2:25" hidden="1">
      <c r="B1648" s="1815" t="b">
        <f>AND(I1648=FALSE,N1647=0,Q1647=0,L1647="")</f>
        <v>1</v>
      </c>
      <c r="C1648" s="1844" t="str" cm="1">
        <f t="array" ref="C1648">_xlfn.IFS(
    L1648="", "",
    MONTH(L1648) &lt;= End_of_Year_Month, YEAR(L1648),
    TRUE, YEAR(L1648) + 1
)</f>
        <v/>
      </c>
      <c r="F1648" s="1857">
        <f>IF(L1648="",0,L1648)</f>
        <v>0</v>
      </c>
      <c r="G1648" s="1856">
        <f>-(N1648-Q1648)</f>
        <v>0</v>
      </c>
      <c r="I1648" s="1815" t="b">
        <f>K1648&lt;=Number_Payments</f>
        <v>0</v>
      </c>
      <c r="J1648" s="1855"/>
      <c r="K1648" s="1351">
        <f>K1647+1</f>
        <v>1522</v>
      </c>
      <c r="L1648" s="1854" t="str" cm="1">
        <f t="array" ref="L1648">_xlfn.IFS(
    I1647=FALSE, "",
    Payment_Frequency="Monthly", EDATE(L1647, 1),
    Payment_Frequency="Weekly", DATE(YEAR(L1647), MONTH(L1647), DAY(L1647) + 7),
    Payment_Frequency="Fortnightly", DATE(YEAR(L1647), MONTH(L1647), DAY(L1647) + 14),
    Payment_Frequency="Quarterly", DATE(YEAR(L1647), MONTH(L1647) + 3, DAY(L1647)),
    Payment_Frequency="Yearly", DATE(YEAR(L1647) + 1, MONTH(L1647), DAY(L1647)),
    TRUE, ""
)</f>
        <v/>
      </c>
      <c r="M1648" s="1853">
        <f>IF(ISERROR(L1648-L1647),0,L1648-L1647)</f>
        <v>0</v>
      </c>
      <c r="N1648" s="1851" cm="1">
        <f t="array" ref="N1648">_xlfn.IFS(
    AND(I1648=TRUE, K1648&lt;=No_Regular_Payments), Repay_Amt,
    AND(I1648=TRUE, K1648=No_Regular_Payments+1), Tm_Balloon_Amt,
   TRUE, 0
)</f>
        <v>0</v>
      </c>
      <c r="O1648" s="1850" cm="1">
        <f t="array" ref="O1648">_xlfn.IFS(
    M1648=0,0,
   ABS(N1648 - S1647 - P1648-Q1648) &lt; 1, N1648 - S1647-Q1648,
    TRUE, P1648
)</f>
        <v>0</v>
      </c>
      <c r="P1648" s="1852">
        <f>IF(M1648=0,0,ROUND(S1647*EXP(Int_Rate/365.25 * M1648)-S1647,2))</f>
        <v>0</v>
      </c>
      <c r="Q1648" s="1851" cm="1">
        <f t="array" ref="Q1648">_xlfn.IFS(
    AND(I1648=TRUE, K1648&lt;=No_Regular_Payments), Periodic_Admin_Charge,
   TRUE, 0
)</f>
        <v>0</v>
      </c>
      <c r="R1648" s="1850">
        <f>N1648-O1648-Q1648</f>
        <v>0</v>
      </c>
      <c r="S1648" s="1850">
        <f>ROUND(S1647-R1648,2)</f>
        <v>0</v>
      </c>
      <c r="T1648" s="1850">
        <f>ROUND(T1647-(N1648-Q1648),2)</f>
        <v>0</v>
      </c>
      <c r="U1648" s="1849"/>
      <c r="W1648" s="1848"/>
      <c r="X1648" s="1848"/>
      <c r="Y1648" s="1848"/>
    </row>
    <row r="1649" spans="2:25" hidden="1">
      <c r="B1649" s="1815" t="b">
        <f>AND(I1649=FALSE,N1648=0,Q1648=0,L1648="")</f>
        <v>1</v>
      </c>
      <c r="C1649" s="1844" t="str" cm="1">
        <f t="array" ref="C1649">_xlfn.IFS(
    L1649="", "",
    MONTH(L1649) &lt;= End_of_Year_Month, YEAR(L1649),
    TRUE, YEAR(L1649) + 1
)</f>
        <v/>
      </c>
      <c r="F1649" s="1857">
        <f>IF(L1649="",0,L1649)</f>
        <v>0</v>
      </c>
      <c r="G1649" s="1856">
        <f>-(N1649-Q1649)</f>
        <v>0</v>
      </c>
      <c r="I1649" s="1815" t="b">
        <f>K1649&lt;=Number_Payments</f>
        <v>0</v>
      </c>
      <c r="J1649" s="1855"/>
      <c r="K1649" s="1351">
        <f>K1648+1</f>
        <v>1523</v>
      </c>
      <c r="L1649" s="1854" t="str" cm="1">
        <f t="array" ref="L1649">_xlfn.IFS(
    I1648=FALSE, "",
    Payment_Frequency="Monthly", EDATE(L1648, 1),
    Payment_Frequency="Weekly", DATE(YEAR(L1648), MONTH(L1648), DAY(L1648) + 7),
    Payment_Frequency="Fortnightly", DATE(YEAR(L1648), MONTH(L1648), DAY(L1648) + 14),
    Payment_Frequency="Quarterly", DATE(YEAR(L1648), MONTH(L1648) + 3, DAY(L1648)),
    Payment_Frequency="Yearly", DATE(YEAR(L1648) + 1, MONTH(L1648), DAY(L1648)),
    TRUE, ""
)</f>
        <v/>
      </c>
      <c r="M1649" s="1853">
        <f>IF(ISERROR(L1649-L1648),0,L1649-L1648)</f>
        <v>0</v>
      </c>
      <c r="N1649" s="1851" cm="1">
        <f t="array" ref="N1649">_xlfn.IFS(
    AND(I1649=TRUE, K1649&lt;=No_Regular_Payments), Repay_Amt,
    AND(I1649=TRUE, K1649=No_Regular_Payments+1), Tm_Balloon_Amt,
   TRUE, 0
)</f>
        <v>0</v>
      </c>
      <c r="O1649" s="1850" cm="1">
        <f t="array" ref="O1649">_xlfn.IFS(
    M1649=0,0,
   ABS(N1649 - S1648 - P1649-Q1649) &lt; 1, N1649 - S1648-Q1649,
    TRUE, P1649
)</f>
        <v>0</v>
      </c>
      <c r="P1649" s="1852">
        <f>IF(M1649=0,0,ROUND(S1648*EXP(Int_Rate/365.25 * M1649)-S1648,2))</f>
        <v>0</v>
      </c>
      <c r="Q1649" s="1851" cm="1">
        <f t="array" ref="Q1649">_xlfn.IFS(
    AND(I1649=TRUE, K1649&lt;=No_Regular_Payments), Periodic_Admin_Charge,
   TRUE, 0
)</f>
        <v>0</v>
      </c>
      <c r="R1649" s="1850">
        <f>N1649-O1649-Q1649</f>
        <v>0</v>
      </c>
      <c r="S1649" s="1850">
        <f>ROUND(S1648-R1649,2)</f>
        <v>0</v>
      </c>
      <c r="T1649" s="1850">
        <f>ROUND(T1648-(N1649-Q1649),2)</f>
        <v>0</v>
      </c>
      <c r="U1649" s="1849"/>
      <c r="W1649" s="1848"/>
      <c r="X1649" s="1848"/>
      <c r="Y1649" s="1848"/>
    </row>
    <row r="1650" spans="2:25" hidden="1">
      <c r="B1650" s="1815" t="b">
        <f>AND(I1650=FALSE,N1649=0,Q1649=0,L1649="")</f>
        <v>1</v>
      </c>
      <c r="C1650" s="1844" t="str" cm="1">
        <f t="array" ref="C1650">_xlfn.IFS(
    L1650="", "",
    MONTH(L1650) &lt;= End_of_Year_Month, YEAR(L1650),
    TRUE, YEAR(L1650) + 1
)</f>
        <v/>
      </c>
      <c r="F1650" s="1857">
        <f>IF(L1650="",0,L1650)</f>
        <v>0</v>
      </c>
      <c r="G1650" s="1856">
        <f>-(N1650-Q1650)</f>
        <v>0</v>
      </c>
      <c r="I1650" s="1815" t="b">
        <f>K1650&lt;=Number_Payments</f>
        <v>0</v>
      </c>
      <c r="J1650" s="1855"/>
      <c r="K1650" s="1351">
        <f>K1649+1</f>
        <v>1524</v>
      </c>
      <c r="L1650" s="1854" t="str" cm="1">
        <f t="array" ref="L1650">_xlfn.IFS(
    I1649=FALSE, "",
    Payment_Frequency="Monthly", EDATE(L1649, 1),
    Payment_Frequency="Weekly", DATE(YEAR(L1649), MONTH(L1649), DAY(L1649) + 7),
    Payment_Frequency="Fortnightly", DATE(YEAR(L1649), MONTH(L1649), DAY(L1649) + 14),
    Payment_Frequency="Quarterly", DATE(YEAR(L1649), MONTH(L1649) + 3, DAY(L1649)),
    Payment_Frequency="Yearly", DATE(YEAR(L1649) + 1, MONTH(L1649), DAY(L1649)),
    TRUE, ""
)</f>
        <v/>
      </c>
      <c r="M1650" s="1853">
        <f>IF(ISERROR(L1650-L1649),0,L1650-L1649)</f>
        <v>0</v>
      </c>
      <c r="N1650" s="1851" cm="1">
        <f t="array" ref="N1650">_xlfn.IFS(
    AND(I1650=TRUE, K1650&lt;=No_Regular_Payments), Repay_Amt,
    AND(I1650=TRUE, K1650=No_Regular_Payments+1), Tm_Balloon_Amt,
   TRUE, 0
)</f>
        <v>0</v>
      </c>
      <c r="O1650" s="1850" cm="1">
        <f t="array" ref="O1650">_xlfn.IFS(
    M1650=0,0,
   ABS(N1650 - S1649 - P1650-Q1650) &lt; 1, N1650 - S1649-Q1650,
    TRUE, P1650
)</f>
        <v>0</v>
      </c>
      <c r="P1650" s="1852">
        <f>IF(M1650=0,0,ROUND(S1649*EXP(Int_Rate/365.25 * M1650)-S1649,2))</f>
        <v>0</v>
      </c>
      <c r="Q1650" s="1851" cm="1">
        <f t="array" ref="Q1650">_xlfn.IFS(
    AND(I1650=TRUE, K1650&lt;=No_Regular_Payments), Periodic_Admin_Charge,
   TRUE, 0
)</f>
        <v>0</v>
      </c>
      <c r="R1650" s="1850">
        <f>N1650-O1650-Q1650</f>
        <v>0</v>
      </c>
      <c r="S1650" s="1850">
        <f>ROUND(S1649-R1650,2)</f>
        <v>0</v>
      </c>
      <c r="T1650" s="1850">
        <f>ROUND(T1649-(N1650-Q1650),2)</f>
        <v>0</v>
      </c>
      <c r="U1650" s="1849"/>
      <c r="W1650" s="1848"/>
      <c r="X1650" s="1848"/>
      <c r="Y1650" s="1848"/>
    </row>
    <row r="1651" spans="2:25" hidden="1">
      <c r="B1651" s="1815" t="b">
        <f>AND(I1651=FALSE,N1650=0,Q1650=0,L1650="")</f>
        <v>1</v>
      </c>
      <c r="C1651" s="1844" t="str" cm="1">
        <f t="array" ref="C1651">_xlfn.IFS(
    L1651="", "",
    MONTH(L1651) &lt;= End_of_Year_Month, YEAR(L1651),
    TRUE, YEAR(L1651) + 1
)</f>
        <v/>
      </c>
      <c r="F1651" s="1857">
        <f>IF(L1651="",0,L1651)</f>
        <v>0</v>
      </c>
      <c r="G1651" s="1856">
        <f>-(N1651-Q1651)</f>
        <v>0</v>
      </c>
      <c r="I1651" s="1815" t="b">
        <f>K1651&lt;=Number_Payments</f>
        <v>0</v>
      </c>
      <c r="J1651" s="1855"/>
      <c r="K1651" s="1351">
        <f>K1650+1</f>
        <v>1525</v>
      </c>
      <c r="L1651" s="1854" t="str" cm="1">
        <f t="array" ref="L1651">_xlfn.IFS(
    I1650=FALSE, "",
    Payment_Frequency="Monthly", EDATE(L1650, 1),
    Payment_Frequency="Weekly", DATE(YEAR(L1650), MONTH(L1650), DAY(L1650) + 7),
    Payment_Frequency="Fortnightly", DATE(YEAR(L1650), MONTH(L1650), DAY(L1650) + 14),
    Payment_Frequency="Quarterly", DATE(YEAR(L1650), MONTH(L1650) + 3, DAY(L1650)),
    Payment_Frequency="Yearly", DATE(YEAR(L1650) + 1, MONTH(L1650), DAY(L1650)),
    TRUE, ""
)</f>
        <v/>
      </c>
      <c r="M1651" s="1853">
        <f>IF(ISERROR(L1651-L1650),0,L1651-L1650)</f>
        <v>0</v>
      </c>
      <c r="N1651" s="1851" cm="1">
        <f t="array" ref="N1651">_xlfn.IFS(
    AND(I1651=TRUE, K1651&lt;=No_Regular_Payments), Repay_Amt,
    AND(I1651=TRUE, K1651=No_Regular_Payments+1), Tm_Balloon_Amt,
   TRUE, 0
)</f>
        <v>0</v>
      </c>
      <c r="O1651" s="1850" cm="1">
        <f t="array" ref="O1651">_xlfn.IFS(
    M1651=0,0,
   ABS(N1651 - S1650 - P1651-Q1651) &lt; 1, N1651 - S1650-Q1651,
    TRUE, P1651
)</f>
        <v>0</v>
      </c>
      <c r="P1651" s="1852">
        <f>IF(M1651=0,0,ROUND(S1650*EXP(Int_Rate/365.25 * M1651)-S1650,2))</f>
        <v>0</v>
      </c>
      <c r="Q1651" s="1851" cm="1">
        <f t="array" ref="Q1651">_xlfn.IFS(
    AND(I1651=TRUE, K1651&lt;=No_Regular_Payments), Periodic_Admin_Charge,
   TRUE, 0
)</f>
        <v>0</v>
      </c>
      <c r="R1651" s="1850">
        <f>N1651-O1651-Q1651</f>
        <v>0</v>
      </c>
      <c r="S1651" s="1850">
        <f>ROUND(S1650-R1651,2)</f>
        <v>0</v>
      </c>
      <c r="T1651" s="1850">
        <f>ROUND(T1650-(N1651-Q1651),2)</f>
        <v>0</v>
      </c>
      <c r="U1651" s="1849"/>
      <c r="W1651" s="1848"/>
      <c r="X1651" s="1848"/>
      <c r="Y1651" s="1848"/>
    </row>
    <row r="1652" spans="2:25" hidden="1">
      <c r="B1652" s="1815" t="b">
        <f>AND(I1652=FALSE,N1651=0,Q1651=0,L1651="")</f>
        <v>1</v>
      </c>
      <c r="C1652" s="1844" t="str" cm="1">
        <f t="array" ref="C1652">_xlfn.IFS(
    L1652="", "",
    MONTH(L1652) &lt;= End_of_Year_Month, YEAR(L1652),
    TRUE, YEAR(L1652) + 1
)</f>
        <v/>
      </c>
      <c r="F1652" s="1857">
        <f>IF(L1652="",0,L1652)</f>
        <v>0</v>
      </c>
      <c r="G1652" s="1856">
        <f>-(N1652-Q1652)</f>
        <v>0</v>
      </c>
      <c r="I1652" s="1815" t="b">
        <f>K1652&lt;=Number_Payments</f>
        <v>0</v>
      </c>
      <c r="J1652" s="1855"/>
      <c r="K1652" s="1351">
        <f>K1651+1</f>
        <v>1526</v>
      </c>
      <c r="L1652" s="1854" t="str" cm="1">
        <f t="array" ref="L1652">_xlfn.IFS(
    I1651=FALSE, "",
    Payment_Frequency="Monthly", EDATE(L1651, 1),
    Payment_Frequency="Weekly", DATE(YEAR(L1651), MONTH(L1651), DAY(L1651) + 7),
    Payment_Frequency="Fortnightly", DATE(YEAR(L1651), MONTH(L1651), DAY(L1651) + 14),
    Payment_Frequency="Quarterly", DATE(YEAR(L1651), MONTH(L1651) + 3, DAY(L1651)),
    Payment_Frequency="Yearly", DATE(YEAR(L1651) + 1, MONTH(L1651), DAY(L1651)),
    TRUE, ""
)</f>
        <v/>
      </c>
      <c r="M1652" s="1853">
        <f>IF(ISERROR(L1652-L1651),0,L1652-L1651)</f>
        <v>0</v>
      </c>
      <c r="N1652" s="1851" cm="1">
        <f t="array" ref="N1652">_xlfn.IFS(
    AND(I1652=TRUE, K1652&lt;=No_Regular_Payments), Repay_Amt,
    AND(I1652=TRUE, K1652=No_Regular_Payments+1), Tm_Balloon_Amt,
   TRUE, 0
)</f>
        <v>0</v>
      </c>
      <c r="O1652" s="1850" cm="1">
        <f t="array" ref="O1652">_xlfn.IFS(
    M1652=0,0,
   ABS(N1652 - S1651 - P1652-Q1652) &lt; 1, N1652 - S1651-Q1652,
    TRUE, P1652
)</f>
        <v>0</v>
      </c>
      <c r="P1652" s="1852">
        <f>IF(M1652=0,0,ROUND(S1651*EXP(Int_Rate/365.25 * M1652)-S1651,2))</f>
        <v>0</v>
      </c>
      <c r="Q1652" s="1851" cm="1">
        <f t="array" ref="Q1652">_xlfn.IFS(
    AND(I1652=TRUE, K1652&lt;=No_Regular_Payments), Periodic_Admin_Charge,
   TRUE, 0
)</f>
        <v>0</v>
      </c>
      <c r="R1652" s="1850">
        <f>N1652-O1652-Q1652</f>
        <v>0</v>
      </c>
      <c r="S1652" s="1850">
        <f>ROUND(S1651-R1652,2)</f>
        <v>0</v>
      </c>
      <c r="T1652" s="1850">
        <f>ROUND(T1651-(N1652-Q1652),2)</f>
        <v>0</v>
      </c>
      <c r="U1652" s="1849"/>
      <c r="W1652" s="1848"/>
      <c r="X1652" s="1848"/>
      <c r="Y1652" s="1848"/>
    </row>
    <row r="1653" spans="2:25" hidden="1">
      <c r="B1653" s="1815" t="b">
        <f>AND(I1653=FALSE,N1652=0,Q1652=0,L1652="")</f>
        <v>1</v>
      </c>
      <c r="C1653" s="1844" t="str" cm="1">
        <f t="array" ref="C1653">_xlfn.IFS(
    L1653="", "",
    MONTH(L1653) &lt;= End_of_Year_Month, YEAR(L1653),
    TRUE, YEAR(L1653) + 1
)</f>
        <v/>
      </c>
      <c r="F1653" s="1857">
        <f>IF(L1653="",0,L1653)</f>
        <v>0</v>
      </c>
      <c r="G1653" s="1856">
        <f>-(N1653-Q1653)</f>
        <v>0</v>
      </c>
      <c r="I1653" s="1815" t="b">
        <f>K1653&lt;=Number_Payments</f>
        <v>0</v>
      </c>
      <c r="J1653" s="1855"/>
      <c r="K1653" s="1351">
        <f>K1652+1</f>
        <v>1527</v>
      </c>
      <c r="L1653" s="1854" t="str" cm="1">
        <f t="array" ref="L1653">_xlfn.IFS(
    I1652=FALSE, "",
    Payment_Frequency="Monthly", EDATE(L1652, 1),
    Payment_Frequency="Weekly", DATE(YEAR(L1652), MONTH(L1652), DAY(L1652) + 7),
    Payment_Frequency="Fortnightly", DATE(YEAR(L1652), MONTH(L1652), DAY(L1652) + 14),
    Payment_Frequency="Quarterly", DATE(YEAR(L1652), MONTH(L1652) + 3, DAY(L1652)),
    Payment_Frequency="Yearly", DATE(YEAR(L1652) + 1, MONTH(L1652), DAY(L1652)),
    TRUE, ""
)</f>
        <v/>
      </c>
      <c r="M1653" s="1853">
        <f>IF(ISERROR(L1653-L1652),0,L1653-L1652)</f>
        <v>0</v>
      </c>
      <c r="N1653" s="1851" cm="1">
        <f t="array" ref="N1653">_xlfn.IFS(
    AND(I1653=TRUE, K1653&lt;=No_Regular_Payments), Repay_Amt,
    AND(I1653=TRUE, K1653=No_Regular_Payments+1), Tm_Balloon_Amt,
   TRUE, 0
)</f>
        <v>0</v>
      </c>
      <c r="O1653" s="1850" cm="1">
        <f t="array" ref="O1653">_xlfn.IFS(
    M1653=0,0,
   ABS(N1653 - S1652 - P1653-Q1653) &lt; 1, N1653 - S1652-Q1653,
    TRUE, P1653
)</f>
        <v>0</v>
      </c>
      <c r="P1653" s="1852">
        <f>IF(M1653=0,0,ROUND(S1652*EXP(Int_Rate/365.25 * M1653)-S1652,2))</f>
        <v>0</v>
      </c>
      <c r="Q1653" s="1851" cm="1">
        <f t="array" ref="Q1653">_xlfn.IFS(
    AND(I1653=TRUE, K1653&lt;=No_Regular_Payments), Periodic_Admin_Charge,
   TRUE, 0
)</f>
        <v>0</v>
      </c>
      <c r="R1653" s="1850">
        <f>N1653-O1653-Q1653</f>
        <v>0</v>
      </c>
      <c r="S1653" s="1850">
        <f>ROUND(S1652-R1653,2)</f>
        <v>0</v>
      </c>
      <c r="T1653" s="1850">
        <f>ROUND(T1652-(N1653-Q1653),2)</f>
        <v>0</v>
      </c>
      <c r="U1653" s="1849"/>
      <c r="W1653" s="1848"/>
      <c r="X1653" s="1848"/>
      <c r="Y1653" s="1848"/>
    </row>
    <row r="1654" spans="2:25" hidden="1">
      <c r="B1654" s="1815" t="b">
        <f>AND(I1654=FALSE,N1653=0,Q1653=0,L1653="")</f>
        <v>1</v>
      </c>
      <c r="C1654" s="1844" t="str" cm="1">
        <f t="array" ref="C1654">_xlfn.IFS(
    L1654="", "",
    MONTH(L1654) &lt;= End_of_Year_Month, YEAR(L1654),
    TRUE, YEAR(L1654) + 1
)</f>
        <v/>
      </c>
      <c r="F1654" s="1857">
        <f>IF(L1654="",0,L1654)</f>
        <v>0</v>
      </c>
      <c r="G1654" s="1856">
        <f>-(N1654-Q1654)</f>
        <v>0</v>
      </c>
      <c r="I1654" s="1815" t="b">
        <f>K1654&lt;=Number_Payments</f>
        <v>0</v>
      </c>
      <c r="J1654" s="1855"/>
      <c r="K1654" s="1351">
        <f>K1653+1</f>
        <v>1528</v>
      </c>
      <c r="L1654" s="1854" t="str" cm="1">
        <f t="array" ref="L1654">_xlfn.IFS(
    I1653=FALSE, "",
    Payment_Frequency="Monthly", EDATE(L1653, 1),
    Payment_Frequency="Weekly", DATE(YEAR(L1653), MONTH(L1653), DAY(L1653) + 7),
    Payment_Frequency="Fortnightly", DATE(YEAR(L1653), MONTH(L1653), DAY(L1653) + 14),
    Payment_Frequency="Quarterly", DATE(YEAR(L1653), MONTH(L1653) + 3, DAY(L1653)),
    Payment_Frequency="Yearly", DATE(YEAR(L1653) + 1, MONTH(L1653), DAY(L1653)),
    TRUE, ""
)</f>
        <v/>
      </c>
      <c r="M1654" s="1853">
        <f>IF(ISERROR(L1654-L1653),0,L1654-L1653)</f>
        <v>0</v>
      </c>
      <c r="N1654" s="1851" cm="1">
        <f t="array" ref="N1654">_xlfn.IFS(
    AND(I1654=TRUE, K1654&lt;=No_Regular_Payments), Repay_Amt,
    AND(I1654=TRUE, K1654=No_Regular_Payments+1), Tm_Balloon_Amt,
   TRUE, 0
)</f>
        <v>0</v>
      </c>
      <c r="O1654" s="1850" cm="1">
        <f t="array" ref="O1654">_xlfn.IFS(
    M1654=0,0,
   ABS(N1654 - S1653 - P1654-Q1654) &lt; 1, N1654 - S1653-Q1654,
    TRUE, P1654
)</f>
        <v>0</v>
      </c>
      <c r="P1654" s="1852">
        <f>IF(M1654=0,0,ROUND(S1653*EXP(Int_Rate/365.25 * M1654)-S1653,2))</f>
        <v>0</v>
      </c>
      <c r="Q1654" s="1851" cm="1">
        <f t="array" ref="Q1654">_xlfn.IFS(
    AND(I1654=TRUE, K1654&lt;=No_Regular_Payments), Periodic_Admin_Charge,
   TRUE, 0
)</f>
        <v>0</v>
      </c>
      <c r="R1654" s="1850">
        <f>N1654-O1654-Q1654</f>
        <v>0</v>
      </c>
      <c r="S1654" s="1850">
        <f>ROUND(S1653-R1654,2)</f>
        <v>0</v>
      </c>
      <c r="T1654" s="1850">
        <f>ROUND(T1653-(N1654-Q1654),2)</f>
        <v>0</v>
      </c>
      <c r="U1654" s="1849"/>
      <c r="W1654" s="1848"/>
      <c r="X1654" s="1848"/>
      <c r="Y1654" s="1848"/>
    </row>
    <row r="1655" spans="2:25" hidden="1">
      <c r="B1655" s="1815" t="b">
        <f>AND(I1655=FALSE,N1654=0,Q1654=0,L1654="")</f>
        <v>1</v>
      </c>
      <c r="C1655" s="1844" t="str" cm="1">
        <f t="array" ref="C1655">_xlfn.IFS(
    L1655="", "",
    MONTH(L1655) &lt;= End_of_Year_Month, YEAR(L1655),
    TRUE, YEAR(L1655) + 1
)</f>
        <v/>
      </c>
      <c r="F1655" s="1857">
        <f>IF(L1655="",0,L1655)</f>
        <v>0</v>
      </c>
      <c r="G1655" s="1856">
        <f>-(N1655-Q1655)</f>
        <v>0</v>
      </c>
      <c r="I1655" s="1815" t="b">
        <f>K1655&lt;=Number_Payments</f>
        <v>0</v>
      </c>
      <c r="J1655" s="1855"/>
      <c r="K1655" s="1351">
        <f>K1654+1</f>
        <v>1529</v>
      </c>
      <c r="L1655" s="1854" t="str" cm="1">
        <f t="array" ref="L1655">_xlfn.IFS(
    I1654=FALSE, "",
    Payment_Frequency="Monthly", EDATE(L1654, 1),
    Payment_Frequency="Weekly", DATE(YEAR(L1654), MONTH(L1654), DAY(L1654) + 7),
    Payment_Frequency="Fortnightly", DATE(YEAR(L1654), MONTH(L1654), DAY(L1654) + 14),
    Payment_Frequency="Quarterly", DATE(YEAR(L1654), MONTH(L1654) + 3, DAY(L1654)),
    Payment_Frequency="Yearly", DATE(YEAR(L1654) + 1, MONTH(L1654), DAY(L1654)),
    TRUE, ""
)</f>
        <v/>
      </c>
      <c r="M1655" s="1853">
        <f>IF(ISERROR(L1655-L1654),0,L1655-L1654)</f>
        <v>0</v>
      </c>
      <c r="N1655" s="1851" cm="1">
        <f t="array" ref="N1655">_xlfn.IFS(
    AND(I1655=TRUE, K1655&lt;=No_Regular_Payments), Repay_Amt,
    AND(I1655=TRUE, K1655=No_Regular_Payments+1), Tm_Balloon_Amt,
   TRUE, 0
)</f>
        <v>0</v>
      </c>
      <c r="O1655" s="1850" cm="1">
        <f t="array" ref="O1655">_xlfn.IFS(
    M1655=0,0,
   ABS(N1655 - S1654 - P1655-Q1655) &lt; 1, N1655 - S1654-Q1655,
    TRUE, P1655
)</f>
        <v>0</v>
      </c>
      <c r="P1655" s="1852">
        <f>IF(M1655=0,0,ROUND(S1654*EXP(Int_Rate/365.25 * M1655)-S1654,2))</f>
        <v>0</v>
      </c>
      <c r="Q1655" s="1851" cm="1">
        <f t="array" ref="Q1655">_xlfn.IFS(
    AND(I1655=TRUE, K1655&lt;=No_Regular_Payments), Periodic_Admin_Charge,
   TRUE, 0
)</f>
        <v>0</v>
      </c>
      <c r="R1655" s="1850">
        <f>N1655-O1655-Q1655</f>
        <v>0</v>
      </c>
      <c r="S1655" s="1850">
        <f>ROUND(S1654-R1655,2)</f>
        <v>0</v>
      </c>
      <c r="T1655" s="1850">
        <f>ROUND(T1654-(N1655-Q1655),2)</f>
        <v>0</v>
      </c>
      <c r="U1655" s="1849"/>
      <c r="W1655" s="1848"/>
      <c r="X1655" s="1848"/>
      <c r="Y1655" s="1848"/>
    </row>
    <row r="1656" spans="2:25" hidden="1">
      <c r="B1656" s="1815" t="b">
        <f>AND(I1656=FALSE,N1655=0,Q1655=0,L1655="")</f>
        <v>1</v>
      </c>
      <c r="C1656" s="1844" t="str" cm="1">
        <f t="array" ref="C1656">_xlfn.IFS(
    L1656="", "",
    MONTH(L1656) &lt;= End_of_Year_Month, YEAR(L1656),
    TRUE, YEAR(L1656) + 1
)</f>
        <v/>
      </c>
      <c r="F1656" s="1857">
        <f>IF(L1656="",0,L1656)</f>
        <v>0</v>
      </c>
      <c r="G1656" s="1856">
        <f>-(N1656-Q1656)</f>
        <v>0</v>
      </c>
      <c r="I1656" s="1815" t="b">
        <f>K1656&lt;=Number_Payments</f>
        <v>0</v>
      </c>
      <c r="J1656" s="1855"/>
      <c r="K1656" s="1351">
        <f>K1655+1</f>
        <v>1530</v>
      </c>
      <c r="L1656" s="1854" t="str" cm="1">
        <f t="array" ref="L1656">_xlfn.IFS(
    I1655=FALSE, "",
    Payment_Frequency="Monthly", EDATE(L1655, 1),
    Payment_Frequency="Weekly", DATE(YEAR(L1655), MONTH(L1655), DAY(L1655) + 7),
    Payment_Frequency="Fortnightly", DATE(YEAR(L1655), MONTH(L1655), DAY(L1655) + 14),
    Payment_Frequency="Quarterly", DATE(YEAR(L1655), MONTH(L1655) + 3, DAY(L1655)),
    Payment_Frequency="Yearly", DATE(YEAR(L1655) + 1, MONTH(L1655), DAY(L1655)),
    TRUE, ""
)</f>
        <v/>
      </c>
      <c r="M1656" s="1853">
        <f>IF(ISERROR(L1656-L1655),0,L1656-L1655)</f>
        <v>0</v>
      </c>
      <c r="N1656" s="1851" cm="1">
        <f t="array" ref="N1656">_xlfn.IFS(
    AND(I1656=TRUE, K1656&lt;=No_Regular_Payments), Repay_Amt,
    AND(I1656=TRUE, K1656=No_Regular_Payments+1), Tm_Balloon_Amt,
   TRUE, 0
)</f>
        <v>0</v>
      </c>
      <c r="O1656" s="1850" cm="1">
        <f t="array" ref="O1656">_xlfn.IFS(
    M1656=0,0,
   ABS(N1656 - S1655 - P1656-Q1656) &lt; 1, N1656 - S1655-Q1656,
    TRUE, P1656
)</f>
        <v>0</v>
      </c>
      <c r="P1656" s="1852">
        <f>IF(M1656=0,0,ROUND(S1655*EXP(Int_Rate/365.25 * M1656)-S1655,2))</f>
        <v>0</v>
      </c>
      <c r="Q1656" s="1851" cm="1">
        <f t="array" ref="Q1656">_xlfn.IFS(
    AND(I1656=TRUE, K1656&lt;=No_Regular_Payments), Periodic_Admin_Charge,
   TRUE, 0
)</f>
        <v>0</v>
      </c>
      <c r="R1656" s="1850">
        <f>N1656-O1656-Q1656</f>
        <v>0</v>
      </c>
      <c r="S1656" s="1850">
        <f>ROUND(S1655-R1656,2)</f>
        <v>0</v>
      </c>
      <c r="T1656" s="1850">
        <f>ROUND(T1655-(N1656-Q1656),2)</f>
        <v>0</v>
      </c>
      <c r="U1656" s="1849"/>
      <c r="W1656" s="1848"/>
      <c r="X1656" s="1848"/>
      <c r="Y1656" s="1848"/>
    </row>
    <row r="1657" spans="2:25" hidden="1">
      <c r="B1657" s="1815" t="b">
        <f>AND(I1657=FALSE,N1656=0,Q1656=0,L1656="")</f>
        <v>1</v>
      </c>
      <c r="C1657" s="1844" t="str" cm="1">
        <f t="array" ref="C1657">_xlfn.IFS(
    L1657="", "",
    MONTH(L1657) &lt;= End_of_Year_Month, YEAR(L1657),
    TRUE, YEAR(L1657) + 1
)</f>
        <v/>
      </c>
      <c r="F1657" s="1857">
        <f>IF(L1657="",0,L1657)</f>
        <v>0</v>
      </c>
      <c r="G1657" s="1856">
        <f>-(N1657-Q1657)</f>
        <v>0</v>
      </c>
      <c r="I1657" s="1815" t="b">
        <f>K1657&lt;=Number_Payments</f>
        <v>0</v>
      </c>
      <c r="J1657" s="1855"/>
      <c r="K1657" s="1351">
        <f>K1656+1</f>
        <v>1531</v>
      </c>
      <c r="L1657" s="1854" t="str" cm="1">
        <f t="array" ref="L1657">_xlfn.IFS(
    I1656=FALSE, "",
    Payment_Frequency="Monthly", EDATE(L1656, 1),
    Payment_Frequency="Weekly", DATE(YEAR(L1656), MONTH(L1656), DAY(L1656) + 7),
    Payment_Frequency="Fortnightly", DATE(YEAR(L1656), MONTH(L1656), DAY(L1656) + 14),
    Payment_Frequency="Quarterly", DATE(YEAR(L1656), MONTH(L1656) + 3, DAY(L1656)),
    Payment_Frequency="Yearly", DATE(YEAR(L1656) + 1, MONTH(L1656), DAY(L1656)),
    TRUE, ""
)</f>
        <v/>
      </c>
      <c r="M1657" s="1853">
        <f>IF(ISERROR(L1657-L1656),0,L1657-L1656)</f>
        <v>0</v>
      </c>
      <c r="N1657" s="1851" cm="1">
        <f t="array" ref="N1657">_xlfn.IFS(
    AND(I1657=TRUE, K1657&lt;=No_Regular_Payments), Repay_Amt,
    AND(I1657=TRUE, K1657=No_Regular_Payments+1), Tm_Balloon_Amt,
   TRUE, 0
)</f>
        <v>0</v>
      </c>
      <c r="O1657" s="1850" cm="1">
        <f t="array" ref="O1657">_xlfn.IFS(
    M1657=0,0,
   ABS(N1657 - S1656 - P1657-Q1657) &lt; 1, N1657 - S1656-Q1657,
    TRUE, P1657
)</f>
        <v>0</v>
      </c>
      <c r="P1657" s="1852">
        <f>IF(M1657=0,0,ROUND(S1656*EXP(Int_Rate/365.25 * M1657)-S1656,2))</f>
        <v>0</v>
      </c>
      <c r="Q1657" s="1851" cm="1">
        <f t="array" ref="Q1657">_xlfn.IFS(
    AND(I1657=TRUE, K1657&lt;=No_Regular_Payments), Periodic_Admin_Charge,
   TRUE, 0
)</f>
        <v>0</v>
      </c>
      <c r="R1657" s="1850">
        <f>N1657-O1657-Q1657</f>
        <v>0</v>
      </c>
      <c r="S1657" s="1850">
        <f>ROUND(S1656-R1657,2)</f>
        <v>0</v>
      </c>
      <c r="T1657" s="1850">
        <f>ROUND(T1656-(N1657-Q1657),2)</f>
        <v>0</v>
      </c>
      <c r="U1657" s="1849"/>
      <c r="W1657" s="1848"/>
      <c r="X1657" s="1848"/>
      <c r="Y1657" s="1848"/>
    </row>
    <row r="1658" spans="2:25" hidden="1">
      <c r="B1658" s="1815" t="b">
        <f>AND(I1658=FALSE,N1657=0,Q1657=0,L1657="")</f>
        <v>1</v>
      </c>
      <c r="C1658" s="1844" t="str" cm="1">
        <f t="array" ref="C1658">_xlfn.IFS(
    L1658="", "",
    MONTH(L1658) &lt;= End_of_Year_Month, YEAR(L1658),
    TRUE, YEAR(L1658) + 1
)</f>
        <v/>
      </c>
      <c r="F1658" s="1857">
        <f>IF(L1658="",0,L1658)</f>
        <v>0</v>
      </c>
      <c r="G1658" s="1856">
        <f>-(N1658-Q1658)</f>
        <v>0</v>
      </c>
      <c r="I1658" s="1815" t="b">
        <f>K1658&lt;=Number_Payments</f>
        <v>0</v>
      </c>
      <c r="J1658" s="1855"/>
      <c r="K1658" s="1351">
        <f>K1657+1</f>
        <v>1532</v>
      </c>
      <c r="L1658" s="1854" t="str" cm="1">
        <f t="array" ref="L1658">_xlfn.IFS(
    I1657=FALSE, "",
    Payment_Frequency="Monthly", EDATE(L1657, 1),
    Payment_Frequency="Weekly", DATE(YEAR(L1657), MONTH(L1657), DAY(L1657) + 7),
    Payment_Frequency="Fortnightly", DATE(YEAR(L1657), MONTH(L1657), DAY(L1657) + 14),
    Payment_Frequency="Quarterly", DATE(YEAR(L1657), MONTH(L1657) + 3, DAY(L1657)),
    Payment_Frequency="Yearly", DATE(YEAR(L1657) + 1, MONTH(L1657), DAY(L1657)),
    TRUE, ""
)</f>
        <v/>
      </c>
      <c r="M1658" s="1853">
        <f>IF(ISERROR(L1658-L1657),0,L1658-L1657)</f>
        <v>0</v>
      </c>
      <c r="N1658" s="1851" cm="1">
        <f t="array" ref="N1658">_xlfn.IFS(
    AND(I1658=TRUE, K1658&lt;=No_Regular_Payments), Repay_Amt,
    AND(I1658=TRUE, K1658=No_Regular_Payments+1), Tm_Balloon_Amt,
   TRUE, 0
)</f>
        <v>0</v>
      </c>
      <c r="O1658" s="1850" cm="1">
        <f t="array" ref="O1658">_xlfn.IFS(
    M1658=0,0,
   ABS(N1658 - S1657 - P1658-Q1658) &lt; 1, N1658 - S1657-Q1658,
    TRUE, P1658
)</f>
        <v>0</v>
      </c>
      <c r="P1658" s="1852">
        <f>IF(M1658=0,0,ROUND(S1657*EXP(Int_Rate/365.25 * M1658)-S1657,2))</f>
        <v>0</v>
      </c>
      <c r="Q1658" s="1851" cm="1">
        <f t="array" ref="Q1658">_xlfn.IFS(
    AND(I1658=TRUE, K1658&lt;=No_Regular_Payments), Periodic_Admin_Charge,
   TRUE, 0
)</f>
        <v>0</v>
      </c>
      <c r="R1658" s="1850">
        <f>N1658-O1658-Q1658</f>
        <v>0</v>
      </c>
      <c r="S1658" s="1850">
        <f>ROUND(S1657-R1658,2)</f>
        <v>0</v>
      </c>
      <c r="T1658" s="1850">
        <f>ROUND(T1657-(N1658-Q1658),2)</f>
        <v>0</v>
      </c>
      <c r="U1658" s="1849"/>
      <c r="W1658" s="1848"/>
      <c r="X1658" s="1848"/>
      <c r="Y1658" s="1848"/>
    </row>
    <row r="1659" spans="2:25" hidden="1">
      <c r="B1659" s="1815" t="b">
        <f>AND(I1659=FALSE,N1658=0,Q1658=0,L1658="")</f>
        <v>1</v>
      </c>
      <c r="C1659" s="1844" t="str" cm="1">
        <f t="array" ref="C1659">_xlfn.IFS(
    L1659="", "",
    MONTH(L1659) &lt;= End_of_Year_Month, YEAR(L1659),
    TRUE, YEAR(L1659) + 1
)</f>
        <v/>
      </c>
      <c r="F1659" s="1857">
        <f>IF(L1659="",0,L1659)</f>
        <v>0</v>
      </c>
      <c r="G1659" s="1856">
        <f>-(N1659-Q1659)</f>
        <v>0</v>
      </c>
      <c r="I1659" s="1815" t="b">
        <f>K1659&lt;=Number_Payments</f>
        <v>0</v>
      </c>
      <c r="J1659" s="1855"/>
      <c r="K1659" s="1351">
        <f>K1658+1</f>
        <v>1533</v>
      </c>
      <c r="L1659" s="1854" t="str" cm="1">
        <f t="array" ref="L1659">_xlfn.IFS(
    I1658=FALSE, "",
    Payment_Frequency="Monthly", EDATE(L1658, 1),
    Payment_Frequency="Weekly", DATE(YEAR(L1658), MONTH(L1658), DAY(L1658) + 7),
    Payment_Frequency="Fortnightly", DATE(YEAR(L1658), MONTH(L1658), DAY(L1658) + 14),
    Payment_Frequency="Quarterly", DATE(YEAR(L1658), MONTH(L1658) + 3, DAY(L1658)),
    Payment_Frequency="Yearly", DATE(YEAR(L1658) + 1, MONTH(L1658), DAY(L1658)),
    TRUE, ""
)</f>
        <v/>
      </c>
      <c r="M1659" s="1853">
        <f>IF(ISERROR(L1659-L1658),0,L1659-L1658)</f>
        <v>0</v>
      </c>
      <c r="N1659" s="1851" cm="1">
        <f t="array" ref="N1659">_xlfn.IFS(
    AND(I1659=TRUE, K1659&lt;=No_Regular_Payments), Repay_Amt,
    AND(I1659=TRUE, K1659=No_Regular_Payments+1), Tm_Balloon_Amt,
   TRUE, 0
)</f>
        <v>0</v>
      </c>
      <c r="O1659" s="1850" cm="1">
        <f t="array" ref="O1659">_xlfn.IFS(
    M1659=0,0,
   ABS(N1659 - S1658 - P1659-Q1659) &lt; 1, N1659 - S1658-Q1659,
    TRUE, P1659
)</f>
        <v>0</v>
      </c>
      <c r="P1659" s="1852">
        <f>IF(M1659=0,0,ROUND(S1658*EXP(Int_Rate/365.25 * M1659)-S1658,2))</f>
        <v>0</v>
      </c>
      <c r="Q1659" s="1851" cm="1">
        <f t="array" ref="Q1659">_xlfn.IFS(
    AND(I1659=TRUE, K1659&lt;=No_Regular_Payments), Periodic_Admin_Charge,
   TRUE, 0
)</f>
        <v>0</v>
      </c>
      <c r="R1659" s="1850">
        <f>N1659-O1659-Q1659</f>
        <v>0</v>
      </c>
      <c r="S1659" s="1850">
        <f>ROUND(S1658-R1659,2)</f>
        <v>0</v>
      </c>
      <c r="T1659" s="1850">
        <f>ROUND(T1658-(N1659-Q1659),2)</f>
        <v>0</v>
      </c>
      <c r="U1659" s="1849"/>
      <c r="W1659" s="1848"/>
      <c r="X1659" s="1848"/>
      <c r="Y1659" s="1848"/>
    </row>
    <row r="1660" spans="2:25" hidden="1">
      <c r="B1660" s="1815" t="b">
        <f>AND(I1660=FALSE,N1659=0,Q1659=0,L1659="")</f>
        <v>1</v>
      </c>
      <c r="C1660" s="1844" t="str" cm="1">
        <f t="array" ref="C1660">_xlfn.IFS(
    L1660="", "",
    MONTH(L1660) &lt;= End_of_Year_Month, YEAR(L1660),
    TRUE, YEAR(L1660) + 1
)</f>
        <v/>
      </c>
      <c r="F1660" s="1857">
        <f>IF(L1660="",0,L1660)</f>
        <v>0</v>
      </c>
      <c r="G1660" s="1856">
        <f>-(N1660-Q1660)</f>
        <v>0</v>
      </c>
      <c r="I1660" s="1815" t="b">
        <f>K1660&lt;=Number_Payments</f>
        <v>0</v>
      </c>
      <c r="J1660" s="1855"/>
      <c r="K1660" s="1351">
        <f>K1659+1</f>
        <v>1534</v>
      </c>
      <c r="L1660" s="1854" t="str" cm="1">
        <f t="array" ref="L1660">_xlfn.IFS(
    I1659=FALSE, "",
    Payment_Frequency="Monthly", EDATE(L1659, 1),
    Payment_Frequency="Weekly", DATE(YEAR(L1659), MONTH(L1659), DAY(L1659) + 7),
    Payment_Frequency="Fortnightly", DATE(YEAR(L1659), MONTH(L1659), DAY(L1659) + 14),
    Payment_Frequency="Quarterly", DATE(YEAR(L1659), MONTH(L1659) + 3, DAY(L1659)),
    Payment_Frequency="Yearly", DATE(YEAR(L1659) + 1, MONTH(L1659), DAY(L1659)),
    TRUE, ""
)</f>
        <v/>
      </c>
      <c r="M1660" s="1853">
        <f>IF(ISERROR(L1660-L1659),0,L1660-L1659)</f>
        <v>0</v>
      </c>
      <c r="N1660" s="1851" cm="1">
        <f t="array" ref="N1660">_xlfn.IFS(
    AND(I1660=TRUE, K1660&lt;=No_Regular_Payments), Repay_Amt,
    AND(I1660=TRUE, K1660=No_Regular_Payments+1), Tm_Balloon_Amt,
   TRUE, 0
)</f>
        <v>0</v>
      </c>
      <c r="O1660" s="1850" cm="1">
        <f t="array" ref="O1660">_xlfn.IFS(
    M1660=0,0,
   ABS(N1660 - S1659 - P1660-Q1660) &lt; 1, N1660 - S1659-Q1660,
    TRUE, P1660
)</f>
        <v>0</v>
      </c>
      <c r="P1660" s="1852">
        <f>IF(M1660=0,0,ROUND(S1659*EXP(Int_Rate/365.25 * M1660)-S1659,2))</f>
        <v>0</v>
      </c>
      <c r="Q1660" s="1851" cm="1">
        <f t="array" ref="Q1660">_xlfn.IFS(
    AND(I1660=TRUE, K1660&lt;=No_Regular_Payments), Periodic_Admin_Charge,
   TRUE, 0
)</f>
        <v>0</v>
      </c>
      <c r="R1660" s="1850">
        <f>N1660-O1660-Q1660</f>
        <v>0</v>
      </c>
      <c r="S1660" s="1850">
        <f>ROUND(S1659-R1660,2)</f>
        <v>0</v>
      </c>
      <c r="T1660" s="1850">
        <f>ROUND(T1659-(N1660-Q1660),2)</f>
        <v>0</v>
      </c>
      <c r="U1660" s="1849"/>
      <c r="W1660" s="1848"/>
      <c r="X1660" s="1848"/>
      <c r="Y1660" s="1848"/>
    </row>
    <row r="1661" spans="2:25" hidden="1">
      <c r="B1661" s="1815" t="b">
        <f>AND(I1661=FALSE,N1660=0,Q1660=0,L1660="")</f>
        <v>1</v>
      </c>
      <c r="C1661" s="1844" t="str" cm="1">
        <f t="array" ref="C1661">_xlfn.IFS(
    L1661="", "",
    MONTH(L1661) &lt;= End_of_Year_Month, YEAR(L1661),
    TRUE, YEAR(L1661) + 1
)</f>
        <v/>
      </c>
      <c r="F1661" s="1857">
        <f>IF(L1661="",0,L1661)</f>
        <v>0</v>
      </c>
      <c r="G1661" s="1856">
        <f>-(N1661-Q1661)</f>
        <v>0</v>
      </c>
      <c r="I1661" s="1815" t="b">
        <f>K1661&lt;=Number_Payments</f>
        <v>0</v>
      </c>
      <c r="J1661" s="1855"/>
      <c r="K1661" s="1351">
        <f>K1660+1</f>
        <v>1535</v>
      </c>
      <c r="L1661" s="1854" t="str" cm="1">
        <f t="array" ref="L1661">_xlfn.IFS(
    I1660=FALSE, "",
    Payment_Frequency="Monthly", EDATE(L1660, 1),
    Payment_Frequency="Weekly", DATE(YEAR(L1660), MONTH(L1660), DAY(L1660) + 7),
    Payment_Frequency="Fortnightly", DATE(YEAR(L1660), MONTH(L1660), DAY(L1660) + 14),
    Payment_Frequency="Quarterly", DATE(YEAR(L1660), MONTH(L1660) + 3, DAY(L1660)),
    Payment_Frequency="Yearly", DATE(YEAR(L1660) + 1, MONTH(L1660), DAY(L1660)),
    TRUE, ""
)</f>
        <v/>
      </c>
      <c r="M1661" s="1853">
        <f>IF(ISERROR(L1661-L1660),0,L1661-L1660)</f>
        <v>0</v>
      </c>
      <c r="N1661" s="1851" cm="1">
        <f t="array" ref="N1661">_xlfn.IFS(
    AND(I1661=TRUE, K1661&lt;=No_Regular_Payments), Repay_Amt,
    AND(I1661=TRUE, K1661=No_Regular_Payments+1), Tm_Balloon_Amt,
   TRUE, 0
)</f>
        <v>0</v>
      </c>
      <c r="O1661" s="1850" cm="1">
        <f t="array" ref="O1661">_xlfn.IFS(
    M1661=0,0,
   ABS(N1661 - S1660 - P1661-Q1661) &lt; 1, N1661 - S1660-Q1661,
    TRUE, P1661
)</f>
        <v>0</v>
      </c>
      <c r="P1661" s="1852">
        <f>IF(M1661=0,0,ROUND(S1660*EXP(Int_Rate/365.25 * M1661)-S1660,2))</f>
        <v>0</v>
      </c>
      <c r="Q1661" s="1851" cm="1">
        <f t="array" ref="Q1661">_xlfn.IFS(
    AND(I1661=TRUE, K1661&lt;=No_Regular_Payments), Periodic_Admin_Charge,
   TRUE, 0
)</f>
        <v>0</v>
      </c>
      <c r="R1661" s="1850">
        <f>N1661-O1661-Q1661</f>
        <v>0</v>
      </c>
      <c r="S1661" s="1850">
        <f>ROUND(S1660-R1661,2)</f>
        <v>0</v>
      </c>
      <c r="T1661" s="1850">
        <f>ROUND(T1660-(N1661-Q1661),2)</f>
        <v>0</v>
      </c>
      <c r="U1661" s="1849"/>
      <c r="W1661" s="1848"/>
      <c r="X1661" s="1848"/>
      <c r="Y1661" s="1848"/>
    </row>
    <row r="1662" spans="2:25" hidden="1">
      <c r="B1662" s="1815" t="b">
        <f>AND(I1662=FALSE,N1661=0,Q1661=0,L1661="")</f>
        <v>1</v>
      </c>
      <c r="C1662" s="1844" t="str" cm="1">
        <f t="array" ref="C1662">_xlfn.IFS(
    L1662="", "",
    MONTH(L1662) &lt;= End_of_Year_Month, YEAR(L1662),
    TRUE, YEAR(L1662) + 1
)</f>
        <v/>
      </c>
      <c r="F1662" s="1857">
        <f>IF(L1662="",0,L1662)</f>
        <v>0</v>
      </c>
      <c r="G1662" s="1856">
        <f>-(N1662-Q1662)</f>
        <v>0</v>
      </c>
      <c r="I1662" s="1815" t="b">
        <f>K1662&lt;=Number_Payments</f>
        <v>0</v>
      </c>
      <c r="J1662" s="1855"/>
      <c r="K1662" s="1351">
        <f>K1661+1</f>
        <v>1536</v>
      </c>
      <c r="L1662" s="1854" t="str" cm="1">
        <f t="array" ref="L1662">_xlfn.IFS(
    I1661=FALSE, "",
    Payment_Frequency="Monthly", EDATE(L1661, 1),
    Payment_Frequency="Weekly", DATE(YEAR(L1661), MONTH(L1661), DAY(L1661) + 7),
    Payment_Frequency="Fortnightly", DATE(YEAR(L1661), MONTH(L1661), DAY(L1661) + 14),
    Payment_Frequency="Quarterly", DATE(YEAR(L1661), MONTH(L1661) + 3, DAY(L1661)),
    Payment_Frequency="Yearly", DATE(YEAR(L1661) + 1, MONTH(L1661), DAY(L1661)),
    TRUE, ""
)</f>
        <v/>
      </c>
      <c r="M1662" s="1853">
        <f>IF(ISERROR(L1662-L1661),0,L1662-L1661)</f>
        <v>0</v>
      </c>
      <c r="N1662" s="1851" cm="1">
        <f t="array" ref="N1662">_xlfn.IFS(
    AND(I1662=TRUE, K1662&lt;=No_Regular_Payments), Repay_Amt,
    AND(I1662=TRUE, K1662=No_Regular_Payments+1), Tm_Balloon_Amt,
   TRUE, 0
)</f>
        <v>0</v>
      </c>
      <c r="O1662" s="1850" cm="1">
        <f t="array" ref="O1662">_xlfn.IFS(
    M1662=0,0,
   ABS(N1662 - S1661 - P1662-Q1662) &lt; 1, N1662 - S1661-Q1662,
    TRUE, P1662
)</f>
        <v>0</v>
      </c>
      <c r="P1662" s="1852">
        <f>IF(M1662=0,0,ROUND(S1661*EXP(Int_Rate/365.25 * M1662)-S1661,2))</f>
        <v>0</v>
      </c>
      <c r="Q1662" s="1851" cm="1">
        <f t="array" ref="Q1662">_xlfn.IFS(
    AND(I1662=TRUE, K1662&lt;=No_Regular_Payments), Periodic_Admin_Charge,
   TRUE, 0
)</f>
        <v>0</v>
      </c>
      <c r="R1662" s="1850">
        <f>N1662-O1662-Q1662</f>
        <v>0</v>
      </c>
      <c r="S1662" s="1850">
        <f>ROUND(S1661-R1662,2)</f>
        <v>0</v>
      </c>
      <c r="T1662" s="1850">
        <f>ROUND(T1661-(N1662-Q1662),2)</f>
        <v>0</v>
      </c>
      <c r="U1662" s="1849"/>
      <c r="W1662" s="1848"/>
      <c r="X1662" s="1848"/>
      <c r="Y1662" s="1848"/>
    </row>
    <row r="1663" spans="2:25" hidden="1">
      <c r="B1663" s="1815" t="b">
        <f>AND(I1663=FALSE,N1662=0,Q1662=0,L1662="")</f>
        <v>1</v>
      </c>
      <c r="C1663" s="1844" t="str" cm="1">
        <f t="array" ref="C1663">_xlfn.IFS(
    L1663="", "",
    MONTH(L1663) &lt;= End_of_Year_Month, YEAR(L1663),
    TRUE, YEAR(L1663) + 1
)</f>
        <v/>
      </c>
      <c r="F1663" s="1857">
        <f>IF(L1663="",0,L1663)</f>
        <v>0</v>
      </c>
      <c r="G1663" s="1856">
        <f>-(N1663-Q1663)</f>
        <v>0</v>
      </c>
      <c r="I1663" s="1815" t="b">
        <f>K1663&lt;=Number_Payments</f>
        <v>0</v>
      </c>
      <c r="J1663" s="1855"/>
      <c r="K1663" s="1351">
        <f>K1662+1</f>
        <v>1537</v>
      </c>
      <c r="L1663" s="1854" t="str" cm="1">
        <f t="array" ref="L1663">_xlfn.IFS(
    I1662=FALSE, "",
    Payment_Frequency="Monthly", EDATE(L1662, 1),
    Payment_Frequency="Weekly", DATE(YEAR(L1662), MONTH(L1662), DAY(L1662) + 7),
    Payment_Frequency="Fortnightly", DATE(YEAR(L1662), MONTH(L1662), DAY(L1662) + 14),
    Payment_Frequency="Quarterly", DATE(YEAR(L1662), MONTH(L1662) + 3, DAY(L1662)),
    Payment_Frequency="Yearly", DATE(YEAR(L1662) + 1, MONTH(L1662), DAY(L1662)),
    TRUE, ""
)</f>
        <v/>
      </c>
      <c r="M1663" s="1853">
        <f>IF(ISERROR(L1663-L1662),0,L1663-L1662)</f>
        <v>0</v>
      </c>
      <c r="N1663" s="1851" cm="1">
        <f t="array" ref="N1663">_xlfn.IFS(
    AND(I1663=TRUE, K1663&lt;=No_Regular_Payments), Repay_Amt,
    AND(I1663=TRUE, K1663=No_Regular_Payments+1), Tm_Balloon_Amt,
   TRUE, 0
)</f>
        <v>0</v>
      </c>
      <c r="O1663" s="1850" cm="1">
        <f t="array" ref="O1663">_xlfn.IFS(
    M1663=0,0,
   ABS(N1663 - S1662 - P1663-Q1663) &lt; 1, N1663 - S1662-Q1663,
    TRUE, P1663
)</f>
        <v>0</v>
      </c>
      <c r="P1663" s="1852">
        <f>IF(M1663=0,0,ROUND(S1662*EXP(Int_Rate/365.25 * M1663)-S1662,2))</f>
        <v>0</v>
      </c>
      <c r="Q1663" s="1851" cm="1">
        <f t="array" ref="Q1663">_xlfn.IFS(
    AND(I1663=TRUE, K1663&lt;=No_Regular_Payments), Periodic_Admin_Charge,
   TRUE, 0
)</f>
        <v>0</v>
      </c>
      <c r="R1663" s="1850">
        <f>N1663-O1663-Q1663</f>
        <v>0</v>
      </c>
      <c r="S1663" s="1850">
        <f>ROUND(S1662-R1663,2)</f>
        <v>0</v>
      </c>
      <c r="T1663" s="1850">
        <f>ROUND(T1662-(N1663-Q1663),2)</f>
        <v>0</v>
      </c>
      <c r="U1663" s="1849"/>
      <c r="W1663" s="1848"/>
      <c r="X1663" s="1848"/>
      <c r="Y1663" s="1848"/>
    </row>
    <row r="1664" spans="2:25" hidden="1">
      <c r="B1664" s="1815" t="b">
        <f>AND(I1664=FALSE,N1663=0,Q1663=0,L1663="")</f>
        <v>1</v>
      </c>
      <c r="C1664" s="1844" t="str" cm="1">
        <f t="array" ref="C1664">_xlfn.IFS(
    L1664="", "",
    MONTH(L1664) &lt;= End_of_Year_Month, YEAR(L1664),
    TRUE, YEAR(L1664) + 1
)</f>
        <v/>
      </c>
      <c r="F1664" s="1857">
        <f>IF(L1664="",0,L1664)</f>
        <v>0</v>
      </c>
      <c r="G1664" s="1856">
        <f>-(N1664-Q1664)</f>
        <v>0</v>
      </c>
      <c r="I1664" s="1815" t="b">
        <f>K1664&lt;=Number_Payments</f>
        <v>0</v>
      </c>
      <c r="J1664" s="1855"/>
      <c r="K1664" s="1351">
        <f>K1663+1</f>
        <v>1538</v>
      </c>
      <c r="L1664" s="1854" t="str" cm="1">
        <f t="array" ref="L1664">_xlfn.IFS(
    I1663=FALSE, "",
    Payment_Frequency="Monthly", EDATE(L1663, 1),
    Payment_Frequency="Weekly", DATE(YEAR(L1663), MONTH(L1663), DAY(L1663) + 7),
    Payment_Frequency="Fortnightly", DATE(YEAR(L1663), MONTH(L1663), DAY(L1663) + 14),
    Payment_Frequency="Quarterly", DATE(YEAR(L1663), MONTH(L1663) + 3, DAY(L1663)),
    Payment_Frequency="Yearly", DATE(YEAR(L1663) + 1, MONTH(L1663), DAY(L1663)),
    TRUE, ""
)</f>
        <v/>
      </c>
      <c r="M1664" s="1853">
        <f>IF(ISERROR(L1664-L1663),0,L1664-L1663)</f>
        <v>0</v>
      </c>
      <c r="N1664" s="1851" cm="1">
        <f t="array" ref="N1664">_xlfn.IFS(
    AND(I1664=TRUE, K1664&lt;=No_Regular_Payments), Repay_Amt,
    AND(I1664=TRUE, K1664=No_Regular_Payments+1), Tm_Balloon_Amt,
   TRUE, 0
)</f>
        <v>0</v>
      </c>
      <c r="O1664" s="1850" cm="1">
        <f t="array" ref="O1664">_xlfn.IFS(
    M1664=0,0,
   ABS(N1664 - S1663 - P1664-Q1664) &lt; 1, N1664 - S1663-Q1664,
    TRUE, P1664
)</f>
        <v>0</v>
      </c>
      <c r="P1664" s="1852">
        <f>IF(M1664=0,0,ROUND(S1663*EXP(Int_Rate/365.25 * M1664)-S1663,2))</f>
        <v>0</v>
      </c>
      <c r="Q1664" s="1851" cm="1">
        <f t="array" ref="Q1664">_xlfn.IFS(
    AND(I1664=TRUE, K1664&lt;=No_Regular_Payments), Periodic_Admin_Charge,
   TRUE, 0
)</f>
        <v>0</v>
      </c>
      <c r="R1664" s="1850">
        <f>N1664-O1664-Q1664</f>
        <v>0</v>
      </c>
      <c r="S1664" s="1850">
        <f>ROUND(S1663-R1664,2)</f>
        <v>0</v>
      </c>
      <c r="T1664" s="1850">
        <f>ROUND(T1663-(N1664-Q1664),2)</f>
        <v>0</v>
      </c>
      <c r="U1664" s="1849"/>
      <c r="W1664" s="1848"/>
      <c r="X1664" s="1848"/>
      <c r="Y1664" s="1848"/>
    </row>
    <row r="1665" spans="2:25" hidden="1">
      <c r="B1665" s="1815" t="b">
        <f>AND(I1665=FALSE,N1664=0,Q1664=0,L1664="")</f>
        <v>1</v>
      </c>
      <c r="C1665" s="1844" t="str" cm="1">
        <f t="array" ref="C1665">_xlfn.IFS(
    L1665="", "",
    MONTH(L1665) &lt;= End_of_Year_Month, YEAR(L1665),
    TRUE, YEAR(L1665) + 1
)</f>
        <v/>
      </c>
      <c r="F1665" s="1857">
        <f>IF(L1665="",0,L1665)</f>
        <v>0</v>
      </c>
      <c r="G1665" s="1856">
        <f>-(N1665-Q1665)</f>
        <v>0</v>
      </c>
      <c r="I1665" s="1815" t="b">
        <f>K1665&lt;=Number_Payments</f>
        <v>0</v>
      </c>
      <c r="J1665" s="1855"/>
      <c r="K1665" s="1351">
        <f>K1664+1</f>
        <v>1539</v>
      </c>
      <c r="L1665" s="1854" t="str" cm="1">
        <f t="array" ref="L1665">_xlfn.IFS(
    I1664=FALSE, "",
    Payment_Frequency="Monthly", EDATE(L1664, 1),
    Payment_Frequency="Weekly", DATE(YEAR(L1664), MONTH(L1664), DAY(L1664) + 7),
    Payment_Frequency="Fortnightly", DATE(YEAR(L1664), MONTH(L1664), DAY(L1664) + 14),
    Payment_Frequency="Quarterly", DATE(YEAR(L1664), MONTH(L1664) + 3, DAY(L1664)),
    Payment_Frequency="Yearly", DATE(YEAR(L1664) + 1, MONTH(L1664), DAY(L1664)),
    TRUE, ""
)</f>
        <v/>
      </c>
      <c r="M1665" s="1853">
        <f>IF(ISERROR(L1665-L1664),0,L1665-L1664)</f>
        <v>0</v>
      </c>
      <c r="N1665" s="1851" cm="1">
        <f t="array" ref="N1665">_xlfn.IFS(
    AND(I1665=TRUE, K1665&lt;=No_Regular_Payments), Repay_Amt,
    AND(I1665=TRUE, K1665=No_Regular_Payments+1), Tm_Balloon_Amt,
   TRUE, 0
)</f>
        <v>0</v>
      </c>
      <c r="O1665" s="1850" cm="1">
        <f t="array" ref="O1665">_xlfn.IFS(
    M1665=0,0,
   ABS(N1665 - S1664 - P1665-Q1665) &lt; 1, N1665 - S1664-Q1665,
    TRUE, P1665
)</f>
        <v>0</v>
      </c>
      <c r="P1665" s="1852">
        <f>IF(M1665=0,0,ROUND(S1664*EXP(Int_Rate/365.25 * M1665)-S1664,2))</f>
        <v>0</v>
      </c>
      <c r="Q1665" s="1851" cm="1">
        <f t="array" ref="Q1665">_xlfn.IFS(
    AND(I1665=TRUE, K1665&lt;=No_Regular_Payments), Periodic_Admin_Charge,
   TRUE, 0
)</f>
        <v>0</v>
      </c>
      <c r="R1665" s="1850">
        <f>N1665-O1665-Q1665</f>
        <v>0</v>
      </c>
      <c r="S1665" s="1850">
        <f>ROUND(S1664-R1665,2)</f>
        <v>0</v>
      </c>
      <c r="T1665" s="1850">
        <f>ROUND(T1664-(N1665-Q1665),2)</f>
        <v>0</v>
      </c>
      <c r="U1665" s="1849"/>
      <c r="W1665" s="1848"/>
      <c r="X1665" s="1848"/>
      <c r="Y1665" s="1848"/>
    </row>
    <row r="1666" spans="2:25" hidden="1">
      <c r="B1666" s="1815" t="b">
        <f>AND(I1666=FALSE,N1665=0,Q1665=0,L1665="")</f>
        <v>1</v>
      </c>
      <c r="C1666" s="1844" t="str" cm="1">
        <f t="array" ref="C1666">_xlfn.IFS(
    L1666="", "",
    MONTH(L1666) &lt;= End_of_Year_Month, YEAR(L1666),
    TRUE, YEAR(L1666) + 1
)</f>
        <v/>
      </c>
      <c r="F1666" s="1857">
        <f>IF(L1666="",0,L1666)</f>
        <v>0</v>
      </c>
      <c r="G1666" s="1856">
        <f>-(N1666-Q1666)</f>
        <v>0</v>
      </c>
      <c r="I1666" s="1815" t="b">
        <f>K1666&lt;=Number_Payments</f>
        <v>0</v>
      </c>
      <c r="J1666" s="1855"/>
      <c r="K1666" s="1351">
        <f>K1665+1</f>
        <v>1540</v>
      </c>
      <c r="L1666" s="1854" t="str" cm="1">
        <f t="array" ref="L1666">_xlfn.IFS(
    I1665=FALSE, "",
    Payment_Frequency="Monthly", EDATE(L1665, 1),
    Payment_Frequency="Weekly", DATE(YEAR(L1665), MONTH(L1665), DAY(L1665) + 7),
    Payment_Frequency="Fortnightly", DATE(YEAR(L1665), MONTH(L1665), DAY(L1665) + 14),
    Payment_Frequency="Quarterly", DATE(YEAR(L1665), MONTH(L1665) + 3, DAY(L1665)),
    Payment_Frequency="Yearly", DATE(YEAR(L1665) + 1, MONTH(L1665), DAY(L1665)),
    TRUE, ""
)</f>
        <v/>
      </c>
      <c r="M1666" s="1853">
        <f>IF(ISERROR(L1666-L1665),0,L1666-L1665)</f>
        <v>0</v>
      </c>
      <c r="N1666" s="1851" cm="1">
        <f t="array" ref="N1666">_xlfn.IFS(
    AND(I1666=TRUE, K1666&lt;=No_Regular_Payments), Repay_Amt,
    AND(I1666=TRUE, K1666=No_Regular_Payments+1), Tm_Balloon_Amt,
   TRUE, 0
)</f>
        <v>0</v>
      </c>
      <c r="O1666" s="1850" cm="1">
        <f t="array" ref="O1666">_xlfn.IFS(
    M1666=0,0,
   ABS(N1666 - S1665 - P1666-Q1666) &lt; 1, N1666 - S1665-Q1666,
    TRUE, P1666
)</f>
        <v>0</v>
      </c>
      <c r="P1666" s="1852">
        <f>IF(M1666=0,0,ROUND(S1665*EXP(Int_Rate/365.25 * M1666)-S1665,2))</f>
        <v>0</v>
      </c>
      <c r="Q1666" s="1851" cm="1">
        <f t="array" ref="Q1666">_xlfn.IFS(
    AND(I1666=TRUE, K1666&lt;=No_Regular_Payments), Periodic_Admin_Charge,
   TRUE, 0
)</f>
        <v>0</v>
      </c>
      <c r="R1666" s="1850">
        <f>N1666-O1666-Q1666</f>
        <v>0</v>
      </c>
      <c r="S1666" s="1850">
        <f>ROUND(S1665-R1666,2)</f>
        <v>0</v>
      </c>
      <c r="T1666" s="1850">
        <f>ROUND(T1665-(N1666-Q1666),2)</f>
        <v>0</v>
      </c>
      <c r="U1666" s="1849"/>
      <c r="W1666" s="1848"/>
      <c r="X1666" s="1848"/>
      <c r="Y1666" s="1848"/>
    </row>
    <row r="1667" spans="2:25" hidden="1">
      <c r="B1667" s="1815" t="b">
        <f>AND(I1667=FALSE,N1666=0,Q1666=0,L1666="")</f>
        <v>1</v>
      </c>
      <c r="C1667" s="1844" t="str" cm="1">
        <f t="array" ref="C1667">_xlfn.IFS(
    L1667="", "",
    MONTH(L1667) &lt;= End_of_Year_Month, YEAR(L1667),
    TRUE, YEAR(L1667) + 1
)</f>
        <v/>
      </c>
      <c r="F1667" s="1857">
        <f>IF(L1667="",0,L1667)</f>
        <v>0</v>
      </c>
      <c r="G1667" s="1856">
        <f>-(N1667-Q1667)</f>
        <v>0</v>
      </c>
      <c r="I1667" s="1815" t="b">
        <f>K1667&lt;=Number_Payments</f>
        <v>0</v>
      </c>
      <c r="J1667" s="1855"/>
      <c r="K1667" s="1351">
        <f>K1666+1</f>
        <v>1541</v>
      </c>
      <c r="L1667" s="1854" t="str" cm="1">
        <f t="array" ref="L1667">_xlfn.IFS(
    I1666=FALSE, "",
    Payment_Frequency="Monthly", EDATE(L1666, 1),
    Payment_Frequency="Weekly", DATE(YEAR(L1666), MONTH(L1666), DAY(L1666) + 7),
    Payment_Frequency="Fortnightly", DATE(YEAR(L1666), MONTH(L1666), DAY(L1666) + 14),
    Payment_Frequency="Quarterly", DATE(YEAR(L1666), MONTH(L1666) + 3, DAY(L1666)),
    Payment_Frequency="Yearly", DATE(YEAR(L1666) + 1, MONTH(L1666), DAY(L1666)),
    TRUE, ""
)</f>
        <v/>
      </c>
      <c r="M1667" s="1853">
        <f>IF(ISERROR(L1667-L1666),0,L1667-L1666)</f>
        <v>0</v>
      </c>
      <c r="N1667" s="1851" cm="1">
        <f t="array" ref="N1667">_xlfn.IFS(
    AND(I1667=TRUE, K1667&lt;=No_Regular_Payments), Repay_Amt,
    AND(I1667=TRUE, K1667=No_Regular_Payments+1), Tm_Balloon_Amt,
   TRUE, 0
)</f>
        <v>0</v>
      </c>
      <c r="O1667" s="1850" cm="1">
        <f t="array" ref="O1667">_xlfn.IFS(
    M1667=0,0,
   ABS(N1667 - S1666 - P1667-Q1667) &lt; 1, N1667 - S1666-Q1667,
    TRUE, P1667
)</f>
        <v>0</v>
      </c>
      <c r="P1667" s="1852">
        <f>IF(M1667=0,0,ROUND(S1666*EXP(Int_Rate/365.25 * M1667)-S1666,2))</f>
        <v>0</v>
      </c>
      <c r="Q1667" s="1851" cm="1">
        <f t="array" ref="Q1667">_xlfn.IFS(
    AND(I1667=TRUE, K1667&lt;=No_Regular_Payments), Periodic_Admin_Charge,
   TRUE, 0
)</f>
        <v>0</v>
      </c>
      <c r="R1667" s="1850">
        <f>N1667-O1667-Q1667</f>
        <v>0</v>
      </c>
      <c r="S1667" s="1850">
        <f>ROUND(S1666-R1667,2)</f>
        <v>0</v>
      </c>
      <c r="T1667" s="1850">
        <f>ROUND(T1666-(N1667-Q1667),2)</f>
        <v>0</v>
      </c>
      <c r="U1667" s="1849"/>
      <c r="W1667" s="1848"/>
      <c r="X1667" s="1848"/>
      <c r="Y1667" s="1848"/>
    </row>
    <row r="1668" spans="2:25" hidden="1">
      <c r="B1668" s="1815" t="b">
        <f>AND(I1668=FALSE,N1667=0,Q1667=0,L1667="")</f>
        <v>1</v>
      </c>
      <c r="C1668" s="1844" t="str" cm="1">
        <f t="array" ref="C1668">_xlfn.IFS(
    L1668="", "",
    MONTH(L1668) &lt;= End_of_Year_Month, YEAR(L1668),
    TRUE, YEAR(L1668) + 1
)</f>
        <v/>
      </c>
      <c r="F1668" s="1857">
        <f>IF(L1668="",0,L1668)</f>
        <v>0</v>
      </c>
      <c r="G1668" s="1856">
        <f>-(N1668-Q1668)</f>
        <v>0</v>
      </c>
      <c r="I1668" s="1815" t="b">
        <f>K1668&lt;=Number_Payments</f>
        <v>0</v>
      </c>
      <c r="J1668" s="1855"/>
      <c r="K1668" s="1351">
        <f>K1667+1</f>
        <v>1542</v>
      </c>
      <c r="L1668" s="1854" t="str" cm="1">
        <f t="array" ref="L1668">_xlfn.IFS(
    I1667=FALSE, "",
    Payment_Frequency="Monthly", EDATE(L1667, 1),
    Payment_Frequency="Weekly", DATE(YEAR(L1667), MONTH(L1667), DAY(L1667) + 7),
    Payment_Frequency="Fortnightly", DATE(YEAR(L1667), MONTH(L1667), DAY(L1667) + 14),
    Payment_Frequency="Quarterly", DATE(YEAR(L1667), MONTH(L1667) + 3, DAY(L1667)),
    Payment_Frequency="Yearly", DATE(YEAR(L1667) + 1, MONTH(L1667), DAY(L1667)),
    TRUE, ""
)</f>
        <v/>
      </c>
      <c r="M1668" s="1853">
        <f>IF(ISERROR(L1668-L1667),0,L1668-L1667)</f>
        <v>0</v>
      </c>
      <c r="N1668" s="1851" cm="1">
        <f t="array" ref="N1668">_xlfn.IFS(
    AND(I1668=TRUE, K1668&lt;=No_Regular_Payments), Repay_Amt,
    AND(I1668=TRUE, K1668=No_Regular_Payments+1), Tm_Balloon_Amt,
   TRUE, 0
)</f>
        <v>0</v>
      </c>
      <c r="O1668" s="1850" cm="1">
        <f t="array" ref="O1668">_xlfn.IFS(
    M1668=0,0,
   ABS(N1668 - S1667 - P1668-Q1668) &lt; 1, N1668 - S1667-Q1668,
    TRUE, P1668
)</f>
        <v>0</v>
      </c>
      <c r="P1668" s="1852">
        <f>IF(M1668=0,0,ROUND(S1667*EXP(Int_Rate/365.25 * M1668)-S1667,2))</f>
        <v>0</v>
      </c>
      <c r="Q1668" s="1851" cm="1">
        <f t="array" ref="Q1668">_xlfn.IFS(
    AND(I1668=TRUE, K1668&lt;=No_Regular_Payments), Periodic_Admin_Charge,
   TRUE, 0
)</f>
        <v>0</v>
      </c>
      <c r="R1668" s="1850">
        <f>N1668-O1668-Q1668</f>
        <v>0</v>
      </c>
      <c r="S1668" s="1850">
        <f>ROUND(S1667-R1668,2)</f>
        <v>0</v>
      </c>
      <c r="T1668" s="1850">
        <f>ROUND(T1667-(N1668-Q1668),2)</f>
        <v>0</v>
      </c>
      <c r="U1668" s="1849"/>
      <c r="W1668" s="1848"/>
      <c r="X1668" s="1848"/>
      <c r="Y1668" s="1848"/>
    </row>
    <row r="1669" spans="2:25" hidden="1">
      <c r="B1669" s="1815" t="b">
        <f>AND(I1669=FALSE,N1668=0,Q1668=0,L1668="")</f>
        <v>1</v>
      </c>
      <c r="C1669" s="1844" t="str" cm="1">
        <f t="array" ref="C1669">_xlfn.IFS(
    L1669="", "",
    MONTH(L1669) &lt;= End_of_Year_Month, YEAR(L1669),
    TRUE, YEAR(L1669) + 1
)</f>
        <v/>
      </c>
      <c r="F1669" s="1857">
        <f>IF(L1669="",0,L1669)</f>
        <v>0</v>
      </c>
      <c r="G1669" s="1856">
        <f>-(N1669-Q1669)</f>
        <v>0</v>
      </c>
      <c r="I1669" s="1815" t="b">
        <f>K1669&lt;=Number_Payments</f>
        <v>0</v>
      </c>
      <c r="J1669" s="1855"/>
      <c r="K1669" s="1351">
        <f>K1668+1</f>
        <v>1543</v>
      </c>
      <c r="L1669" s="1854" t="str" cm="1">
        <f t="array" ref="L1669">_xlfn.IFS(
    I1668=FALSE, "",
    Payment_Frequency="Monthly", EDATE(L1668, 1),
    Payment_Frequency="Weekly", DATE(YEAR(L1668), MONTH(L1668), DAY(L1668) + 7),
    Payment_Frequency="Fortnightly", DATE(YEAR(L1668), MONTH(L1668), DAY(L1668) + 14),
    Payment_Frequency="Quarterly", DATE(YEAR(L1668), MONTH(L1668) + 3, DAY(L1668)),
    Payment_Frequency="Yearly", DATE(YEAR(L1668) + 1, MONTH(L1668), DAY(L1668)),
    TRUE, ""
)</f>
        <v/>
      </c>
      <c r="M1669" s="1853">
        <f>IF(ISERROR(L1669-L1668),0,L1669-L1668)</f>
        <v>0</v>
      </c>
      <c r="N1669" s="1851" cm="1">
        <f t="array" ref="N1669">_xlfn.IFS(
    AND(I1669=TRUE, K1669&lt;=No_Regular_Payments), Repay_Amt,
    AND(I1669=TRUE, K1669=No_Regular_Payments+1), Tm_Balloon_Amt,
   TRUE, 0
)</f>
        <v>0</v>
      </c>
      <c r="O1669" s="1850" cm="1">
        <f t="array" ref="O1669">_xlfn.IFS(
    M1669=0,0,
   ABS(N1669 - S1668 - P1669-Q1669) &lt; 1, N1669 - S1668-Q1669,
    TRUE, P1669
)</f>
        <v>0</v>
      </c>
      <c r="P1669" s="1852">
        <f>IF(M1669=0,0,ROUND(S1668*EXP(Int_Rate/365.25 * M1669)-S1668,2))</f>
        <v>0</v>
      </c>
      <c r="Q1669" s="1851" cm="1">
        <f t="array" ref="Q1669">_xlfn.IFS(
    AND(I1669=TRUE, K1669&lt;=No_Regular_Payments), Periodic_Admin_Charge,
   TRUE, 0
)</f>
        <v>0</v>
      </c>
      <c r="R1669" s="1850">
        <f>N1669-O1669-Q1669</f>
        <v>0</v>
      </c>
      <c r="S1669" s="1850">
        <f>ROUND(S1668-R1669,2)</f>
        <v>0</v>
      </c>
      <c r="T1669" s="1850">
        <f>ROUND(T1668-(N1669-Q1669),2)</f>
        <v>0</v>
      </c>
      <c r="U1669" s="1849"/>
      <c r="W1669" s="1848"/>
      <c r="X1669" s="1848"/>
      <c r="Y1669" s="1848"/>
    </row>
    <row r="1670" spans="2:25" hidden="1">
      <c r="B1670" s="1815" t="b">
        <f>AND(I1670=FALSE,N1669=0,Q1669=0,L1669="")</f>
        <v>1</v>
      </c>
      <c r="C1670" s="1844" t="str" cm="1">
        <f t="array" ref="C1670">_xlfn.IFS(
    L1670="", "",
    MONTH(L1670) &lt;= End_of_Year_Month, YEAR(L1670),
    TRUE, YEAR(L1670) + 1
)</f>
        <v/>
      </c>
      <c r="F1670" s="1857">
        <f>IF(L1670="",0,L1670)</f>
        <v>0</v>
      </c>
      <c r="G1670" s="1856">
        <f>-(N1670-Q1670)</f>
        <v>0</v>
      </c>
      <c r="I1670" s="1815" t="b">
        <f>K1670&lt;=Number_Payments</f>
        <v>0</v>
      </c>
      <c r="J1670" s="1855"/>
      <c r="K1670" s="1351">
        <f>K1669+1</f>
        <v>1544</v>
      </c>
      <c r="L1670" s="1854" t="str" cm="1">
        <f t="array" ref="L1670">_xlfn.IFS(
    I1669=FALSE, "",
    Payment_Frequency="Monthly", EDATE(L1669, 1),
    Payment_Frequency="Weekly", DATE(YEAR(L1669), MONTH(L1669), DAY(L1669) + 7),
    Payment_Frequency="Fortnightly", DATE(YEAR(L1669), MONTH(L1669), DAY(L1669) + 14),
    Payment_Frequency="Quarterly", DATE(YEAR(L1669), MONTH(L1669) + 3, DAY(L1669)),
    Payment_Frequency="Yearly", DATE(YEAR(L1669) + 1, MONTH(L1669), DAY(L1669)),
    TRUE, ""
)</f>
        <v/>
      </c>
      <c r="M1670" s="1853">
        <f>IF(ISERROR(L1670-L1669),0,L1670-L1669)</f>
        <v>0</v>
      </c>
      <c r="N1670" s="1851" cm="1">
        <f t="array" ref="N1670">_xlfn.IFS(
    AND(I1670=TRUE, K1670&lt;=No_Regular_Payments), Repay_Amt,
    AND(I1670=TRUE, K1670=No_Regular_Payments+1), Tm_Balloon_Amt,
   TRUE, 0
)</f>
        <v>0</v>
      </c>
      <c r="O1670" s="1850" cm="1">
        <f t="array" ref="O1670">_xlfn.IFS(
    M1670=0,0,
   ABS(N1670 - S1669 - P1670-Q1670) &lt; 1, N1670 - S1669-Q1670,
    TRUE, P1670
)</f>
        <v>0</v>
      </c>
      <c r="P1670" s="1852">
        <f>IF(M1670=0,0,ROUND(S1669*EXP(Int_Rate/365.25 * M1670)-S1669,2))</f>
        <v>0</v>
      </c>
      <c r="Q1670" s="1851" cm="1">
        <f t="array" ref="Q1670">_xlfn.IFS(
    AND(I1670=TRUE, K1670&lt;=No_Regular_Payments), Periodic_Admin_Charge,
   TRUE, 0
)</f>
        <v>0</v>
      </c>
      <c r="R1670" s="1850">
        <f>N1670-O1670-Q1670</f>
        <v>0</v>
      </c>
      <c r="S1670" s="1850">
        <f>ROUND(S1669-R1670,2)</f>
        <v>0</v>
      </c>
      <c r="T1670" s="1850">
        <f>ROUND(T1669-(N1670-Q1670),2)</f>
        <v>0</v>
      </c>
      <c r="U1670" s="1849"/>
      <c r="W1670" s="1848"/>
      <c r="X1670" s="1848"/>
      <c r="Y1670" s="1848"/>
    </row>
    <row r="1671" spans="2:25" hidden="1">
      <c r="B1671" s="1815" t="b">
        <f>AND(I1671=FALSE,N1670=0,Q1670=0,L1670="")</f>
        <v>1</v>
      </c>
      <c r="C1671" s="1844" t="str" cm="1">
        <f t="array" ref="C1671">_xlfn.IFS(
    L1671="", "",
    MONTH(L1671) &lt;= End_of_Year_Month, YEAR(L1671),
    TRUE, YEAR(L1671) + 1
)</f>
        <v/>
      </c>
      <c r="F1671" s="1857">
        <f>IF(L1671="",0,L1671)</f>
        <v>0</v>
      </c>
      <c r="G1671" s="1856">
        <f>-(N1671-Q1671)</f>
        <v>0</v>
      </c>
      <c r="I1671" s="1815" t="b">
        <f>K1671&lt;=Number_Payments</f>
        <v>0</v>
      </c>
      <c r="J1671" s="1855"/>
      <c r="K1671" s="1351">
        <f>K1670+1</f>
        <v>1545</v>
      </c>
      <c r="L1671" s="1854" t="str" cm="1">
        <f t="array" ref="L1671">_xlfn.IFS(
    I1670=FALSE, "",
    Payment_Frequency="Monthly", EDATE(L1670, 1),
    Payment_Frequency="Weekly", DATE(YEAR(L1670), MONTH(L1670), DAY(L1670) + 7),
    Payment_Frequency="Fortnightly", DATE(YEAR(L1670), MONTH(L1670), DAY(L1670) + 14),
    Payment_Frequency="Quarterly", DATE(YEAR(L1670), MONTH(L1670) + 3, DAY(L1670)),
    Payment_Frequency="Yearly", DATE(YEAR(L1670) + 1, MONTH(L1670), DAY(L1670)),
    TRUE, ""
)</f>
        <v/>
      </c>
      <c r="M1671" s="1853">
        <f>IF(ISERROR(L1671-L1670),0,L1671-L1670)</f>
        <v>0</v>
      </c>
      <c r="N1671" s="1851" cm="1">
        <f t="array" ref="N1671">_xlfn.IFS(
    AND(I1671=TRUE, K1671&lt;=No_Regular_Payments), Repay_Amt,
    AND(I1671=TRUE, K1671=No_Regular_Payments+1), Tm_Balloon_Amt,
   TRUE, 0
)</f>
        <v>0</v>
      </c>
      <c r="O1671" s="1850" cm="1">
        <f t="array" ref="O1671">_xlfn.IFS(
    M1671=0,0,
   ABS(N1671 - S1670 - P1671-Q1671) &lt; 1, N1671 - S1670-Q1671,
    TRUE, P1671
)</f>
        <v>0</v>
      </c>
      <c r="P1671" s="1852">
        <f>IF(M1671=0,0,ROUND(S1670*EXP(Int_Rate/365.25 * M1671)-S1670,2))</f>
        <v>0</v>
      </c>
      <c r="Q1671" s="1851" cm="1">
        <f t="array" ref="Q1671">_xlfn.IFS(
    AND(I1671=TRUE, K1671&lt;=No_Regular_Payments), Periodic_Admin_Charge,
   TRUE, 0
)</f>
        <v>0</v>
      </c>
      <c r="R1671" s="1850">
        <f>N1671-O1671-Q1671</f>
        <v>0</v>
      </c>
      <c r="S1671" s="1850">
        <f>ROUND(S1670-R1671,2)</f>
        <v>0</v>
      </c>
      <c r="T1671" s="1850">
        <f>ROUND(T1670-(N1671-Q1671),2)</f>
        <v>0</v>
      </c>
      <c r="U1671" s="1849"/>
      <c r="W1671" s="1848"/>
      <c r="X1671" s="1848"/>
      <c r="Y1671" s="1848"/>
    </row>
    <row r="1672" spans="2:25" hidden="1">
      <c r="B1672" s="1815" t="b">
        <f>AND(I1672=FALSE,N1671=0,Q1671=0,L1671="")</f>
        <v>1</v>
      </c>
      <c r="C1672" s="1844" t="str" cm="1">
        <f t="array" ref="C1672">_xlfn.IFS(
    L1672="", "",
    MONTH(L1672) &lt;= End_of_Year_Month, YEAR(L1672),
    TRUE, YEAR(L1672) + 1
)</f>
        <v/>
      </c>
      <c r="F1672" s="1857">
        <f>IF(L1672="",0,L1672)</f>
        <v>0</v>
      </c>
      <c r="G1672" s="1856">
        <f>-(N1672-Q1672)</f>
        <v>0</v>
      </c>
      <c r="I1672" s="1815" t="b">
        <f>K1672&lt;=Number_Payments</f>
        <v>0</v>
      </c>
      <c r="J1672" s="1855"/>
      <c r="K1672" s="1351">
        <f>K1671+1</f>
        <v>1546</v>
      </c>
      <c r="L1672" s="1854" t="str" cm="1">
        <f t="array" ref="L1672">_xlfn.IFS(
    I1671=FALSE, "",
    Payment_Frequency="Monthly", EDATE(L1671, 1),
    Payment_Frequency="Weekly", DATE(YEAR(L1671), MONTH(L1671), DAY(L1671) + 7),
    Payment_Frequency="Fortnightly", DATE(YEAR(L1671), MONTH(L1671), DAY(L1671) + 14),
    Payment_Frequency="Quarterly", DATE(YEAR(L1671), MONTH(L1671) + 3, DAY(L1671)),
    Payment_Frequency="Yearly", DATE(YEAR(L1671) + 1, MONTH(L1671), DAY(L1671)),
    TRUE, ""
)</f>
        <v/>
      </c>
      <c r="M1672" s="1853">
        <f>IF(ISERROR(L1672-L1671),0,L1672-L1671)</f>
        <v>0</v>
      </c>
      <c r="N1672" s="1851" cm="1">
        <f t="array" ref="N1672">_xlfn.IFS(
    AND(I1672=TRUE, K1672&lt;=No_Regular_Payments), Repay_Amt,
    AND(I1672=TRUE, K1672=No_Regular_Payments+1), Tm_Balloon_Amt,
   TRUE, 0
)</f>
        <v>0</v>
      </c>
      <c r="O1672" s="1850" cm="1">
        <f t="array" ref="O1672">_xlfn.IFS(
    M1672=0,0,
   ABS(N1672 - S1671 - P1672-Q1672) &lt; 1, N1672 - S1671-Q1672,
    TRUE, P1672
)</f>
        <v>0</v>
      </c>
      <c r="P1672" s="1852">
        <f>IF(M1672=0,0,ROUND(S1671*EXP(Int_Rate/365.25 * M1672)-S1671,2))</f>
        <v>0</v>
      </c>
      <c r="Q1672" s="1851" cm="1">
        <f t="array" ref="Q1672">_xlfn.IFS(
    AND(I1672=TRUE, K1672&lt;=No_Regular_Payments), Periodic_Admin_Charge,
   TRUE, 0
)</f>
        <v>0</v>
      </c>
      <c r="R1672" s="1850">
        <f>N1672-O1672-Q1672</f>
        <v>0</v>
      </c>
      <c r="S1672" s="1850">
        <f>ROUND(S1671-R1672,2)</f>
        <v>0</v>
      </c>
      <c r="T1672" s="1850">
        <f>ROUND(T1671-(N1672-Q1672),2)</f>
        <v>0</v>
      </c>
      <c r="U1672" s="1849"/>
      <c r="W1672" s="1848"/>
      <c r="X1672" s="1848"/>
      <c r="Y1672" s="1848"/>
    </row>
    <row r="1673" spans="2:25" hidden="1">
      <c r="B1673" s="1815" t="b">
        <f>AND(I1673=FALSE,N1672=0,Q1672=0,L1672="")</f>
        <v>1</v>
      </c>
      <c r="C1673" s="1844" t="str" cm="1">
        <f t="array" ref="C1673">_xlfn.IFS(
    L1673="", "",
    MONTH(L1673) &lt;= End_of_Year_Month, YEAR(L1673),
    TRUE, YEAR(L1673) + 1
)</f>
        <v/>
      </c>
      <c r="F1673" s="1857">
        <f>IF(L1673="",0,L1673)</f>
        <v>0</v>
      </c>
      <c r="G1673" s="1856">
        <f>-(N1673-Q1673)</f>
        <v>0</v>
      </c>
      <c r="I1673" s="1815" t="b">
        <f>K1673&lt;=Number_Payments</f>
        <v>0</v>
      </c>
      <c r="J1673" s="1855"/>
      <c r="K1673" s="1351">
        <f>K1672+1</f>
        <v>1547</v>
      </c>
      <c r="L1673" s="1854" t="str" cm="1">
        <f t="array" ref="L1673">_xlfn.IFS(
    I1672=FALSE, "",
    Payment_Frequency="Monthly", EDATE(L1672, 1),
    Payment_Frequency="Weekly", DATE(YEAR(L1672), MONTH(L1672), DAY(L1672) + 7),
    Payment_Frequency="Fortnightly", DATE(YEAR(L1672), MONTH(L1672), DAY(L1672) + 14),
    Payment_Frequency="Quarterly", DATE(YEAR(L1672), MONTH(L1672) + 3, DAY(L1672)),
    Payment_Frequency="Yearly", DATE(YEAR(L1672) + 1, MONTH(L1672), DAY(L1672)),
    TRUE, ""
)</f>
        <v/>
      </c>
      <c r="M1673" s="1853">
        <f>IF(ISERROR(L1673-L1672),0,L1673-L1672)</f>
        <v>0</v>
      </c>
      <c r="N1673" s="1851" cm="1">
        <f t="array" ref="N1673">_xlfn.IFS(
    AND(I1673=TRUE, K1673&lt;=No_Regular_Payments), Repay_Amt,
    AND(I1673=TRUE, K1673=No_Regular_Payments+1), Tm_Balloon_Amt,
   TRUE, 0
)</f>
        <v>0</v>
      </c>
      <c r="O1673" s="1850" cm="1">
        <f t="array" ref="O1673">_xlfn.IFS(
    M1673=0,0,
   ABS(N1673 - S1672 - P1673-Q1673) &lt; 1, N1673 - S1672-Q1673,
    TRUE, P1673
)</f>
        <v>0</v>
      </c>
      <c r="P1673" s="1852">
        <f>IF(M1673=0,0,ROUND(S1672*EXP(Int_Rate/365.25 * M1673)-S1672,2))</f>
        <v>0</v>
      </c>
      <c r="Q1673" s="1851" cm="1">
        <f t="array" ref="Q1673">_xlfn.IFS(
    AND(I1673=TRUE, K1673&lt;=No_Regular_Payments), Periodic_Admin_Charge,
   TRUE, 0
)</f>
        <v>0</v>
      </c>
      <c r="R1673" s="1850">
        <f>N1673-O1673-Q1673</f>
        <v>0</v>
      </c>
      <c r="S1673" s="1850">
        <f>ROUND(S1672-R1673,2)</f>
        <v>0</v>
      </c>
      <c r="T1673" s="1850">
        <f>ROUND(T1672-(N1673-Q1673),2)</f>
        <v>0</v>
      </c>
      <c r="U1673" s="1849"/>
      <c r="W1673" s="1848"/>
      <c r="X1673" s="1848"/>
      <c r="Y1673" s="1848"/>
    </row>
    <row r="1674" spans="2:25" hidden="1">
      <c r="B1674" s="1815" t="b">
        <f>AND(I1674=FALSE,N1673=0,Q1673=0,L1673="")</f>
        <v>1</v>
      </c>
      <c r="C1674" s="1844" t="str" cm="1">
        <f t="array" ref="C1674">_xlfn.IFS(
    L1674="", "",
    MONTH(L1674) &lt;= End_of_Year_Month, YEAR(L1674),
    TRUE, YEAR(L1674) + 1
)</f>
        <v/>
      </c>
      <c r="F1674" s="1857">
        <f>IF(L1674="",0,L1674)</f>
        <v>0</v>
      </c>
      <c r="G1674" s="1856">
        <f>-(N1674-Q1674)</f>
        <v>0</v>
      </c>
      <c r="I1674" s="1815" t="b">
        <f>K1674&lt;=Number_Payments</f>
        <v>0</v>
      </c>
      <c r="J1674" s="1855"/>
      <c r="K1674" s="1351">
        <f>K1673+1</f>
        <v>1548</v>
      </c>
      <c r="L1674" s="1854" t="str" cm="1">
        <f t="array" ref="L1674">_xlfn.IFS(
    I1673=FALSE, "",
    Payment_Frequency="Monthly", EDATE(L1673, 1),
    Payment_Frequency="Weekly", DATE(YEAR(L1673), MONTH(L1673), DAY(L1673) + 7),
    Payment_Frequency="Fortnightly", DATE(YEAR(L1673), MONTH(L1673), DAY(L1673) + 14),
    Payment_Frequency="Quarterly", DATE(YEAR(L1673), MONTH(L1673) + 3, DAY(L1673)),
    Payment_Frequency="Yearly", DATE(YEAR(L1673) + 1, MONTH(L1673), DAY(L1673)),
    TRUE, ""
)</f>
        <v/>
      </c>
      <c r="M1674" s="1853">
        <f>IF(ISERROR(L1674-L1673),0,L1674-L1673)</f>
        <v>0</v>
      </c>
      <c r="N1674" s="1851" cm="1">
        <f t="array" ref="N1674">_xlfn.IFS(
    AND(I1674=TRUE, K1674&lt;=No_Regular_Payments), Repay_Amt,
    AND(I1674=TRUE, K1674=No_Regular_Payments+1), Tm_Balloon_Amt,
   TRUE, 0
)</f>
        <v>0</v>
      </c>
      <c r="O1674" s="1850" cm="1">
        <f t="array" ref="O1674">_xlfn.IFS(
    M1674=0,0,
   ABS(N1674 - S1673 - P1674-Q1674) &lt; 1, N1674 - S1673-Q1674,
    TRUE, P1674
)</f>
        <v>0</v>
      </c>
      <c r="P1674" s="1852">
        <f>IF(M1674=0,0,ROUND(S1673*EXP(Int_Rate/365.25 * M1674)-S1673,2))</f>
        <v>0</v>
      </c>
      <c r="Q1674" s="1851" cm="1">
        <f t="array" ref="Q1674">_xlfn.IFS(
    AND(I1674=TRUE, K1674&lt;=No_Regular_Payments), Periodic_Admin_Charge,
   TRUE, 0
)</f>
        <v>0</v>
      </c>
      <c r="R1674" s="1850">
        <f>N1674-O1674-Q1674</f>
        <v>0</v>
      </c>
      <c r="S1674" s="1850">
        <f>ROUND(S1673-R1674,2)</f>
        <v>0</v>
      </c>
      <c r="T1674" s="1850">
        <f>ROUND(T1673-(N1674-Q1674),2)</f>
        <v>0</v>
      </c>
      <c r="U1674" s="1849"/>
      <c r="W1674" s="1848"/>
      <c r="X1674" s="1848"/>
      <c r="Y1674" s="1848"/>
    </row>
    <row r="1675" spans="2:25" hidden="1">
      <c r="B1675" s="1815" t="b">
        <f>AND(I1675=FALSE,N1674=0,Q1674=0,L1674="")</f>
        <v>1</v>
      </c>
      <c r="C1675" s="1844" t="str" cm="1">
        <f t="array" ref="C1675">_xlfn.IFS(
    L1675="", "",
    MONTH(L1675) &lt;= End_of_Year_Month, YEAR(L1675),
    TRUE, YEAR(L1675) + 1
)</f>
        <v/>
      </c>
      <c r="F1675" s="1857">
        <f>IF(L1675="",0,L1675)</f>
        <v>0</v>
      </c>
      <c r="G1675" s="1856">
        <f>-(N1675-Q1675)</f>
        <v>0</v>
      </c>
      <c r="I1675" s="1815" t="b">
        <f>K1675&lt;=Number_Payments</f>
        <v>0</v>
      </c>
      <c r="J1675" s="1855"/>
      <c r="K1675" s="1351">
        <f>K1674+1</f>
        <v>1549</v>
      </c>
      <c r="L1675" s="1854" t="str" cm="1">
        <f t="array" ref="L1675">_xlfn.IFS(
    I1674=FALSE, "",
    Payment_Frequency="Monthly", EDATE(L1674, 1),
    Payment_Frequency="Weekly", DATE(YEAR(L1674), MONTH(L1674), DAY(L1674) + 7),
    Payment_Frequency="Fortnightly", DATE(YEAR(L1674), MONTH(L1674), DAY(L1674) + 14),
    Payment_Frequency="Quarterly", DATE(YEAR(L1674), MONTH(L1674) + 3, DAY(L1674)),
    Payment_Frequency="Yearly", DATE(YEAR(L1674) + 1, MONTH(L1674), DAY(L1674)),
    TRUE, ""
)</f>
        <v/>
      </c>
      <c r="M1675" s="1853">
        <f>IF(ISERROR(L1675-L1674),0,L1675-L1674)</f>
        <v>0</v>
      </c>
      <c r="N1675" s="1851" cm="1">
        <f t="array" ref="N1675">_xlfn.IFS(
    AND(I1675=TRUE, K1675&lt;=No_Regular_Payments), Repay_Amt,
    AND(I1675=TRUE, K1675=No_Regular_Payments+1), Tm_Balloon_Amt,
   TRUE, 0
)</f>
        <v>0</v>
      </c>
      <c r="O1675" s="1850" cm="1">
        <f t="array" ref="O1675">_xlfn.IFS(
    M1675=0,0,
   ABS(N1675 - S1674 - P1675-Q1675) &lt; 1, N1675 - S1674-Q1675,
    TRUE, P1675
)</f>
        <v>0</v>
      </c>
      <c r="P1675" s="1852">
        <f>IF(M1675=0,0,ROUND(S1674*EXP(Int_Rate/365.25 * M1675)-S1674,2))</f>
        <v>0</v>
      </c>
      <c r="Q1675" s="1851" cm="1">
        <f t="array" ref="Q1675">_xlfn.IFS(
    AND(I1675=TRUE, K1675&lt;=No_Regular_Payments), Periodic_Admin_Charge,
   TRUE, 0
)</f>
        <v>0</v>
      </c>
      <c r="R1675" s="1850">
        <f>N1675-O1675-Q1675</f>
        <v>0</v>
      </c>
      <c r="S1675" s="1850">
        <f>ROUND(S1674-R1675,2)</f>
        <v>0</v>
      </c>
      <c r="T1675" s="1850">
        <f>ROUND(T1674-(N1675-Q1675),2)</f>
        <v>0</v>
      </c>
      <c r="U1675" s="1849"/>
      <c r="W1675" s="1848"/>
      <c r="X1675" s="1848"/>
      <c r="Y1675" s="1848"/>
    </row>
    <row r="1676" spans="2:25" hidden="1">
      <c r="B1676" s="1815" t="b">
        <f>AND(I1676=FALSE,N1675=0,Q1675=0,L1675="")</f>
        <v>1</v>
      </c>
      <c r="C1676" s="1844" t="str" cm="1">
        <f t="array" ref="C1676">_xlfn.IFS(
    L1676="", "",
    MONTH(L1676) &lt;= End_of_Year_Month, YEAR(L1676),
    TRUE, YEAR(L1676) + 1
)</f>
        <v/>
      </c>
      <c r="F1676" s="1857">
        <f>IF(L1676="",0,L1676)</f>
        <v>0</v>
      </c>
      <c r="G1676" s="1856">
        <f>-(N1676-Q1676)</f>
        <v>0</v>
      </c>
      <c r="I1676" s="1815" t="b">
        <f>K1676&lt;=Number_Payments</f>
        <v>0</v>
      </c>
      <c r="J1676" s="1855"/>
      <c r="K1676" s="1351">
        <f>K1675+1</f>
        <v>1550</v>
      </c>
      <c r="L1676" s="1854" t="str" cm="1">
        <f t="array" ref="L1676">_xlfn.IFS(
    I1675=FALSE, "",
    Payment_Frequency="Monthly", EDATE(L1675, 1),
    Payment_Frequency="Weekly", DATE(YEAR(L1675), MONTH(L1675), DAY(L1675) + 7),
    Payment_Frequency="Fortnightly", DATE(YEAR(L1675), MONTH(L1675), DAY(L1675) + 14),
    Payment_Frequency="Quarterly", DATE(YEAR(L1675), MONTH(L1675) + 3, DAY(L1675)),
    Payment_Frequency="Yearly", DATE(YEAR(L1675) + 1, MONTH(L1675), DAY(L1675)),
    TRUE, ""
)</f>
        <v/>
      </c>
      <c r="M1676" s="1853">
        <f>IF(ISERROR(L1676-L1675),0,L1676-L1675)</f>
        <v>0</v>
      </c>
      <c r="N1676" s="1851" cm="1">
        <f t="array" ref="N1676">_xlfn.IFS(
    AND(I1676=TRUE, K1676&lt;=No_Regular_Payments), Repay_Amt,
    AND(I1676=TRUE, K1676=No_Regular_Payments+1), Tm_Balloon_Amt,
   TRUE, 0
)</f>
        <v>0</v>
      </c>
      <c r="O1676" s="1850" cm="1">
        <f t="array" ref="O1676">_xlfn.IFS(
    M1676=0,0,
   ABS(N1676 - S1675 - P1676-Q1676) &lt; 1, N1676 - S1675-Q1676,
    TRUE, P1676
)</f>
        <v>0</v>
      </c>
      <c r="P1676" s="1852">
        <f>IF(M1676=0,0,ROUND(S1675*EXP(Int_Rate/365.25 * M1676)-S1675,2))</f>
        <v>0</v>
      </c>
      <c r="Q1676" s="1851" cm="1">
        <f t="array" ref="Q1676">_xlfn.IFS(
    AND(I1676=TRUE, K1676&lt;=No_Regular_Payments), Periodic_Admin_Charge,
   TRUE, 0
)</f>
        <v>0</v>
      </c>
      <c r="R1676" s="1850">
        <f>N1676-O1676-Q1676</f>
        <v>0</v>
      </c>
      <c r="S1676" s="1850">
        <f>ROUND(S1675-R1676,2)</f>
        <v>0</v>
      </c>
      <c r="T1676" s="1850">
        <f>ROUND(T1675-(N1676-Q1676),2)</f>
        <v>0</v>
      </c>
      <c r="U1676" s="1849"/>
      <c r="W1676" s="1848"/>
      <c r="X1676" s="1848"/>
      <c r="Y1676" s="1848"/>
    </row>
    <row r="1677" spans="2:25" hidden="1">
      <c r="B1677" s="1815" t="b">
        <f>AND(I1677=FALSE,N1676=0,Q1676=0,L1676="")</f>
        <v>1</v>
      </c>
      <c r="C1677" s="1844" t="str" cm="1">
        <f t="array" ref="C1677">_xlfn.IFS(
    L1677="", "",
    MONTH(L1677) &lt;= End_of_Year_Month, YEAR(L1677),
    TRUE, YEAR(L1677) + 1
)</f>
        <v/>
      </c>
      <c r="F1677" s="1857">
        <f>IF(L1677="",0,L1677)</f>
        <v>0</v>
      </c>
      <c r="G1677" s="1856">
        <f>-(N1677-Q1677)</f>
        <v>0</v>
      </c>
      <c r="I1677" s="1815" t="b">
        <f>K1677&lt;=Number_Payments</f>
        <v>0</v>
      </c>
      <c r="J1677" s="1855"/>
      <c r="K1677" s="1351">
        <f>K1676+1</f>
        <v>1551</v>
      </c>
      <c r="L1677" s="1854" t="str" cm="1">
        <f t="array" ref="L1677">_xlfn.IFS(
    I1676=FALSE, "",
    Payment_Frequency="Monthly", EDATE(L1676, 1),
    Payment_Frequency="Weekly", DATE(YEAR(L1676), MONTH(L1676), DAY(L1676) + 7),
    Payment_Frequency="Fortnightly", DATE(YEAR(L1676), MONTH(L1676), DAY(L1676) + 14),
    Payment_Frequency="Quarterly", DATE(YEAR(L1676), MONTH(L1676) + 3, DAY(L1676)),
    Payment_Frequency="Yearly", DATE(YEAR(L1676) + 1, MONTH(L1676), DAY(L1676)),
    TRUE, ""
)</f>
        <v/>
      </c>
      <c r="M1677" s="1853">
        <f>IF(ISERROR(L1677-L1676),0,L1677-L1676)</f>
        <v>0</v>
      </c>
      <c r="N1677" s="1851" cm="1">
        <f t="array" ref="N1677">_xlfn.IFS(
    AND(I1677=TRUE, K1677&lt;=No_Regular_Payments), Repay_Amt,
    AND(I1677=TRUE, K1677=No_Regular_Payments+1), Tm_Balloon_Amt,
   TRUE, 0
)</f>
        <v>0</v>
      </c>
      <c r="O1677" s="1850" cm="1">
        <f t="array" ref="O1677">_xlfn.IFS(
    M1677=0,0,
   ABS(N1677 - S1676 - P1677-Q1677) &lt; 1, N1677 - S1676-Q1677,
    TRUE, P1677
)</f>
        <v>0</v>
      </c>
      <c r="P1677" s="1852">
        <f>IF(M1677=0,0,ROUND(S1676*EXP(Int_Rate/365.25 * M1677)-S1676,2))</f>
        <v>0</v>
      </c>
      <c r="Q1677" s="1851" cm="1">
        <f t="array" ref="Q1677">_xlfn.IFS(
    AND(I1677=TRUE, K1677&lt;=No_Regular_Payments), Periodic_Admin_Charge,
   TRUE, 0
)</f>
        <v>0</v>
      </c>
      <c r="R1677" s="1850">
        <f>N1677-O1677-Q1677</f>
        <v>0</v>
      </c>
      <c r="S1677" s="1850">
        <f>ROUND(S1676-R1677,2)</f>
        <v>0</v>
      </c>
      <c r="T1677" s="1850">
        <f>ROUND(T1676-(N1677-Q1677),2)</f>
        <v>0</v>
      </c>
      <c r="U1677" s="1849"/>
      <c r="W1677" s="1848"/>
      <c r="X1677" s="1848"/>
      <c r="Y1677" s="1848"/>
    </row>
    <row r="1678" spans="2:25" hidden="1">
      <c r="B1678" s="1815" t="b">
        <f>AND(I1678=FALSE,N1677=0,Q1677=0,L1677="")</f>
        <v>1</v>
      </c>
      <c r="C1678" s="1844" t="str" cm="1">
        <f t="array" ref="C1678">_xlfn.IFS(
    L1678="", "",
    MONTH(L1678) &lt;= End_of_Year_Month, YEAR(L1678),
    TRUE, YEAR(L1678) + 1
)</f>
        <v/>
      </c>
      <c r="F1678" s="1857">
        <f>IF(L1678="",0,L1678)</f>
        <v>0</v>
      </c>
      <c r="G1678" s="1856">
        <f>-(N1678-Q1678)</f>
        <v>0</v>
      </c>
      <c r="I1678" s="1815" t="b">
        <f>K1678&lt;=Number_Payments</f>
        <v>0</v>
      </c>
      <c r="J1678" s="1855"/>
      <c r="K1678" s="1351">
        <f>K1677+1</f>
        <v>1552</v>
      </c>
      <c r="L1678" s="1854" t="str" cm="1">
        <f t="array" ref="L1678">_xlfn.IFS(
    I1677=FALSE, "",
    Payment_Frequency="Monthly", EDATE(L1677, 1),
    Payment_Frequency="Weekly", DATE(YEAR(L1677), MONTH(L1677), DAY(L1677) + 7),
    Payment_Frequency="Fortnightly", DATE(YEAR(L1677), MONTH(L1677), DAY(L1677) + 14),
    Payment_Frequency="Quarterly", DATE(YEAR(L1677), MONTH(L1677) + 3, DAY(L1677)),
    Payment_Frequency="Yearly", DATE(YEAR(L1677) + 1, MONTH(L1677), DAY(L1677)),
    TRUE, ""
)</f>
        <v/>
      </c>
      <c r="M1678" s="1853">
        <f>IF(ISERROR(L1678-L1677),0,L1678-L1677)</f>
        <v>0</v>
      </c>
      <c r="N1678" s="1851" cm="1">
        <f t="array" ref="N1678">_xlfn.IFS(
    AND(I1678=TRUE, K1678&lt;=No_Regular_Payments), Repay_Amt,
    AND(I1678=TRUE, K1678=No_Regular_Payments+1), Tm_Balloon_Amt,
   TRUE, 0
)</f>
        <v>0</v>
      </c>
      <c r="O1678" s="1850" cm="1">
        <f t="array" ref="O1678">_xlfn.IFS(
    M1678=0,0,
   ABS(N1678 - S1677 - P1678-Q1678) &lt; 1, N1678 - S1677-Q1678,
    TRUE, P1678
)</f>
        <v>0</v>
      </c>
      <c r="P1678" s="1852">
        <f>IF(M1678=0,0,ROUND(S1677*EXP(Int_Rate/365.25 * M1678)-S1677,2))</f>
        <v>0</v>
      </c>
      <c r="Q1678" s="1851" cm="1">
        <f t="array" ref="Q1678">_xlfn.IFS(
    AND(I1678=TRUE, K1678&lt;=No_Regular_Payments), Periodic_Admin_Charge,
   TRUE, 0
)</f>
        <v>0</v>
      </c>
      <c r="R1678" s="1850">
        <f>N1678-O1678-Q1678</f>
        <v>0</v>
      </c>
      <c r="S1678" s="1850">
        <f>ROUND(S1677-R1678,2)</f>
        <v>0</v>
      </c>
      <c r="T1678" s="1850">
        <f>ROUND(T1677-(N1678-Q1678),2)</f>
        <v>0</v>
      </c>
      <c r="U1678" s="1849"/>
      <c r="W1678" s="1848"/>
      <c r="X1678" s="1848"/>
      <c r="Y1678" s="1848"/>
    </row>
    <row r="1679" spans="2:25" hidden="1">
      <c r="B1679" s="1815" t="b">
        <f>AND(I1679=FALSE,N1678=0,Q1678=0,L1678="")</f>
        <v>1</v>
      </c>
      <c r="C1679" s="1844" t="str" cm="1">
        <f t="array" ref="C1679">_xlfn.IFS(
    L1679="", "",
    MONTH(L1679) &lt;= End_of_Year_Month, YEAR(L1679),
    TRUE, YEAR(L1679) + 1
)</f>
        <v/>
      </c>
      <c r="F1679" s="1857">
        <f>IF(L1679="",0,L1679)</f>
        <v>0</v>
      </c>
      <c r="G1679" s="1856">
        <f>-(N1679-Q1679)</f>
        <v>0</v>
      </c>
      <c r="I1679" s="1815" t="b">
        <f>K1679&lt;=Number_Payments</f>
        <v>0</v>
      </c>
      <c r="J1679" s="1855"/>
      <c r="K1679" s="1351">
        <f>K1678+1</f>
        <v>1553</v>
      </c>
      <c r="L1679" s="1854" t="str" cm="1">
        <f t="array" ref="L1679">_xlfn.IFS(
    I1678=FALSE, "",
    Payment_Frequency="Monthly", EDATE(L1678, 1),
    Payment_Frequency="Weekly", DATE(YEAR(L1678), MONTH(L1678), DAY(L1678) + 7),
    Payment_Frequency="Fortnightly", DATE(YEAR(L1678), MONTH(L1678), DAY(L1678) + 14),
    Payment_Frequency="Quarterly", DATE(YEAR(L1678), MONTH(L1678) + 3, DAY(L1678)),
    Payment_Frequency="Yearly", DATE(YEAR(L1678) + 1, MONTH(L1678), DAY(L1678)),
    TRUE, ""
)</f>
        <v/>
      </c>
      <c r="M1679" s="1853">
        <f>IF(ISERROR(L1679-L1678),0,L1679-L1678)</f>
        <v>0</v>
      </c>
      <c r="N1679" s="1851" cm="1">
        <f t="array" ref="N1679">_xlfn.IFS(
    AND(I1679=TRUE, K1679&lt;=No_Regular_Payments), Repay_Amt,
    AND(I1679=TRUE, K1679=No_Regular_Payments+1), Tm_Balloon_Amt,
   TRUE, 0
)</f>
        <v>0</v>
      </c>
      <c r="O1679" s="1850" cm="1">
        <f t="array" ref="O1679">_xlfn.IFS(
    M1679=0,0,
   ABS(N1679 - S1678 - P1679-Q1679) &lt; 1, N1679 - S1678-Q1679,
    TRUE, P1679
)</f>
        <v>0</v>
      </c>
      <c r="P1679" s="1852">
        <f>IF(M1679=0,0,ROUND(S1678*EXP(Int_Rate/365.25 * M1679)-S1678,2))</f>
        <v>0</v>
      </c>
      <c r="Q1679" s="1851" cm="1">
        <f t="array" ref="Q1679">_xlfn.IFS(
    AND(I1679=TRUE, K1679&lt;=No_Regular_Payments), Periodic_Admin_Charge,
   TRUE, 0
)</f>
        <v>0</v>
      </c>
      <c r="R1679" s="1850">
        <f>N1679-O1679-Q1679</f>
        <v>0</v>
      </c>
      <c r="S1679" s="1850">
        <f>ROUND(S1678-R1679,2)</f>
        <v>0</v>
      </c>
      <c r="T1679" s="1850">
        <f>ROUND(T1678-(N1679-Q1679),2)</f>
        <v>0</v>
      </c>
      <c r="U1679" s="1849"/>
      <c r="W1679" s="1848"/>
      <c r="X1679" s="1848"/>
      <c r="Y1679" s="1848"/>
    </row>
    <row r="1680" spans="2:25" hidden="1">
      <c r="B1680" s="1815" t="b">
        <f>AND(I1680=FALSE,N1679=0,Q1679=0,L1679="")</f>
        <v>1</v>
      </c>
      <c r="C1680" s="1844" t="str" cm="1">
        <f t="array" ref="C1680">_xlfn.IFS(
    L1680="", "",
    MONTH(L1680) &lt;= End_of_Year_Month, YEAR(L1680),
    TRUE, YEAR(L1680) + 1
)</f>
        <v/>
      </c>
      <c r="F1680" s="1857">
        <f>IF(L1680="",0,L1680)</f>
        <v>0</v>
      </c>
      <c r="G1680" s="1856">
        <f>-(N1680-Q1680)</f>
        <v>0</v>
      </c>
      <c r="I1680" s="1815" t="b">
        <f>K1680&lt;=Number_Payments</f>
        <v>0</v>
      </c>
      <c r="J1680" s="1855"/>
      <c r="K1680" s="1351">
        <f>K1679+1</f>
        <v>1554</v>
      </c>
      <c r="L1680" s="1854" t="str" cm="1">
        <f t="array" ref="L1680">_xlfn.IFS(
    I1679=FALSE, "",
    Payment_Frequency="Monthly", EDATE(L1679, 1),
    Payment_Frequency="Weekly", DATE(YEAR(L1679), MONTH(L1679), DAY(L1679) + 7),
    Payment_Frequency="Fortnightly", DATE(YEAR(L1679), MONTH(L1679), DAY(L1679) + 14),
    Payment_Frequency="Quarterly", DATE(YEAR(L1679), MONTH(L1679) + 3, DAY(L1679)),
    Payment_Frequency="Yearly", DATE(YEAR(L1679) + 1, MONTH(L1679), DAY(L1679)),
    TRUE, ""
)</f>
        <v/>
      </c>
      <c r="M1680" s="1853">
        <f>IF(ISERROR(L1680-L1679),0,L1680-L1679)</f>
        <v>0</v>
      </c>
      <c r="N1680" s="1851" cm="1">
        <f t="array" ref="N1680">_xlfn.IFS(
    AND(I1680=TRUE, K1680&lt;=No_Regular_Payments), Repay_Amt,
    AND(I1680=TRUE, K1680=No_Regular_Payments+1), Tm_Balloon_Amt,
   TRUE, 0
)</f>
        <v>0</v>
      </c>
      <c r="O1680" s="1850" cm="1">
        <f t="array" ref="O1680">_xlfn.IFS(
    M1680=0,0,
   ABS(N1680 - S1679 - P1680-Q1680) &lt; 1, N1680 - S1679-Q1680,
    TRUE, P1680
)</f>
        <v>0</v>
      </c>
      <c r="P1680" s="1852">
        <f>IF(M1680=0,0,ROUND(S1679*EXP(Int_Rate/365.25 * M1680)-S1679,2))</f>
        <v>0</v>
      </c>
      <c r="Q1680" s="1851" cm="1">
        <f t="array" ref="Q1680">_xlfn.IFS(
    AND(I1680=TRUE, K1680&lt;=No_Regular_Payments), Periodic_Admin_Charge,
   TRUE, 0
)</f>
        <v>0</v>
      </c>
      <c r="R1680" s="1850">
        <f>N1680-O1680-Q1680</f>
        <v>0</v>
      </c>
      <c r="S1680" s="1850">
        <f>ROUND(S1679-R1680,2)</f>
        <v>0</v>
      </c>
      <c r="T1680" s="1850">
        <f>ROUND(T1679-(N1680-Q1680),2)</f>
        <v>0</v>
      </c>
      <c r="U1680" s="1849"/>
      <c r="W1680" s="1848"/>
      <c r="X1680" s="1848"/>
      <c r="Y1680" s="1848"/>
    </row>
    <row r="1681" spans="2:25" hidden="1">
      <c r="B1681" s="1815" t="b">
        <f>AND(I1681=FALSE,N1680=0,Q1680=0,L1680="")</f>
        <v>1</v>
      </c>
      <c r="C1681" s="1844" t="str" cm="1">
        <f t="array" ref="C1681">_xlfn.IFS(
    L1681="", "",
    MONTH(L1681) &lt;= End_of_Year_Month, YEAR(L1681),
    TRUE, YEAR(L1681) + 1
)</f>
        <v/>
      </c>
      <c r="F1681" s="1857">
        <f>IF(L1681="",0,L1681)</f>
        <v>0</v>
      </c>
      <c r="G1681" s="1856">
        <f>-(N1681-Q1681)</f>
        <v>0</v>
      </c>
      <c r="I1681" s="1815" t="b">
        <f>K1681&lt;=Number_Payments</f>
        <v>0</v>
      </c>
      <c r="J1681" s="1855"/>
      <c r="K1681" s="1351">
        <f>K1680+1</f>
        <v>1555</v>
      </c>
      <c r="L1681" s="1854" t="str" cm="1">
        <f t="array" ref="L1681">_xlfn.IFS(
    I1680=FALSE, "",
    Payment_Frequency="Monthly", EDATE(L1680, 1),
    Payment_Frequency="Weekly", DATE(YEAR(L1680), MONTH(L1680), DAY(L1680) + 7),
    Payment_Frequency="Fortnightly", DATE(YEAR(L1680), MONTH(L1680), DAY(L1680) + 14),
    Payment_Frequency="Quarterly", DATE(YEAR(L1680), MONTH(L1680) + 3, DAY(L1680)),
    Payment_Frequency="Yearly", DATE(YEAR(L1680) + 1, MONTH(L1680), DAY(L1680)),
    TRUE, ""
)</f>
        <v/>
      </c>
      <c r="M1681" s="1853">
        <f>IF(ISERROR(L1681-L1680),0,L1681-L1680)</f>
        <v>0</v>
      </c>
      <c r="N1681" s="1851" cm="1">
        <f t="array" ref="N1681">_xlfn.IFS(
    AND(I1681=TRUE, K1681&lt;=No_Regular_Payments), Repay_Amt,
    AND(I1681=TRUE, K1681=No_Regular_Payments+1), Tm_Balloon_Amt,
   TRUE, 0
)</f>
        <v>0</v>
      </c>
      <c r="O1681" s="1850" cm="1">
        <f t="array" ref="O1681">_xlfn.IFS(
    M1681=0,0,
   ABS(N1681 - S1680 - P1681-Q1681) &lt; 1, N1681 - S1680-Q1681,
    TRUE, P1681
)</f>
        <v>0</v>
      </c>
      <c r="P1681" s="1852">
        <f>IF(M1681=0,0,ROUND(S1680*EXP(Int_Rate/365.25 * M1681)-S1680,2))</f>
        <v>0</v>
      </c>
      <c r="Q1681" s="1851" cm="1">
        <f t="array" ref="Q1681">_xlfn.IFS(
    AND(I1681=TRUE, K1681&lt;=No_Regular_Payments), Periodic_Admin_Charge,
   TRUE, 0
)</f>
        <v>0</v>
      </c>
      <c r="R1681" s="1850">
        <f>N1681-O1681-Q1681</f>
        <v>0</v>
      </c>
      <c r="S1681" s="1850">
        <f>ROUND(S1680-R1681,2)</f>
        <v>0</v>
      </c>
      <c r="T1681" s="1850">
        <f>ROUND(T1680-(N1681-Q1681),2)</f>
        <v>0</v>
      </c>
      <c r="U1681" s="1849"/>
      <c r="W1681" s="1848"/>
      <c r="X1681" s="1848"/>
      <c r="Y1681" s="1848"/>
    </row>
    <row r="1682" spans="2:25" hidden="1">
      <c r="B1682" s="1815" t="b">
        <f>AND(I1682=FALSE,N1681=0,Q1681=0,L1681="")</f>
        <v>1</v>
      </c>
      <c r="C1682" s="1844" t="str" cm="1">
        <f t="array" ref="C1682">_xlfn.IFS(
    L1682="", "",
    MONTH(L1682) &lt;= End_of_Year_Month, YEAR(L1682),
    TRUE, YEAR(L1682) + 1
)</f>
        <v/>
      </c>
      <c r="F1682" s="1857">
        <f>IF(L1682="",0,L1682)</f>
        <v>0</v>
      </c>
      <c r="G1682" s="1856">
        <f>-(N1682-Q1682)</f>
        <v>0</v>
      </c>
      <c r="I1682" s="1815" t="b">
        <f>K1682&lt;=Number_Payments</f>
        <v>0</v>
      </c>
      <c r="J1682" s="1855"/>
      <c r="K1682" s="1351">
        <f>K1681+1</f>
        <v>1556</v>
      </c>
      <c r="L1682" s="1854" t="str" cm="1">
        <f t="array" ref="L1682">_xlfn.IFS(
    I1681=FALSE, "",
    Payment_Frequency="Monthly", EDATE(L1681, 1),
    Payment_Frequency="Weekly", DATE(YEAR(L1681), MONTH(L1681), DAY(L1681) + 7),
    Payment_Frequency="Fortnightly", DATE(YEAR(L1681), MONTH(L1681), DAY(L1681) + 14),
    Payment_Frequency="Quarterly", DATE(YEAR(L1681), MONTH(L1681) + 3, DAY(L1681)),
    Payment_Frequency="Yearly", DATE(YEAR(L1681) + 1, MONTH(L1681), DAY(L1681)),
    TRUE, ""
)</f>
        <v/>
      </c>
      <c r="M1682" s="1853">
        <f>IF(ISERROR(L1682-L1681),0,L1682-L1681)</f>
        <v>0</v>
      </c>
      <c r="N1682" s="1851" cm="1">
        <f t="array" ref="N1682">_xlfn.IFS(
    AND(I1682=TRUE, K1682&lt;=No_Regular_Payments), Repay_Amt,
    AND(I1682=TRUE, K1682=No_Regular_Payments+1), Tm_Balloon_Amt,
   TRUE, 0
)</f>
        <v>0</v>
      </c>
      <c r="O1682" s="1850" cm="1">
        <f t="array" ref="O1682">_xlfn.IFS(
    M1682=0,0,
   ABS(N1682 - S1681 - P1682-Q1682) &lt; 1, N1682 - S1681-Q1682,
    TRUE, P1682
)</f>
        <v>0</v>
      </c>
      <c r="P1682" s="1852">
        <f>IF(M1682=0,0,ROUND(S1681*EXP(Int_Rate/365.25 * M1682)-S1681,2))</f>
        <v>0</v>
      </c>
      <c r="Q1682" s="1851" cm="1">
        <f t="array" ref="Q1682">_xlfn.IFS(
    AND(I1682=TRUE, K1682&lt;=No_Regular_Payments), Periodic_Admin_Charge,
   TRUE, 0
)</f>
        <v>0</v>
      </c>
      <c r="R1682" s="1850">
        <f>N1682-O1682-Q1682</f>
        <v>0</v>
      </c>
      <c r="S1682" s="1850">
        <f>ROUND(S1681-R1682,2)</f>
        <v>0</v>
      </c>
      <c r="T1682" s="1850">
        <f>ROUND(T1681-(N1682-Q1682),2)</f>
        <v>0</v>
      </c>
      <c r="U1682" s="1849"/>
      <c r="W1682" s="1848"/>
      <c r="X1682" s="1848"/>
      <c r="Y1682" s="1848"/>
    </row>
    <row r="1683" spans="2:25" hidden="1">
      <c r="B1683" s="1815" t="b">
        <f>AND(I1683=FALSE,N1682=0,Q1682=0,L1682="")</f>
        <v>1</v>
      </c>
      <c r="C1683" s="1844" t="str" cm="1">
        <f t="array" ref="C1683">_xlfn.IFS(
    L1683="", "",
    MONTH(L1683) &lt;= End_of_Year_Month, YEAR(L1683),
    TRUE, YEAR(L1683) + 1
)</f>
        <v/>
      </c>
      <c r="F1683" s="1857">
        <f>IF(L1683="",0,L1683)</f>
        <v>0</v>
      </c>
      <c r="G1683" s="1856">
        <f>-(N1683-Q1683)</f>
        <v>0</v>
      </c>
      <c r="I1683" s="1815" t="b">
        <f>K1683&lt;=Number_Payments</f>
        <v>0</v>
      </c>
      <c r="J1683" s="1855"/>
      <c r="K1683" s="1351">
        <f>K1682+1</f>
        <v>1557</v>
      </c>
      <c r="L1683" s="1854" t="str" cm="1">
        <f t="array" ref="L1683">_xlfn.IFS(
    I1682=FALSE, "",
    Payment_Frequency="Monthly", EDATE(L1682, 1),
    Payment_Frequency="Weekly", DATE(YEAR(L1682), MONTH(L1682), DAY(L1682) + 7),
    Payment_Frequency="Fortnightly", DATE(YEAR(L1682), MONTH(L1682), DAY(L1682) + 14),
    Payment_Frequency="Quarterly", DATE(YEAR(L1682), MONTH(L1682) + 3, DAY(L1682)),
    Payment_Frequency="Yearly", DATE(YEAR(L1682) + 1, MONTH(L1682), DAY(L1682)),
    TRUE, ""
)</f>
        <v/>
      </c>
      <c r="M1683" s="1853">
        <f>IF(ISERROR(L1683-L1682),0,L1683-L1682)</f>
        <v>0</v>
      </c>
      <c r="N1683" s="1851" cm="1">
        <f t="array" ref="N1683">_xlfn.IFS(
    AND(I1683=TRUE, K1683&lt;=No_Regular_Payments), Repay_Amt,
    AND(I1683=TRUE, K1683=No_Regular_Payments+1), Tm_Balloon_Amt,
   TRUE, 0
)</f>
        <v>0</v>
      </c>
      <c r="O1683" s="1850" cm="1">
        <f t="array" ref="O1683">_xlfn.IFS(
    M1683=0,0,
   ABS(N1683 - S1682 - P1683-Q1683) &lt; 1, N1683 - S1682-Q1683,
    TRUE, P1683
)</f>
        <v>0</v>
      </c>
      <c r="P1683" s="1852">
        <f>IF(M1683=0,0,ROUND(S1682*EXP(Int_Rate/365.25 * M1683)-S1682,2))</f>
        <v>0</v>
      </c>
      <c r="Q1683" s="1851" cm="1">
        <f t="array" ref="Q1683">_xlfn.IFS(
    AND(I1683=TRUE, K1683&lt;=No_Regular_Payments), Periodic_Admin_Charge,
   TRUE, 0
)</f>
        <v>0</v>
      </c>
      <c r="R1683" s="1850">
        <f>N1683-O1683-Q1683</f>
        <v>0</v>
      </c>
      <c r="S1683" s="1850">
        <f>ROUND(S1682-R1683,2)</f>
        <v>0</v>
      </c>
      <c r="T1683" s="1850">
        <f>ROUND(T1682-(N1683-Q1683),2)</f>
        <v>0</v>
      </c>
      <c r="U1683" s="1849"/>
      <c r="W1683" s="1848"/>
      <c r="X1683" s="1848"/>
      <c r="Y1683" s="1848"/>
    </row>
    <row r="1684" spans="2:25" hidden="1">
      <c r="B1684" s="1815" t="b">
        <f>AND(I1684=FALSE,N1683=0,Q1683=0,L1683="")</f>
        <v>1</v>
      </c>
      <c r="C1684" s="1844" t="str" cm="1">
        <f t="array" ref="C1684">_xlfn.IFS(
    L1684="", "",
    MONTH(L1684) &lt;= End_of_Year_Month, YEAR(L1684),
    TRUE, YEAR(L1684) + 1
)</f>
        <v/>
      </c>
      <c r="F1684" s="1857">
        <f>IF(L1684="",0,L1684)</f>
        <v>0</v>
      </c>
      <c r="G1684" s="1856">
        <f>-(N1684-Q1684)</f>
        <v>0</v>
      </c>
      <c r="I1684" s="1815" t="b">
        <f>K1684&lt;=Number_Payments</f>
        <v>0</v>
      </c>
      <c r="J1684" s="1855"/>
      <c r="K1684" s="1351">
        <f>K1683+1</f>
        <v>1558</v>
      </c>
      <c r="L1684" s="1854" t="str" cm="1">
        <f t="array" ref="L1684">_xlfn.IFS(
    I1683=FALSE, "",
    Payment_Frequency="Monthly", EDATE(L1683, 1),
    Payment_Frequency="Weekly", DATE(YEAR(L1683), MONTH(L1683), DAY(L1683) + 7),
    Payment_Frequency="Fortnightly", DATE(YEAR(L1683), MONTH(L1683), DAY(L1683) + 14),
    Payment_Frequency="Quarterly", DATE(YEAR(L1683), MONTH(L1683) + 3, DAY(L1683)),
    Payment_Frequency="Yearly", DATE(YEAR(L1683) + 1, MONTH(L1683), DAY(L1683)),
    TRUE, ""
)</f>
        <v/>
      </c>
      <c r="M1684" s="1853">
        <f>IF(ISERROR(L1684-L1683),0,L1684-L1683)</f>
        <v>0</v>
      </c>
      <c r="N1684" s="1851" cm="1">
        <f t="array" ref="N1684">_xlfn.IFS(
    AND(I1684=TRUE, K1684&lt;=No_Regular_Payments), Repay_Amt,
    AND(I1684=TRUE, K1684=No_Regular_Payments+1), Tm_Balloon_Amt,
   TRUE, 0
)</f>
        <v>0</v>
      </c>
      <c r="O1684" s="1850" cm="1">
        <f t="array" ref="O1684">_xlfn.IFS(
    M1684=0,0,
   ABS(N1684 - S1683 - P1684-Q1684) &lt; 1, N1684 - S1683-Q1684,
    TRUE, P1684
)</f>
        <v>0</v>
      </c>
      <c r="P1684" s="1852">
        <f>IF(M1684=0,0,ROUND(S1683*EXP(Int_Rate/365.25 * M1684)-S1683,2))</f>
        <v>0</v>
      </c>
      <c r="Q1684" s="1851" cm="1">
        <f t="array" ref="Q1684">_xlfn.IFS(
    AND(I1684=TRUE, K1684&lt;=No_Regular_Payments), Periodic_Admin_Charge,
   TRUE, 0
)</f>
        <v>0</v>
      </c>
      <c r="R1684" s="1850">
        <f>N1684-O1684-Q1684</f>
        <v>0</v>
      </c>
      <c r="S1684" s="1850">
        <f>ROUND(S1683-R1684,2)</f>
        <v>0</v>
      </c>
      <c r="T1684" s="1850">
        <f>ROUND(T1683-(N1684-Q1684),2)</f>
        <v>0</v>
      </c>
      <c r="U1684" s="1849"/>
      <c r="W1684" s="1848"/>
      <c r="X1684" s="1848"/>
      <c r="Y1684" s="1848"/>
    </row>
    <row r="1685" spans="2:25" hidden="1">
      <c r="B1685" s="1815" t="b">
        <f>AND(I1685=FALSE,N1684=0,Q1684=0,L1684="")</f>
        <v>1</v>
      </c>
      <c r="C1685" s="1844" t="str" cm="1">
        <f t="array" ref="C1685">_xlfn.IFS(
    L1685="", "",
    MONTH(L1685) &lt;= End_of_Year_Month, YEAR(L1685),
    TRUE, YEAR(L1685) + 1
)</f>
        <v/>
      </c>
      <c r="F1685" s="1857">
        <f>IF(L1685="",0,L1685)</f>
        <v>0</v>
      </c>
      <c r="G1685" s="1856">
        <f>-(N1685-Q1685)</f>
        <v>0</v>
      </c>
      <c r="I1685" s="1815" t="b">
        <f>K1685&lt;=Number_Payments</f>
        <v>0</v>
      </c>
      <c r="J1685" s="1855"/>
      <c r="K1685" s="1351">
        <f>K1684+1</f>
        <v>1559</v>
      </c>
      <c r="L1685" s="1854" t="str" cm="1">
        <f t="array" ref="L1685">_xlfn.IFS(
    I1684=FALSE, "",
    Payment_Frequency="Monthly", EDATE(L1684, 1),
    Payment_Frequency="Weekly", DATE(YEAR(L1684), MONTH(L1684), DAY(L1684) + 7),
    Payment_Frequency="Fortnightly", DATE(YEAR(L1684), MONTH(L1684), DAY(L1684) + 14),
    Payment_Frequency="Quarterly", DATE(YEAR(L1684), MONTH(L1684) + 3, DAY(L1684)),
    Payment_Frequency="Yearly", DATE(YEAR(L1684) + 1, MONTH(L1684), DAY(L1684)),
    TRUE, ""
)</f>
        <v/>
      </c>
      <c r="M1685" s="1853">
        <f>IF(ISERROR(L1685-L1684),0,L1685-L1684)</f>
        <v>0</v>
      </c>
      <c r="N1685" s="1851" cm="1">
        <f t="array" ref="N1685">_xlfn.IFS(
    AND(I1685=TRUE, K1685&lt;=No_Regular_Payments), Repay_Amt,
    AND(I1685=TRUE, K1685=No_Regular_Payments+1), Tm_Balloon_Amt,
   TRUE, 0
)</f>
        <v>0</v>
      </c>
      <c r="O1685" s="1850" cm="1">
        <f t="array" ref="O1685">_xlfn.IFS(
    M1685=0,0,
   ABS(N1685 - S1684 - P1685-Q1685) &lt; 1, N1685 - S1684-Q1685,
    TRUE, P1685
)</f>
        <v>0</v>
      </c>
      <c r="P1685" s="1852">
        <f>IF(M1685=0,0,ROUND(S1684*EXP(Int_Rate/365.25 * M1685)-S1684,2))</f>
        <v>0</v>
      </c>
      <c r="Q1685" s="1851" cm="1">
        <f t="array" ref="Q1685">_xlfn.IFS(
    AND(I1685=TRUE, K1685&lt;=No_Regular_Payments), Periodic_Admin_Charge,
   TRUE, 0
)</f>
        <v>0</v>
      </c>
      <c r="R1685" s="1850">
        <f>N1685-O1685-Q1685</f>
        <v>0</v>
      </c>
      <c r="S1685" s="1850">
        <f>ROUND(S1684-R1685,2)</f>
        <v>0</v>
      </c>
      <c r="T1685" s="1850">
        <f>ROUND(T1684-(N1685-Q1685),2)</f>
        <v>0</v>
      </c>
      <c r="U1685" s="1849"/>
      <c r="W1685" s="1848"/>
      <c r="X1685" s="1848"/>
      <c r="Y1685" s="1848"/>
    </row>
    <row r="1686" spans="2:25" hidden="1">
      <c r="B1686" s="1815" t="b">
        <f>AND(I1686=FALSE,N1685=0,Q1685=0,L1685="")</f>
        <v>1</v>
      </c>
      <c r="C1686" s="1844" t="str" cm="1">
        <f t="array" ref="C1686">_xlfn.IFS(
    L1686="", "",
    MONTH(L1686) &lt;= End_of_Year_Month, YEAR(L1686),
    TRUE, YEAR(L1686) + 1
)</f>
        <v/>
      </c>
      <c r="F1686" s="1857">
        <f>IF(L1686="",0,L1686)</f>
        <v>0</v>
      </c>
      <c r="G1686" s="1856">
        <f>-(N1686-Q1686)</f>
        <v>0</v>
      </c>
      <c r="I1686" s="1815" t="b">
        <f>K1686&lt;=Number_Payments</f>
        <v>0</v>
      </c>
      <c r="J1686" s="1855"/>
      <c r="K1686" s="1351">
        <f>K1685+1</f>
        <v>1560</v>
      </c>
      <c r="L1686" s="1854" t="str" cm="1">
        <f t="array" ref="L1686">_xlfn.IFS(
    I1685=FALSE, "",
    Payment_Frequency="Monthly", EDATE(L1685, 1),
    Payment_Frequency="Weekly", DATE(YEAR(L1685), MONTH(L1685), DAY(L1685) + 7),
    Payment_Frequency="Fortnightly", DATE(YEAR(L1685), MONTH(L1685), DAY(L1685) + 14),
    Payment_Frequency="Quarterly", DATE(YEAR(L1685), MONTH(L1685) + 3, DAY(L1685)),
    Payment_Frequency="Yearly", DATE(YEAR(L1685) + 1, MONTH(L1685), DAY(L1685)),
    TRUE, ""
)</f>
        <v/>
      </c>
      <c r="M1686" s="1853">
        <f>IF(ISERROR(L1686-L1685),0,L1686-L1685)</f>
        <v>0</v>
      </c>
      <c r="N1686" s="1851" cm="1">
        <f t="array" ref="N1686">_xlfn.IFS(
    AND(I1686=TRUE, K1686&lt;=No_Regular_Payments), Repay_Amt,
    AND(I1686=TRUE, K1686=No_Regular_Payments+1), Tm_Balloon_Amt,
   TRUE, 0
)</f>
        <v>0</v>
      </c>
      <c r="O1686" s="1850" cm="1">
        <f t="array" ref="O1686">_xlfn.IFS(
    M1686=0,0,
   ABS(N1686 - S1685 - P1686-Q1686) &lt; 1, N1686 - S1685-Q1686,
    TRUE, P1686
)</f>
        <v>0</v>
      </c>
      <c r="P1686" s="1852">
        <f>IF(M1686=0,0,ROUND(S1685*EXP(Int_Rate/365.25 * M1686)-S1685,2))</f>
        <v>0</v>
      </c>
      <c r="Q1686" s="1851" cm="1">
        <f t="array" ref="Q1686">_xlfn.IFS(
    AND(I1686=TRUE, K1686&lt;=No_Regular_Payments), Periodic_Admin_Charge,
   TRUE, 0
)</f>
        <v>0</v>
      </c>
      <c r="R1686" s="1850">
        <f>N1686-O1686-Q1686</f>
        <v>0</v>
      </c>
      <c r="S1686" s="1850">
        <f>ROUND(S1685-R1686,2)</f>
        <v>0</v>
      </c>
      <c r="T1686" s="1850">
        <f>ROUND(T1685-(N1686-Q1686),2)</f>
        <v>0</v>
      </c>
      <c r="U1686" s="1849"/>
      <c r="W1686" s="1848"/>
      <c r="X1686" s="1848"/>
      <c r="Y1686" s="1848"/>
    </row>
    <row r="1687" spans="2:25" ht="7.5" customHeight="1">
      <c r="J1687" s="1847"/>
      <c r="K1687" s="1846"/>
      <c r="L1687" s="1846"/>
      <c r="M1687" s="1846"/>
      <c r="N1687" s="1846"/>
      <c r="O1687" s="1846"/>
      <c r="P1687" s="1846"/>
      <c r="Q1687" s="1846"/>
      <c r="R1687" s="1846"/>
      <c r="S1687" s="1846"/>
      <c r="T1687" s="1846"/>
      <c r="U1687" s="1845"/>
    </row>
  </sheetData>
  <sheetProtection sheet="1" formatCells="0" formatColumns="0" formatRows="0" insertColumns="0" insertRows="0" insertHyperlinks="0"/>
  <dataConsolidate/>
  <mergeCells count="42">
    <mergeCell ref="Q36:R36"/>
    <mergeCell ref="Q37:R37"/>
    <mergeCell ref="Q50:Q51"/>
    <mergeCell ref="S50:T50"/>
    <mergeCell ref="J18:L18"/>
    <mergeCell ref="K26:O26"/>
    <mergeCell ref="L27:M27"/>
    <mergeCell ref="J46:L46"/>
    <mergeCell ref="K50:K51"/>
    <mergeCell ref="Q42:T43"/>
    <mergeCell ref="Q35:R35"/>
    <mergeCell ref="K12:T12"/>
    <mergeCell ref="K11:N11"/>
    <mergeCell ref="K13:T13"/>
    <mergeCell ref="K10:T10"/>
    <mergeCell ref="K14:T14"/>
    <mergeCell ref="K16:T16"/>
    <mergeCell ref="S20:T21"/>
    <mergeCell ref="Q26:T26"/>
    <mergeCell ref="K36:L36"/>
    <mergeCell ref="N50:N51"/>
    <mergeCell ref="K38:O38"/>
    <mergeCell ref="K8:T8"/>
    <mergeCell ref="K9:T9"/>
    <mergeCell ref="K15:T15"/>
    <mergeCell ref="W73:X74"/>
    <mergeCell ref="K5:M5"/>
    <mergeCell ref="W18:X18"/>
    <mergeCell ref="W50:X51"/>
    <mergeCell ref="O50:O51"/>
    <mergeCell ref="N20:O20"/>
    <mergeCell ref="N21:O21"/>
    <mergeCell ref="K122:T122"/>
    <mergeCell ref="H30:I30"/>
    <mergeCell ref="Q39:T41"/>
    <mergeCell ref="C25:H25"/>
    <mergeCell ref="Q33:T33"/>
    <mergeCell ref="K121:T121"/>
    <mergeCell ref="J119:L119"/>
    <mergeCell ref="K111:L111"/>
    <mergeCell ref="J71:L71"/>
    <mergeCell ref="K48:T48"/>
  </mergeCells>
  <conditionalFormatting sqref="K1686 T1686">
    <cfRule type="expression" dxfId="497" priority="16">
      <formula>#REF!&gt;$C1686</formula>
    </cfRule>
  </conditionalFormatting>
  <conditionalFormatting sqref="K127:M127 R127:T1686 K128:K1685 M128:M1686 O127:P1686">
    <cfRule type="expression" dxfId="496" priority="15">
      <formula>$C128&gt;$C127</formula>
    </cfRule>
  </conditionalFormatting>
  <conditionalFormatting sqref="L128:L1686">
    <cfRule type="expression" dxfId="495" priority="1">
      <formula>ISERROR((SEARCH("IF",_xlfn.FORMULATEXT(L128),1)))&lt;&gt;TRUE</formula>
    </cfRule>
  </conditionalFormatting>
  <conditionalFormatting sqref="N30">
    <cfRule type="expression" dxfId="494" priority="4">
      <formula>ISERROR((SEARCH("IF",_xlfn.FORMULATEXT(N30),1)))&lt;&gt;TRUE</formula>
    </cfRule>
  </conditionalFormatting>
  <conditionalFormatting sqref="N127:N1686">
    <cfRule type="expression" dxfId="493" priority="2">
      <formula>ISERROR((SEARCH("IF",_xlfn.FORMULATEXT(N127),1)))&lt;&gt;TRUE</formula>
    </cfRule>
  </conditionalFormatting>
  <conditionalFormatting sqref="Q127:Q1686">
    <cfRule type="expression" dxfId="492" priority="3">
      <formula>ISERROR((SEARCH("IF",_xlfn.FORMULATEXT(Q127),1)))&lt;&gt;TRUE</formula>
    </cfRule>
  </conditionalFormatting>
  <conditionalFormatting sqref="Q42:T43">
    <cfRule type="notContainsBlanks" dxfId="491" priority="5">
      <formula>LEN(TRIM(Q42))&gt;0</formula>
    </cfRule>
  </conditionalFormatting>
  <conditionalFormatting sqref="S4:S5">
    <cfRule type="cellIs" dxfId="490" priority="7" operator="equal">
      <formula>"Partner Approved"</formula>
    </cfRule>
    <cfRule type="cellIs" dxfId="489" priority="8" operator="equal">
      <formula>"Reviewed"</formula>
    </cfRule>
    <cfRule type="cellIs" dxfId="488" priority="9" operator="equal">
      <formula>"Rework Complete"</formula>
    </cfRule>
    <cfRule type="cellIs" dxfId="487" priority="10" operator="equal">
      <formula>"Client Query"</formula>
    </cfRule>
    <cfRule type="cellIs" dxfId="486" priority="11" operator="equal">
      <formula>"Started"</formula>
    </cfRule>
    <cfRule type="cellIs" dxfId="485" priority="12" operator="equal">
      <formula>"Ready for Review"</formula>
    </cfRule>
    <cfRule type="cellIs" dxfId="484" priority="13" operator="equal">
      <formula>"Rework Required"</formula>
    </cfRule>
    <cfRule type="cellIs" dxfId="483" priority="14" operator="equal">
      <formula>"Complete"</formula>
    </cfRule>
  </conditionalFormatting>
  <conditionalFormatting sqref="T127:T1686">
    <cfRule type="expression" dxfId="482" priority="17">
      <formula>AND(I127=TRUE,T127&lt;Repay_Amt,Q1631&gt;0)</formula>
    </cfRule>
    <cfRule type="expression" dxfId="481" priority="18">
      <formula>AND(I127=TRUE,T127&lt;Repay_Amt,#REF!&gt;0,T127&gt;0)</formula>
    </cfRule>
  </conditionalFormatting>
  <conditionalFormatting sqref="X127:X1686">
    <cfRule type="expression" dxfId="480" priority="19">
      <formula>AND(I127=TRUE,T127&lt;Repay_Amt,#REF!&gt;0,T127&gt;0)</formula>
    </cfRule>
  </conditionalFormatting>
  <conditionalFormatting sqref="Y127:Y1686">
    <cfRule type="expression" dxfId="479" priority="20">
      <formula>AND(I127=TRUE,T127&lt;Repay_Amt,#REF!&gt;0,T127&gt;0)</formula>
    </cfRule>
  </conditionalFormatting>
  <dataValidations count="12">
    <dataValidation allowBlank="1" showInputMessage="1" showErrorMessage="1" prompt="If the admin charge is in addition to the loan repayment amount, journal this expense separately." sqref="N34" xr:uid="{433EE6FE-C552-4E0F-9B18-1CAA8986D2DE}"/>
    <dataValidation allowBlank="1" showInputMessage="1" showErrorMessage="1" prompt="This balloon relates to the final payment. If additional balloons are required, manually update the Schedule below with amounts and dates." sqref="N36" xr:uid="{F5A91D94-164A-4472-8BDF-B21C8607485B}"/>
    <dataValidation allowBlank="1" showErrorMessage="1" sqref="N22" xr:uid="{CCC4EE5C-7034-4354-A6C7-7CAA2645C34E}"/>
    <dataValidation allowBlank="1" showErrorMessage="1" prompt="This field is optional." sqref="N24 N30" xr:uid="{18E81869-A7DE-4218-B5C4-3F08BB3299DD}"/>
    <dataValidation allowBlank="1" showErrorMessage="1" prompt="Link the source document here." sqref="N21:O21" xr:uid="{372305D6-08C6-40CE-9718-E76ADC9CB28D}"/>
    <dataValidation allowBlank="1" showInputMessage="1" showErrorMessage="1" prompt="If you are using the Loan Repayment Calculator, change the loan description on the Index and select from the dropdown." sqref="O20" xr:uid="{EDF2E952-AE6E-45DC-970B-7BAA796F6458}"/>
    <dataValidation allowBlank="1" showInputMessage="1" showErrorMessage="1" prompt="This field is optional." sqref="O22:P22" xr:uid="{00000000-0002-0000-0000-000006000000}"/>
    <dataValidation allowBlank="1" showErrorMessage="1" prompt="Effective interest rate is calculated." sqref="S35" xr:uid="{00000000-0002-0000-0000-000005000000}"/>
    <dataValidation type="list" allowBlank="1" showInputMessage="1" showErrorMessage="1" sqref="N23" xr:uid="{00000000-0002-0000-0000-000002000000}">
      <formula1>"Select, January, February, March, April, May, June, July, August, September, October, November, December"</formula1>
    </dataValidation>
    <dataValidation type="list" allowBlank="1" showInputMessage="1" showErrorMessage="1" sqref="N28" xr:uid="{00000000-0002-0000-0000-000001000000}">
      <formula1>"Select, Weekly, Fortnightly, Monthly, Quarterly, Yearly"</formula1>
    </dataValidation>
    <dataValidation type="list" allowBlank="1" showInputMessage="1" showErrorMessage="1" sqref="N29" xr:uid="{00000000-0002-0000-0000-000000000000}">
      <formula1>"Select, Advance, Arrears"</formula1>
    </dataValidation>
    <dataValidation type="list" allowBlank="1" showInputMessage="1" showErrorMessage="1" sqref="N20" xr:uid="{022945F6-009C-4F49-84FD-0DB865F52557}">
      <formula1>CategoryList</formula1>
    </dataValidation>
  </dataValidations>
  <hyperlinks>
    <hyperlink ref="S20:T21" location="'H11 Chattel Mortgage Loan'!Go_ShowHideRows" tooltip="Update Summary" display=" P  Update Summary" xr:uid="{2302AA1D-44E1-46DE-ACB2-F8CC981F1200}"/>
    <hyperlink ref="S3" location="'H11 Chattel Mortgage Loan'!Go_Index" tooltip="Go to Record" display="Show Record" xr:uid="{FCDFE5F4-8825-4707-A05E-7F3F77C06925}"/>
    <hyperlink ref="T3" location="'H11 Chattel Mortgage Loan'!Go_RefreshSummary" tooltip="Refresh Loan Summary in Loan Repayment Calculator" display="Refresh" xr:uid="{EBE0D827-6BE9-4647-94A5-D5B4A18AF57C}"/>
    <hyperlink ref="A11:N11" location="'H11 Chattel Mortgage Loan'!Go_RollUp_02" tooltip="Show/Hide" display="'Chattel Mortgage Schedule'!Go_RollUp_02" xr:uid="{8F4BA111-DC91-44FF-809B-5D46B0055B19}"/>
    <hyperlink ref="K122:T122" location="'H11 Chattel Mortgage Loan'!Go_RollUp_02" tooltip="Go to Instructions" display="ENSURE to read the instructions on how to add irregular payments above" xr:uid="{469B63A5-1AEB-44BB-BD68-F5849CA3CF26}"/>
  </hyperlinks>
  <printOptions horizontalCentered="1"/>
  <pageMargins left="0.39370078740157483" right="0.39370078740157483" top="0.39370078740157483" bottom="0.39370078740157483" header="0" footer="0"/>
  <pageSetup paperSize="9" scale="45" orientation="portrait"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1FCAC227-536D-4D77-B105-BFADCEEC300F}">
          <xm:f>'H11 Chattel Mortgage Loan'!Reconcile_CurrentLiability</xm:f>
        </x15:webExtension>
        <x15:webExtension appRef="{5518F571-847B-4BCA-869E-383DCBACD375}">
          <xm:f>'H11 Chattel Mortgage Loan'!Reconcile_CurrentUnexpiredInterest</xm:f>
        </x15:webExtension>
        <x15:webExtension appRef="{703BF684-6A5F-4228-827D-DA7A680D1E61}">
          <xm:f>'H11 Chattel Mortgage Loan'!Reconcile_InterestExpense</xm:f>
        </x15:webExtension>
        <x15:webExtension appRef="{1E7A13BA-5A20-4B0C-9E3A-D507FB5068E2}">
          <xm:f>'H11 Chattel Mortgage Loan'!Reconcile_NetCurrentLiability</xm:f>
        </x15:webExtension>
        <x15:webExtension appRef="{7250B48B-3548-41EE-A7E6-E91102E463A0}">
          <xm:f>'H11 Chattel Mortgage Loan'!Reconcile_NetNonCurrentLiability</xm:f>
        </x15:webExtension>
        <x15:webExtension appRef="{FE3A57F5-F893-4F3A-8EB8-1D35CFA566E5}">
          <xm:f>'H11 Chattel Mortgage Loan'!Reconcile_NonCurrentLiability</xm:f>
        </x15:webExtension>
        <x15:webExtension appRef="{97739CCB-84D3-4165-9545-CF50B69D4C44}">
          <xm:f>'H11 Chattel Mortgage Loan'!Reconcile_NonCurrentUnexpiredInterest</xm:f>
        </x15:webExtension>
        <x15:webExtension appRef="{14E8F385-9404-4728-907D-4F361BBDD645}">
          <xm:f>'H11 Chattel Mortgage Loan'!Reconcile_TotalLiability</xm:f>
        </x15:webExtension>
        <x15:webExtension appRef="{393FD84F-11BA-437F-BFCE-2A3DC0E6413A}">
          <xm:f>'H11 Chattel Mortgage Loan'!Reconcile_TotalNetLiability</xm:f>
        </x15:webExtension>
        <x15:webExtension appRef="{554B0C0B-4B25-477F-A208-7BB6D926401D}">
          <xm:f>'H11 Chattel Mortgage Loan'!Reconcile_TotalUnexpiredInterest</xm:f>
        </x15:webExtension>
      </x15:webExtens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BD87B-E2F1-439C-A868-B78EBC8BFC96}">
  <sheetPr>
    <pageSetUpPr autoPageBreaks="0" fitToPage="1"/>
  </sheetPr>
  <dimension ref="A1:M199"/>
  <sheetViews>
    <sheetView showGridLines="0" topLeftCell="A2" zoomScaleNormal="100" workbookViewId="0">
      <selection activeCell="A2" sqref="A2"/>
    </sheetView>
  </sheetViews>
  <sheetFormatPr defaultRowHeight="15"/>
  <cols>
    <col min="1" max="1" width="4.28515625" style="1815" customWidth="1"/>
    <col min="2" max="2" width="1.42578125" style="1815" customWidth="1"/>
    <col min="3" max="3" width="12.7109375" style="1815" customWidth="1"/>
    <col min="4" max="4" width="19" style="1815" customWidth="1"/>
    <col min="5" max="7" width="14.7109375" style="1815" customWidth="1"/>
    <col min="8" max="9" width="15.7109375" style="1815" customWidth="1"/>
    <col min="10" max="10" width="1.42578125" style="1815" customWidth="1"/>
    <col min="11" max="11" width="4.28515625" style="1815" customWidth="1"/>
    <col min="12" max="13" width="15.7109375" style="1815" customWidth="1"/>
    <col min="14" max="16384" width="9.140625" style="1815"/>
  </cols>
  <sheetData>
    <row r="1" spans="1:13" s="1837" customFormat="1" ht="17.25" hidden="1" customHeight="1">
      <c r="C1" s="419" t="s">
        <v>181</v>
      </c>
      <c r="D1" s="1842" t="s">
        <v>414</v>
      </c>
      <c r="F1" s="1841" t="s">
        <v>179</v>
      </c>
      <c r="G1" s="1837" t="s">
        <v>318</v>
      </c>
      <c r="H1" s="1843" t="s">
        <v>177</v>
      </c>
      <c r="I1" s="1837" t="str">
        <f>IFERROR(Jurisdiction,"AU")</f>
        <v>AU</v>
      </c>
    </row>
    <row r="2" spans="1:13" s="1837" customFormat="1" ht="7.5" customHeight="1">
      <c r="C2" s="420"/>
      <c r="D2" s="419"/>
      <c r="E2" s="1842"/>
      <c r="H2" s="1841"/>
    </row>
    <row r="3" spans="1:13" ht="24.95" customHeight="1">
      <c r="C3" s="1547" t="str">
        <f>_xlfn.XLOOKUP("b63eb282-2113-4826-8d48-26b8f93e1444",RecordInfo.SheetId,RecordInfo.RecordTitle)</f>
        <v>Bank Loan</v>
      </c>
      <c r="D3" s="1547"/>
      <c r="E3" s="1547"/>
      <c r="F3" s="1547"/>
      <c r="H3"/>
      <c r="I3" s="421" t="s">
        <v>174</v>
      </c>
    </row>
    <row r="4" spans="1:13" ht="22.5" customHeight="1">
      <c r="C4" s="1729" t="str">
        <f>_xlfn.TEXTJOIN(" ",1,IFERROR(Cl_Name,"Client Name"),IF(IFERROR(Cl_Code,"")="","","("&amp;Cl_Code&amp;")"))</f>
        <v>Springrange Holdings Pty Ltd (MuM001)</v>
      </c>
      <c r="D4" s="1729"/>
      <c r="E4" s="1729"/>
      <c r="F4" s="1729"/>
      <c r="G4" s="1730"/>
      <c r="H4" s="1840"/>
      <c r="I4" s="1839" t="str">
        <f>IF(ISBLANK(_xlfn.SINGLE(Tm_TBAccount)),_xlfn.TEXTJOIN("-",1,H6:I6),TEXT(_xlfn.SINGLE(Tm_TBAccount),"0"))</f>
        <v/>
      </c>
    </row>
    <row r="5" spans="1:13" ht="22.5" customHeight="1">
      <c r="C5" s="1520">
        <f>IFERROR(_xlfn.SINGLE(PeriodEndDate),DATE(1901,1,1))</f>
        <v>45473</v>
      </c>
      <c r="D5" s="1521"/>
      <c r="E5" s="1521"/>
      <c r="F5" s="1731"/>
      <c r="G5" s="414"/>
      <c r="I5" s="413" t="str">
        <f>I36</f>
        <v>Pending</v>
      </c>
      <c r="J5" s="1809">
        <f>IFERROR(_xlfn.XLOOKUP("b99e1bf5-af79-4347-b7d4-97ca0c97ca0c",RecordInfo.RecordId,RecordInfo.Tolerances),0)</f>
        <v>0.01</v>
      </c>
    </row>
    <row r="6" spans="1:13" ht="17.25" hidden="1" customHeight="1">
      <c r="G6" s="1838"/>
      <c r="H6" s="1838"/>
      <c r="I6" s="1838"/>
    </row>
    <row r="7" spans="1:13" ht="7.5" customHeight="1">
      <c r="B7" s="411"/>
      <c r="C7" s="411"/>
      <c r="D7" s="411"/>
      <c r="E7" s="411"/>
      <c r="F7" s="1832"/>
      <c r="G7" s="1832"/>
      <c r="H7" s="1832"/>
      <c r="I7" s="1832"/>
      <c r="J7" s="1832"/>
    </row>
    <row r="8" spans="1:13" ht="7.5" customHeight="1"/>
    <row r="9" spans="1:13" ht="22.5" customHeight="1">
      <c r="C9" s="1438" t="s">
        <v>413</v>
      </c>
      <c r="D9" s="1438"/>
      <c r="E9" s="1438"/>
      <c r="F9" s="1438"/>
      <c r="G9" s="1438"/>
      <c r="H9" s="1438"/>
      <c r="I9" s="1438"/>
    </row>
    <row r="10" spans="1:13" s="1837" customFormat="1" ht="17.25" customHeight="1">
      <c r="C10" s="1732" t="s">
        <v>412</v>
      </c>
      <c r="D10" s="1732"/>
      <c r="E10" s="1732"/>
      <c r="F10" s="1732"/>
      <c r="G10" s="1732"/>
      <c r="H10" s="1732"/>
      <c r="I10" s="1732"/>
    </row>
    <row r="11" spans="1:13" s="1836" customFormat="1" ht="17.25" customHeight="1">
      <c r="C11" s="1733" t="s">
        <v>411</v>
      </c>
      <c r="D11" s="1733"/>
      <c r="E11" s="1733"/>
      <c r="F11" s="1733"/>
      <c r="G11" s="1733"/>
      <c r="H11" s="1733"/>
      <c r="I11" s="1733"/>
    </row>
    <row r="12" spans="1:13" ht="22.5" customHeight="1">
      <c r="A12" s="1834"/>
      <c r="J12" s="1831"/>
    </row>
    <row r="13" spans="1:13" ht="22.5" customHeight="1">
      <c r="B13" s="1739" t="s">
        <v>410</v>
      </c>
      <c r="C13" s="1740"/>
      <c r="D13" s="1740"/>
      <c r="E13" s="1741"/>
      <c r="L13" s="1477" t="s">
        <v>409</v>
      </c>
      <c r="M13" s="1478"/>
    </row>
    <row r="14" spans="1:13" ht="7.5" customHeight="1">
      <c r="A14" s="1815" t="s">
        <v>58</v>
      </c>
      <c r="B14" s="1830"/>
      <c r="C14" s="1829"/>
      <c r="D14" s="1829"/>
      <c r="E14" s="1829"/>
      <c r="F14" s="1829"/>
      <c r="G14" s="1829"/>
      <c r="H14" s="1829"/>
      <c r="I14" s="1829"/>
      <c r="J14" s="1828"/>
    </row>
    <row r="15" spans="1:13" ht="17.25" customHeight="1">
      <c r="B15" s="1822"/>
      <c r="C15" s="1734" t="s">
        <v>408</v>
      </c>
      <c r="D15" s="1734"/>
      <c r="F15" s="1742"/>
      <c r="G15" s="1743"/>
      <c r="H15" s="1744"/>
      <c r="J15" s="1821"/>
      <c r="L15" s="1820"/>
      <c r="M15" s="391"/>
    </row>
    <row r="16" spans="1:13" ht="17.25" customHeight="1">
      <c r="B16" s="1822"/>
      <c r="C16" s="1734" t="s">
        <v>407</v>
      </c>
      <c r="D16" s="1734"/>
      <c r="F16" s="1745"/>
      <c r="G16" s="1746"/>
      <c r="H16" s="1747"/>
      <c r="J16" s="1821"/>
      <c r="L16" s="1820"/>
      <c r="M16" s="391"/>
    </row>
    <row r="17" spans="2:13" ht="17.25" customHeight="1">
      <c r="B17" s="1822"/>
      <c r="C17" s="1734" t="s">
        <v>406</v>
      </c>
      <c r="D17" s="1734"/>
      <c r="F17" s="1745"/>
      <c r="G17" s="1746"/>
      <c r="H17" s="1747"/>
      <c r="J17" s="1821"/>
      <c r="L17" s="1820"/>
      <c r="M17" s="391"/>
    </row>
    <row r="18" spans="2:13" ht="17.25" customHeight="1">
      <c r="B18" s="1822"/>
      <c r="C18" s="1734" t="s">
        <v>405</v>
      </c>
      <c r="D18" s="1734"/>
      <c r="F18" s="1735"/>
      <c r="G18" s="1736"/>
      <c r="H18" s="1737"/>
      <c r="I18" s="1822"/>
      <c r="J18" s="1821"/>
      <c r="L18" s="1820"/>
      <c r="M18" s="391"/>
    </row>
    <row r="19" spans="2:13" ht="17.25" customHeight="1">
      <c r="B19" s="1822"/>
      <c r="G19" s="1827"/>
      <c r="H19" s="1827"/>
      <c r="J19" s="1821"/>
      <c r="L19" s="1826"/>
      <c r="M19" s="1826"/>
    </row>
    <row r="20" spans="2:13" ht="30" customHeight="1">
      <c r="B20" s="1822"/>
      <c r="C20" s="406" t="s">
        <v>361</v>
      </c>
      <c r="D20" s="405" t="s">
        <v>404</v>
      </c>
      <c r="E20" s="405"/>
      <c r="F20" s="405"/>
      <c r="G20" s="405"/>
      <c r="H20" s="405" t="s">
        <v>403</v>
      </c>
      <c r="I20" s="404" t="s">
        <v>358</v>
      </c>
      <c r="J20" s="1821"/>
      <c r="L20" s="1826"/>
      <c r="M20" s="1826"/>
    </row>
    <row r="21" spans="2:13" ht="7.5" customHeight="1">
      <c r="B21" s="1822"/>
      <c r="J21" s="1821"/>
      <c r="L21" s="1826"/>
      <c r="M21" s="1826"/>
    </row>
    <row r="22" spans="2:13" ht="17.25" customHeight="1">
      <c r="B22" s="1822"/>
      <c r="C22" s="399">
        <f>IFERROR(DATE(YEAR($C$5),MONTH($C$5)-12,DAY($C$5)+1),"")</f>
        <v>45108</v>
      </c>
      <c r="D22" s="1423" t="s">
        <v>402</v>
      </c>
      <c r="E22" s="1423"/>
      <c r="F22" s="1423"/>
      <c r="I22" s="347"/>
      <c r="J22" s="1821"/>
      <c r="L22" s="1820"/>
      <c r="M22" s="391"/>
    </row>
    <row r="23" spans="2:13" ht="17.25" customHeight="1">
      <c r="B23" s="1822"/>
      <c r="D23" s="1423" t="s">
        <v>401</v>
      </c>
      <c r="E23" s="1423"/>
      <c r="F23" s="1423"/>
      <c r="J23" s="1821"/>
      <c r="L23" s="1825"/>
      <c r="M23" s="400"/>
    </row>
    <row r="24" spans="2:13" ht="17.25" customHeight="1">
      <c r="B24" s="1822"/>
      <c r="D24" s="1427" t="s">
        <v>400</v>
      </c>
      <c r="E24" s="1427"/>
      <c r="F24" s="1427"/>
      <c r="I24" s="347"/>
      <c r="J24" s="1821"/>
      <c r="L24" s="1820"/>
      <c r="M24" s="391"/>
    </row>
    <row r="25" spans="2:13" ht="17.25" customHeight="1">
      <c r="B25" s="1822"/>
      <c r="D25" s="1427" t="s">
        <v>399</v>
      </c>
      <c r="E25" s="1427"/>
      <c r="F25" s="1427"/>
      <c r="H25" s="393"/>
      <c r="I25" s="347"/>
      <c r="J25" s="1821"/>
      <c r="L25" s="1820"/>
      <c r="M25" s="391"/>
    </row>
    <row r="26" spans="2:13" ht="17.25" customHeight="1">
      <c r="B26" s="1822"/>
      <c r="D26" s="1427" t="s">
        <v>398</v>
      </c>
      <c r="E26" s="1427"/>
      <c r="F26" s="1427"/>
      <c r="H26" s="393"/>
      <c r="I26" s="347"/>
      <c r="J26" s="1821"/>
      <c r="L26" s="1820"/>
      <c r="M26" s="391"/>
    </row>
    <row r="27" spans="2:13" ht="17.25" customHeight="1">
      <c r="B27" s="1822"/>
      <c r="D27" s="77" t="s">
        <v>397</v>
      </c>
      <c r="E27" s="77"/>
      <c r="F27" s="77"/>
      <c r="I27" s="398">
        <f>SUM(I22:I26)</f>
        <v>0</v>
      </c>
      <c r="J27" s="1821"/>
      <c r="L27" s="1820"/>
      <c r="M27" s="391"/>
    </row>
    <row r="28" spans="2:13" ht="17.25" customHeight="1">
      <c r="B28" s="1822"/>
      <c r="D28" s="77" t="s">
        <v>396</v>
      </c>
      <c r="E28" s="77"/>
      <c r="F28" s="77"/>
      <c r="J28" s="1821"/>
      <c r="L28" s="1825"/>
      <c r="M28" s="400"/>
    </row>
    <row r="29" spans="2:13" ht="17.25" customHeight="1">
      <c r="B29" s="1822"/>
      <c r="D29" s="1427" t="s">
        <v>395</v>
      </c>
      <c r="E29" s="1427"/>
      <c r="F29" s="1427"/>
      <c r="I29" s="347"/>
      <c r="J29" s="1821"/>
      <c r="L29" s="1820"/>
      <c r="M29" s="391"/>
    </row>
    <row r="30" spans="2:13" ht="17.25" customHeight="1">
      <c r="B30" s="1822"/>
      <c r="D30" s="1427" t="s">
        <v>394</v>
      </c>
      <c r="E30" s="1427"/>
      <c r="F30" s="1427"/>
      <c r="I30" s="347"/>
      <c r="J30" s="1821"/>
      <c r="L30" s="1820"/>
      <c r="M30" s="391"/>
    </row>
    <row r="31" spans="2:13" ht="17.25" customHeight="1">
      <c r="B31" s="1822"/>
      <c r="D31" s="402"/>
      <c r="E31" s="402"/>
      <c r="F31" s="402"/>
      <c r="I31" s="398">
        <f>SUM(I29:I30)</f>
        <v>0</v>
      </c>
      <c r="J31" s="1821"/>
      <c r="L31" s="1820"/>
      <c r="M31" s="391"/>
    </row>
    <row r="32" spans="2:13" ht="7.5" customHeight="1">
      <c r="B32" s="1822"/>
      <c r="D32" s="402"/>
      <c r="E32" s="402"/>
      <c r="F32" s="402"/>
      <c r="J32" s="1821"/>
      <c r="L32" s="1825"/>
      <c r="M32" s="400"/>
    </row>
    <row r="33" spans="2:13" ht="17.25" customHeight="1">
      <c r="B33" s="1822"/>
      <c r="C33" s="399">
        <f>IFERROR($C$5,"")</f>
        <v>45473</v>
      </c>
      <c r="D33" s="1738" t="s">
        <v>393</v>
      </c>
      <c r="E33" s="1423"/>
      <c r="F33" s="1423"/>
      <c r="I33" s="398">
        <f>I27-I31</f>
        <v>0</v>
      </c>
      <c r="J33" s="1821"/>
      <c r="L33" s="1820"/>
      <c r="M33" s="391"/>
    </row>
    <row r="34" spans="2:13" ht="17.25" customHeight="1">
      <c r="B34" s="1822"/>
      <c r="D34" s="1423" t="s">
        <v>356</v>
      </c>
      <c r="E34" s="1423"/>
      <c r="F34" s="1423"/>
      <c r="I34" s="347"/>
      <c r="J34" s="1821"/>
      <c r="L34" s="1820"/>
      <c r="M34" s="391"/>
    </row>
    <row r="35" spans="2:13" ht="17.25" customHeight="1">
      <c r="B35" s="1822"/>
      <c r="D35" s="1423" t="s">
        <v>280</v>
      </c>
      <c r="E35" s="1423"/>
      <c r="F35" s="1423"/>
      <c r="I35" s="398" t="str">
        <f>IF(AND(I34=0,I33=0),"",I34-I33)</f>
        <v/>
      </c>
      <c r="J35" s="1821"/>
      <c r="L35" s="1820"/>
      <c r="M35" s="391"/>
    </row>
    <row r="36" spans="2:13" ht="7.5" customHeight="1">
      <c r="B36" s="1822"/>
      <c r="D36" s="77"/>
      <c r="E36" s="77"/>
      <c r="F36" s="77"/>
      <c r="H36" s="77"/>
      <c r="I36" s="183" t="str">
        <f>IF(I35="","Pending",IF(ABS(I35)&gt;VALUE(_xlfn.SINGLE(IFERROR(Options_Tolerance,0.01))),"Out of Balance","Reconciled"))</f>
        <v>Pending</v>
      </c>
      <c r="J36" s="1821"/>
      <c r="L36" s="1824"/>
      <c r="M36" s="396"/>
    </row>
    <row r="37" spans="2:13" ht="17.25" customHeight="1">
      <c r="B37" s="1822"/>
      <c r="D37" s="1423" t="s">
        <v>392</v>
      </c>
      <c r="E37" s="1423"/>
      <c r="F37" s="1423"/>
      <c r="J37" s="1821"/>
      <c r="L37" s="1823"/>
      <c r="M37" s="394"/>
    </row>
    <row r="38" spans="2:13" ht="17.25" customHeight="1">
      <c r="B38" s="1822"/>
      <c r="D38" s="1427" t="s">
        <v>391</v>
      </c>
      <c r="E38" s="1427"/>
      <c r="F38" s="1427"/>
      <c r="H38" s="393"/>
      <c r="I38" s="347"/>
      <c r="J38" s="1821"/>
      <c r="L38" s="1820"/>
      <c r="M38" s="391"/>
    </row>
    <row r="39" spans="2:13" ht="17.25" customHeight="1">
      <c r="B39" s="1822"/>
      <c r="D39" s="1427" t="s">
        <v>390</v>
      </c>
      <c r="E39" s="1427"/>
      <c r="F39" s="1427"/>
      <c r="H39" s="393"/>
      <c r="I39" s="347"/>
      <c r="J39" s="1821"/>
      <c r="L39" s="1820"/>
      <c r="M39" s="391"/>
    </row>
    <row r="40" spans="2:13" ht="7.5" customHeight="1">
      <c r="B40" s="1819"/>
      <c r="C40" s="1818"/>
      <c r="D40" s="1818"/>
      <c r="E40" s="1818"/>
      <c r="F40" s="1817"/>
      <c r="G40" s="1817"/>
      <c r="H40" s="1817"/>
      <c r="I40" s="1817"/>
      <c r="J40" s="1816"/>
    </row>
    <row r="41" spans="2:13" ht="17.25" customHeight="1"/>
    <row r="42" spans="2:13" ht="15.95" customHeight="1"/>
    <row r="43" spans="2:13" ht="15.95" customHeight="1"/>
    <row r="44" spans="2:13" ht="15.95" customHeight="1"/>
    <row r="45" spans="2:13" ht="15.95" customHeight="1"/>
    <row r="46" spans="2:13" ht="15.95" customHeight="1"/>
    <row r="47" spans="2:13" ht="15.95" customHeight="1"/>
    <row r="48" spans="2:13" ht="15.95" customHeight="1"/>
    <row r="49" ht="15.95" customHeight="1"/>
    <row r="50" ht="15.95" customHeight="1"/>
    <row r="51" ht="15.95" customHeight="1"/>
    <row r="52" ht="15.95" customHeight="1"/>
    <row r="53" ht="15.95" customHeight="1"/>
    <row r="54" ht="15.95" customHeight="1"/>
    <row r="55" ht="15.95" customHeight="1"/>
    <row r="56" ht="15.95" customHeight="1"/>
    <row r="57" ht="15.95" customHeight="1"/>
    <row r="58" ht="15.95" customHeight="1"/>
    <row r="59" ht="15.95" customHeight="1"/>
    <row r="60" ht="15.95" customHeight="1"/>
    <row r="61" ht="15.95" customHeight="1"/>
    <row r="62" ht="15.95" customHeight="1"/>
    <row r="63" ht="15.95" customHeight="1"/>
    <row r="64" ht="15.95" customHeight="1"/>
    <row r="65" ht="15.95" customHeight="1"/>
    <row r="66" ht="15.95" customHeight="1"/>
    <row r="67" ht="15.95" customHeight="1"/>
    <row r="68" ht="15.95" customHeight="1"/>
    <row r="69" ht="15.95" customHeight="1"/>
    <row r="70" ht="15.95" customHeight="1"/>
    <row r="71" ht="15.95" customHeight="1"/>
    <row r="72" ht="15.95" customHeight="1"/>
    <row r="73" ht="15.95" customHeight="1"/>
    <row r="74" ht="15.95" customHeight="1"/>
    <row r="75" ht="15.95" customHeight="1"/>
    <row r="76" ht="15.95" customHeight="1"/>
    <row r="77" ht="15.95" customHeight="1"/>
    <row r="78" ht="15.95" customHeight="1"/>
    <row r="79" ht="15.95" customHeight="1"/>
    <row r="80" ht="15.95" customHeight="1"/>
    <row r="81" ht="15.95" customHeight="1"/>
    <row r="82" ht="15.95" customHeight="1"/>
    <row r="83" ht="15.95" customHeight="1"/>
    <row r="84" ht="15.95" customHeight="1"/>
    <row r="85" ht="15.95" customHeight="1"/>
    <row r="86" ht="15.95" customHeight="1"/>
    <row r="87" ht="15.95" customHeight="1"/>
    <row r="88" ht="15.95" customHeight="1"/>
    <row r="89" ht="15.95" customHeight="1"/>
    <row r="90" ht="15.95" customHeight="1"/>
    <row r="91" ht="15.95" customHeight="1"/>
    <row r="92" ht="15.95" customHeight="1"/>
    <row r="93" ht="15.95" customHeight="1"/>
    <row r="94" ht="15.95" customHeight="1"/>
    <row r="95" ht="15.95" customHeight="1"/>
    <row r="96" ht="15.95" customHeight="1"/>
    <row r="97" ht="15.95" customHeight="1"/>
    <row r="98" ht="15.95" customHeight="1"/>
    <row r="99" ht="15.95" customHeight="1"/>
    <row r="100" ht="15.95" customHeight="1"/>
    <row r="101" ht="15.95" customHeight="1"/>
    <row r="102" ht="15.95" customHeight="1"/>
    <row r="103" ht="15.95" customHeight="1"/>
    <row r="104" ht="15.95" customHeight="1"/>
    <row r="105" ht="15.95" customHeight="1"/>
    <row r="106" ht="15.95" customHeight="1"/>
    <row r="107" ht="15.95" customHeight="1"/>
    <row r="108" ht="15.95" customHeight="1"/>
    <row r="109" ht="15.95" customHeight="1"/>
    <row r="110" ht="15.95" customHeight="1"/>
    <row r="111" ht="15.95" customHeight="1"/>
    <row r="112" ht="15.95" customHeight="1"/>
    <row r="113" ht="15.95" customHeight="1"/>
    <row r="114" ht="15.95" customHeight="1"/>
    <row r="115" ht="15.95" customHeight="1"/>
    <row r="116" ht="15.95" customHeight="1"/>
    <row r="117" ht="15.95" customHeight="1"/>
    <row r="118" ht="15.95" customHeight="1"/>
    <row r="119" ht="15.95" customHeight="1"/>
    <row r="120" ht="15.95" customHeight="1"/>
    <row r="121" ht="15.95" customHeight="1"/>
    <row r="122" ht="15.95" customHeight="1"/>
    <row r="123" ht="15.95" customHeight="1"/>
    <row r="124" ht="15.95" customHeight="1"/>
    <row r="125" ht="15.95" customHeight="1"/>
    <row r="126" ht="15.95" customHeight="1"/>
    <row r="127" ht="15.95" customHeight="1"/>
    <row r="128" ht="15.95" customHeight="1"/>
    <row r="129" ht="15.95" customHeight="1"/>
    <row r="130" ht="15.95" customHeight="1"/>
    <row r="131" ht="15.95" customHeight="1"/>
    <row r="132" ht="15.95" customHeight="1"/>
    <row r="133" ht="15.95" customHeight="1"/>
    <row r="134" ht="15.95" customHeight="1"/>
    <row r="135" ht="15.95" customHeight="1"/>
    <row r="136" ht="15.95" customHeight="1"/>
    <row r="137" ht="15.95" customHeight="1"/>
    <row r="138" ht="15.95" customHeight="1"/>
    <row r="139" ht="15.95" customHeight="1"/>
    <row r="140" ht="15.95" customHeight="1"/>
    <row r="141" ht="15.95" customHeight="1"/>
    <row r="142" ht="15.95" customHeight="1"/>
    <row r="143" ht="15.95" customHeight="1"/>
    <row r="144" ht="15.95" customHeight="1"/>
    <row r="145" ht="15.95" customHeight="1"/>
    <row r="146" ht="15.95" customHeight="1"/>
    <row r="147" ht="15.95" customHeight="1"/>
    <row r="148" ht="15.95" customHeight="1"/>
    <row r="149" ht="15.95" customHeight="1"/>
    <row r="150" ht="15.95" customHeight="1"/>
    <row r="151" ht="15.95" customHeight="1"/>
    <row r="152" ht="15.95" customHeight="1"/>
    <row r="153" ht="15.95" customHeight="1"/>
    <row r="154" ht="15.95" customHeight="1"/>
    <row r="155" ht="15.95" customHeight="1"/>
    <row r="156" ht="15.95" customHeight="1"/>
    <row r="157" ht="15.95" customHeight="1"/>
    <row r="158" ht="15.95" customHeight="1"/>
    <row r="159" ht="15.95" customHeight="1"/>
    <row r="160" ht="15.95" customHeight="1"/>
    <row r="161" ht="15.95" customHeight="1"/>
    <row r="162" ht="15.95" customHeight="1"/>
    <row r="163" ht="15.95" customHeight="1"/>
    <row r="164" ht="15.95" customHeight="1"/>
    <row r="165" ht="15.95" customHeight="1"/>
    <row r="166" ht="15.95" customHeight="1"/>
    <row r="167" ht="15.95" customHeight="1"/>
    <row r="168" ht="15.95" customHeight="1"/>
    <row r="169" ht="15.95" customHeight="1"/>
    <row r="170" ht="15.95" customHeight="1"/>
    <row r="171" ht="15.95" customHeight="1"/>
    <row r="172" ht="15.95" customHeight="1"/>
    <row r="173" ht="15.95" customHeight="1"/>
    <row r="174" ht="15.95" customHeight="1"/>
    <row r="175" ht="15.95" customHeight="1"/>
    <row r="176" ht="15.95" customHeight="1"/>
    <row r="177" ht="15.95" customHeight="1"/>
    <row r="178" ht="15.95" customHeight="1"/>
    <row r="179" ht="15.95" customHeight="1"/>
    <row r="180" ht="15.95" customHeight="1"/>
    <row r="181" ht="15.95" customHeight="1"/>
    <row r="182" ht="15.95" customHeight="1"/>
    <row r="183" ht="15.95" customHeight="1"/>
    <row r="184" ht="15.95" customHeight="1"/>
    <row r="185" ht="15.95" customHeight="1"/>
    <row r="186" ht="15.95" customHeight="1"/>
    <row r="187" ht="15.95" customHeight="1"/>
    <row r="188" ht="15.95" customHeight="1"/>
    <row r="189" ht="15.95" customHeight="1"/>
    <row r="190" ht="15.95" customHeight="1"/>
    <row r="191" ht="15.95" customHeight="1"/>
    <row r="192" ht="15.95" customHeight="1"/>
    <row r="193" ht="15.95" customHeight="1"/>
    <row r="194" ht="15.95" customHeight="1"/>
    <row r="195" ht="15.95" customHeight="1"/>
    <row r="196" ht="15.95" customHeight="1"/>
    <row r="197" ht="15.95" customHeight="1"/>
    <row r="198" ht="15.95" customHeight="1"/>
    <row r="199" ht="15.95" customHeight="1"/>
  </sheetData>
  <sheetProtection sheet="1" formatCells="0" formatColumns="0" formatRows="0" insertColumns="0" insertRows="0" insertHyperlinks="0"/>
  <mergeCells count="30">
    <mergeCell ref="D24:F24"/>
    <mergeCell ref="D29:F29"/>
    <mergeCell ref="D30:F30"/>
    <mergeCell ref="L13:M13"/>
    <mergeCell ref="B13:E13"/>
    <mergeCell ref="C15:D15"/>
    <mergeCell ref="C16:D16"/>
    <mergeCell ref="C17:D17"/>
    <mergeCell ref="F15:H15"/>
    <mergeCell ref="F16:H16"/>
    <mergeCell ref="F17:H17"/>
    <mergeCell ref="D39:F39"/>
    <mergeCell ref="C18:D18"/>
    <mergeCell ref="F18:H18"/>
    <mergeCell ref="D33:F33"/>
    <mergeCell ref="D34:F34"/>
    <mergeCell ref="D35:F35"/>
    <mergeCell ref="D37:F37"/>
    <mergeCell ref="D38:F38"/>
    <mergeCell ref="D22:F22"/>
    <mergeCell ref="D23:F23"/>
    <mergeCell ref="F40:I40"/>
    <mergeCell ref="D25:F25"/>
    <mergeCell ref="D26:F26"/>
    <mergeCell ref="C3:F3"/>
    <mergeCell ref="C4:G4"/>
    <mergeCell ref="C5:F5"/>
    <mergeCell ref="C10:I10"/>
    <mergeCell ref="C11:I11"/>
    <mergeCell ref="C9:I9"/>
  </mergeCells>
  <conditionalFormatting sqref="G5">
    <cfRule type="cellIs" dxfId="478" priority="10" operator="equal">
      <formula>"Partner Approved"</formula>
    </cfRule>
    <cfRule type="cellIs" dxfId="477" priority="11" operator="equal">
      <formula>"Reviewed"</formula>
    </cfRule>
    <cfRule type="cellIs" dxfId="476" priority="12" operator="equal">
      <formula>"Rework Complete"</formula>
    </cfRule>
    <cfRule type="cellIs" dxfId="475" priority="13" operator="equal">
      <formula>"Client Query"</formula>
    </cfRule>
    <cfRule type="cellIs" dxfId="474" priority="14" operator="equal">
      <formula>"Started"</formula>
    </cfRule>
    <cfRule type="cellIs" dxfId="473" priority="15" operator="equal">
      <formula>"Ready for Review"</formula>
    </cfRule>
    <cfRule type="cellIs" dxfId="472" priority="16" operator="equal">
      <formula>"Rework Required"</formula>
    </cfRule>
    <cfRule type="cellIs" dxfId="471" priority="17" operator="equal">
      <formula>"Complete"</formula>
    </cfRule>
  </conditionalFormatting>
  <conditionalFormatting sqref="I5">
    <cfRule type="expression" dxfId="470" priority="18">
      <formula>Tm_BalanceStatus="Reconciled"</formula>
    </cfRule>
    <cfRule type="expression" dxfId="469" priority="19">
      <formula>Tm_BalanceStatus="Out of Balance"</formula>
    </cfRule>
  </conditionalFormatting>
  <conditionalFormatting sqref="I33">
    <cfRule type="expression" dxfId="468" priority="4">
      <formula>Tm_BalanceStatus="Out of Balance"</formula>
    </cfRule>
    <cfRule type="expression" dxfId="467" priority="6">
      <formula>Tm_BalanceStatus="Reconciled"</formula>
    </cfRule>
  </conditionalFormatting>
  <conditionalFormatting sqref="I34:I35">
    <cfRule type="expression" dxfId="466" priority="3">
      <formula>Tm_BalanceStatus="Out of Balance"</formula>
    </cfRule>
    <cfRule type="expression" dxfId="465" priority="5">
      <formula>Tm_BalanceStatus="Reconciled"</formula>
    </cfRule>
  </conditionalFormatting>
  <conditionalFormatting sqref="I35">
    <cfRule type="expression" dxfId="464" priority="1">
      <formula>Tm_BalanceStatus="Out of Balance"</formula>
    </cfRule>
    <cfRule type="expression" dxfId="463" priority="2">
      <formula>Tm_BalanceStatus="Reconciled"</formula>
    </cfRule>
  </conditionalFormatting>
  <dataValidations count="1">
    <dataValidation allowBlank="1" showErrorMessage="1" prompt="This field is optional." sqref="F18" xr:uid="{8C8562FE-A186-4F24-B823-6DB6BF23237F}"/>
  </dataValidations>
  <hyperlinks>
    <hyperlink ref="I3" location="'H25 Bank Loan (1)'!Go_Index" tooltip="Go to Record" display="Show Record" xr:uid="{628E03C5-0C0F-48CB-84E5-7FF853C2352C}"/>
    <hyperlink ref="I5" location="'H25 Bank Loan (1)'!Go_Variance_01" tooltip="Go to Reconciliation" display="Loans!Go_Variance_01" xr:uid="{791AF6D4-6A11-4B34-82C1-FAB859987BBC}"/>
  </hyperlinks>
  <printOptions horizontalCentered="1"/>
  <pageMargins left="0.39370078740157483" right="0.39370078740157483" top="0.39370078740157483" bottom="0.39370078740157483" header="0" footer="0"/>
  <pageSetup paperSize="9" scale="86" orientation="portrait" r:id="rId1"/>
  <headerFooter alignWithMargins="0">
    <oddFooter>&amp;L&amp;F
Copyright © 2003-Present Business Fitness Pty Ltd&amp;R&amp;A &amp;P</oddFooter>
  </headerFooter>
  <colBreaks count="1" manualBreakCount="1">
    <brk id="9" max="1048575" man="1"/>
  </colBreaks>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C5D8F069-D7DF-4E99-AB9E-FC30C33CD57E}">
          <xm:f>'H25 Bank Loan (1)'!H25_BankFees</xm:f>
        </x15:webExtension>
        <x15:webExtension appRef="{96CEF7D6-78FE-431E-B371-CF303C46480E}">
          <xm:f>'H25 Bank Loan (1)'!H25_InterestExpense</xm:f>
        </x15:webExtension>
        <x15:webExtension appRef="{1B3D0255-605C-406F-AA2C-9B68014D2AD2}">
          <xm:f>'H25 Bank Loan (1)'!H25_Loan_1</xm:f>
        </x15:webExtension>
        <x15:webExtension appRef="{94B9A45E-1B15-412D-8774-02147B272C69}">
          <xm:f>'H25 Bank Loan (1)'!H25_TotalLiability</xm:f>
        </x15:webExtension>
        <x15:webExtension appRef="{57838F26-4FED-42F8-BDCF-835E705C9739}">
          <xm:f>'H25 Bank Loan (1)'!Reconcile_Loan1</xm:f>
        </x15:webExtension>
      </x15:webExtens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81474-186E-45DB-A12C-5AFB6437912C}">
  <sheetPr>
    <tabColor theme="0" tint="-0.14999847407452621"/>
    <pageSetUpPr fitToPage="1"/>
  </sheetPr>
  <dimension ref="A1:V92"/>
  <sheetViews>
    <sheetView showGridLines="0" tabSelected="1" topLeftCell="A15" zoomScaleNormal="100" workbookViewId="0">
      <selection activeCell="A2" sqref="A2"/>
    </sheetView>
  </sheetViews>
  <sheetFormatPr defaultColWidth="9.140625" defaultRowHeight="15"/>
  <cols>
    <col min="1" max="1" width="4.28515625" style="2090" customWidth="1"/>
    <col min="2" max="2" width="1.42578125" style="2090" customWidth="1"/>
    <col min="3" max="3" width="42.7109375" style="2090" customWidth="1"/>
    <col min="4" max="4" width="4.28515625" style="2090" customWidth="1"/>
    <col min="5" max="6" width="7.140625" style="2090" hidden="1" customWidth="1"/>
    <col min="7" max="10" width="15.7109375" style="2090" customWidth="1"/>
    <col min="11" max="11" width="2.28515625" style="2090" customWidth="1"/>
    <col min="12" max="13" width="15.7109375" style="2090" customWidth="1"/>
    <col min="14" max="14" width="1.42578125" style="2090" customWidth="1"/>
    <col min="15" max="15" width="4.28515625" style="2090" customWidth="1"/>
    <col min="16" max="17" width="15.7109375" style="2112" customWidth="1"/>
    <col min="18" max="21" width="9.140625" style="2090"/>
    <col min="22" max="22" width="9.140625" style="2090" hidden="1" customWidth="1"/>
    <col min="23" max="16384" width="9.140625" style="2090"/>
  </cols>
  <sheetData>
    <row r="1" spans="1:22" ht="21" hidden="1" customHeight="1">
      <c r="C1" s="2101" t="s">
        <v>181</v>
      </c>
      <c r="D1" s="2090" t="s">
        <v>2144</v>
      </c>
      <c r="I1" s="2100"/>
      <c r="L1" s="2258" t="s">
        <v>177</v>
      </c>
      <c r="M1" s="2090" t="str" cm="1">
        <f t="array" ref="M1">IFERROR(Tm_Jurisdiction,"AU")</f>
        <v>AU</v>
      </c>
      <c r="V1" s="2090" t="s">
        <v>176</v>
      </c>
    </row>
    <row r="2" spans="1:22" ht="7.5" customHeight="1"/>
    <row r="3" spans="1:22" ht="24.95" customHeight="1">
      <c r="C3" s="561" t="s">
        <v>2143</v>
      </c>
      <c r="M3" s="813" t="s">
        <v>174</v>
      </c>
      <c r="P3" s="2206" t="s">
        <v>179</v>
      </c>
      <c r="Q3" s="2205" t="s">
        <v>610</v>
      </c>
    </row>
    <row r="4" spans="1:22" ht="22.5" customHeight="1">
      <c r="C4" s="2088" t="str">
        <f>_xlfn.TEXTJOIN(" ",1,IFERROR(_xlfn.SINGLE(Cl_Name),"Client Name"),IF(IFERROR(_xlfn.SINGLE(Cl_Code),"")="","","("&amp;_xlfn.SINGLE(Cl_Code)&amp;")"))</f>
        <v>Springrange Holdings Pty Ltd (MuM001)</v>
      </c>
    </row>
    <row r="5" spans="1:22" ht="22.5" customHeight="1">
      <c r="C5" s="2111">
        <f>IFERROR(_xlfn.SINGLE(PeriodEndDate),DATE(1901,1,1))</f>
        <v>45473</v>
      </c>
    </row>
    <row r="6" spans="1:22" ht="7.5" customHeight="1">
      <c r="B6" s="411"/>
      <c r="C6" s="2095"/>
      <c r="D6" s="2095"/>
      <c r="E6" s="2095"/>
      <c r="F6" s="2095"/>
      <c r="G6" s="2095"/>
      <c r="H6" s="2095"/>
      <c r="I6" s="2095"/>
      <c r="J6" s="2095"/>
      <c r="K6" s="2095"/>
      <c r="L6" s="2095"/>
      <c r="M6" s="2095"/>
      <c r="N6" s="2095"/>
    </row>
    <row r="7" spans="1:22" ht="7.5" customHeight="1"/>
    <row r="8" spans="1:22" ht="17.25" customHeight="1">
      <c r="C8" s="1498" t="s">
        <v>2142</v>
      </c>
      <c r="D8" s="1498"/>
      <c r="E8" s="1498"/>
      <c r="F8" s="1498"/>
      <c r="G8" s="1498"/>
      <c r="H8" s="1498"/>
      <c r="I8" s="1498"/>
      <c r="J8" s="1498"/>
      <c r="K8" s="1498"/>
      <c r="L8" s="1498"/>
      <c r="M8" s="1498"/>
    </row>
    <row r="9" spans="1:22" ht="17.25" customHeight="1">
      <c r="C9" s="1669" t="s">
        <v>2141</v>
      </c>
      <c r="D9" s="1669"/>
      <c r="E9" s="1669"/>
      <c r="F9" s="1669"/>
      <c r="G9" s="1669"/>
      <c r="H9" s="1669"/>
      <c r="I9" s="1669"/>
      <c r="J9" s="1669"/>
      <c r="K9" s="1669"/>
      <c r="L9" s="1669"/>
      <c r="M9" s="1669"/>
    </row>
    <row r="10" spans="1:22" ht="21" customHeight="1">
      <c r="A10" s="2257"/>
    </row>
    <row r="11" spans="1:22" ht="22.5" customHeight="1">
      <c r="B11" s="2228" t="s">
        <v>2140</v>
      </c>
      <c r="C11" s="2227"/>
      <c r="D11" s="2226"/>
      <c r="G11" s="2256"/>
    </row>
    <row r="12" spans="1:22" s="2253" customFormat="1" ht="7.5" customHeight="1">
      <c r="B12" s="1196"/>
      <c r="C12" s="32"/>
      <c r="D12" s="32"/>
      <c r="E12" s="49"/>
      <c r="F12" s="49"/>
      <c r="G12" s="1385"/>
      <c r="H12" s="1385"/>
      <c r="I12" s="1385"/>
      <c r="J12" s="1385"/>
      <c r="K12" s="1385"/>
      <c r="L12" s="1385"/>
      <c r="M12" s="1385"/>
      <c r="N12" s="2255"/>
    </row>
    <row r="13" spans="1:22" s="2253" customFormat="1" ht="22.5" customHeight="1">
      <c r="B13" s="1196"/>
      <c r="C13" s="32"/>
      <c r="D13" s="32"/>
      <c r="E13" s="32"/>
      <c r="F13" s="32"/>
      <c r="G13" s="32"/>
      <c r="H13" s="32"/>
      <c r="I13" s="2240" t="s">
        <v>2139</v>
      </c>
      <c r="J13" s="2083">
        <v>1</v>
      </c>
      <c r="K13" s="32"/>
      <c r="L13" s="2239" t="s">
        <v>2132</v>
      </c>
      <c r="M13" s="2238"/>
      <c r="N13" s="2254"/>
    </row>
    <row r="14" spans="1:22" s="2253" customFormat="1" ht="7.5" customHeight="1">
      <c r="B14" s="1196"/>
      <c r="C14" s="32"/>
      <c r="D14" s="32"/>
      <c r="E14" s="32"/>
      <c r="F14" s="32"/>
      <c r="G14" s="32"/>
      <c r="H14" s="32"/>
      <c r="I14" s="32"/>
      <c r="J14" s="32"/>
      <c r="K14" s="32"/>
      <c r="L14" s="32"/>
      <c r="M14" s="32"/>
      <c r="N14" s="2254"/>
    </row>
    <row r="15" spans="1:22" ht="39" customHeight="1">
      <c r="B15" s="2129"/>
      <c r="C15" s="340" t="s">
        <v>2069</v>
      </c>
      <c r="D15" s="339"/>
      <c r="E15" s="339"/>
      <c r="F15" s="339"/>
      <c r="G15" s="339" t="s">
        <v>514</v>
      </c>
      <c r="H15" s="339" t="s">
        <v>2138</v>
      </c>
      <c r="I15" s="339" t="s">
        <v>399</v>
      </c>
      <c r="J15" s="339" t="s">
        <v>546</v>
      </c>
      <c r="K15" s="339"/>
      <c r="L15" s="339" t="s">
        <v>2137</v>
      </c>
      <c r="M15" s="338" t="s">
        <v>2136</v>
      </c>
      <c r="N15" s="2126"/>
      <c r="P15" s="2252" t="s">
        <v>409</v>
      </c>
      <c r="Q15" s="2251"/>
    </row>
    <row r="16" spans="1:22" ht="7.5" customHeight="1">
      <c r="B16" s="2129"/>
      <c r="C16" s="32"/>
      <c r="D16" s="32"/>
      <c r="E16" s="32"/>
      <c r="F16" s="32"/>
      <c r="G16" s="32"/>
      <c r="H16" s="32"/>
      <c r="I16" s="32"/>
      <c r="J16" s="32"/>
      <c r="K16" s="32"/>
      <c r="L16" s="32"/>
      <c r="M16" s="32"/>
      <c r="N16" s="2126"/>
    </row>
    <row r="17" spans="2:22" ht="17.25" customHeight="1">
      <c r="B17" s="2220"/>
      <c r="C17" s="2250" cm="1">
        <f t="array" aca="1" ref="C17:C18" ca="1">IFERROR(_xlfn.UNIQUE(_xlfn._xlws.FILTER(INDIRECT("HNSW_Summary!$A:$A"),ISNUMBER(SEARCH("*G31",INDIRECT("HNSW_Summary!$B:$B")))+ISNUMBER(SEARCH("*D08",INDIRECT("HNSW_Summary!$B:$B"))))),"...")</f>
        <v>0</v>
      </c>
      <c r="D17" s="2079" t="str">
        <f ca="1">IF(C17=E17, HYPERLINK("#'" &amp; VLOOKUP(C17,INDIRECT("HNSW_Summary!$A:$B"),2,0) &amp; "'!A1", "}"), "}")</f>
        <v>}</v>
      </c>
      <c r="E17" s="2249">
        <f ca="1">VLOOKUP(C17,INDIRECT("HNSW_Summary!$A:$B"),1,0)</f>
        <v>0</v>
      </c>
      <c r="F17" s="1303">
        <f ca="1">IFERROR(INDEX(INDIRECT("HNSW_Summary!A:Z"),MATCH(C17,INDIRECT("HNSW_Summary!A:A"), 0),MATCH("Director",INDIRECT("HNSW_Summary!1:1"),0)),"")</f>
        <v>0</v>
      </c>
      <c r="G17" s="1303">
        <f ca="1">SUMIF(INDIRECT("HNSW_Summary!A:A"),C17,INDEX(INDIRECT("HNSW_Summary!A:Z"),0,MATCH("OpBalance",INDIRECT("HNSW_Summary!1:1"),0)))</f>
        <v>0</v>
      </c>
      <c r="H17" s="1303">
        <f ca="1">SUMIF(INDIRECT("HNSW_Summary!A:A"),C17,INDEX(INDIRECT("HNSW_Summary!A:Z"),0,MATCH("Repayments",INDIRECT("HNSW_Summary!1:1"),0)))</f>
        <v>0</v>
      </c>
      <c r="I17" s="1303">
        <f ca="1">SUMIF(INDIRECT("HNSW_Summary!A:A"),C17,INDEX(INDIRECT("HNSW_Summary!A:Z"),0,MATCH("Interest",INDIRECT("HNSW_Summary!1:1"),0)))</f>
        <v>0</v>
      </c>
      <c r="J17" s="1303">
        <f ca="1">SUMIF(INDIRECT("HNSW_Summary!A:A"),C17,INDEX(INDIRECT("HNSW_Summary!A:Z"),0,MATCH("ClBalance",INDIRECT("HNSW_Summary!1:1"),0)))</f>
        <v>0</v>
      </c>
      <c r="K17" s="2038"/>
      <c r="L17" s="1303">
        <f ca="1">SUMIF(INDIRECT("HNSW_Summary!A:A"),C17,INDEX(INDIRECT("HNSW_Summary!A:Z"),0,MATCH("MinRepayments",INDIRECT("HNSW_Summary!1:1"),0)))</f>
        <v>0</v>
      </c>
      <c r="M17" s="1303">
        <f ca="1">SUMIF(INDIRECT("HNSW_Summary!A:A"),C17,INDEX(INDIRECT("HNSW_Summary!A:Z"),0,MATCH("UnderOver",INDIRECT("HNSW_Summary!1:1"),0)))</f>
        <v>0</v>
      </c>
      <c r="N17" s="2126"/>
      <c r="P17" s="1893"/>
      <c r="Q17" s="2217"/>
      <c r="V17" s="2090" t="b">
        <f>IF(D03_Number_of_Loans&gt;=1,FALSE,TRUE)</f>
        <v>0</v>
      </c>
    </row>
    <row r="18" spans="2:22" ht="17.25" hidden="1" customHeight="1">
      <c r="B18" s="2220"/>
      <c r="C18" s="2250" t="str">
        <f ca="1"/>
        <v>Director Loan 2023</v>
      </c>
      <c r="D18" s="2079" t="str">
        <f ca="1">IF(C18=E18, HYPERLINK("#'" &amp; VLOOKUP(C18,INDIRECT("HNSW_Summary!$A:$B"),2,0) &amp; "'!A1", "}"), "}")</f>
        <v>}</v>
      </c>
      <c r="E18" s="2249" t="str">
        <f ca="1">VLOOKUP(C18,INDIRECT("HNSW_Summary!$A:$B"),1,0)</f>
        <v>Director Loan 2023</v>
      </c>
      <c r="F18" s="1303">
        <f ca="1">IFERROR(INDEX(INDIRECT("HNSW_Summary!A:Z"),MATCH(C18,INDIRECT("HNSW_Summary!A:A"), 0),MATCH("Director",INDIRECT("HNSW_Summary!1:1"),0)),"")</f>
        <v>0</v>
      </c>
      <c r="G18" s="1303">
        <f ca="1">SUMIF(INDIRECT("HNSW_Summary!A:A"),C18,INDEX(INDIRECT("HNSW_Summary!A:Z"),0,MATCH("OpBalance",INDIRECT("HNSW_Summary!1:1"),0)))</f>
        <v>100000</v>
      </c>
      <c r="H18" s="1303">
        <f ca="1">SUMIF(INDIRECT("HNSW_Summary!A:A"),C18,INDEX(INDIRECT("HNSW_Summary!A:Z"),0,MATCH("Repayments",INDIRECT("HNSW_Summary!1:1"),0)))</f>
        <v>0</v>
      </c>
      <c r="I18" s="1303">
        <f ca="1">SUMIF(INDIRECT("HNSW_Summary!A:A"),C18,INDEX(INDIRECT("HNSW_Summary!A:Z"),0,MATCH("Interest",INDIRECT("HNSW_Summary!1:1"),0)))</f>
        <v>8269.99</v>
      </c>
      <c r="J18" s="1303">
        <f ca="1">SUMIF(INDIRECT("HNSW_Summary!A:A"),C18,INDEX(INDIRECT("HNSW_Summary!A:Z"),0,MATCH("ClBalance",INDIRECT("HNSW_Summary!1:1"),0)))</f>
        <v>108269.99</v>
      </c>
      <c r="K18" s="2038"/>
      <c r="L18" s="1303">
        <f ca="1">SUMIF(INDIRECT("HNSW_Summary!A:A"),C18,INDEX(INDIRECT("HNSW_Summary!A:Z"),0,MATCH("MinRepayments",INDIRECT("HNSW_Summary!1:1"),0)))</f>
        <v>38992.53</v>
      </c>
      <c r="M18" s="1303">
        <f ca="1">SUMIF(INDIRECT("HNSW_Summary!A:A"),C18,INDEX(INDIRECT("HNSW_Summary!A:Z"),0,MATCH("UnderOver",INDIRECT("HNSW_Summary!1:1"),0)))</f>
        <v>-38992.53</v>
      </c>
      <c r="N18" s="2126"/>
      <c r="P18" s="1893"/>
      <c r="Q18" s="2217"/>
      <c r="V18" s="2090" t="b">
        <f>IF(D03_Number_of_Loans&gt;=2,FALSE,TRUE)</f>
        <v>1</v>
      </c>
    </row>
    <row r="19" spans="2:22" ht="17.25" hidden="1" customHeight="1">
      <c r="B19" s="2220"/>
      <c r="C19" s="2250"/>
      <c r="D19" s="2079" t="str">
        <f ca="1">IF(C19=E19, HYPERLINK("#'" &amp; VLOOKUP(C19,INDIRECT("HNSW_Summary!$A:$B"),2,0) &amp; "'!A1", "}"), "}")</f>
        <v>}</v>
      </c>
      <c r="E19" s="2249">
        <f ca="1">VLOOKUP(C19,INDIRECT("HNSW_Summary!$A:$B"),1,0)</f>
        <v>0</v>
      </c>
      <c r="F19" s="1303">
        <f ca="1">IFERROR(INDEX(INDIRECT("HNSW_Summary!A:Z"),MATCH(C19,INDIRECT("HNSW_Summary!A:A"), 0),MATCH("Director",INDIRECT("HNSW_Summary!1:1"),0)),"")</f>
        <v>0</v>
      </c>
      <c r="G19" s="1303">
        <f ca="1">SUMIF(INDIRECT("HNSW_Summary!A:A"),C19,INDEX(INDIRECT("HNSW_Summary!A:Z"),0,MATCH("OpBalance",INDIRECT("HNSW_Summary!1:1"),0)))</f>
        <v>0</v>
      </c>
      <c r="H19" s="1303">
        <f ca="1">SUMIF(INDIRECT("HNSW_Summary!A:A"),C19,INDEX(INDIRECT("HNSW_Summary!A:Z"),0,MATCH("Repayments",INDIRECT("HNSW_Summary!1:1"),0)))</f>
        <v>0</v>
      </c>
      <c r="I19" s="1303">
        <f ca="1">SUMIF(INDIRECT("HNSW_Summary!A:A"),C19,INDEX(INDIRECT("HNSW_Summary!A:Z"),0,MATCH("Interest",INDIRECT("HNSW_Summary!1:1"),0)))</f>
        <v>0</v>
      </c>
      <c r="J19" s="1303">
        <f ca="1">SUMIF(INDIRECT("HNSW_Summary!A:A"),C19,INDEX(INDIRECT("HNSW_Summary!A:Z"),0,MATCH("ClBalance",INDIRECT("HNSW_Summary!1:1"),0)))</f>
        <v>0</v>
      </c>
      <c r="K19" s="2038"/>
      <c r="L19" s="1303">
        <f ca="1">SUMIF(INDIRECT("HNSW_Summary!A:A"),C19,INDEX(INDIRECT("HNSW_Summary!A:Z"),0,MATCH("MinRepayments",INDIRECT("HNSW_Summary!1:1"),0)))</f>
        <v>0</v>
      </c>
      <c r="M19" s="1303">
        <f ca="1">SUMIF(INDIRECT("HNSW_Summary!A:A"),C19,INDEX(INDIRECT("HNSW_Summary!A:Z"),0,MATCH("UnderOver",INDIRECT("HNSW_Summary!1:1"),0)))</f>
        <v>0</v>
      </c>
      <c r="N19" s="2126"/>
      <c r="P19" s="1893"/>
      <c r="Q19" s="2217"/>
      <c r="V19" s="2090" t="b">
        <f>IF(D03_Number_of_Loans&gt;=3,FALSE,TRUE)</f>
        <v>1</v>
      </c>
    </row>
    <row r="20" spans="2:22" ht="17.25" hidden="1" customHeight="1">
      <c r="B20" s="2220"/>
      <c r="C20" s="2250"/>
      <c r="D20" s="2079" t="str">
        <f ca="1">IF(C20=E20, HYPERLINK("#'" &amp; VLOOKUP(C20,INDIRECT("HNSW_Summary!$A:$B"),2,0) &amp; "'!A1", "}"), "}")</f>
        <v>}</v>
      </c>
      <c r="E20" s="2249">
        <f ca="1">VLOOKUP(C20,INDIRECT("HNSW_Summary!$A:$B"),1,0)</f>
        <v>0</v>
      </c>
      <c r="F20" s="1303">
        <f ca="1">IFERROR(INDEX(INDIRECT("HNSW_Summary!A:Z"),MATCH(C20,INDIRECT("HNSW_Summary!A:A"), 0),MATCH("Director",INDIRECT("HNSW_Summary!1:1"),0)),"")</f>
        <v>0</v>
      </c>
      <c r="G20" s="1303">
        <f ca="1">SUMIF(INDIRECT("HNSW_Summary!A:A"),C20,INDEX(INDIRECT("HNSW_Summary!A:Z"),0,MATCH("OpBalance",INDIRECT("HNSW_Summary!1:1"),0)))</f>
        <v>0</v>
      </c>
      <c r="H20" s="1303">
        <f ca="1">SUMIF(INDIRECT("HNSW_Summary!A:A"),C20,INDEX(INDIRECT("HNSW_Summary!A:Z"),0,MATCH("Repayments",INDIRECT("HNSW_Summary!1:1"),0)))</f>
        <v>0</v>
      </c>
      <c r="I20" s="1303">
        <f ca="1">SUMIF(INDIRECT("HNSW_Summary!A:A"),C20,INDEX(INDIRECT("HNSW_Summary!A:Z"),0,MATCH("Interest",INDIRECT("HNSW_Summary!1:1"),0)))</f>
        <v>0</v>
      </c>
      <c r="J20" s="1303">
        <f ca="1">SUMIF(INDIRECT("HNSW_Summary!A:A"),C20,INDEX(INDIRECT("HNSW_Summary!A:Z"),0,MATCH("ClBalance",INDIRECT("HNSW_Summary!1:1"),0)))</f>
        <v>0</v>
      </c>
      <c r="K20" s="2038"/>
      <c r="L20" s="1303">
        <f ca="1">SUMIF(INDIRECT("HNSW_Summary!A:A"),C20,INDEX(INDIRECT("HNSW_Summary!A:Z"),0,MATCH("MinRepayments",INDIRECT("HNSW_Summary!1:1"),0)))</f>
        <v>0</v>
      </c>
      <c r="M20" s="1303">
        <f ca="1">SUMIF(INDIRECT("HNSW_Summary!A:A"),C20,INDEX(INDIRECT("HNSW_Summary!A:Z"),0,MATCH("UnderOver",INDIRECT("HNSW_Summary!1:1"),0)))</f>
        <v>0</v>
      </c>
      <c r="N20" s="2126"/>
      <c r="P20" s="1893"/>
      <c r="Q20" s="2217"/>
      <c r="V20" s="2090" t="b">
        <f>IF(D03_Number_of_Loans&gt;=4,FALSE,TRUE)</f>
        <v>1</v>
      </c>
    </row>
    <row r="21" spans="2:22" ht="17.25" hidden="1" customHeight="1">
      <c r="B21" s="2220"/>
      <c r="C21" s="2250"/>
      <c r="D21" s="2079" t="str">
        <f ca="1">IF(C21=E21, HYPERLINK("#'" &amp; VLOOKUP(C21,INDIRECT("HNSW_Summary!$A:$B"),2,0) &amp; "'!A1", "}"), "}")</f>
        <v>}</v>
      </c>
      <c r="E21" s="2249">
        <f ca="1">VLOOKUP(C21,INDIRECT("HNSW_Summary!$A:$B"),1,0)</f>
        <v>0</v>
      </c>
      <c r="F21" s="1303">
        <f ca="1">IFERROR(INDEX(INDIRECT("HNSW_Summary!A:Z"),MATCH(C21,INDIRECT("HNSW_Summary!A:A"), 0),MATCH("Director",INDIRECT("HNSW_Summary!1:1"),0)),"")</f>
        <v>0</v>
      </c>
      <c r="G21" s="1303">
        <f ca="1">SUMIF(INDIRECT("HNSW_Summary!A:A"),C21,INDEX(INDIRECT("HNSW_Summary!A:Z"),0,MATCH("OpBalance",INDIRECT("HNSW_Summary!1:1"),0)))</f>
        <v>0</v>
      </c>
      <c r="H21" s="1303">
        <f ca="1">SUMIF(INDIRECT("HNSW_Summary!A:A"),C21,INDEX(INDIRECT("HNSW_Summary!A:Z"),0,MATCH("Repayments",INDIRECT("HNSW_Summary!1:1"),0)))</f>
        <v>0</v>
      </c>
      <c r="I21" s="1303">
        <f ca="1">SUMIF(INDIRECT("HNSW_Summary!A:A"),C21,INDEX(INDIRECT("HNSW_Summary!A:Z"),0,MATCH("Interest",INDIRECT("HNSW_Summary!1:1"),0)))</f>
        <v>0</v>
      </c>
      <c r="J21" s="1303">
        <f ca="1">SUMIF(INDIRECT("HNSW_Summary!A:A"),C21,INDEX(INDIRECT("HNSW_Summary!A:Z"),0,MATCH("ClBalance",INDIRECT("HNSW_Summary!1:1"),0)))</f>
        <v>0</v>
      </c>
      <c r="K21" s="2038"/>
      <c r="L21" s="1303">
        <f ca="1">SUMIF(INDIRECT("HNSW_Summary!A:A"),C21,INDEX(INDIRECT("HNSW_Summary!A:Z"),0,MATCH("MinRepayments",INDIRECT("HNSW_Summary!1:1"),0)))</f>
        <v>0</v>
      </c>
      <c r="M21" s="1303">
        <f ca="1">SUMIF(INDIRECT("HNSW_Summary!A:A"),C21,INDEX(INDIRECT("HNSW_Summary!A:Z"),0,MATCH("UnderOver",INDIRECT("HNSW_Summary!1:1"),0)))</f>
        <v>0</v>
      </c>
      <c r="N21" s="2126"/>
      <c r="P21" s="1893"/>
      <c r="Q21" s="2217"/>
      <c r="V21" s="2090" t="b">
        <f>IF(D03_Number_of_Loans&gt;=5,FALSE,TRUE)</f>
        <v>1</v>
      </c>
    </row>
    <row r="22" spans="2:22" ht="17.25" hidden="1" customHeight="1">
      <c r="B22" s="2220"/>
      <c r="C22" s="2250"/>
      <c r="D22" s="2079" t="str">
        <f ca="1">IF(C22=E22, HYPERLINK("#'" &amp; VLOOKUP(C22,INDIRECT("HNSW_Summary!$A:$B"),2,0) &amp; "'!A1", "}"), "}")</f>
        <v>}</v>
      </c>
      <c r="E22" s="2249">
        <f ca="1">VLOOKUP(C22,INDIRECT("HNSW_Summary!$A:$B"),1,0)</f>
        <v>0</v>
      </c>
      <c r="F22" s="1303">
        <f ca="1">IFERROR(INDEX(INDIRECT("HNSW_Summary!A:Z"),MATCH(C22,INDIRECT("HNSW_Summary!A:A"), 0),MATCH("Director",INDIRECT("HNSW_Summary!1:1"),0)),"")</f>
        <v>0</v>
      </c>
      <c r="G22" s="1303">
        <f ca="1">SUMIF(INDIRECT("HNSW_Summary!A:A"),C22,INDEX(INDIRECT("HNSW_Summary!A:Z"),0,MATCH("OpBalance",INDIRECT("HNSW_Summary!1:1"),0)))</f>
        <v>0</v>
      </c>
      <c r="H22" s="1303">
        <f ca="1">SUMIF(INDIRECT("HNSW_Summary!A:A"),C22,INDEX(INDIRECT("HNSW_Summary!A:Z"),0,MATCH("Repayments",INDIRECT("HNSW_Summary!1:1"),0)))</f>
        <v>0</v>
      </c>
      <c r="I22" s="1303">
        <f ca="1">SUMIF(INDIRECT("HNSW_Summary!A:A"),C22,INDEX(INDIRECT("HNSW_Summary!A:Z"),0,MATCH("Interest",INDIRECT("HNSW_Summary!1:1"),0)))</f>
        <v>0</v>
      </c>
      <c r="J22" s="1303">
        <f ca="1">SUMIF(INDIRECT("HNSW_Summary!A:A"),C22,INDEX(INDIRECT("HNSW_Summary!A:Z"),0,MATCH("ClBalance",INDIRECT("HNSW_Summary!1:1"),0)))</f>
        <v>0</v>
      </c>
      <c r="K22" s="2038"/>
      <c r="L22" s="1303">
        <f ca="1">SUMIF(INDIRECT("HNSW_Summary!A:A"),C22,INDEX(INDIRECT("HNSW_Summary!A:Z"),0,MATCH("MinRepayments",INDIRECT("HNSW_Summary!1:1"),0)))</f>
        <v>0</v>
      </c>
      <c r="M22" s="1303">
        <f ca="1">SUMIF(INDIRECT("HNSW_Summary!A:A"),C22,INDEX(INDIRECT("HNSW_Summary!A:Z"),0,MATCH("UnderOver",INDIRECT("HNSW_Summary!1:1"),0)))</f>
        <v>0</v>
      </c>
      <c r="N22" s="2126"/>
      <c r="P22" s="1893"/>
      <c r="Q22" s="2217"/>
      <c r="V22" s="2090" t="b">
        <f>IF(D03_Number_of_Loans&gt;=6,FALSE,TRUE)</f>
        <v>1</v>
      </c>
    </row>
    <row r="23" spans="2:22" ht="17.25" hidden="1" customHeight="1">
      <c r="B23" s="2220"/>
      <c r="C23" s="2250"/>
      <c r="D23" s="2079" t="str">
        <f ca="1">IF(C23=E23, HYPERLINK("#'" &amp; VLOOKUP(C23,INDIRECT("HNSW_Summary!$A:$B"),2,0) &amp; "'!A1", "}"), "}")</f>
        <v>}</v>
      </c>
      <c r="E23" s="2249">
        <f ca="1">VLOOKUP(C23,INDIRECT("HNSW_Summary!$A:$B"),1,0)</f>
        <v>0</v>
      </c>
      <c r="F23" s="1303">
        <f ca="1">IFERROR(INDEX(INDIRECT("HNSW_Summary!A:Z"),MATCH(C23,INDIRECT("HNSW_Summary!A:A"), 0),MATCH("Director",INDIRECT("HNSW_Summary!1:1"),0)),"")</f>
        <v>0</v>
      </c>
      <c r="G23" s="1303">
        <f ca="1">SUMIF(INDIRECT("HNSW_Summary!A:A"),C23,INDEX(INDIRECT("HNSW_Summary!A:Z"),0,MATCH("OpBalance",INDIRECT("HNSW_Summary!1:1"),0)))</f>
        <v>0</v>
      </c>
      <c r="H23" s="1303">
        <f ca="1">SUMIF(INDIRECT("HNSW_Summary!A:A"),C23,INDEX(INDIRECT("HNSW_Summary!A:Z"),0,MATCH("Repayments",INDIRECT("HNSW_Summary!1:1"),0)))</f>
        <v>0</v>
      </c>
      <c r="I23" s="1303">
        <f ca="1">SUMIF(INDIRECT("HNSW_Summary!A:A"),C23,INDEX(INDIRECT("HNSW_Summary!A:Z"),0,MATCH("Interest",INDIRECT("HNSW_Summary!1:1"),0)))</f>
        <v>0</v>
      </c>
      <c r="J23" s="1303">
        <f ca="1">SUMIF(INDIRECT("HNSW_Summary!A:A"),C23,INDEX(INDIRECT("HNSW_Summary!A:Z"),0,MATCH("ClBalance",INDIRECT("HNSW_Summary!1:1"),0)))</f>
        <v>0</v>
      </c>
      <c r="K23" s="2038"/>
      <c r="L23" s="1303">
        <f ca="1">SUMIF(INDIRECT("HNSW_Summary!A:A"),C23,INDEX(INDIRECT("HNSW_Summary!A:Z"),0,MATCH("MinRepayments",INDIRECT("HNSW_Summary!1:1"),0)))</f>
        <v>0</v>
      </c>
      <c r="M23" s="1303">
        <f ca="1">SUMIF(INDIRECT("HNSW_Summary!A:A"),C23,INDEX(INDIRECT("HNSW_Summary!A:Z"),0,MATCH("UnderOver",INDIRECT("HNSW_Summary!1:1"),0)))</f>
        <v>0</v>
      </c>
      <c r="N23" s="2126"/>
      <c r="P23" s="1893"/>
      <c r="Q23" s="2217"/>
      <c r="V23" s="2090" t="b">
        <f>IF(D03_Number_of_Loans&gt;=7,FALSE,TRUE)</f>
        <v>1</v>
      </c>
    </row>
    <row r="24" spans="2:22" ht="17.25" hidden="1" customHeight="1">
      <c r="B24" s="2220"/>
      <c r="C24" s="2250"/>
      <c r="D24" s="2079" t="str">
        <f ca="1">IF(C24=E24, HYPERLINK("#'" &amp; VLOOKUP(C24,INDIRECT("HNSW_Summary!$A:$B"),2,0) &amp; "'!A1", "}"), "}")</f>
        <v>}</v>
      </c>
      <c r="E24" s="2249">
        <f ca="1">VLOOKUP(C24,INDIRECT("HNSW_Summary!$A:$B"),1,0)</f>
        <v>0</v>
      </c>
      <c r="F24" s="1303">
        <f ca="1">IFERROR(INDEX(INDIRECT("HNSW_Summary!A:Z"),MATCH(C24,INDIRECT("HNSW_Summary!A:A"), 0),MATCH("Director",INDIRECT("HNSW_Summary!1:1"),0)),"")</f>
        <v>0</v>
      </c>
      <c r="G24" s="1303">
        <f ca="1">SUMIF(INDIRECT("HNSW_Summary!A:A"),C24,INDEX(INDIRECT("HNSW_Summary!A:Z"),0,MATCH("OpBalance",INDIRECT("HNSW_Summary!1:1"),0)))</f>
        <v>0</v>
      </c>
      <c r="H24" s="1303">
        <f ca="1">SUMIF(INDIRECT("HNSW_Summary!A:A"),C24,INDEX(INDIRECT("HNSW_Summary!A:Z"),0,MATCH("Repayments",INDIRECT("HNSW_Summary!1:1"),0)))</f>
        <v>0</v>
      </c>
      <c r="I24" s="1303">
        <f ca="1">SUMIF(INDIRECT("HNSW_Summary!A:A"),C24,INDEX(INDIRECT("HNSW_Summary!A:Z"),0,MATCH("Interest",INDIRECT("HNSW_Summary!1:1"),0)))</f>
        <v>0</v>
      </c>
      <c r="J24" s="1303">
        <f ca="1">SUMIF(INDIRECT("HNSW_Summary!A:A"),C24,INDEX(INDIRECT("HNSW_Summary!A:Z"),0,MATCH("ClBalance",INDIRECT("HNSW_Summary!1:1"),0)))</f>
        <v>0</v>
      </c>
      <c r="K24" s="2038"/>
      <c r="L24" s="1303">
        <f ca="1">SUMIF(INDIRECT("HNSW_Summary!A:A"),C24,INDEX(INDIRECT("HNSW_Summary!A:Z"),0,MATCH("MinRepayments",INDIRECT("HNSW_Summary!1:1"),0)))</f>
        <v>0</v>
      </c>
      <c r="M24" s="1303">
        <f ca="1">SUMIF(INDIRECT("HNSW_Summary!A:A"),C24,INDEX(INDIRECT("HNSW_Summary!A:Z"),0,MATCH("UnderOver",INDIRECT("HNSW_Summary!1:1"),0)))</f>
        <v>0</v>
      </c>
      <c r="N24" s="2126"/>
      <c r="P24" s="1893"/>
      <c r="Q24" s="2217"/>
      <c r="V24" s="2090" t="b">
        <f>IF(D03_Number_of_Loans&gt;=8,FALSE,TRUE)</f>
        <v>1</v>
      </c>
    </row>
    <row r="25" spans="2:22" ht="17.25" hidden="1" customHeight="1">
      <c r="B25" s="2220"/>
      <c r="C25" s="2250"/>
      <c r="D25" s="2079" t="str">
        <f ca="1">IF(C25=E25, HYPERLINK("#'" &amp; VLOOKUP(C25,INDIRECT("HNSW_Summary!$A:$B"),2,0) &amp; "'!A1", "}"), "}")</f>
        <v>}</v>
      </c>
      <c r="E25" s="2249">
        <f ca="1">VLOOKUP(C25,INDIRECT("HNSW_Summary!$A:$B"),1,0)</f>
        <v>0</v>
      </c>
      <c r="F25" s="1303">
        <f ca="1">IFERROR(INDEX(INDIRECT("HNSW_Summary!A:Z"),MATCH(C25,INDIRECT("HNSW_Summary!A:A"), 0),MATCH("Director",INDIRECT("HNSW_Summary!1:1"),0)),"")</f>
        <v>0</v>
      </c>
      <c r="G25" s="1303">
        <f ca="1">SUMIF(INDIRECT("HNSW_Summary!A:A"),C25,INDEX(INDIRECT("HNSW_Summary!A:Z"),0,MATCH("OpBalance",INDIRECT("HNSW_Summary!1:1"),0)))</f>
        <v>0</v>
      </c>
      <c r="H25" s="1303">
        <f ca="1">SUMIF(INDIRECT("HNSW_Summary!A:A"),C25,INDEX(INDIRECT("HNSW_Summary!A:Z"),0,MATCH("Repayments",INDIRECT("HNSW_Summary!1:1"),0)))</f>
        <v>0</v>
      </c>
      <c r="I25" s="1303">
        <f ca="1">SUMIF(INDIRECT("HNSW_Summary!A:A"),C25,INDEX(INDIRECT("HNSW_Summary!A:Z"),0,MATCH("Interest",INDIRECT("HNSW_Summary!1:1"),0)))</f>
        <v>0</v>
      </c>
      <c r="J25" s="1303">
        <f ca="1">SUMIF(INDIRECT("HNSW_Summary!A:A"),C25,INDEX(INDIRECT("HNSW_Summary!A:Z"),0,MATCH("ClBalance",INDIRECT("HNSW_Summary!1:1"),0)))</f>
        <v>0</v>
      </c>
      <c r="K25" s="2038"/>
      <c r="L25" s="1303">
        <f ca="1">SUMIF(INDIRECT("HNSW_Summary!A:A"),C25,INDEX(INDIRECT("HNSW_Summary!A:Z"),0,MATCH("MinRepayments",INDIRECT("HNSW_Summary!1:1"),0)))</f>
        <v>0</v>
      </c>
      <c r="M25" s="1303">
        <f ca="1">SUMIF(INDIRECT("HNSW_Summary!A:A"),C25,INDEX(INDIRECT("HNSW_Summary!A:Z"),0,MATCH("UnderOver",INDIRECT("HNSW_Summary!1:1"),0)))</f>
        <v>0</v>
      </c>
      <c r="N25" s="2126"/>
      <c r="P25" s="1893"/>
      <c r="Q25" s="2217"/>
      <c r="V25" s="2090" t="b">
        <f>IF(D03_Number_of_Loans&gt;=9,FALSE,TRUE)</f>
        <v>1</v>
      </c>
    </row>
    <row r="26" spans="2:22" ht="17.25" hidden="1" customHeight="1">
      <c r="B26" s="2220"/>
      <c r="C26" s="2250"/>
      <c r="D26" s="2079" t="str">
        <f ca="1">IF(C26=E26, HYPERLINK("#'" &amp; VLOOKUP(C26,INDIRECT("HNSW_Summary!$A:$B"),2,0) &amp; "'!A1", "}"), "}")</f>
        <v>}</v>
      </c>
      <c r="E26" s="2249">
        <f ca="1">VLOOKUP(C26,INDIRECT("HNSW_Summary!$A:$B"),1,0)</f>
        <v>0</v>
      </c>
      <c r="F26" s="1303">
        <f ca="1">IFERROR(INDEX(INDIRECT("HNSW_Summary!A:Z"),MATCH(C26,INDIRECT("HNSW_Summary!A:A"), 0),MATCH("Director",INDIRECT("HNSW_Summary!1:1"),0)),"")</f>
        <v>0</v>
      </c>
      <c r="G26" s="1303">
        <f ca="1">SUMIF(INDIRECT("HNSW_Summary!A:A"),C26,INDEX(INDIRECT("HNSW_Summary!A:Z"),0,MATCH("OpBalance",INDIRECT("HNSW_Summary!1:1"),0)))</f>
        <v>0</v>
      </c>
      <c r="H26" s="1303">
        <f ca="1">SUMIF(INDIRECT("HNSW_Summary!A:A"),C26,INDEX(INDIRECT("HNSW_Summary!A:Z"),0,MATCH("Repayments",INDIRECT("HNSW_Summary!1:1"),0)))</f>
        <v>0</v>
      </c>
      <c r="I26" s="1303">
        <f ca="1">SUMIF(INDIRECT("HNSW_Summary!A:A"),C26,INDEX(INDIRECT("HNSW_Summary!A:Z"),0,MATCH("Interest",INDIRECT("HNSW_Summary!1:1"),0)))</f>
        <v>0</v>
      </c>
      <c r="J26" s="1303">
        <f ca="1">SUMIF(INDIRECT("HNSW_Summary!A:A"),C26,INDEX(INDIRECT("HNSW_Summary!A:Z"),0,MATCH("ClBalance",INDIRECT("HNSW_Summary!1:1"),0)))</f>
        <v>0</v>
      </c>
      <c r="K26" s="2038"/>
      <c r="L26" s="1303">
        <f ca="1">SUMIF(INDIRECT("HNSW_Summary!A:A"),C26,INDEX(INDIRECT("HNSW_Summary!A:Z"),0,MATCH("MinRepayments",INDIRECT("HNSW_Summary!1:1"),0)))</f>
        <v>0</v>
      </c>
      <c r="M26" s="1303">
        <f ca="1">SUMIF(INDIRECT("HNSW_Summary!A:A"),C26,INDEX(INDIRECT("HNSW_Summary!A:Z"),0,MATCH("UnderOver",INDIRECT("HNSW_Summary!1:1"),0)))</f>
        <v>0</v>
      </c>
      <c r="N26" s="2126"/>
      <c r="P26" s="1893"/>
      <c r="Q26" s="2217"/>
      <c r="V26" s="2090" t="b">
        <f>IF(D03_Number_of_Loans&gt;=10,FALSE,TRUE)</f>
        <v>1</v>
      </c>
    </row>
    <row r="27" spans="2:22" ht="17.25" hidden="1" customHeight="1">
      <c r="B27" s="2220"/>
      <c r="C27" s="2250"/>
      <c r="D27" s="2079" t="str">
        <f ca="1">IF(C27=E27, HYPERLINK("#'" &amp; VLOOKUP(C27,INDIRECT("HNSW_Summary!$A:$B"),2,0) &amp; "'!A1", "}"), "}")</f>
        <v>}</v>
      </c>
      <c r="E27" s="2249">
        <f ca="1">VLOOKUP(C27,INDIRECT("HNSW_Summary!$A:$B"),1,0)</f>
        <v>0</v>
      </c>
      <c r="F27" s="1303">
        <f ca="1">IFERROR(INDEX(INDIRECT("HNSW_Summary!A:Z"),MATCH(C27,INDIRECT("HNSW_Summary!A:A"), 0),MATCH("Director",INDIRECT("HNSW_Summary!1:1"),0)),"")</f>
        <v>0</v>
      </c>
      <c r="G27" s="1303">
        <f ca="1">SUMIF(INDIRECT("HNSW_Summary!A:A"),C27,INDEX(INDIRECT("HNSW_Summary!A:Z"),0,MATCH("OpBalance",INDIRECT("HNSW_Summary!1:1"),0)))</f>
        <v>0</v>
      </c>
      <c r="H27" s="1303">
        <f ca="1">SUMIF(INDIRECT("HNSW_Summary!A:A"),C27,INDEX(INDIRECT("HNSW_Summary!A:Z"),0,MATCH("Repayments",INDIRECT("HNSW_Summary!1:1"),0)))</f>
        <v>0</v>
      </c>
      <c r="I27" s="1303">
        <f ca="1">SUMIF(INDIRECT("HNSW_Summary!A:A"),C27,INDEX(INDIRECT("HNSW_Summary!A:Z"),0,MATCH("Interest",INDIRECT("HNSW_Summary!1:1"),0)))</f>
        <v>0</v>
      </c>
      <c r="J27" s="1303">
        <f ca="1">SUMIF(INDIRECT("HNSW_Summary!A:A"),C27,INDEX(INDIRECT("HNSW_Summary!A:Z"),0,MATCH("ClBalance",INDIRECT("HNSW_Summary!1:1"),0)))</f>
        <v>0</v>
      </c>
      <c r="K27" s="2038"/>
      <c r="L27" s="1303">
        <f ca="1">SUMIF(INDIRECT("HNSW_Summary!A:A"),C27,INDEX(INDIRECT("HNSW_Summary!A:Z"),0,MATCH("MinRepayments",INDIRECT("HNSW_Summary!1:1"),0)))</f>
        <v>0</v>
      </c>
      <c r="M27" s="1303">
        <f ca="1">SUMIF(INDIRECT("HNSW_Summary!A:A"),C27,INDEX(INDIRECT("HNSW_Summary!A:Z"),0,MATCH("UnderOver",INDIRECT("HNSW_Summary!1:1"),0)))</f>
        <v>0</v>
      </c>
      <c r="N27" s="2126"/>
      <c r="P27" s="1893"/>
      <c r="Q27" s="2217"/>
      <c r="V27" s="2090" t="b">
        <f>IF(D03_Number_of_Loans&gt;=11,FALSE,TRUE)</f>
        <v>1</v>
      </c>
    </row>
    <row r="28" spans="2:22" ht="17.25" hidden="1" customHeight="1">
      <c r="B28" s="2220"/>
      <c r="C28" s="2250"/>
      <c r="D28" s="2079" t="str">
        <f ca="1">IF(C28=E28, HYPERLINK("#'" &amp; VLOOKUP(C28,INDIRECT("HNSW_Summary!$A:$B"),2,0) &amp; "'!A1", "}"), "}")</f>
        <v>}</v>
      </c>
      <c r="E28" s="2249">
        <f ca="1">VLOOKUP(C28,INDIRECT("HNSW_Summary!$A:$B"),1,0)</f>
        <v>0</v>
      </c>
      <c r="F28" s="1303">
        <f ca="1">IFERROR(INDEX(INDIRECT("HNSW_Summary!A:Z"),MATCH(C28,INDIRECT("HNSW_Summary!A:A"), 0),MATCH("Director",INDIRECT("HNSW_Summary!1:1"),0)),"")</f>
        <v>0</v>
      </c>
      <c r="G28" s="1303">
        <f ca="1">SUMIF(INDIRECT("HNSW_Summary!A:A"),C28,INDEX(INDIRECT("HNSW_Summary!A:Z"),0,MATCH("OpBalance",INDIRECT("HNSW_Summary!1:1"),0)))</f>
        <v>0</v>
      </c>
      <c r="H28" s="1303">
        <f ca="1">SUMIF(INDIRECT("HNSW_Summary!A:A"),C28,INDEX(INDIRECT("HNSW_Summary!A:Z"),0,MATCH("Repayments",INDIRECT("HNSW_Summary!1:1"),0)))</f>
        <v>0</v>
      </c>
      <c r="I28" s="1303">
        <f ca="1">SUMIF(INDIRECT("HNSW_Summary!A:A"),C28,INDEX(INDIRECT("HNSW_Summary!A:Z"),0,MATCH("Interest",INDIRECT("HNSW_Summary!1:1"),0)))</f>
        <v>0</v>
      </c>
      <c r="J28" s="1303">
        <f ca="1">SUMIF(INDIRECT("HNSW_Summary!A:A"),C28,INDEX(INDIRECT("HNSW_Summary!A:Z"),0,MATCH("ClBalance",INDIRECT("HNSW_Summary!1:1"),0)))</f>
        <v>0</v>
      </c>
      <c r="K28" s="2038"/>
      <c r="L28" s="1303">
        <f ca="1">SUMIF(INDIRECT("HNSW_Summary!A:A"),C28,INDEX(INDIRECT("HNSW_Summary!A:Z"),0,MATCH("MinRepayments",INDIRECT("HNSW_Summary!1:1"),0)))</f>
        <v>0</v>
      </c>
      <c r="M28" s="1303">
        <f ca="1">SUMIF(INDIRECT("HNSW_Summary!A:A"),C28,INDEX(INDIRECT("HNSW_Summary!A:Z"),0,MATCH("UnderOver",INDIRECT("HNSW_Summary!1:1"),0)))</f>
        <v>0</v>
      </c>
      <c r="N28" s="2126"/>
      <c r="P28" s="1893"/>
      <c r="Q28" s="2217"/>
      <c r="V28" s="2090" t="b">
        <f>IF(D03_Number_of_Loans&gt;=12,FALSE,TRUE)</f>
        <v>1</v>
      </c>
    </row>
    <row r="29" spans="2:22" ht="17.25" hidden="1" customHeight="1">
      <c r="B29" s="2220"/>
      <c r="C29" s="2250"/>
      <c r="D29" s="2079" t="str">
        <f ca="1">IF(C29=E29, HYPERLINK("#'" &amp; VLOOKUP(C29,INDIRECT("HNSW_Summary!$A:$B"),2,0) &amp; "'!A1", "}"), "}")</f>
        <v>}</v>
      </c>
      <c r="E29" s="2249">
        <f ca="1">VLOOKUP(C29,INDIRECT("HNSW_Summary!$A:$B"),1,0)</f>
        <v>0</v>
      </c>
      <c r="F29" s="1303">
        <f ca="1">IFERROR(INDEX(INDIRECT("HNSW_Summary!A:Z"),MATCH(C29,INDIRECT("HNSW_Summary!A:A"), 0),MATCH("Director",INDIRECT("HNSW_Summary!1:1"),0)),"")</f>
        <v>0</v>
      </c>
      <c r="G29" s="1303">
        <f ca="1">SUMIF(INDIRECT("HNSW_Summary!A:A"),C29,INDEX(INDIRECT("HNSW_Summary!A:Z"),0,MATCH("OpBalance",INDIRECT("HNSW_Summary!1:1"),0)))</f>
        <v>0</v>
      </c>
      <c r="H29" s="1303">
        <f ca="1">SUMIF(INDIRECT("HNSW_Summary!A:A"),C29,INDEX(INDIRECT("HNSW_Summary!A:Z"),0,MATCH("Repayments",INDIRECT("HNSW_Summary!1:1"),0)))</f>
        <v>0</v>
      </c>
      <c r="I29" s="1303">
        <f ca="1">SUMIF(INDIRECT("HNSW_Summary!A:A"),C29,INDEX(INDIRECT("HNSW_Summary!A:Z"),0,MATCH("Interest",INDIRECT("HNSW_Summary!1:1"),0)))</f>
        <v>0</v>
      </c>
      <c r="J29" s="1303">
        <f ca="1">SUMIF(INDIRECT("HNSW_Summary!A:A"),C29,INDEX(INDIRECT("HNSW_Summary!A:Z"),0,MATCH("ClBalance",INDIRECT("HNSW_Summary!1:1"),0)))</f>
        <v>0</v>
      </c>
      <c r="K29" s="2038"/>
      <c r="L29" s="1303">
        <f ca="1">SUMIF(INDIRECT("HNSW_Summary!A:A"),C29,INDEX(INDIRECT("HNSW_Summary!A:Z"),0,MATCH("MinRepayments",INDIRECT("HNSW_Summary!1:1"),0)))</f>
        <v>0</v>
      </c>
      <c r="M29" s="1303">
        <f ca="1">SUMIF(INDIRECT("HNSW_Summary!A:A"),C29,INDEX(INDIRECT("HNSW_Summary!A:Z"),0,MATCH("UnderOver",INDIRECT("HNSW_Summary!1:1"),0)))</f>
        <v>0</v>
      </c>
      <c r="N29" s="2126"/>
      <c r="P29" s="1893"/>
      <c r="Q29" s="2217"/>
      <c r="V29" s="2090" t="b">
        <f>IF(D03_Number_of_Loans&gt;=13,FALSE,TRUE)</f>
        <v>1</v>
      </c>
    </row>
    <row r="30" spans="2:22" ht="17.25" hidden="1" customHeight="1">
      <c r="B30" s="2220"/>
      <c r="C30" s="2250"/>
      <c r="D30" s="2079" t="str">
        <f ca="1">IF(C30=E30, HYPERLINK("#'" &amp; VLOOKUP(C30,INDIRECT("HNSW_Summary!$A:$B"),2,0) &amp; "'!A1", "}"), "}")</f>
        <v>}</v>
      </c>
      <c r="E30" s="2249">
        <f ca="1">VLOOKUP(C30,INDIRECT("HNSW_Summary!$A:$B"),1,0)</f>
        <v>0</v>
      </c>
      <c r="F30" s="1303">
        <f ca="1">IFERROR(INDEX(INDIRECT("HNSW_Summary!A:Z"),MATCH(C30,INDIRECT("HNSW_Summary!A:A"), 0),MATCH("Director",INDIRECT("HNSW_Summary!1:1"),0)),"")</f>
        <v>0</v>
      </c>
      <c r="G30" s="1303">
        <f ca="1">SUMIF(INDIRECT("HNSW_Summary!A:A"),C30,INDEX(INDIRECT("HNSW_Summary!A:Z"),0,MATCH("OpBalance",INDIRECT("HNSW_Summary!1:1"),0)))</f>
        <v>0</v>
      </c>
      <c r="H30" s="1303">
        <f ca="1">SUMIF(INDIRECT("HNSW_Summary!A:A"),C30,INDEX(INDIRECT("HNSW_Summary!A:Z"),0,MATCH("Repayments",INDIRECT("HNSW_Summary!1:1"),0)))</f>
        <v>0</v>
      </c>
      <c r="I30" s="1303">
        <f ca="1">SUMIF(INDIRECT("HNSW_Summary!A:A"),C30,INDEX(INDIRECT("HNSW_Summary!A:Z"),0,MATCH("Interest",INDIRECT("HNSW_Summary!1:1"),0)))</f>
        <v>0</v>
      </c>
      <c r="J30" s="1303">
        <f ca="1">SUMIF(INDIRECT("HNSW_Summary!A:A"),C30,INDEX(INDIRECT("HNSW_Summary!A:Z"),0,MATCH("ClBalance",INDIRECT("HNSW_Summary!1:1"),0)))</f>
        <v>0</v>
      </c>
      <c r="K30" s="2038"/>
      <c r="L30" s="1303">
        <f ca="1">SUMIF(INDIRECT("HNSW_Summary!A:A"),C30,INDEX(INDIRECT("HNSW_Summary!A:Z"),0,MATCH("MinRepayments",INDIRECT("HNSW_Summary!1:1"),0)))</f>
        <v>0</v>
      </c>
      <c r="M30" s="1303">
        <f ca="1">SUMIF(INDIRECT("HNSW_Summary!A:A"),C30,INDEX(INDIRECT("HNSW_Summary!A:Z"),0,MATCH("UnderOver",INDIRECT("HNSW_Summary!1:1"),0)))</f>
        <v>0</v>
      </c>
      <c r="N30" s="2126"/>
      <c r="P30" s="1893"/>
      <c r="Q30" s="2217"/>
      <c r="V30" s="2090" t="b">
        <f>IF(D03_Number_of_Loans&gt;=14,FALSE,TRUE)</f>
        <v>1</v>
      </c>
    </row>
    <row r="31" spans="2:22" ht="17.25" hidden="1" customHeight="1">
      <c r="B31" s="2220"/>
      <c r="C31" s="2250"/>
      <c r="D31" s="2079" t="str">
        <f ca="1">IF(C31=E31, HYPERLINK("#'" &amp; VLOOKUP(C31,INDIRECT("HNSW_Summary!$A:$B"),2,0) &amp; "'!A1", "}"), "}")</f>
        <v>}</v>
      </c>
      <c r="E31" s="2249">
        <f ca="1">VLOOKUP(C31,INDIRECT("HNSW_Summary!$A:$B"),1,0)</f>
        <v>0</v>
      </c>
      <c r="F31" s="1303">
        <f ca="1">IFERROR(INDEX(INDIRECT("HNSW_Summary!A:Z"),MATCH(C31,INDIRECT("HNSW_Summary!A:A"), 0),MATCH("Director",INDIRECT("HNSW_Summary!1:1"),0)),"")</f>
        <v>0</v>
      </c>
      <c r="G31" s="1303">
        <f ca="1">SUMIF(INDIRECT("HNSW_Summary!A:A"),C31,INDEX(INDIRECT("HNSW_Summary!A:Z"),0,MATCH("OpBalance",INDIRECT("HNSW_Summary!1:1"),0)))</f>
        <v>0</v>
      </c>
      <c r="H31" s="1303">
        <f ca="1">SUMIF(INDIRECT("HNSW_Summary!A:A"),C31,INDEX(INDIRECT("HNSW_Summary!A:Z"),0,MATCH("Repayments",INDIRECT("HNSW_Summary!1:1"),0)))</f>
        <v>0</v>
      </c>
      <c r="I31" s="1303">
        <f ca="1">SUMIF(INDIRECT("HNSW_Summary!A:A"),C31,INDEX(INDIRECT("HNSW_Summary!A:Z"),0,MATCH("Interest",INDIRECT("HNSW_Summary!1:1"),0)))</f>
        <v>0</v>
      </c>
      <c r="J31" s="1303">
        <f ca="1">SUMIF(INDIRECT("HNSW_Summary!A:A"),C31,INDEX(INDIRECT("HNSW_Summary!A:Z"),0,MATCH("ClBalance",INDIRECT("HNSW_Summary!1:1"),0)))</f>
        <v>0</v>
      </c>
      <c r="K31" s="2038"/>
      <c r="L31" s="1303">
        <f ca="1">SUMIF(INDIRECT("HNSW_Summary!A:A"),C31,INDEX(INDIRECT("HNSW_Summary!A:Z"),0,MATCH("MinRepayments",INDIRECT("HNSW_Summary!1:1"),0)))</f>
        <v>0</v>
      </c>
      <c r="M31" s="1303">
        <f ca="1">SUMIF(INDIRECT("HNSW_Summary!A:A"),C31,INDEX(INDIRECT("HNSW_Summary!A:Z"),0,MATCH("UnderOver",INDIRECT("HNSW_Summary!1:1"),0)))</f>
        <v>0</v>
      </c>
      <c r="N31" s="2126"/>
      <c r="P31" s="1893"/>
      <c r="Q31" s="2217"/>
      <c r="V31" s="2090" t="b">
        <f>IF(D03_Number_of_Loans&gt;=15,FALSE,TRUE)</f>
        <v>1</v>
      </c>
    </row>
    <row r="32" spans="2:22" ht="17.25" hidden="1" customHeight="1">
      <c r="B32" s="2220"/>
      <c r="C32" s="2250"/>
      <c r="D32" s="2079" t="str">
        <f ca="1">IF(C32=E32, HYPERLINK("#'" &amp; VLOOKUP(C32,INDIRECT("HNSW_Summary!$A:$B"),2,0) &amp; "'!A1", "}"), "}")</f>
        <v>}</v>
      </c>
      <c r="E32" s="2249">
        <f ca="1">VLOOKUP(C32,INDIRECT("HNSW_Summary!$A:$B"),1,0)</f>
        <v>0</v>
      </c>
      <c r="F32" s="1303">
        <f ca="1">IFERROR(INDEX(INDIRECT("HNSW_Summary!A:Z"),MATCH(C32,INDIRECT("HNSW_Summary!A:A"), 0),MATCH("Director",INDIRECT("HNSW_Summary!1:1"),0)),"")</f>
        <v>0</v>
      </c>
      <c r="G32" s="1303">
        <f ca="1">SUMIF(INDIRECT("HNSW_Summary!A:A"),C32,INDEX(INDIRECT("HNSW_Summary!A:Z"),0,MATCH("OpBalance",INDIRECT("HNSW_Summary!1:1"),0)))</f>
        <v>0</v>
      </c>
      <c r="H32" s="1303">
        <f ca="1">SUMIF(INDIRECT("HNSW_Summary!A:A"),C32,INDEX(INDIRECT("HNSW_Summary!A:Z"),0,MATCH("Repayments",INDIRECT("HNSW_Summary!1:1"),0)))</f>
        <v>0</v>
      </c>
      <c r="I32" s="1303">
        <f ca="1">SUMIF(INDIRECT("HNSW_Summary!A:A"),C32,INDEX(INDIRECT("HNSW_Summary!A:Z"),0,MATCH("Interest",INDIRECT("HNSW_Summary!1:1"),0)))</f>
        <v>0</v>
      </c>
      <c r="J32" s="1303">
        <f ca="1">SUMIF(INDIRECT("HNSW_Summary!A:A"),C32,INDEX(INDIRECT("HNSW_Summary!A:Z"),0,MATCH("ClBalance",INDIRECT("HNSW_Summary!1:1"),0)))</f>
        <v>0</v>
      </c>
      <c r="K32" s="2038"/>
      <c r="L32" s="1303">
        <f ca="1">SUMIF(INDIRECT("HNSW_Summary!A:A"),C32,INDEX(INDIRECT("HNSW_Summary!A:Z"),0,MATCH("MinRepayments",INDIRECT("HNSW_Summary!1:1"),0)))</f>
        <v>0</v>
      </c>
      <c r="M32" s="1303">
        <f ca="1">SUMIF(INDIRECT("HNSW_Summary!A:A"),C32,INDEX(INDIRECT("HNSW_Summary!A:Z"),0,MATCH("UnderOver",INDIRECT("HNSW_Summary!1:1"),0)))</f>
        <v>0</v>
      </c>
      <c r="N32" s="2126"/>
      <c r="P32" s="1893"/>
      <c r="Q32" s="2217"/>
      <c r="V32" s="2090" t="b">
        <f>IF(D03_Number_of_Loans&gt;=16,FALSE,TRUE)</f>
        <v>1</v>
      </c>
    </row>
    <row r="33" spans="2:22" ht="17.25" hidden="1" customHeight="1">
      <c r="B33" s="2220"/>
      <c r="C33" s="2250"/>
      <c r="D33" s="2079" t="str">
        <f ca="1">IF(C33=E33, HYPERLINK("#'" &amp; VLOOKUP(C33,INDIRECT("HNSW_Summary!$A:$B"),2,0) &amp; "'!A1", "}"), "}")</f>
        <v>}</v>
      </c>
      <c r="E33" s="2249">
        <f ca="1">VLOOKUP(C33,INDIRECT("HNSW_Summary!$A:$B"),1,0)</f>
        <v>0</v>
      </c>
      <c r="F33" s="1303">
        <f ca="1">IFERROR(INDEX(INDIRECT("HNSW_Summary!A:Z"),MATCH(C33,INDIRECT("HNSW_Summary!A:A"), 0),MATCH("Director",INDIRECT("HNSW_Summary!1:1"),0)),"")</f>
        <v>0</v>
      </c>
      <c r="G33" s="1303">
        <f ca="1">SUMIF(INDIRECT("HNSW_Summary!A:A"),C33,INDEX(INDIRECT("HNSW_Summary!A:Z"),0,MATCH("OpBalance",INDIRECT("HNSW_Summary!1:1"),0)))</f>
        <v>0</v>
      </c>
      <c r="H33" s="1303">
        <f ca="1">SUMIF(INDIRECT("HNSW_Summary!A:A"),C33,INDEX(INDIRECT("HNSW_Summary!A:Z"),0,MATCH("Repayments",INDIRECT("HNSW_Summary!1:1"),0)))</f>
        <v>0</v>
      </c>
      <c r="I33" s="1303">
        <f ca="1">SUMIF(INDIRECT("HNSW_Summary!A:A"),C33,INDEX(INDIRECT("HNSW_Summary!A:Z"),0,MATCH("Interest",INDIRECT("HNSW_Summary!1:1"),0)))</f>
        <v>0</v>
      </c>
      <c r="J33" s="1303">
        <f ca="1">SUMIF(INDIRECT("HNSW_Summary!A:A"),C33,INDEX(INDIRECT("HNSW_Summary!A:Z"),0,MATCH("ClBalance",INDIRECT("HNSW_Summary!1:1"),0)))</f>
        <v>0</v>
      </c>
      <c r="K33" s="2038"/>
      <c r="L33" s="1303">
        <f ca="1">SUMIF(INDIRECT("HNSW_Summary!A:A"),C33,INDEX(INDIRECT("HNSW_Summary!A:Z"),0,MATCH("MinRepayments",INDIRECT("HNSW_Summary!1:1"),0)))</f>
        <v>0</v>
      </c>
      <c r="M33" s="1303">
        <f ca="1">SUMIF(INDIRECT("HNSW_Summary!A:A"),C33,INDEX(INDIRECT("HNSW_Summary!A:Z"),0,MATCH("UnderOver",INDIRECT("HNSW_Summary!1:1"),0)))</f>
        <v>0</v>
      </c>
      <c r="N33" s="2126"/>
      <c r="P33" s="1893"/>
      <c r="Q33" s="2217"/>
      <c r="V33" s="2090" t="b">
        <f>IF(D03_Number_of_Loans&gt;=17,FALSE,TRUE)</f>
        <v>1</v>
      </c>
    </row>
    <row r="34" spans="2:22" ht="17.25" hidden="1" customHeight="1">
      <c r="B34" s="2220"/>
      <c r="C34" s="2250"/>
      <c r="D34" s="2079" t="str">
        <f ca="1">IF(C34=E34, HYPERLINK("#'" &amp; VLOOKUP(C34,INDIRECT("HNSW_Summary!$A:$B"),2,0) &amp; "'!A1", "}"), "}")</f>
        <v>}</v>
      </c>
      <c r="E34" s="2249">
        <f ca="1">VLOOKUP(C34,INDIRECT("HNSW_Summary!$A:$B"),1,0)</f>
        <v>0</v>
      </c>
      <c r="F34" s="1303">
        <f ca="1">IFERROR(INDEX(INDIRECT("HNSW_Summary!A:Z"),MATCH(C34,INDIRECT("HNSW_Summary!A:A"), 0),MATCH("Director",INDIRECT("HNSW_Summary!1:1"),0)),"")</f>
        <v>0</v>
      </c>
      <c r="G34" s="1303">
        <f ca="1">SUMIF(INDIRECT("HNSW_Summary!A:A"),C34,INDEX(INDIRECT("HNSW_Summary!A:Z"),0,MATCH("OpBalance",INDIRECT("HNSW_Summary!1:1"),0)))</f>
        <v>0</v>
      </c>
      <c r="H34" s="1303">
        <f ca="1">SUMIF(INDIRECT("HNSW_Summary!A:A"),C34,INDEX(INDIRECT("HNSW_Summary!A:Z"),0,MATCH("Repayments",INDIRECT("HNSW_Summary!1:1"),0)))</f>
        <v>0</v>
      </c>
      <c r="I34" s="1303">
        <f ca="1">SUMIF(INDIRECT("HNSW_Summary!A:A"),C34,INDEX(INDIRECT("HNSW_Summary!A:Z"),0,MATCH("Interest",INDIRECT("HNSW_Summary!1:1"),0)))</f>
        <v>0</v>
      </c>
      <c r="J34" s="1303">
        <f ca="1">SUMIF(INDIRECT("HNSW_Summary!A:A"),C34,INDEX(INDIRECT("HNSW_Summary!A:Z"),0,MATCH("ClBalance",INDIRECT("HNSW_Summary!1:1"),0)))</f>
        <v>0</v>
      </c>
      <c r="K34" s="2038"/>
      <c r="L34" s="1303">
        <f ca="1">SUMIF(INDIRECT("HNSW_Summary!A:A"),C34,INDEX(INDIRECT("HNSW_Summary!A:Z"),0,MATCH("MinRepayments",INDIRECT("HNSW_Summary!1:1"),0)))</f>
        <v>0</v>
      </c>
      <c r="M34" s="1303">
        <f ca="1">SUMIF(INDIRECT("HNSW_Summary!A:A"),C34,INDEX(INDIRECT("HNSW_Summary!A:Z"),0,MATCH("UnderOver",INDIRECT("HNSW_Summary!1:1"),0)))</f>
        <v>0</v>
      </c>
      <c r="N34" s="2126"/>
      <c r="P34" s="1893"/>
      <c r="Q34" s="2217"/>
      <c r="V34" s="2090" t="b">
        <f>IF(D03_Number_of_Loans&gt;=18,FALSE,TRUE)</f>
        <v>1</v>
      </c>
    </row>
    <row r="35" spans="2:22" ht="17.25" hidden="1" customHeight="1">
      <c r="B35" s="2220"/>
      <c r="C35" s="2250"/>
      <c r="D35" s="2079" t="str">
        <f ca="1">IF(C35=E35, HYPERLINK("#'" &amp; VLOOKUP(C35,INDIRECT("HNSW_Summary!$A:$B"),2,0) &amp; "'!A1", "}"), "}")</f>
        <v>}</v>
      </c>
      <c r="E35" s="2249">
        <f ca="1">VLOOKUP(C35,INDIRECT("HNSW_Summary!$A:$B"),1,0)</f>
        <v>0</v>
      </c>
      <c r="F35" s="1303">
        <f ca="1">IFERROR(INDEX(INDIRECT("HNSW_Summary!A:Z"),MATCH(C35,INDIRECT("HNSW_Summary!A:A"), 0),MATCH("Director",INDIRECT("HNSW_Summary!1:1"),0)),"")</f>
        <v>0</v>
      </c>
      <c r="G35" s="1303">
        <f ca="1">SUMIF(INDIRECT("HNSW_Summary!A:A"),C35,INDEX(INDIRECT("HNSW_Summary!A:Z"),0,MATCH("OpBalance",INDIRECT("HNSW_Summary!1:1"),0)))</f>
        <v>0</v>
      </c>
      <c r="H35" s="1303">
        <f ca="1">SUMIF(INDIRECT("HNSW_Summary!A:A"),C35,INDEX(INDIRECT("HNSW_Summary!A:Z"),0,MATCH("Repayments",INDIRECT("HNSW_Summary!1:1"),0)))</f>
        <v>0</v>
      </c>
      <c r="I35" s="1303">
        <f ca="1">SUMIF(INDIRECT("HNSW_Summary!A:A"),C35,INDEX(INDIRECT("HNSW_Summary!A:Z"),0,MATCH("Interest",INDIRECT("HNSW_Summary!1:1"),0)))</f>
        <v>0</v>
      </c>
      <c r="J35" s="1303">
        <f ca="1">SUMIF(INDIRECT("HNSW_Summary!A:A"),C35,INDEX(INDIRECT("HNSW_Summary!A:Z"),0,MATCH("ClBalance",INDIRECT("HNSW_Summary!1:1"),0)))</f>
        <v>0</v>
      </c>
      <c r="K35" s="2038"/>
      <c r="L35" s="1303">
        <f ca="1">SUMIF(INDIRECT("HNSW_Summary!A:A"),C35,INDEX(INDIRECT("HNSW_Summary!A:Z"),0,MATCH("MinRepayments",INDIRECT("HNSW_Summary!1:1"),0)))</f>
        <v>0</v>
      </c>
      <c r="M35" s="1303">
        <f ca="1">SUMIF(INDIRECT("HNSW_Summary!A:A"),C35,INDEX(INDIRECT("HNSW_Summary!A:Z"),0,MATCH("UnderOver",INDIRECT("HNSW_Summary!1:1"),0)))</f>
        <v>0</v>
      </c>
      <c r="N35" s="2126"/>
      <c r="P35" s="1893"/>
      <c r="Q35" s="2217"/>
      <c r="V35" s="2090" t="b">
        <f>IF(D03_Number_of_Loans&gt;=19,FALSE,TRUE)</f>
        <v>1</v>
      </c>
    </row>
    <row r="36" spans="2:22" ht="17.25" hidden="1" customHeight="1">
      <c r="B36" s="2220"/>
      <c r="C36" s="2250"/>
      <c r="D36" s="2079" t="str">
        <f ca="1">IF(C36=E36, HYPERLINK("#'" &amp; VLOOKUP(C36,INDIRECT("HNSW_Summary!$A:$B"),2,0) &amp; "'!A1", "}"), "}")</f>
        <v>}</v>
      </c>
      <c r="E36" s="2249">
        <f ca="1">VLOOKUP(C36,INDIRECT("HNSW_Summary!$A:$B"),1,0)</f>
        <v>0</v>
      </c>
      <c r="F36" s="1303">
        <f ca="1">IFERROR(INDEX(INDIRECT("HNSW_Summary!A:Z"),MATCH(C36,INDIRECT("HNSW_Summary!A:A"), 0),MATCH("Director",INDIRECT("HNSW_Summary!1:1"),0)),"")</f>
        <v>0</v>
      </c>
      <c r="G36" s="1303">
        <f ca="1">SUMIF(INDIRECT("HNSW_Summary!A:A"),C36,INDEX(INDIRECT("HNSW_Summary!A:Z"),0,MATCH("OpBalance",INDIRECT("HNSW_Summary!1:1"),0)))</f>
        <v>0</v>
      </c>
      <c r="H36" s="1303">
        <f ca="1">SUMIF(INDIRECT("HNSW_Summary!A:A"),C36,INDEX(INDIRECT("HNSW_Summary!A:Z"),0,MATCH("Repayments",INDIRECT("HNSW_Summary!1:1"),0)))</f>
        <v>0</v>
      </c>
      <c r="I36" s="1303">
        <f ca="1">SUMIF(INDIRECT("HNSW_Summary!A:A"),C36,INDEX(INDIRECT("HNSW_Summary!A:Z"),0,MATCH("Interest",INDIRECT("HNSW_Summary!1:1"),0)))</f>
        <v>0</v>
      </c>
      <c r="J36" s="1303">
        <f ca="1">SUMIF(INDIRECT("HNSW_Summary!A:A"),C36,INDEX(INDIRECT("HNSW_Summary!A:Z"),0,MATCH("ClBalance",INDIRECT("HNSW_Summary!1:1"),0)))</f>
        <v>0</v>
      </c>
      <c r="K36" s="2038"/>
      <c r="L36" s="1303">
        <f ca="1">SUMIF(INDIRECT("HNSW_Summary!A:A"),C36,INDEX(INDIRECT("HNSW_Summary!A:Z"),0,MATCH("MinRepayments",INDIRECT("HNSW_Summary!1:1"),0)))</f>
        <v>0</v>
      </c>
      <c r="M36" s="1303">
        <f ca="1">SUMIF(INDIRECT("HNSW_Summary!A:A"),C36,INDEX(INDIRECT("HNSW_Summary!A:Z"),0,MATCH("UnderOver",INDIRECT("HNSW_Summary!1:1"),0)))</f>
        <v>0</v>
      </c>
      <c r="N36" s="2126"/>
      <c r="P36" s="1893"/>
      <c r="Q36" s="2217"/>
      <c r="V36" s="2090" t="b">
        <f>IF(D03_Number_of_Loans&gt;=20,FALSE,TRUE)</f>
        <v>1</v>
      </c>
    </row>
    <row r="37" spans="2:22" ht="17.25" hidden="1" customHeight="1">
      <c r="B37" s="2220"/>
      <c r="C37" s="2250"/>
      <c r="D37" s="2079" t="str">
        <f ca="1">IF(C37=E37, HYPERLINK("#'" &amp; VLOOKUP(C37,INDIRECT("HNSW_Summary!$A:$B"),2,0) &amp; "'!A1", "}"), "}")</f>
        <v>}</v>
      </c>
      <c r="E37" s="2249">
        <f ca="1">VLOOKUP(C37,INDIRECT("HNSW_Summary!$A:$B"),1,0)</f>
        <v>0</v>
      </c>
      <c r="F37" s="1303">
        <f ca="1">IFERROR(INDEX(INDIRECT("HNSW_Summary!A:Z"),MATCH(C37,INDIRECT("HNSW_Summary!A:A"), 0),MATCH("Director",INDIRECT("HNSW_Summary!1:1"),0)),"")</f>
        <v>0</v>
      </c>
      <c r="G37" s="1303">
        <f ca="1">SUMIF(INDIRECT("HNSW_Summary!A:A"),C37,INDEX(INDIRECT("HNSW_Summary!A:Z"),0,MATCH("OpBalance",INDIRECT("HNSW_Summary!1:1"),0)))</f>
        <v>0</v>
      </c>
      <c r="H37" s="1303">
        <f ca="1">SUMIF(INDIRECT("HNSW_Summary!A:A"),C37,INDEX(INDIRECT("HNSW_Summary!A:Z"),0,MATCH("Repayments",INDIRECT("HNSW_Summary!1:1"),0)))</f>
        <v>0</v>
      </c>
      <c r="I37" s="1303">
        <f ca="1">SUMIF(INDIRECT("HNSW_Summary!A:A"),C37,INDEX(INDIRECT("HNSW_Summary!A:Z"),0,MATCH("Interest",INDIRECT("HNSW_Summary!1:1"),0)))</f>
        <v>0</v>
      </c>
      <c r="J37" s="1303">
        <f ca="1">SUMIF(INDIRECT("HNSW_Summary!A:A"),C37,INDEX(INDIRECT("HNSW_Summary!A:Z"),0,MATCH("ClBalance",INDIRECT("HNSW_Summary!1:1"),0)))</f>
        <v>0</v>
      </c>
      <c r="K37" s="2038"/>
      <c r="L37" s="1303">
        <f ca="1">SUMIF(INDIRECT("HNSW_Summary!A:A"),C37,INDEX(INDIRECT("HNSW_Summary!A:Z"),0,MATCH("MinRepayments",INDIRECT("HNSW_Summary!1:1"),0)))</f>
        <v>0</v>
      </c>
      <c r="M37" s="1303">
        <f ca="1">SUMIF(INDIRECT("HNSW_Summary!A:A"),C37,INDEX(INDIRECT("HNSW_Summary!A:Z"),0,MATCH("UnderOver",INDIRECT("HNSW_Summary!1:1"),0)))</f>
        <v>0</v>
      </c>
      <c r="N37" s="2126"/>
      <c r="P37" s="1893"/>
      <c r="Q37" s="2217"/>
      <c r="V37" s="2090" t="b">
        <f>IF(D03_Number_of_Loans&gt;=21,FALSE,TRUE)</f>
        <v>1</v>
      </c>
    </row>
    <row r="38" spans="2:22" ht="17.25" hidden="1" customHeight="1">
      <c r="B38" s="2220"/>
      <c r="C38" s="2250"/>
      <c r="D38" s="2079" t="str">
        <f ca="1">IF(C38=E38, HYPERLINK("#'" &amp; VLOOKUP(C38,INDIRECT("HNSW_Summary!$A:$B"),2,0) &amp; "'!A1", "}"), "}")</f>
        <v>}</v>
      </c>
      <c r="E38" s="2249">
        <f ca="1">VLOOKUP(C38,INDIRECT("HNSW_Summary!$A:$B"),1,0)</f>
        <v>0</v>
      </c>
      <c r="F38" s="1303">
        <f ca="1">IFERROR(INDEX(INDIRECT("HNSW_Summary!A:Z"),MATCH(C38,INDIRECT("HNSW_Summary!A:A"), 0),MATCH("Director",INDIRECT("HNSW_Summary!1:1"),0)),"")</f>
        <v>0</v>
      </c>
      <c r="G38" s="1303">
        <f ca="1">SUMIF(INDIRECT("HNSW_Summary!A:A"),C38,INDEX(INDIRECT("HNSW_Summary!A:Z"),0,MATCH("OpBalance",INDIRECT("HNSW_Summary!1:1"),0)))</f>
        <v>0</v>
      </c>
      <c r="H38" s="1303">
        <f ca="1">SUMIF(INDIRECT("HNSW_Summary!A:A"),C38,INDEX(INDIRECT("HNSW_Summary!A:Z"),0,MATCH("Repayments",INDIRECT("HNSW_Summary!1:1"),0)))</f>
        <v>0</v>
      </c>
      <c r="I38" s="1303">
        <f ca="1">SUMIF(INDIRECT("HNSW_Summary!A:A"),C38,INDEX(INDIRECT("HNSW_Summary!A:Z"),0,MATCH("Interest",INDIRECT("HNSW_Summary!1:1"),0)))</f>
        <v>0</v>
      </c>
      <c r="J38" s="1303">
        <f ca="1">SUMIF(INDIRECT("HNSW_Summary!A:A"),C38,INDEX(INDIRECT("HNSW_Summary!A:Z"),0,MATCH("ClBalance",INDIRECT("HNSW_Summary!1:1"),0)))</f>
        <v>0</v>
      </c>
      <c r="K38" s="2038"/>
      <c r="L38" s="1303">
        <f ca="1">SUMIF(INDIRECT("HNSW_Summary!A:A"),C38,INDEX(INDIRECT("HNSW_Summary!A:Z"),0,MATCH("MinRepayments",INDIRECT("HNSW_Summary!1:1"),0)))</f>
        <v>0</v>
      </c>
      <c r="M38" s="1303">
        <f ca="1">SUMIF(INDIRECT("HNSW_Summary!A:A"),C38,INDEX(INDIRECT("HNSW_Summary!A:Z"),0,MATCH("UnderOver",INDIRECT("HNSW_Summary!1:1"),0)))</f>
        <v>0</v>
      </c>
      <c r="N38" s="2126"/>
      <c r="P38" s="1893"/>
      <c r="Q38" s="2217"/>
      <c r="V38" s="2090" t="b">
        <f>IF(D03_Number_of_Loans&gt;=22,FALSE,TRUE)</f>
        <v>1</v>
      </c>
    </row>
    <row r="39" spans="2:22" ht="17.25" hidden="1" customHeight="1">
      <c r="B39" s="2220"/>
      <c r="C39" s="2250"/>
      <c r="D39" s="2079" t="str">
        <f ca="1">IF(C39=E39, HYPERLINK("#'" &amp; VLOOKUP(C39,INDIRECT("HNSW_Summary!$A:$B"),2,0) &amp; "'!A1", "}"), "}")</f>
        <v>}</v>
      </c>
      <c r="E39" s="2249">
        <f ca="1">VLOOKUP(C39,INDIRECT("HNSW_Summary!$A:$B"),1,0)</f>
        <v>0</v>
      </c>
      <c r="F39" s="1303">
        <f ca="1">IFERROR(INDEX(INDIRECT("HNSW_Summary!A:Z"),MATCH(C39,INDIRECT("HNSW_Summary!A:A"), 0),MATCH("Director",INDIRECT("HNSW_Summary!1:1"),0)),"")</f>
        <v>0</v>
      </c>
      <c r="G39" s="1303">
        <f ca="1">SUMIF(INDIRECT("HNSW_Summary!A:A"),C39,INDEX(INDIRECT("HNSW_Summary!A:Z"),0,MATCH("OpBalance",INDIRECT("HNSW_Summary!1:1"),0)))</f>
        <v>0</v>
      </c>
      <c r="H39" s="1303">
        <f ca="1">SUMIF(INDIRECT("HNSW_Summary!A:A"),C39,INDEX(INDIRECT("HNSW_Summary!A:Z"),0,MATCH("Repayments",INDIRECT("HNSW_Summary!1:1"),0)))</f>
        <v>0</v>
      </c>
      <c r="I39" s="1303">
        <f ca="1">SUMIF(INDIRECT("HNSW_Summary!A:A"),C39,INDEX(INDIRECT("HNSW_Summary!A:Z"),0,MATCH("Interest",INDIRECT("HNSW_Summary!1:1"),0)))</f>
        <v>0</v>
      </c>
      <c r="J39" s="1303">
        <f ca="1">SUMIF(INDIRECT("HNSW_Summary!A:A"),C39,INDEX(INDIRECT("HNSW_Summary!A:Z"),0,MATCH("ClBalance",INDIRECT("HNSW_Summary!1:1"),0)))</f>
        <v>0</v>
      </c>
      <c r="K39" s="2038"/>
      <c r="L39" s="1303">
        <f ca="1">SUMIF(INDIRECT("HNSW_Summary!A:A"),C39,INDEX(INDIRECT("HNSW_Summary!A:Z"),0,MATCH("MinRepayments",INDIRECT("HNSW_Summary!1:1"),0)))</f>
        <v>0</v>
      </c>
      <c r="M39" s="1303">
        <f ca="1">SUMIF(INDIRECT("HNSW_Summary!A:A"),C39,INDEX(INDIRECT("HNSW_Summary!A:Z"),0,MATCH("UnderOver",INDIRECT("HNSW_Summary!1:1"),0)))</f>
        <v>0</v>
      </c>
      <c r="N39" s="2126"/>
      <c r="P39" s="1893"/>
      <c r="Q39" s="2217"/>
      <c r="V39" s="2090" t="b">
        <f>IF(D03_Number_of_Loans&gt;=23,FALSE,TRUE)</f>
        <v>1</v>
      </c>
    </row>
    <row r="40" spans="2:22" ht="17.25" hidden="1" customHeight="1">
      <c r="B40" s="2220"/>
      <c r="C40" s="2250"/>
      <c r="D40" s="2079" t="str">
        <f ca="1">IF(C40=E40, HYPERLINK("#'" &amp; VLOOKUP(C40,INDIRECT("HNSW_Summary!$A:$B"),2,0) &amp; "'!A1", "}"), "}")</f>
        <v>}</v>
      </c>
      <c r="E40" s="2249">
        <f ca="1">VLOOKUP(C40,INDIRECT("HNSW_Summary!$A:$B"),1,0)</f>
        <v>0</v>
      </c>
      <c r="F40" s="1303">
        <f ca="1">IFERROR(INDEX(INDIRECT("HNSW_Summary!A:Z"),MATCH(C40,INDIRECT("HNSW_Summary!A:A"), 0),MATCH("Director",INDIRECT("HNSW_Summary!1:1"),0)),"")</f>
        <v>0</v>
      </c>
      <c r="G40" s="1303">
        <f ca="1">SUMIF(INDIRECT("HNSW_Summary!A:A"),C40,INDEX(INDIRECT("HNSW_Summary!A:Z"),0,MATCH("OpBalance",INDIRECT("HNSW_Summary!1:1"),0)))</f>
        <v>0</v>
      </c>
      <c r="H40" s="1303">
        <f ca="1">SUMIF(INDIRECT("HNSW_Summary!A:A"),C40,INDEX(INDIRECT("HNSW_Summary!A:Z"),0,MATCH("Repayments",INDIRECT("HNSW_Summary!1:1"),0)))</f>
        <v>0</v>
      </c>
      <c r="I40" s="1303">
        <f ca="1">SUMIF(INDIRECT("HNSW_Summary!A:A"),C40,INDEX(INDIRECT("HNSW_Summary!A:Z"),0,MATCH("Interest",INDIRECT("HNSW_Summary!1:1"),0)))</f>
        <v>0</v>
      </c>
      <c r="J40" s="1303">
        <f ca="1">SUMIF(INDIRECT("HNSW_Summary!A:A"),C40,INDEX(INDIRECT("HNSW_Summary!A:Z"),0,MATCH("ClBalance",INDIRECT("HNSW_Summary!1:1"),0)))</f>
        <v>0</v>
      </c>
      <c r="K40" s="2038"/>
      <c r="L40" s="1303">
        <f ca="1">SUMIF(INDIRECT("HNSW_Summary!A:A"),C40,INDEX(INDIRECT("HNSW_Summary!A:Z"),0,MATCH("MinRepayments",INDIRECT("HNSW_Summary!1:1"),0)))</f>
        <v>0</v>
      </c>
      <c r="M40" s="1303">
        <f ca="1">SUMIF(INDIRECT("HNSW_Summary!A:A"),C40,INDEX(INDIRECT("HNSW_Summary!A:Z"),0,MATCH("UnderOver",INDIRECT("HNSW_Summary!1:1"),0)))</f>
        <v>0</v>
      </c>
      <c r="N40" s="2126"/>
      <c r="P40" s="1893"/>
      <c r="Q40" s="2217"/>
      <c r="V40" s="2090" t="b">
        <f>IF(D03_Number_of_Loans&gt;=24,FALSE,TRUE)</f>
        <v>1</v>
      </c>
    </row>
    <row r="41" spans="2:22" ht="17.25" hidden="1" customHeight="1">
      <c r="B41" s="2220"/>
      <c r="C41" s="2250"/>
      <c r="D41" s="2079" t="str">
        <f ca="1">IF(C41=E41, HYPERLINK("#'" &amp; VLOOKUP(C41,INDIRECT("HNSW_Summary!$A:$B"),2,0) &amp; "'!A1", "}"), "}")</f>
        <v>}</v>
      </c>
      <c r="E41" s="2249">
        <f ca="1">VLOOKUP(C41,INDIRECT("HNSW_Summary!$A:$B"),1,0)</f>
        <v>0</v>
      </c>
      <c r="F41" s="1303">
        <f ca="1">IFERROR(INDEX(INDIRECT("HNSW_Summary!A:Z"),MATCH(C41,INDIRECT("HNSW_Summary!A:A"), 0),MATCH("Director",INDIRECT("HNSW_Summary!1:1"),0)),"")</f>
        <v>0</v>
      </c>
      <c r="G41" s="1303">
        <f ca="1">SUMIF(INDIRECT("HNSW_Summary!A:A"),C41,INDEX(INDIRECT("HNSW_Summary!A:Z"),0,MATCH("OpBalance",INDIRECT("HNSW_Summary!1:1"),0)))</f>
        <v>0</v>
      </c>
      <c r="H41" s="1303">
        <f ca="1">SUMIF(INDIRECT("HNSW_Summary!A:A"),C41,INDEX(INDIRECT("HNSW_Summary!A:Z"),0,MATCH("Repayments",INDIRECT("HNSW_Summary!1:1"),0)))</f>
        <v>0</v>
      </c>
      <c r="I41" s="1303">
        <f ca="1">SUMIF(INDIRECT("HNSW_Summary!A:A"),C41,INDEX(INDIRECT("HNSW_Summary!A:Z"),0,MATCH("Interest",INDIRECT("HNSW_Summary!1:1"),0)))</f>
        <v>0</v>
      </c>
      <c r="J41" s="1303">
        <f ca="1">SUMIF(INDIRECT("HNSW_Summary!A:A"),C41,INDEX(INDIRECT("HNSW_Summary!A:Z"),0,MATCH("ClBalance",INDIRECT("HNSW_Summary!1:1"),0)))</f>
        <v>0</v>
      </c>
      <c r="K41" s="2038"/>
      <c r="L41" s="1303">
        <f ca="1">SUMIF(INDIRECT("HNSW_Summary!A:A"),C41,INDEX(INDIRECT("HNSW_Summary!A:Z"),0,MATCH("MinRepayments",INDIRECT("HNSW_Summary!1:1"),0)))</f>
        <v>0</v>
      </c>
      <c r="M41" s="1303">
        <f ca="1">SUMIF(INDIRECT("HNSW_Summary!A:A"),C41,INDEX(INDIRECT("HNSW_Summary!A:Z"),0,MATCH("UnderOver",INDIRECT("HNSW_Summary!1:1"),0)))</f>
        <v>0</v>
      </c>
      <c r="N41" s="2126"/>
      <c r="P41" s="1893"/>
      <c r="Q41" s="2217"/>
      <c r="V41" s="2090" t="b">
        <f>IF(D03_Number_of_Loans&gt;=25,FALSE,TRUE)</f>
        <v>1</v>
      </c>
    </row>
    <row r="42" spans="2:22" ht="17.25" hidden="1" customHeight="1">
      <c r="B42" s="2220"/>
      <c r="C42" s="2250"/>
      <c r="D42" s="2079" t="str">
        <f ca="1">IF(C42=E42, HYPERLINK("#'" &amp; VLOOKUP(C42,INDIRECT("HNSW_Summary!$A:$B"),2,0) &amp; "'!A1", "}"), "}")</f>
        <v>}</v>
      </c>
      <c r="E42" s="2249">
        <f ca="1">VLOOKUP(C42,INDIRECT("HNSW_Summary!$A:$B"),1,0)</f>
        <v>0</v>
      </c>
      <c r="F42" s="1303">
        <f ca="1">IFERROR(INDEX(INDIRECT("HNSW_Summary!A:Z"),MATCH(C42,INDIRECT("HNSW_Summary!A:A"), 0),MATCH("Director",INDIRECT("HNSW_Summary!1:1"),0)),"")</f>
        <v>0</v>
      </c>
      <c r="G42" s="1303">
        <f ca="1">SUMIF(INDIRECT("HNSW_Summary!A:A"),C42,INDEX(INDIRECT("HNSW_Summary!A:Z"),0,MATCH("OpBalance",INDIRECT("HNSW_Summary!1:1"),0)))</f>
        <v>0</v>
      </c>
      <c r="H42" s="1303">
        <f ca="1">SUMIF(INDIRECT("HNSW_Summary!A:A"),C42,INDEX(INDIRECT("HNSW_Summary!A:Z"),0,MATCH("Repayments",INDIRECT("HNSW_Summary!1:1"),0)))</f>
        <v>0</v>
      </c>
      <c r="I42" s="1303">
        <f ca="1">SUMIF(INDIRECT("HNSW_Summary!A:A"),C42,INDEX(INDIRECT("HNSW_Summary!A:Z"),0,MATCH("Interest",INDIRECT("HNSW_Summary!1:1"),0)))</f>
        <v>0</v>
      </c>
      <c r="J42" s="1303">
        <f ca="1">SUMIF(INDIRECT("HNSW_Summary!A:A"),C42,INDEX(INDIRECT("HNSW_Summary!A:Z"),0,MATCH("ClBalance",INDIRECT("HNSW_Summary!1:1"),0)))</f>
        <v>0</v>
      </c>
      <c r="K42" s="2038"/>
      <c r="L42" s="1303">
        <f ca="1">SUMIF(INDIRECT("HNSW_Summary!A:A"),C42,INDEX(INDIRECT("HNSW_Summary!A:Z"),0,MATCH("MinRepayments",INDIRECT("HNSW_Summary!1:1"),0)))</f>
        <v>0</v>
      </c>
      <c r="M42" s="1303">
        <f ca="1">SUMIF(INDIRECT("HNSW_Summary!A:A"),C42,INDEX(INDIRECT("HNSW_Summary!A:Z"),0,MATCH("UnderOver",INDIRECT("HNSW_Summary!1:1"),0)))</f>
        <v>0</v>
      </c>
      <c r="N42" s="2126"/>
      <c r="P42" s="1893"/>
      <c r="Q42" s="2217"/>
      <c r="V42" s="2090" t="b">
        <f>IF(D03_Number_of_Loans&gt;=26,FALSE,TRUE)</f>
        <v>1</v>
      </c>
    </row>
    <row r="43" spans="2:22" ht="17.25" hidden="1" customHeight="1">
      <c r="B43" s="2220"/>
      <c r="C43" s="2250"/>
      <c r="D43" s="2079" t="str">
        <f ca="1">IF(C43=E43, HYPERLINK("#'" &amp; VLOOKUP(C43,INDIRECT("HNSW_Summary!$A:$B"),2,0) &amp; "'!A1", "}"), "}")</f>
        <v>}</v>
      </c>
      <c r="E43" s="2249">
        <f ca="1">VLOOKUP(C43,INDIRECT("HNSW_Summary!$A:$B"),1,0)</f>
        <v>0</v>
      </c>
      <c r="F43" s="1303">
        <f ca="1">IFERROR(INDEX(INDIRECT("HNSW_Summary!A:Z"),MATCH(C43,INDIRECT("HNSW_Summary!A:A"), 0),MATCH("Director",INDIRECT("HNSW_Summary!1:1"),0)),"")</f>
        <v>0</v>
      </c>
      <c r="G43" s="1303">
        <f ca="1">SUMIF(INDIRECT("HNSW_Summary!A:A"),C43,INDEX(INDIRECT("HNSW_Summary!A:Z"),0,MATCH("OpBalance",INDIRECT("HNSW_Summary!1:1"),0)))</f>
        <v>0</v>
      </c>
      <c r="H43" s="1303">
        <f ca="1">SUMIF(INDIRECT("HNSW_Summary!A:A"),C43,INDEX(INDIRECT("HNSW_Summary!A:Z"),0,MATCH("Repayments",INDIRECT("HNSW_Summary!1:1"),0)))</f>
        <v>0</v>
      </c>
      <c r="I43" s="1303">
        <f ca="1">SUMIF(INDIRECT("HNSW_Summary!A:A"),C43,INDEX(INDIRECT("HNSW_Summary!A:Z"),0,MATCH("Interest",INDIRECT("HNSW_Summary!1:1"),0)))</f>
        <v>0</v>
      </c>
      <c r="J43" s="1303">
        <f ca="1">SUMIF(INDIRECT("HNSW_Summary!A:A"),C43,INDEX(INDIRECT("HNSW_Summary!A:Z"),0,MATCH("ClBalance",INDIRECT("HNSW_Summary!1:1"),0)))</f>
        <v>0</v>
      </c>
      <c r="K43" s="2038"/>
      <c r="L43" s="1303">
        <f ca="1">SUMIF(INDIRECT("HNSW_Summary!A:A"),C43,INDEX(INDIRECT("HNSW_Summary!A:Z"),0,MATCH("MinRepayments",INDIRECT("HNSW_Summary!1:1"),0)))</f>
        <v>0</v>
      </c>
      <c r="M43" s="1303">
        <f ca="1">SUMIF(INDIRECT("HNSW_Summary!A:A"),C43,INDEX(INDIRECT("HNSW_Summary!A:Z"),0,MATCH("UnderOver",INDIRECT("HNSW_Summary!1:1"),0)))</f>
        <v>0</v>
      </c>
      <c r="N43" s="2126"/>
      <c r="P43" s="1893"/>
      <c r="Q43" s="2217"/>
      <c r="V43" s="2090" t="b">
        <f>IF(D03_Number_of_Loans&gt;=27,FALSE,TRUE)</f>
        <v>1</v>
      </c>
    </row>
    <row r="44" spans="2:22" ht="17.25" hidden="1" customHeight="1">
      <c r="B44" s="2220"/>
      <c r="C44" s="2250"/>
      <c r="D44" s="2079" t="str">
        <f ca="1">IF(C44=E44, HYPERLINK("#'" &amp; VLOOKUP(C44,INDIRECT("HNSW_Summary!$A:$B"),2,0) &amp; "'!A1", "}"), "}")</f>
        <v>}</v>
      </c>
      <c r="E44" s="2249">
        <f ca="1">VLOOKUP(C44,INDIRECT("HNSW_Summary!$A:$B"),1,0)</f>
        <v>0</v>
      </c>
      <c r="F44" s="1303">
        <f ca="1">IFERROR(INDEX(INDIRECT("HNSW_Summary!A:Z"),MATCH(C44,INDIRECT("HNSW_Summary!A:A"), 0),MATCH("Director",INDIRECT("HNSW_Summary!1:1"),0)),"")</f>
        <v>0</v>
      </c>
      <c r="G44" s="1303">
        <f ca="1">SUMIF(INDIRECT("HNSW_Summary!A:A"),C44,INDEX(INDIRECT("HNSW_Summary!A:Z"),0,MATCH("OpBalance",INDIRECT("HNSW_Summary!1:1"),0)))</f>
        <v>0</v>
      </c>
      <c r="H44" s="1303">
        <f ca="1">SUMIF(INDIRECT("HNSW_Summary!A:A"),C44,INDEX(INDIRECT("HNSW_Summary!A:Z"),0,MATCH("Repayments",INDIRECT("HNSW_Summary!1:1"),0)))</f>
        <v>0</v>
      </c>
      <c r="I44" s="1303">
        <f ca="1">SUMIF(INDIRECT("HNSW_Summary!A:A"),C44,INDEX(INDIRECT("HNSW_Summary!A:Z"),0,MATCH("Interest",INDIRECT("HNSW_Summary!1:1"),0)))</f>
        <v>0</v>
      </c>
      <c r="J44" s="1303">
        <f ca="1">SUMIF(INDIRECT("HNSW_Summary!A:A"),C44,INDEX(INDIRECT("HNSW_Summary!A:Z"),0,MATCH("ClBalance",INDIRECT("HNSW_Summary!1:1"),0)))</f>
        <v>0</v>
      </c>
      <c r="K44" s="2038"/>
      <c r="L44" s="1303">
        <f ca="1">SUMIF(INDIRECT("HNSW_Summary!A:A"),C44,INDEX(INDIRECT("HNSW_Summary!A:Z"),0,MATCH("MinRepayments",INDIRECT("HNSW_Summary!1:1"),0)))</f>
        <v>0</v>
      </c>
      <c r="M44" s="1303">
        <f ca="1">SUMIF(INDIRECT("HNSW_Summary!A:A"),C44,INDEX(INDIRECT("HNSW_Summary!A:Z"),0,MATCH("UnderOver",INDIRECT("HNSW_Summary!1:1"),0)))</f>
        <v>0</v>
      </c>
      <c r="N44" s="2126"/>
      <c r="P44" s="1893"/>
      <c r="Q44" s="2217"/>
      <c r="V44" s="2090" t="b">
        <f>IF(D03_Number_of_Loans&gt;=28,FALSE,TRUE)</f>
        <v>1</v>
      </c>
    </row>
    <row r="45" spans="2:22" ht="17.25" hidden="1" customHeight="1">
      <c r="B45" s="2220"/>
      <c r="C45" s="2250"/>
      <c r="D45" s="2079" t="str">
        <f ca="1">IF(C45=E45, HYPERLINK("#'" &amp; VLOOKUP(C45,INDIRECT("HNSW_Summary!$A:$B"),2,0) &amp; "'!A1", "}"), "}")</f>
        <v>}</v>
      </c>
      <c r="E45" s="2249">
        <f ca="1">VLOOKUP(C45,INDIRECT("HNSW_Summary!$A:$B"),1,0)</f>
        <v>0</v>
      </c>
      <c r="F45" s="1303">
        <f ca="1">IFERROR(INDEX(INDIRECT("HNSW_Summary!A:Z"),MATCH(C45,INDIRECT("HNSW_Summary!A:A"), 0),MATCH("Director",INDIRECT("HNSW_Summary!1:1"),0)),"")</f>
        <v>0</v>
      </c>
      <c r="G45" s="1303">
        <f ca="1">SUMIF(INDIRECT("HNSW_Summary!A:A"),C45,INDEX(INDIRECT("HNSW_Summary!A:Z"),0,MATCH("OpBalance",INDIRECT("HNSW_Summary!1:1"),0)))</f>
        <v>0</v>
      </c>
      <c r="H45" s="1303">
        <f ca="1">SUMIF(INDIRECT("HNSW_Summary!A:A"),C45,INDEX(INDIRECT("HNSW_Summary!A:Z"),0,MATCH("Repayments",INDIRECT("HNSW_Summary!1:1"),0)))</f>
        <v>0</v>
      </c>
      <c r="I45" s="1303">
        <f ca="1">SUMIF(INDIRECT("HNSW_Summary!A:A"),C45,INDEX(INDIRECT("HNSW_Summary!A:Z"),0,MATCH("Interest",INDIRECT("HNSW_Summary!1:1"),0)))</f>
        <v>0</v>
      </c>
      <c r="J45" s="1303">
        <f ca="1">SUMIF(INDIRECT("HNSW_Summary!A:A"),C45,INDEX(INDIRECT("HNSW_Summary!A:Z"),0,MATCH("ClBalance",INDIRECT("HNSW_Summary!1:1"),0)))</f>
        <v>0</v>
      </c>
      <c r="K45" s="2038"/>
      <c r="L45" s="1303">
        <f ca="1">SUMIF(INDIRECT("HNSW_Summary!A:A"),C45,INDEX(INDIRECT("HNSW_Summary!A:Z"),0,MATCH("MinRepayments",INDIRECT("HNSW_Summary!1:1"),0)))</f>
        <v>0</v>
      </c>
      <c r="M45" s="1303">
        <f ca="1">SUMIF(INDIRECT("HNSW_Summary!A:A"),C45,INDEX(INDIRECT("HNSW_Summary!A:Z"),0,MATCH("UnderOver",INDIRECT("HNSW_Summary!1:1"),0)))</f>
        <v>0</v>
      </c>
      <c r="N45" s="2126"/>
      <c r="P45" s="1893"/>
      <c r="Q45" s="2217"/>
      <c r="V45" s="2090" t="b">
        <f>IF(D03_Number_of_Loans&gt;=29,FALSE,TRUE)</f>
        <v>1</v>
      </c>
    </row>
    <row r="46" spans="2:22" ht="17.25" hidden="1" customHeight="1">
      <c r="B46" s="2220"/>
      <c r="C46" s="2250"/>
      <c r="D46" s="2079" t="str">
        <f ca="1">IF(C46=E46, HYPERLINK("#'" &amp; VLOOKUP(C46,INDIRECT("HNSW_Summary!$A:$B"),2,0) &amp; "'!A1", "}"), "}")</f>
        <v>}</v>
      </c>
      <c r="E46" s="2249">
        <f ca="1">VLOOKUP(C46,INDIRECT("HNSW_Summary!$A:$B"),1,0)</f>
        <v>0</v>
      </c>
      <c r="F46" s="1303">
        <f ca="1">IFERROR(INDEX(INDIRECT("HNSW_Summary!A:Z"),MATCH(C46,INDIRECT("HNSW_Summary!A:A"), 0),MATCH("Director",INDIRECT("HNSW_Summary!1:1"),0)),"")</f>
        <v>0</v>
      </c>
      <c r="G46" s="1303">
        <f ca="1">SUMIF(INDIRECT("HNSW_Summary!A:A"),C46,INDEX(INDIRECT("HNSW_Summary!A:Z"),0,MATCH("OpBalance",INDIRECT("HNSW_Summary!1:1"),0)))</f>
        <v>0</v>
      </c>
      <c r="H46" s="1303">
        <f ca="1">SUMIF(INDIRECT("HNSW_Summary!A:A"),C46,INDEX(INDIRECT("HNSW_Summary!A:Z"),0,MATCH("Repayments",INDIRECT("HNSW_Summary!1:1"),0)))</f>
        <v>0</v>
      </c>
      <c r="I46" s="1303">
        <f ca="1">SUMIF(INDIRECT("HNSW_Summary!A:A"),C46,INDEX(INDIRECT("HNSW_Summary!A:Z"),0,MATCH("Interest",INDIRECT("HNSW_Summary!1:1"),0)))</f>
        <v>0</v>
      </c>
      <c r="J46" s="1303">
        <f ca="1">SUMIF(INDIRECT("HNSW_Summary!A:A"),C46,INDEX(INDIRECT("HNSW_Summary!A:Z"),0,MATCH("ClBalance",INDIRECT("HNSW_Summary!1:1"),0)))</f>
        <v>0</v>
      </c>
      <c r="K46" s="2038"/>
      <c r="L46" s="1303">
        <f ca="1">SUMIF(INDIRECT("HNSW_Summary!A:A"),C46,INDEX(INDIRECT("HNSW_Summary!A:Z"),0,MATCH("MinRepayments",INDIRECT("HNSW_Summary!1:1"),0)))</f>
        <v>0</v>
      </c>
      <c r="M46" s="1303">
        <f ca="1">SUMIF(INDIRECT("HNSW_Summary!A:A"),C46,INDEX(INDIRECT("HNSW_Summary!A:Z"),0,MATCH("UnderOver",INDIRECT("HNSW_Summary!1:1"),0)))</f>
        <v>0</v>
      </c>
      <c r="N46" s="2126"/>
      <c r="P46" s="1893"/>
      <c r="Q46" s="2217"/>
      <c r="V46" s="2090" t="b">
        <f>IF(D03_Number_of_Loans&gt;=30,FALSE,TRUE)</f>
        <v>1</v>
      </c>
    </row>
    <row r="47" spans="2:22" ht="17.25" hidden="1" customHeight="1">
      <c r="B47" s="2220"/>
      <c r="C47" s="2250"/>
      <c r="D47" s="2079" t="str">
        <f ca="1">IF(C47=E47, HYPERLINK("#'" &amp; VLOOKUP(C47,INDIRECT("HNSW_Summary!$A:$B"),2,0) &amp; "'!A1", "}"), "}")</f>
        <v>}</v>
      </c>
      <c r="E47" s="2249">
        <f ca="1">VLOOKUP(C47,INDIRECT("HNSW_Summary!$A:$B"),1,0)</f>
        <v>0</v>
      </c>
      <c r="F47" s="1303">
        <f ca="1">IFERROR(INDEX(INDIRECT("HNSW_Summary!A:Z"),MATCH(C47,INDIRECT("HNSW_Summary!A:A"), 0),MATCH("Director",INDIRECT("HNSW_Summary!1:1"),0)),"")</f>
        <v>0</v>
      </c>
      <c r="G47" s="1303">
        <f ca="1">SUMIF(INDIRECT("HNSW_Summary!A:A"),C47,INDEX(INDIRECT("HNSW_Summary!A:Z"),0,MATCH("OpBalance",INDIRECT("HNSW_Summary!1:1"),0)))</f>
        <v>0</v>
      </c>
      <c r="H47" s="1303">
        <f ca="1">SUMIF(INDIRECT("HNSW_Summary!A:A"),C47,INDEX(INDIRECT("HNSW_Summary!A:Z"),0,MATCH("Repayments",INDIRECT("HNSW_Summary!1:1"),0)))</f>
        <v>0</v>
      </c>
      <c r="I47" s="1303">
        <f ca="1">SUMIF(INDIRECT("HNSW_Summary!A:A"),C47,INDEX(INDIRECT("HNSW_Summary!A:Z"),0,MATCH("Interest",INDIRECT("HNSW_Summary!1:1"),0)))</f>
        <v>0</v>
      </c>
      <c r="J47" s="1303">
        <f ca="1">SUMIF(INDIRECT("HNSW_Summary!A:A"),C47,INDEX(INDIRECT("HNSW_Summary!A:Z"),0,MATCH("ClBalance",INDIRECT("HNSW_Summary!1:1"),0)))</f>
        <v>0</v>
      </c>
      <c r="K47" s="2038"/>
      <c r="L47" s="1303">
        <f ca="1">SUMIF(INDIRECT("HNSW_Summary!A:A"),C47,INDEX(INDIRECT("HNSW_Summary!A:Z"),0,MATCH("MinRepayments",INDIRECT("HNSW_Summary!1:1"),0)))</f>
        <v>0</v>
      </c>
      <c r="M47" s="1303">
        <f ca="1">SUMIF(INDIRECT("HNSW_Summary!A:A"),C47,INDEX(INDIRECT("HNSW_Summary!A:Z"),0,MATCH("UnderOver",INDIRECT("HNSW_Summary!1:1"),0)))</f>
        <v>0</v>
      </c>
      <c r="N47" s="2126"/>
      <c r="P47" s="1893"/>
      <c r="Q47" s="2217"/>
      <c r="V47" s="2090" t="b">
        <f>IF(D03_Number_of_Loans&gt;=31,FALSE,TRUE)</f>
        <v>1</v>
      </c>
    </row>
    <row r="48" spans="2:22" ht="17.25" hidden="1" customHeight="1">
      <c r="B48" s="2220"/>
      <c r="C48" s="2250"/>
      <c r="D48" s="2079" t="str">
        <f ca="1">IF(C48=E48, HYPERLINK("#'" &amp; VLOOKUP(C48,INDIRECT("HNSW_Summary!$A:$B"),2,0) &amp; "'!A1", "}"), "}")</f>
        <v>}</v>
      </c>
      <c r="E48" s="2249">
        <f ca="1">VLOOKUP(C48,INDIRECT("HNSW_Summary!$A:$B"),1,0)</f>
        <v>0</v>
      </c>
      <c r="F48" s="1303">
        <f ca="1">IFERROR(INDEX(INDIRECT("HNSW_Summary!A:Z"),MATCH(C48,INDIRECT("HNSW_Summary!A:A"), 0),MATCH("Director",INDIRECT("HNSW_Summary!1:1"),0)),"")</f>
        <v>0</v>
      </c>
      <c r="G48" s="1303">
        <f ca="1">SUMIF(INDIRECT("HNSW_Summary!A:A"),C48,INDEX(INDIRECT("HNSW_Summary!A:Z"),0,MATCH("OpBalance",INDIRECT("HNSW_Summary!1:1"),0)))</f>
        <v>0</v>
      </c>
      <c r="H48" s="1303">
        <f ca="1">SUMIF(INDIRECT("HNSW_Summary!A:A"),C48,INDEX(INDIRECT("HNSW_Summary!A:Z"),0,MATCH("Repayments",INDIRECT("HNSW_Summary!1:1"),0)))</f>
        <v>0</v>
      </c>
      <c r="I48" s="1303">
        <f ca="1">SUMIF(INDIRECT("HNSW_Summary!A:A"),C48,INDEX(INDIRECT("HNSW_Summary!A:Z"),0,MATCH("Interest",INDIRECT("HNSW_Summary!1:1"),0)))</f>
        <v>0</v>
      </c>
      <c r="J48" s="1303">
        <f ca="1">SUMIF(INDIRECT("HNSW_Summary!A:A"),C48,INDEX(INDIRECT("HNSW_Summary!A:Z"),0,MATCH("ClBalance",INDIRECT("HNSW_Summary!1:1"),0)))</f>
        <v>0</v>
      </c>
      <c r="K48" s="2038"/>
      <c r="L48" s="1303">
        <f ca="1">SUMIF(INDIRECT("HNSW_Summary!A:A"),C48,INDEX(INDIRECT("HNSW_Summary!A:Z"),0,MATCH("MinRepayments",INDIRECT("HNSW_Summary!1:1"),0)))</f>
        <v>0</v>
      </c>
      <c r="M48" s="1303">
        <f ca="1">SUMIF(INDIRECT("HNSW_Summary!A:A"),C48,INDEX(INDIRECT("HNSW_Summary!A:Z"),0,MATCH("UnderOver",INDIRECT("HNSW_Summary!1:1"),0)))</f>
        <v>0</v>
      </c>
      <c r="N48" s="2126"/>
      <c r="P48" s="1893"/>
      <c r="Q48" s="2217"/>
      <c r="V48" s="2090" t="b">
        <f>IF(D03_Number_of_Loans&gt;=32,FALSE,TRUE)</f>
        <v>1</v>
      </c>
    </row>
    <row r="49" spans="2:22" ht="17.25" hidden="1" customHeight="1">
      <c r="B49" s="2220"/>
      <c r="C49" s="2250"/>
      <c r="D49" s="2079" t="str">
        <f ca="1">IF(C49=E49, HYPERLINK("#'" &amp; VLOOKUP(C49,INDIRECT("HNSW_Summary!$A:$B"),2,0) &amp; "'!A1", "}"), "}")</f>
        <v>}</v>
      </c>
      <c r="E49" s="2249">
        <f ca="1">VLOOKUP(C49,INDIRECT("HNSW_Summary!$A:$B"),1,0)</f>
        <v>0</v>
      </c>
      <c r="F49" s="1303">
        <f ca="1">IFERROR(INDEX(INDIRECT("HNSW_Summary!A:Z"),MATCH(C49,INDIRECT("HNSW_Summary!A:A"), 0),MATCH("Director",INDIRECT("HNSW_Summary!1:1"),0)),"")</f>
        <v>0</v>
      </c>
      <c r="G49" s="1303">
        <f ca="1">SUMIF(INDIRECT("HNSW_Summary!A:A"),C49,INDEX(INDIRECT("HNSW_Summary!A:Z"),0,MATCH("OpBalance",INDIRECT("HNSW_Summary!1:1"),0)))</f>
        <v>0</v>
      </c>
      <c r="H49" s="1303">
        <f ca="1">SUMIF(INDIRECT("HNSW_Summary!A:A"),C49,INDEX(INDIRECT("HNSW_Summary!A:Z"),0,MATCH("Repayments",INDIRECT("HNSW_Summary!1:1"),0)))</f>
        <v>0</v>
      </c>
      <c r="I49" s="1303">
        <f ca="1">SUMIF(INDIRECT("HNSW_Summary!A:A"),C49,INDEX(INDIRECT("HNSW_Summary!A:Z"),0,MATCH("Interest",INDIRECT("HNSW_Summary!1:1"),0)))</f>
        <v>0</v>
      </c>
      <c r="J49" s="1303">
        <f ca="1">SUMIF(INDIRECT("HNSW_Summary!A:A"),C49,INDEX(INDIRECT("HNSW_Summary!A:Z"),0,MATCH("ClBalance",INDIRECT("HNSW_Summary!1:1"),0)))</f>
        <v>0</v>
      </c>
      <c r="K49" s="2038"/>
      <c r="L49" s="1303">
        <f ca="1">SUMIF(INDIRECT("HNSW_Summary!A:A"),C49,INDEX(INDIRECT("HNSW_Summary!A:Z"),0,MATCH("MinRepayments",INDIRECT("HNSW_Summary!1:1"),0)))</f>
        <v>0</v>
      </c>
      <c r="M49" s="1303">
        <f ca="1">SUMIF(INDIRECT("HNSW_Summary!A:A"),C49,INDEX(INDIRECT("HNSW_Summary!A:Z"),0,MATCH("UnderOver",INDIRECT("HNSW_Summary!1:1"),0)))</f>
        <v>0</v>
      </c>
      <c r="N49" s="2126"/>
      <c r="P49" s="1893"/>
      <c r="Q49" s="2217"/>
      <c r="V49" s="2090" t="b">
        <f>IF(D03_Number_of_Loans&gt;=33,FALSE,TRUE)</f>
        <v>1</v>
      </c>
    </row>
    <row r="50" spans="2:22" ht="17.25" hidden="1" customHeight="1">
      <c r="B50" s="2220"/>
      <c r="C50" s="2250"/>
      <c r="D50" s="2079" t="str">
        <f ca="1">IF(C50=E50, HYPERLINK("#'" &amp; VLOOKUP(C50,INDIRECT("HNSW_Summary!$A:$B"),2,0) &amp; "'!A1", "}"), "}")</f>
        <v>}</v>
      </c>
      <c r="E50" s="2249">
        <f ca="1">VLOOKUP(C50,INDIRECT("HNSW_Summary!$A:$B"),1,0)</f>
        <v>0</v>
      </c>
      <c r="F50" s="1303">
        <f ca="1">IFERROR(INDEX(INDIRECT("HNSW_Summary!A:Z"),MATCH(C50,INDIRECT("HNSW_Summary!A:A"), 0),MATCH("Director",INDIRECT("HNSW_Summary!1:1"),0)),"")</f>
        <v>0</v>
      </c>
      <c r="G50" s="1303">
        <f ca="1">SUMIF(INDIRECT("HNSW_Summary!A:A"),C50,INDEX(INDIRECT("HNSW_Summary!A:Z"),0,MATCH("OpBalance",INDIRECT("HNSW_Summary!1:1"),0)))</f>
        <v>0</v>
      </c>
      <c r="H50" s="1303">
        <f ca="1">SUMIF(INDIRECT("HNSW_Summary!A:A"),C50,INDEX(INDIRECT("HNSW_Summary!A:Z"),0,MATCH("Repayments",INDIRECT("HNSW_Summary!1:1"),0)))</f>
        <v>0</v>
      </c>
      <c r="I50" s="1303">
        <f ca="1">SUMIF(INDIRECT("HNSW_Summary!A:A"),C50,INDEX(INDIRECT("HNSW_Summary!A:Z"),0,MATCH("Interest",INDIRECT("HNSW_Summary!1:1"),0)))</f>
        <v>0</v>
      </c>
      <c r="J50" s="1303">
        <f ca="1">SUMIF(INDIRECT("HNSW_Summary!A:A"),C50,INDEX(INDIRECT("HNSW_Summary!A:Z"),0,MATCH("ClBalance",INDIRECT("HNSW_Summary!1:1"),0)))</f>
        <v>0</v>
      </c>
      <c r="K50" s="2038"/>
      <c r="L50" s="1303">
        <f ca="1">SUMIF(INDIRECT("HNSW_Summary!A:A"),C50,INDEX(INDIRECT("HNSW_Summary!A:Z"),0,MATCH("MinRepayments",INDIRECT("HNSW_Summary!1:1"),0)))</f>
        <v>0</v>
      </c>
      <c r="M50" s="1303">
        <f ca="1">SUMIF(INDIRECT("HNSW_Summary!A:A"),C50,INDEX(INDIRECT("HNSW_Summary!A:Z"),0,MATCH("UnderOver",INDIRECT("HNSW_Summary!1:1"),0)))</f>
        <v>0</v>
      </c>
      <c r="N50" s="2126"/>
      <c r="P50" s="1893"/>
      <c r="Q50" s="2217"/>
      <c r="V50" s="2090" t="b">
        <f>IF(D03_Number_of_Loans&gt;=34,FALSE,TRUE)</f>
        <v>1</v>
      </c>
    </row>
    <row r="51" spans="2:22" ht="17.25" hidden="1" customHeight="1">
      <c r="B51" s="2220"/>
      <c r="C51" s="2250"/>
      <c r="D51" s="2079" t="str">
        <f ca="1">IF(C51=E51, HYPERLINK("#'" &amp; VLOOKUP(C51,INDIRECT("HNSW_Summary!$A:$B"),2,0) &amp; "'!A1", "}"), "}")</f>
        <v>}</v>
      </c>
      <c r="E51" s="2249">
        <f ca="1">VLOOKUP(C51,INDIRECT("HNSW_Summary!$A:$B"),1,0)</f>
        <v>0</v>
      </c>
      <c r="F51" s="1303">
        <f ca="1">IFERROR(INDEX(INDIRECT("HNSW_Summary!A:Z"),MATCH(C51,INDIRECT("HNSW_Summary!A:A"), 0),MATCH("Director",INDIRECT("HNSW_Summary!1:1"),0)),"")</f>
        <v>0</v>
      </c>
      <c r="G51" s="1303">
        <f ca="1">SUMIF(INDIRECT("HNSW_Summary!A:A"),C51,INDEX(INDIRECT("HNSW_Summary!A:Z"),0,MATCH("OpBalance",INDIRECT("HNSW_Summary!1:1"),0)))</f>
        <v>0</v>
      </c>
      <c r="H51" s="1303">
        <f ca="1">SUMIF(INDIRECT("HNSW_Summary!A:A"),C51,INDEX(INDIRECT("HNSW_Summary!A:Z"),0,MATCH("Repayments",INDIRECT("HNSW_Summary!1:1"),0)))</f>
        <v>0</v>
      </c>
      <c r="I51" s="1303">
        <f ca="1">SUMIF(INDIRECT("HNSW_Summary!A:A"),C51,INDEX(INDIRECT("HNSW_Summary!A:Z"),0,MATCH("Interest",INDIRECT("HNSW_Summary!1:1"),0)))</f>
        <v>0</v>
      </c>
      <c r="J51" s="1303">
        <f ca="1">SUMIF(INDIRECT("HNSW_Summary!A:A"),C51,INDEX(INDIRECT("HNSW_Summary!A:Z"),0,MATCH("ClBalance",INDIRECT("HNSW_Summary!1:1"),0)))</f>
        <v>0</v>
      </c>
      <c r="K51" s="2038"/>
      <c r="L51" s="1303">
        <f ca="1">SUMIF(INDIRECT("HNSW_Summary!A:A"),C51,INDEX(INDIRECT("HNSW_Summary!A:Z"),0,MATCH("MinRepayments",INDIRECT("HNSW_Summary!1:1"),0)))</f>
        <v>0</v>
      </c>
      <c r="M51" s="1303">
        <f ca="1">SUMIF(INDIRECT("HNSW_Summary!A:A"),C51,INDEX(INDIRECT("HNSW_Summary!A:Z"),0,MATCH("UnderOver",INDIRECT("HNSW_Summary!1:1"),0)))</f>
        <v>0</v>
      </c>
      <c r="N51" s="2126"/>
      <c r="P51" s="1893"/>
      <c r="Q51" s="2217"/>
      <c r="V51" s="2090" t="b">
        <f>IF(D03_Number_of_Loans&gt;=35,FALSE,TRUE)</f>
        <v>1</v>
      </c>
    </row>
    <row r="52" spans="2:22" ht="17.25" hidden="1" customHeight="1">
      <c r="B52" s="2220"/>
      <c r="C52" s="2250"/>
      <c r="D52" s="2079" t="str">
        <f ca="1">IF(C52=E52, HYPERLINK("#'" &amp; VLOOKUP(C52,INDIRECT("HNSW_Summary!$A:$B"),2,0) &amp; "'!A1", "}"), "}")</f>
        <v>}</v>
      </c>
      <c r="E52" s="2249">
        <f ca="1">VLOOKUP(C52,INDIRECT("HNSW_Summary!$A:$B"),1,0)</f>
        <v>0</v>
      </c>
      <c r="F52" s="1303">
        <f ca="1">IFERROR(INDEX(INDIRECT("HNSW_Summary!A:Z"),MATCH(C52,INDIRECT("HNSW_Summary!A:A"), 0),MATCH("Director",INDIRECT("HNSW_Summary!1:1"),0)),"")</f>
        <v>0</v>
      </c>
      <c r="G52" s="1303">
        <f ca="1">SUMIF(INDIRECT("HNSW_Summary!A:A"),C52,INDEX(INDIRECT("HNSW_Summary!A:Z"),0,MATCH("OpBalance",INDIRECT("HNSW_Summary!1:1"),0)))</f>
        <v>0</v>
      </c>
      <c r="H52" s="1303">
        <f ca="1">SUMIF(INDIRECT("HNSW_Summary!A:A"),C52,INDEX(INDIRECT("HNSW_Summary!A:Z"),0,MATCH("Repayments",INDIRECT("HNSW_Summary!1:1"),0)))</f>
        <v>0</v>
      </c>
      <c r="I52" s="1303">
        <f ca="1">SUMIF(INDIRECT("HNSW_Summary!A:A"),C52,INDEX(INDIRECT("HNSW_Summary!A:Z"),0,MATCH("Interest",INDIRECT("HNSW_Summary!1:1"),0)))</f>
        <v>0</v>
      </c>
      <c r="J52" s="1303">
        <f ca="1">SUMIF(INDIRECT("HNSW_Summary!A:A"),C52,INDEX(INDIRECT("HNSW_Summary!A:Z"),0,MATCH("ClBalance",INDIRECT("HNSW_Summary!1:1"),0)))</f>
        <v>0</v>
      </c>
      <c r="K52" s="2038"/>
      <c r="L52" s="1303">
        <f ca="1">SUMIF(INDIRECT("HNSW_Summary!A:A"),C52,INDEX(INDIRECT("HNSW_Summary!A:Z"),0,MATCH("MinRepayments",INDIRECT("HNSW_Summary!1:1"),0)))</f>
        <v>0</v>
      </c>
      <c r="M52" s="1303">
        <f ca="1">SUMIF(INDIRECT("HNSW_Summary!A:A"),C52,INDEX(INDIRECT("HNSW_Summary!A:Z"),0,MATCH("UnderOver",INDIRECT("HNSW_Summary!1:1"),0)))</f>
        <v>0</v>
      </c>
      <c r="N52" s="2126"/>
      <c r="P52" s="1893"/>
      <c r="Q52" s="2217"/>
      <c r="V52" s="2090" t="b">
        <f>IF(D03_Number_of_Loans&gt;=36,FALSE,TRUE)</f>
        <v>1</v>
      </c>
    </row>
    <row r="53" spans="2:22" ht="17.25" hidden="1" customHeight="1">
      <c r="B53" s="2220"/>
      <c r="C53" s="2250"/>
      <c r="D53" s="2079" t="str">
        <f ca="1">IF(C53=E53, HYPERLINK("#'" &amp; VLOOKUP(C53,INDIRECT("HNSW_Summary!$A:$B"),2,0) &amp; "'!A1", "}"), "}")</f>
        <v>}</v>
      </c>
      <c r="E53" s="2249">
        <f ca="1">VLOOKUP(C53,INDIRECT("HNSW_Summary!$A:$B"),1,0)</f>
        <v>0</v>
      </c>
      <c r="F53" s="1303">
        <f ca="1">IFERROR(INDEX(INDIRECT("HNSW_Summary!A:Z"),MATCH(C53,INDIRECT("HNSW_Summary!A:A"), 0),MATCH("Director",INDIRECT("HNSW_Summary!1:1"),0)),"")</f>
        <v>0</v>
      </c>
      <c r="G53" s="1303">
        <f ca="1">SUMIF(INDIRECT("HNSW_Summary!A:A"),C53,INDEX(INDIRECT("HNSW_Summary!A:Z"),0,MATCH("OpBalance",INDIRECT("HNSW_Summary!1:1"),0)))</f>
        <v>0</v>
      </c>
      <c r="H53" s="1303">
        <f ca="1">SUMIF(INDIRECT("HNSW_Summary!A:A"),C53,INDEX(INDIRECT("HNSW_Summary!A:Z"),0,MATCH("Repayments",INDIRECT("HNSW_Summary!1:1"),0)))</f>
        <v>0</v>
      </c>
      <c r="I53" s="1303">
        <f ca="1">SUMIF(INDIRECT("HNSW_Summary!A:A"),C53,INDEX(INDIRECT("HNSW_Summary!A:Z"),0,MATCH("Interest",INDIRECT("HNSW_Summary!1:1"),0)))</f>
        <v>0</v>
      </c>
      <c r="J53" s="1303">
        <f ca="1">SUMIF(INDIRECT("HNSW_Summary!A:A"),C53,INDEX(INDIRECT("HNSW_Summary!A:Z"),0,MATCH("ClBalance",INDIRECT("HNSW_Summary!1:1"),0)))</f>
        <v>0</v>
      </c>
      <c r="K53" s="2038"/>
      <c r="L53" s="1303">
        <f ca="1">SUMIF(INDIRECT("HNSW_Summary!A:A"),C53,INDEX(INDIRECT("HNSW_Summary!A:Z"),0,MATCH("MinRepayments",INDIRECT("HNSW_Summary!1:1"),0)))</f>
        <v>0</v>
      </c>
      <c r="M53" s="1303">
        <f ca="1">SUMIF(INDIRECT("HNSW_Summary!A:A"),C53,INDEX(INDIRECT("HNSW_Summary!A:Z"),0,MATCH("UnderOver",INDIRECT("HNSW_Summary!1:1"),0)))</f>
        <v>0</v>
      </c>
      <c r="N53" s="2126"/>
      <c r="P53" s="1893"/>
      <c r="Q53" s="2217"/>
      <c r="V53" s="2090" t="b">
        <f>IF(D03_Number_of_Loans&gt;=37,FALSE,TRUE)</f>
        <v>1</v>
      </c>
    </row>
    <row r="54" spans="2:22" ht="17.25" hidden="1" customHeight="1">
      <c r="B54" s="2220"/>
      <c r="C54" s="2250"/>
      <c r="D54" s="2079" t="str">
        <f ca="1">IF(C54=E54, HYPERLINK("#'" &amp; VLOOKUP(C54,INDIRECT("HNSW_Summary!$A:$B"),2,0) &amp; "'!A1", "}"), "}")</f>
        <v>}</v>
      </c>
      <c r="E54" s="2249">
        <f ca="1">VLOOKUP(C54,INDIRECT("HNSW_Summary!$A:$B"),1,0)</f>
        <v>0</v>
      </c>
      <c r="F54" s="1303">
        <f ca="1">IFERROR(INDEX(INDIRECT("HNSW_Summary!A:Z"),MATCH(C54,INDIRECT("HNSW_Summary!A:A"), 0),MATCH("Director",INDIRECT("HNSW_Summary!1:1"),0)),"")</f>
        <v>0</v>
      </c>
      <c r="G54" s="1303">
        <f ca="1">SUMIF(INDIRECT("HNSW_Summary!A:A"),C54,INDEX(INDIRECT("HNSW_Summary!A:Z"),0,MATCH("OpBalance",INDIRECT("HNSW_Summary!1:1"),0)))</f>
        <v>0</v>
      </c>
      <c r="H54" s="1303">
        <f ca="1">SUMIF(INDIRECT("HNSW_Summary!A:A"),C54,INDEX(INDIRECT("HNSW_Summary!A:Z"),0,MATCH("Repayments",INDIRECT("HNSW_Summary!1:1"),0)))</f>
        <v>0</v>
      </c>
      <c r="I54" s="1303">
        <f ca="1">SUMIF(INDIRECT("HNSW_Summary!A:A"),C54,INDEX(INDIRECT("HNSW_Summary!A:Z"),0,MATCH("Interest",INDIRECT("HNSW_Summary!1:1"),0)))</f>
        <v>0</v>
      </c>
      <c r="J54" s="1303">
        <f ca="1">SUMIF(INDIRECT("HNSW_Summary!A:A"),C54,INDEX(INDIRECT("HNSW_Summary!A:Z"),0,MATCH("ClBalance",INDIRECT("HNSW_Summary!1:1"),0)))</f>
        <v>0</v>
      </c>
      <c r="K54" s="2038"/>
      <c r="L54" s="1303">
        <f ca="1">SUMIF(INDIRECT("HNSW_Summary!A:A"),C54,INDEX(INDIRECT("HNSW_Summary!A:Z"),0,MATCH("MinRepayments",INDIRECT("HNSW_Summary!1:1"),0)))</f>
        <v>0</v>
      </c>
      <c r="M54" s="1303">
        <f ca="1">SUMIF(INDIRECT("HNSW_Summary!A:A"),C54,INDEX(INDIRECT("HNSW_Summary!A:Z"),0,MATCH("UnderOver",INDIRECT("HNSW_Summary!1:1"),0)))</f>
        <v>0</v>
      </c>
      <c r="N54" s="2126"/>
      <c r="P54" s="1893"/>
      <c r="Q54" s="2217"/>
      <c r="V54" s="2090" t="b">
        <f>IF(D03_Number_of_Loans&gt;=38,FALSE,TRUE)</f>
        <v>1</v>
      </c>
    </row>
    <row r="55" spans="2:22" ht="17.25" hidden="1" customHeight="1">
      <c r="B55" s="2220"/>
      <c r="C55" s="2250"/>
      <c r="D55" s="2079" t="str">
        <f ca="1">IF(C55=E55, HYPERLINK("#'" &amp; VLOOKUP(C55,INDIRECT("HNSW_Summary!$A:$B"),2,0) &amp; "'!A1", "}"), "}")</f>
        <v>}</v>
      </c>
      <c r="E55" s="2249">
        <f ca="1">VLOOKUP(C55,INDIRECT("HNSW_Summary!$A:$B"),1,0)</f>
        <v>0</v>
      </c>
      <c r="F55" s="1303">
        <f ca="1">IFERROR(INDEX(INDIRECT("HNSW_Summary!A:Z"),MATCH(C55,INDIRECT("HNSW_Summary!A:A"), 0),MATCH("Director",INDIRECT("HNSW_Summary!1:1"),0)),"")</f>
        <v>0</v>
      </c>
      <c r="G55" s="1303">
        <f ca="1">SUMIF(INDIRECT("HNSW_Summary!A:A"),C55,INDEX(INDIRECT("HNSW_Summary!A:Z"),0,MATCH("OpBalance",INDIRECT("HNSW_Summary!1:1"),0)))</f>
        <v>0</v>
      </c>
      <c r="H55" s="1303">
        <f ca="1">SUMIF(INDIRECT("HNSW_Summary!A:A"),C55,INDEX(INDIRECT("HNSW_Summary!A:Z"),0,MATCH("Repayments",INDIRECT("HNSW_Summary!1:1"),0)))</f>
        <v>0</v>
      </c>
      <c r="I55" s="1303">
        <f ca="1">SUMIF(INDIRECT("HNSW_Summary!A:A"),C55,INDEX(INDIRECT("HNSW_Summary!A:Z"),0,MATCH("Interest",INDIRECT("HNSW_Summary!1:1"),0)))</f>
        <v>0</v>
      </c>
      <c r="J55" s="1303">
        <f ca="1">SUMIF(INDIRECT("HNSW_Summary!A:A"),C55,INDEX(INDIRECT("HNSW_Summary!A:Z"),0,MATCH("ClBalance",INDIRECT("HNSW_Summary!1:1"),0)))</f>
        <v>0</v>
      </c>
      <c r="K55" s="2038"/>
      <c r="L55" s="1303">
        <f ca="1">SUMIF(INDIRECT("HNSW_Summary!A:A"),C55,INDEX(INDIRECT("HNSW_Summary!A:Z"),0,MATCH("MinRepayments",INDIRECT("HNSW_Summary!1:1"),0)))</f>
        <v>0</v>
      </c>
      <c r="M55" s="1303">
        <f ca="1">SUMIF(INDIRECT("HNSW_Summary!A:A"),C55,INDEX(INDIRECT("HNSW_Summary!A:Z"),0,MATCH("UnderOver",INDIRECT("HNSW_Summary!1:1"),0)))</f>
        <v>0</v>
      </c>
      <c r="N55" s="2126"/>
      <c r="P55" s="1893"/>
      <c r="Q55" s="2217"/>
      <c r="V55" s="2090" t="b">
        <f>IF(D03_Number_of_Loans&gt;=39,FALSE,TRUE)</f>
        <v>1</v>
      </c>
    </row>
    <row r="56" spans="2:22" ht="17.25" hidden="1" customHeight="1">
      <c r="B56" s="2220"/>
      <c r="C56" s="2250"/>
      <c r="D56" s="2079" t="str">
        <f ca="1">IF(C56=E56, HYPERLINK("#'" &amp; VLOOKUP(C56,INDIRECT("HNSW_Summary!$A:$B"),2,0) &amp; "'!A1", "}"), "}")</f>
        <v>}</v>
      </c>
      <c r="E56" s="2249">
        <f ca="1">VLOOKUP(C56,INDIRECT("HNSW_Summary!$A:$B"),1,0)</f>
        <v>0</v>
      </c>
      <c r="F56" s="1303">
        <f ca="1">IFERROR(INDEX(INDIRECT("HNSW_Summary!A:Z"),MATCH(C56,INDIRECT("HNSW_Summary!A:A"), 0),MATCH("Director",INDIRECT("HNSW_Summary!1:1"),0)),"")</f>
        <v>0</v>
      </c>
      <c r="G56" s="1303">
        <f ca="1">SUMIF(INDIRECT("HNSW_Summary!A:A"),C56,INDEX(INDIRECT("HNSW_Summary!A:Z"),0,MATCH("OpBalance",INDIRECT("HNSW_Summary!1:1"),0)))</f>
        <v>0</v>
      </c>
      <c r="H56" s="1303">
        <f ca="1">SUMIF(INDIRECT("HNSW_Summary!A:A"),C56,INDEX(INDIRECT("HNSW_Summary!A:Z"),0,MATCH("Repayments",INDIRECT("HNSW_Summary!1:1"),0)))</f>
        <v>0</v>
      </c>
      <c r="I56" s="1303">
        <f ca="1">SUMIF(INDIRECT("HNSW_Summary!A:A"),C56,INDEX(INDIRECT("HNSW_Summary!A:Z"),0,MATCH("Interest",INDIRECT("HNSW_Summary!1:1"),0)))</f>
        <v>0</v>
      </c>
      <c r="J56" s="1303">
        <f ca="1">SUMIF(INDIRECT("HNSW_Summary!A:A"),C56,INDEX(INDIRECT("HNSW_Summary!A:Z"),0,MATCH("ClBalance",INDIRECT("HNSW_Summary!1:1"),0)))</f>
        <v>0</v>
      </c>
      <c r="K56" s="2038"/>
      <c r="L56" s="1303">
        <f ca="1">SUMIF(INDIRECT("HNSW_Summary!A:A"),C56,INDEX(INDIRECT("HNSW_Summary!A:Z"),0,MATCH("MinRepayments",INDIRECT("HNSW_Summary!1:1"),0)))</f>
        <v>0</v>
      </c>
      <c r="M56" s="1303">
        <f ca="1">SUMIF(INDIRECT("HNSW_Summary!A:A"),C56,INDEX(INDIRECT("HNSW_Summary!A:Z"),0,MATCH("UnderOver",INDIRECT("HNSW_Summary!1:1"),0)))</f>
        <v>0</v>
      </c>
      <c r="N56" s="2126"/>
      <c r="P56" s="1893"/>
      <c r="Q56" s="2217"/>
      <c r="V56" s="2090" t="b">
        <f>IF(D03_Number_of_Loans&gt;=40,FALSE,TRUE)</f>
        <v>1</v>
      </c>
    </row>
    <row r="57" spans="2:22" ht="17.25" hidden="1" customHeight="1">
      <c r="B57" s="2220"/>
      <c r="C57" s="2250"/>
      <c r="D57" s="2079" t="str">
        <f ca="1">IF(C57=E57, HYPERLINK("#'" &amp; VLOOKUP(C57,INDIRECT("HNSW_Summary!$A:$B"),2,0) &amp; "'!A1", "}"), "}")</f>
        <v>}</v>
      </c>
      <c r="E57" s="2249">
        <f ca="1">VLOOKUP(C57,INDIRECT("HNSW_Summary!$A:$B"),1,0)</f>
        <v>0</v>
      </c>
      <c r="F57" s="1303">
        <f ca="1">IFERROR(INDEX(INDIRECT("HNSW_Summary!A:Z"),MATCH(C57,INDIRECT("HNSW_Summary!A:A"), 0),MATCH("Director",INDIRECT("HNSW_Summary!1:1"),0)),"")</f>
        <v>0</v>
      </c>
      <c r="G57" s="1303">
        <f ca="1">SUMIF(INDIRECT("HNSW_Summary!A:A"),C57,INDEX(INDIRECT("HNSW_Summary!A:Z"),0,MATCH("OpBalance",INDIRECT("HNSW_Summary!1:1"),0)))</f>
        <v>0</v>
      </c>
      <c r="H57" s="1303">
        <f ca="1">SUMIF(INDIRECT("HNSW_Summary!A:A"),C57,INDEX(INDIRECT("HNSW_Summary!A:Z"),0,MATCH("Repayments",INDIRECT("HNSW_Summary!1:1"),0)))</f>
        <v>0</v>
      </c>
      <c r="I57" s="1303">
        <f ca="1">SUMIF(INDIRECT("HNSW_Summary!A:A"),C57,INDEX(INDIRECT("HNSW_Summary!A:Z"),0,MATCH("Interest",INDIRECT("HNSW_Summary!1:1"),0)))</f>
        <v>0</v>
      </c>
      <c r="J57" s="1303">
        <f ca="1">SUMIF(INDIRECT("HNSW_Summary!A:A"),C57,INDEX(INDIRECT("HNSW_Summary!A:Z"),0,MATCH("ClBalance",INDIRECT("HNSW_Summary!1:1"),0)))</f>
        <v>0</v>
      </c>
      <c r="K57" s="2038"/>
      <c r="L57" s="1303">
        <f ca="1">SUMIF(INDIRECT("HNSW_Summary!A:A"),C57,INDEX(INDIRECT("HNSW_Summary!A:Z"),0,MATCH("MinRepayments",INDIRECT("HNSW_Summary!1:1"),0)))</f>
        <v>0</v>
      </c>
      <c r="M57" s="1303">
        <f ca="1">SUMIF(INDIRECT("HNSW_Summary!A:A"),C57,INDEX(INDIRECT("HNSW_Summary!A:Z"),0,MATCH("UnderOver",INDIRECT("HNSW_Summary!1:1"),0)))</f>
        <v>0</v>
      </c>
      <c r="N57" s="2126"/>
      <c r="P57" s="1893"/>
      <c r="Q57" s="2217"/>
      <c r="V57" s="2090" t="b">
        <f>IF(D03_Number_of_Loans&gt;=41,FALSE,TRUE)</f>
        <v>1</v>
      </c>
    </row>
    <row r="58" spans="2:22" ht="17.25" hidden="1" customHeight="1">
      <c r="B58" s="2220"/>
      <c r="C58" s="2250"/>
      <c r="D58" s="2079" t="str">
        <f ca="1">IF(C58=E58, HYPERLINK("#'" &amp; VLOOKUP(C58,INDIRECT("HNSW_Summary!$A:$B"),2,0) &amp; "'!A1", "}"), "}")</f>
        <v>}</v>
      </c>
      <c r="E58" s="2249">
        <f ca="1">VLOOKUP(C58,INDIRECT("HNSW_Summary!$A:$B"),1,0)</f>
        <v>0</v>
      </c>
      <c r="F58" s="1303">
        <f ca="1">IFERROR(INDEX(INDIRECT("HNSW_Summary!A:Z"),MATCH(C58,INDIRECT("HNSW_Summary!A:A"), 0),MATCH("Director",INDIRECT("HNSW_Summary!1:1"),0)),"")</f>
        <v>0</v>
      </c>
      <c r="G58" s="1303">
        <f ca="1">SUMIF(INDIRECT("HNSW_Summary!A:A"),C58,INDEX(INDIRECT("HNSW_Summary!A:Z"),0,MATCH("OpBalance",INDIRECT("HNSW_Summary!1:1"),0)))</f>
        <v>0</v>
      </c>
      <c r="H58" s="1303">
        <f ca="1">SUMIF(INDIRECT("HNSW_Summary!A:A"),C58,INDEX(INDIRECT("HNSW_Summary!A:Z"),0,MATCH("Repayments",INDIRECT("HNSW_Summary!1:1"),0)))</f>
        <v>0</v>
      </c>
      <c r="I58" s="1303">
        <f ca="1">SUMIF(INDIRECT("HNSW_Summary!A:A"),C58,INDEX(INDIRECT("HNSW_Summary!A:Z"),0,MATCH("Interest",INDIRECT("HNSW_Summary!1:1"),0)))</f>
        <v>0</v>
      </c>
      <c r="J58" s="1303">
        <f ca="1">SUMIF(INDIRECT("HNSW_Summary!A:A"),C58,INDEX(INDIRECT("HNSW_Summary!A:Z"),0,MATCH("ClBalance",INDIRECT("HNSW_Summary!1:1"),0)))</f>
        <v>0</v>
      </c>
      <c r="K58" s="2038"/>
      <c r="L58" s="1303">
        <f ca="1">SUMIF(INDIRECT("HNSW_Summary!A:A"),C58,INDEX(INDIRECT("HNSW_Summary!A:Z"),0,MATCH("MinRepayments",INDIRECT("HNSW_Summary!1:1"),0)))</f>
        <v>0</v>
      </c>
      <c r="M58" s="1303">
        <f ca="1">SUMIF(INDIRECT("HNSW_Summary!A:A"),C58,INDEX(INDIRECT("HNSW_Summary!A:Z"),0,MATCH("UnderOver",INDIRECT("HNSW_Summary!1:1"),0)))</f>
        <v>0</v>
      </c>
      <c r="N58" s="2126"/>
      <c r="P58" s="1893"/>
      <c r="Q58" s="2217"/>
      <c r="V58" s="2090" t="b">
        <f>IF(D03_Number_of_Loans&gt;=42,FALSE,TRUE)</f>
        <v>1</v>
      </c>
    </row>
    <row r="59" spans="2:22" ht="17.25" hidden="1" customHeight="1">
      <c r="B59" s="2220"/>
      <c r="C59" s="2250"/>
      <c r="D59" s="2079" t="str">
        <f ca="1">IF(C59=E59, HYPERLINK("#'" &amp; VLOOKUP(C59,INDIRECT("HNSW_Summary!$A:$B"),2,0) &amp; "'!A1", "}"), "}")</f>
        <v>}</v>
      </c>
      <c r="E59" s="2249">
        <f ca="1">VLOOKUP(C59,INDIRECT("HNSW_Summary!$A:$B"),1,0)</f>
        <v>0</v>
      </c>
      <c r="F59" s="1303">
        <f ca="1">IFERROR(INDEX(INDIRECT("HNSW_Summary!A:Z"),MATCH(C59,INDIRECT("HNSW_Summary!A:A"), 0),MATCH("Director",INDIRECT("HNSW_Summary!1:1"),0)),"")</f>
        <v>0</v>
      </c>
      <c r="G59" s="1303">
        <f ca="1">SUMIF(INDIRECT("HNSW_Summary!A:A"),C59,INDEX(INDIRECT("HNSW_Summary!A:Z"),0,MATCH("OpBalance",INDIRECT("HNSW_Summary!1:1"),0)))</f>
        <v>0</v>
      </c>
      <c r="H59" s="1303">
        <f ca="1">SUMIF(INDIRECT("HNSW_Summary!A:A"),C59,INDEX(INDIRECT("HNSW_Summary!A:Z"),0,MATCH("Repayments",INDIRECT("HNSW_Summary!1:1"),0)))</f>
        <v>0</v>
      </c>
      <c r="I59" s="1303">
        <f ca="1">SUMIF(INDIRECT("HNSW_Summary!A:A"),C59,INDEX(INDIRECT("HNSW_Summary!A:Z"),0,MATCH("Interest",INDIRECT("HNSW_Summary!1:1"),0)))</f>
        <v>0</v>
      </c>
      <c r="J59" s="1303">
        <f ca="1">SUMIF(INDIRECT("HNSW_Summary!A:A"),C59,INDEX(INDIRECT("HNSW_Summary!A:Z"),0,MATCH("ClBalance",INDIRECT("HNSW_Summary!1:1"),0)))</f>
        <v>0</v>
      </c>
      <c r="K59" s="2038"/>
      <c r="L59" s="1303">
        <f ca="1">SUMIF(INDIRECT("HNSW_Summary!A:A"),C59,INDEX(INDIRECT("HNSW_Summary!A:Z"),0,MATCH("MinRepayments",INDIRECT("HNSW_Summary!1:1"),0)))</f>
        <v>0</v>
      </c>
      <c r="M59" s="1303">
        <f ca="1">SUMIF(INDIRECT("HNSW_Summary!A:A"),C59,INDEX(INDIRECT("HNSW_Summary!A:Z"),0,MATCH("UnderOver",INDIRECT("HNSW_Summary!1:1"),0)))</f>
        <v>0</v>
      </c>
      <c r="N59" s="2126"/>
      <c r="P59" s="1893"/>
      <c r="Q59" s="2217"/>
      <c r="V59" s="2090" t="b">
        <f>IF(D03_Number_of_Loans&gt;=43,FALSE,TRUE)</f>
        <v>1</v>
      </c>
    </row>
    <row r="60" spans="2:22" ht="17.25" hidden="1" customHeight="1">
      <c r="B60" s="2220"/>
      <c r="C60" s="2250"/>
      <c r="D60" s="2079" t="str">
        <f ca="1">IF(C60=E60, HYPERLINK("#'" &amp; VLOOKUP(C60,INDIRECT("HNSW_Summary!$A:$B"),2,0) &amp; "'!A1", "}"), "}")</f>
        <v>}</v>
      </c>
      <c r="E60" s="2249">
        <f ca="1">VLOOKUP(C60,INDIRECT("HNSW_Summary!$A:$B"),1,0)</f>
        <v>0</v>
      </c>
      <c r="F60" s="1303">
        <f ca="1">IFERROR(INDEX(INDIRECT("HNSW_Summary!A:Z"),MATCH(C60,INDIRECT("HNSW_Summary!A:A"), 0),MATCH("Director",INDIRECT("HNSW_Summary!1:1"),0)),"")</f>
        <v>0</v>
      </c>
      <c r="G60" s="1303">
        <f ca="1">SUMIF(INDIRECT("HNSW_Summary!A:A"),C60,INDEX(INDIRECT("HNSW_Summary!A:Z"),0,MATCH("OpBalance",INDIRECT("HNSW_Summary!1:1"),0)))</f>
        <v>0</v>
      </c>
      <c r="H60" s="1303">
        <f ca="1">SUMIF(INDIRECT("HNSW_Summary!A:A"),C60,INDEX(INDIRECT("HNSW_Summary!A:Z"),0,MATCH("Repayments",INDIRECT("HNSW_Summary!1:1"),0)))</f>
        <v>0</v>
      </c>
      <c r="I60" s="1303">
        <f ca="1">SUMIF(INDIRECT("HNSW_Summary!A:A"),C60,INDEX(INDIRECT("HNSW_Summary!A:Z"),0,MATCH("Interest",INDIRECT("HNSW_Summary!1:1"),0)))</f>
        <v>0</v>
      </c>
      <c r="J60" s="1303">
        <f ca="1">SUMIF(INDIRECT("HNSW_Summary!A:A"),C60,INDEX(INDIRECT("HNSW_Summary!A:Z"),0,MATCH("ClBalance",INDIRECT("HNSW_Summary!1:1"),0)))</f>
        <v>0</v>
      </c>
      <c r="K60" s="2038"/>
      <c r="L60" s="1303">
        <f ca="1">SUMIF(INDIRECT("HNSW_Summary!A:A"),C60,INDEX(INDIRECT("HNSW_Summary!A:Z"),0,MATCH("MinRepayments",INDIRECT("HNSW_Summary!1:1"),0)))</f>
        <v>0</v>
      </c>
      <c r="M60" s="1303">
        <f ca="1">SUMIF(INDIRECT("HNSW_Summary!A:A"),C60,INDEX(INDIRECT("HNSW_Summary!A:Z"),0,MATCH("UnderOver",INDIRECT("HNSW_Summary!1:1"),0)))</f>
        <v>0</v>
      </c>
      <c r="N60" s="2126"/>
      <c r="P60" s="1893"/>
      <c r="Q60" s="2217"/>
      <c r="V60" s="2090" t="b">
        <f>IF(D03_Number_of_Loans&gt;=44,FALSE,TRUE)</f>
        <v>1</v>
      </c>
    </row>
    <row r="61" spans="2:22" ht="17.25" hidden="1" customHeight="1">
      <c r="B61" s="2220"/>
      <c r="C61" s="2250"/>
      <c r="D61" s="2079" t="str">
        <f ca="1">IF(C61=E61, HYPERLINK("#'" &amp; VLOOKUP(C61,INDIRECT("HNSW_Summary!$A:$B"),2,0) &amp; "'!A1", "}"), "}")</f>
        <v>}</v>
      </c>
      <c r="E61" s="2249">
        <f ca="1">VLOOKUP(C61,INDIRECT("HNSW_Summary!$A:$B"),1,0)</f>
        <v>0</v>
      </c>
      <c r="F61" s="1303">
        <f ca="1">IFERROR(INDEX(INDIRECT("HNSW_Summary!A:Z"),MATCH(C61,INDIRECT("HNSW_Summary!A:A"), 0),MATCH("Director",INDIRECT("HNSW_Summary!1:1"),0)),"")</f>
        <v>0</v>
      </c>
      <c r="G61" s="1303">
        <f ca="1">SUMIF(INDIRECT("HNSW_Summary!A:A"),C61,INDEX(INDIRECT("HNSW_Summary!A:Z"),0,MATCH("OpBalance",INDIRECT("HNSW_Summary!1:1"),0)))</f>
        <v>0</v>
      </c>
      <c r="H61" s="1303">
        <f ca="1">SUMIF(INDIRECT("HNSW_Summary!A:A"),C61,INDEX(INDIRECT("HNSW_Summary!A:Z"),0,MATCH("Repayments",INDIRECT("HNSW_Summary!1:1"),0)))</f>
        <v>0</v>
      </c>
      <c r="I61" s="1303">
        <f ca="1">SUMIF(INDIRECT("HNSW_Summary!A:A"),C61,INDEX(INDIRECT("HNSW_Summary!A:Z"),0,MATCH("Interest",INDIRECT("HNSW_Summary!1:1"),0)))</f>
        <v>0</v>
      </c>
      <c r="J61" s="1303">
        <f ca="1">SUMIF(INDIRECT("HNSW_Summary!A:A"),C61,INDEX(INDIRECT("HNSW_Summary!A:Z"),0,MATCH("ClBalance",INDIRECT("HNSW_Summary!1:1"),0)))</f>
        <v>0</v>
      </c>
      <c r="K61" s="2038"/>
      <c r="L61" s="1303">
        <f ca="1">SUMIF(INDIRECT("HNSW_Summary!A:A"),C61,INDEX(INDIRECT("HNSW_Summary!A:Z"),0,MATCH("MinRepayments",INDIRECT("HNSW_Summary!1:1"),0)))</f>
        <v>0</v>
      </c>
      <c r="M61" s="1303">
        <f ca="1">SUMIF(INDIRECT("HNSW_Summary!A:A"),C61,INDEX(INDIRECT("HNSW_Summary!A:Z"),0,MATCH("UnderOver",INDIRECT("HNSW_Summary!1:1"),0)))</f>
        <v>0</v>
      </c>
      <c r="N61" s="2126"/>
      <c r="P61" s="1893"/>
      <c r="Q61" s="2217"/>
      <c r="V61" s="2090" t="b">
        <f>IF(D03_Number_of_Loans&gt;=45,FALSE,TRUE)</f>
        <v>1</v>
      </c>
    </row>
    <row r="62" spans="2:22" ht="17.25" hidden="1" customHeight="1">
      <c r="B62" s="2220"/>
      <c r="C62" s="2250"/>
      <c r="D62" s="2079" t="str">
        <f ca="1">IF(C62=E62, HYPERLINK("#'" &amp; VLOOKUP(C62,INDIRECT("HNSW_Summary!$A:$B"),2,0) &amp; "'!A1", "}"), "}")</f>
        <v>}</v>
      </c>
      <c r="E62" s="2249">
        <f ca="1">VLOOKUP(C62,INDIRECT("HNSW_Summary!$A:$B"),1,0)</f>
        <v>0</v>
      </c>
      <c r="F62" s="1303">
        <f ca="1">IFERROR(INDEX(INDIRECT("HNSW_Summary!A:Z"),MATCH(C62,INDIRECT("HNSW_Summary!A:A"), 0),MATCH("Director",INDIRECT("HNSW_Summary!1:1"),0)),"")</f>
        <v>0</v>
      </c>
      <c r="G62" s="1303">
        <f ca="1">SUMIF(INDIRECT("HNSW_Summary!A:A"),C62,INDEX(INDIRECT("HNSW_Summary!A:Z"),0,MATCH("OpBalance",INDIRECT("HNSW_Summary!1:1"),0)))</f>
        <v>0</v>
      </c>
      <c r="H62" s="1303">
        <f ca="1">SUMIF(INDIRECT("HNSW_Summary!A:A"),C62,INDEX(INDIRECT("HNSW_Summary!A:Z"),0,MATCH("Repayments",INDIRECT("HNSW_Summary!1:1"),0)))</f>
        <v>0</v>
      </c>
      <c r="I62" s="1303">
        <f ca="1">SUMIF(INDIRECT("HNSW_Summary!A:A"),C62,INDEX(INDIRECT("HNSW_Summary!A:Z"),0,MATCH("Interest",INDIRECT("HNSW_Summary!1:1"),0)))</f>
        <v>0</v>
      </c>
      <c r="J62" s="1303">
        <f ca="1">SUMIF(INDIRECT("HNSW_Summary!A:A"),C62,INDEX(INDIRECT("HNSW_Summary!A:Z"),0,MATCH("ClBalance",INDIRECT("HNSW_Summary!1:1"),0)))</f>
        <v>0</v>
      </c>
      <c r="K62" s="2038"/>
      <c r="L62" s="1303">
        <f ca="1">SUMIF(INDIRECT("HNSW_Summary!A:A"),C62,INDEX(INDIRECT("HNSW_Summary!A:Z"),0,MATCH("MinRepayments",INDIRECT("HNSW_Summary!1:1"),0)))</f>
        <v>0</v>
      </c>
      <c r="M62" s="1303">
        <f ca="1">SUMIF(INDIRECT("HNSW_Summary!A:A"),C62,INDEX(INDIRECT("HNSW_Summary!A:Z"),0,MATCH("UnderOver",INDIRECT("HNSW_Summary!1:1"),0)))</f>
        <v>0</v>
      </c>
      <c r="N62" s="2126"/>
      <c r="P62" s="1893"/>
      <c r="Q62" s="2217"/>
      <c r="V62" s="2090" t="b">
        <f>IF(D03_Number_of_Loans&gt;=46,FALSE,TRUE)</f>
        <v>1</v>
      </c>
    </row>
    <row r="63" spans="2:22" ht="17.25" hidden="1" customHeight="1">
      <c r="B63" s="2220"/>
      <c r="C63" s="2250"/>
      <c r="D63" s="2079" t="str">
        <f ca="1">IF(C63=E63, HYPERLINK("#'" &amp; VLOOKUP(C63,INDIRECT("HNSW_Summary!$A:$B"),2,0) &amp; "'!A1", "}"), "}")</f>
        <v>}</v>
      </c>
      <c r="E63" s="2249">
        <f ca="1">VLOOKUP(C63,INDIRECT("HNSW_Summary!$A:$B"),1,0)</f>
        <v>0</v>
      </c>
      <c r="F63" s="1303">
        <f ca="1">IFERROR(INDEX(INDIRECT("HNSW_Summary!A:Z"),MATCH(C63,INDIRECT("HNSW_Summary!A:A"), 0),MATCH("Director",INDIRECT("HNSW_Summary!1:1"),0)),"")</f>
        <v>0</v>
      </c>
      <c r="G63" s="1303">
        <f ca="1">SUMIF(INDIRECT("HNSW_Summary!A:A"),C63,INDEX(INDIRECT("HNSW_Summary!A:Z"),0,MATCH("OpBalance",INDIRECT("HNSW_Summary!1:1"),0)))</f>
        <v>0</v>
      </c>
      <c r="H63" s="1303">
        <f ca="1">SUMIF(INDIRECT("HNSW_Summary!A:A"),C63,INDEX(INDIRECT("HNSW_Summary!A:Z"),0,MATCH("Repayments",INDIRECT("HNSW_Summary!1:1"),0)))</f>
        <v>0</v>
      </c>
      <c r="I63" s="1303">
        <f ca="1">SUMIF(INDIRECT("HNSW_Summary!A:A"),C63,INDEX(INDIRECT("HNSW_Summary!A:Z"),0,MATCH("Interest",INDIRECT("HNSW_Summary!1:1"),0)))</f>
        <v>0</v>
      </c>
      <c r="J63" s="1303">
        <f ca="1">SUMIF(INDIRECT("HNSW_Summary!A:A"),C63,INDEX(INDIRECT("HNSW_Summary!A:Z"),0,MATCH("ClBalance",INDIRECT("HNSW_Summary!1:1"),0)))</f>
        <v>0</v>
      </c>
      <c r="K63" s="2038"/>
      <c r="L63" s="1303">
        <f ca="1">SUMIF(INDIRECT("HNSW_Summary!A:A"),C63,INDEX(INDIRECT("HNSW_Summary!A:Z"),0,MATCH("MinRepayments",INDIRECT("HNSW_Summary!1:1"),0)))</f>
        <v>0</v>
      </c>
      <c r="M63" s="1303">
        <f ca="1">SUMIF(INDIRECT("HNSW_Summary!A:A"),C63,INDEX(INDIRECT("HNSW_Summary!A:Z"),0,MATCH("UnderOver",INDIRECT("HNSW_Summary!1:1"),0)))</f>
        <v>0</v>
      </c>
      <c r="N63" s="2126"/>
      <c r="P63" s="1893"/>
      <c r="Q63" s="2217"/>
      <c r="V63" s="2090" t="b">
        <f>IF(D03_Number_of_Loans&gt;=47,FALSE,TRUE)</f>
        <v>1</v>
      </c>
    </row>
    <row r="64" spans="2:22" ht="17.25" hidden="1" customHeight="1">
      <c r="B64" s="2220"/>
      <c r="C64" s="2250"/>
      <c r="D64" s="2079" t="str">
        <f ca="1">IF(C64=E64, HYPERLINK("#'" &amp; VLOOKUP(C64,INDIRECT("HNSW_Summary!$A:$B"),2,0) &amp; "'!A1", "}"), "}")</f>
        <v>}</v>
      </c>
      <c r="E64" s="2249">
        <f ca="1">VLOOKUP(C64,INDIRECT("HNSW_Summary!$A:$B"),1,0)</f>
        <v>0</v>
      </c>
      <c r="F64" s="1303">
        <f ca="1">IFERROR(INDEX(INDIRECT("HNSW_Summary!A:Z"),MATCH(C64,INDIRECT("HNSW_Summary!A:A"), 0),MATCH("Director",INDIRECT("HNSW_Summary!1:1"),0)),"")</f>
        <v>0</v>
      </c>
      <c r="G64" s="1303">
        <f ca="1">SUMIF(INDIRECT("HNSW_Summary!A:A"),C64,INDEX(INDIRECT("HNSW_Summary!A:Z"),0,MATCH("OpBalance",INDIRECT("HNSW_Summary!1:1"),0)))</f>
        <v>0</v>
      </c>
      <c r="H64" s="1303">
        <f ca="1">SUMIF(INDIRECT("HNSW_Summary!A:A"),C64,INDEX(INDIRECT("HNSW_Summary!A:Z"),0,MATCH("Repayments",INDIRECT("HNSW_Summary!1:1"),0)))</f>
        <v>0</v>
      </c>
      <c r="I64" s="1303">
        <f ca="1">SUMIF(INDIRECT("HNSW_Summary!A:A"),C64,INDEX(INDIRECT("HNSW_Summary!A:Z"),0,MATCH("Interest",INDIRECT("HNSW_Summary!1:1"),0)))</f>
        <v>0</v>
      </c>
      <c r="J64" s="1303">
        <f ca="1">SUMIF(INDIRECT("HNSW_Summary!A:A"),C64,INDEX(INDIRECT("HNSW_Summary!A:Z"),0,MATCH("ClBalance",INDIRECT("HNSW_Summary!1:1"),0)))</f>
        <v>0</v>
      </c>
      <c r="K64" s="2038"/>
      <c r="L64" s="1303">
        <f ca="1">SUMIF(INDIRECT("HNSW_Summary!A:A"),C64,INDEX(INDIRECT("HNSW_Summary!A:Z"),0,MATCH("MinRepayments",INDIRECT("HNSW_Summary!1:1"),0)))</f>
        <v>0</v>
      </c>
      <c r="M64" s="1303">
        <f ca="1">SUMIF(INDIRECT("HNSW_Summary!A:A"),C64,INDEX(INDIRECT("HNSW_Summary!A:Z"),0,MATCH("UnderOver",INDIRECT("HNSW_Summary!1:1"),0)))</f>
        <v>0</v>
      </c>
      <c r="N64" s="2126"/>
      <c r="P64" s="1893"/>
      <c r="Q64" s="2217"/>
      <c r="V64" s="2090" t="b">
        <f>IF(D03_Number_of_Loans&gt;=48,FALSE,TRUE)</f>
        <v>1</v>
      </c>
    </row>
    <row r="65" spans="2:22" ht="17.25" hidden="1" customHeight="1">
      <c r="B65" s="2220"/>
      <c r="C65" s="2250"/>
      <c r="D65" s="2079" t="str">
        <f ca="1">IF(C65=E65, HYPERLINK("#'" &amp; VLOOKUP(C65,INDIRECT("HNSW_Summary!$A:$B"),2,0) &amp; "'!A1", "}"), "}")</f>
        <v>}</v>
      </c>
      <c r="E65" s="2249">
        <f ca="1">VLOOKUP(C65,INDIRECT("HNSW_Summary!$A:$B"),1,0)</f>
        <v>0</v>
      </c>
      <c r="F65" s="1303">
        <f ca="1">IFERROR(INDEX(INDIRECT("HNSW_Summary!A:Z"),MATCH(C65,INDIRECT("HNSW_Summary!A:A"), 0),MATCH("Director",INDIRECT("HNSW_Summary!1:1"),0)),"")</f>
        <v>0</v>
      </c>
      <c r="G65" s="1303">
        <f ca="1">SUMIF(INDIRECT("HNSW_Summary!A:A"),C65,INDEX(INDIRECT("HNSW_Summary!A:Z"),0,MATCH("OpBalance",INDIRECT("HNSW_Summary!1:1"),0)))</f>
        <v>0</v>
      </c>
      <c r="H65" s="1303">
        <f ca="1">SUMIF(INDIRECT("HNSW_Summary!A:A"),C65,INDEX(INDIRECT("HNSW_Summary!A:Z"),0,MATCH("Repayments",INDIRECT("HNSW_Summary!1:1"),0)))</f>
        <v>0</v>
      </c>
      <c r="I65" s="1303">
        <f ca="1">SUMIF(INDIRECT("HNSW_Summary!A:A"),C65,INDEX(INDIRECT("HNSW_Summary!A:Z"),0,MATCH("Interest",INDIRECT("HNSW_Summary!1:1"),0)))</f>
        <v>0</v>
      </c>
      <c r="J65" s="1303">
        <f ca="1">SUMIF(INDIRECT("HNSW_Summary!A:A"),C65,INDEX(INDIRECT("HNSW_Summary!A:Z"),0,MATCH("ClBalance",INDIRECT("HNSW_Summary!1:1"),0)))</f>
        <v>0</v>
      </c>
      <c r="K65" s="2038"/>
      <c r="L65" s="1303">
        <f ca="1">SUMIF(INDIRECT("HNSW_Summary!A:A"),C65,INDEX(INDIRECT("HNSW_Summary!A:Z"),0,MATCH("MinRepayments",INDIRECT("HNSW_Summary!1:1"),0)))</f>
        <v>0</v>
      </c>
      <c r="M65" s="1303">
        <f ca="1">SUMIF(INDIRECT("HNSW_Summary!A:A"),C65,INDEX(INDIRECT("HNSW_Summary!A:Z"),0,MATCH("UnderOver",INDIRECT("HNSW_Summary!1:1"),0)))</f>
        <v>0</v>
      </c>
      <c r="N65" s="2126"/>
      <c r="P65" s="1893"/>
      <c r="Q65" s="2217"/>
      <c r="V65" s="2090" t="b">
        <f>IF(D03_Number_of_Loans&gt;=49,FALSE,TRUE)</f>
        <v>1</v>
      </c>
    </row>
    <row r="66" spans="2:22" ht="17.25" hidden="1" customHeight="1">
      <c r="B66" s="2220"/>
      <c r="C66" s="2250"/>
      <c r="D66" s="2079" t="str">
        <f ca="1">IF(C66=E66, HYPERLINK("#'" &amp; VLOOKUP(C66,INDIRECT("HNSW_Summary!$A:$B"),2,0) &amp; "'!A1", "}"), "}")</f>
        <v>}</v>
      </c>
      <c r="E66" s="2249">
        <f ca="1">VLOOKUP(C66,INDIRECT("HNSW_Summary!$A:$B"),1,0)</f>
        <v>0</v>
      </c>
      <c r="F66" s="1303">
        <f ca="1">IFERROR(INDEX(INDIRECT("HNSW_Summary!A:Z"),MATCH(C66,INDIRECT("HNSW_Summary!A:A"), 0),MATCH("Director",INDIRECT("HNSW_Summary!1:1"),0)),"")</f>
        <v>0</v>
      </c>
      <c r="G66" s="1303">
        <f ca="1">SUMIF(INDIRECT("HNSW_Summary!A:A"),C66,INDEX(INDIRECT("HNSW_Summary!A:Z"),0,MATCH("OpBalance",INDIRECT("HNSW_Summary!1:1"),0)))</f>
        <v>0</v>
      </c>
      <c r="H66" s="1303">
        <f ca="1">SUMIF(INDIRECT("HNSW_Summary!A:A"),C66,INDEX(INDIRECT("HNSW_Summary!A:Z"),0,MATCH("Repayments",INDIRECT("HNSW_Summary!1:1"),0)))</f>
        <v>0</v>
      </c>
      <c r="I66" s="1303">
        <f ca="1">SUMIF(INDIRECT("HNSW_Summary!A:A"),C66,INDEX(INDIRECT("HNSW_Summary!A:Z"),0,MATCH("Interest",INDIRECT("HNSW_Summary!1:1"),0)))</f>
        <v>0</v>
      </c>
      <c r="J66" s="1303">
        <f ca="1">SUMIF(INDIRECT("HNSW_Summary!A:A"),C66,INDEX(INDIRECT("HNSW_Summary!A:Z"),0,MATCH("ClBalance",INDIRECT("HNSW_Summary!1:1"),0)))</f>
        <v>0</v>
      </c>
      <c r="K66" s="2038"/>
      <c r="L66" s="1303">
        <f ca="1">SUMIF(INDIRECT("HNSW_Summary!A:A"),C66,INDEX(INDIRECT("HNSW_Summary!A:Z"),0,MATCH("MinRepayments",INDIRECT("HNSW_Summary!1:1"),0)))</f>
        <v>0</v>
      </c>
      <c r="M66" s="1303">
        <f ca="1">SUMIF(INDIRECT("HNSW_Summary!A:A"),C66,INDEX(INDIRECT("HNSW_Summary!A:Z"),0,MATCH("UnderOver",INDIRECT("HNSW_Summary!1:1"),0)))</f>
        <v>0</v>
      </c>
      <c r="N66" s="2126"/>
      <c r="P66" s="1893"/>
      <c r="Q66" s="2217"/>
      <c r="V66" s="2090" t="b">
        <f>IF(D03_Number_of_Loans&gt;=50,FALSE,TRUE)</f>
        <v>1</v>
      </c>
    </row>
    <row r="67" spans="2:22" ht="7.5" customHeight="1">
      <c r="B67" s="2248"/>
      <c r="C67" s="2247"/>
      <c r="D67" s="2246"/>
      <c r="E67" s="2246"/>
      <c r="F67" s="2246"/>
      <c r="G67" s="2246"/>
      <c r="H67" s="2246"/>
      <c r="I67" s="2246"/>
      <c r="J67" s="2246"/>
      <c r="K67" s="2246"/>
      <c r="L67" s="2246"/>
      <c r="M67" s="2246"/>
      <c r="N67" s="2245"/>
    </row>
    <row r="68" spans="2:22" ht="22.5" customHeight="1">
      <c r="C68" s="2244"/>
      <c r="D68" s="2038"/>
      <c r="E68" s="2038"/>
      <c r="F68" s="2038"/>
      <c r="G68" s="2038"/>
      <c r="H68" s="2038"/>
      <c r="I68" s="2038"/>
      <c r="J68" s="2038"/>
      <c r="K68" s="2038"/>
      <c r="L68" s="2038"/>
      <c r="M68" s="2038"/>
    </row>
    <row r="69" spans="2:22" ht="22.5" customHeight="1">
      <c r="B69" s="2228" t="s">
        <v>2135</v>
      </c>
      <c r="C69" s="2227"/>
      <c r="D69" s="2226"/>
      <c r="H69" s="2229" t="s">
        <v>2134</v>
      </c>
      <c r="I69" s="2229"/>
      <c r="J69" s="2233"/>
      <c r="K69" s="2229"/>
      <c r="L69" s="2229"/>
      <c r="M69" s="2229"/>
      <c r="N69" s="2213"/>
      <c r="O69" s="2213"/>
      <c r="P69" s="2212"/>
    </row>
    <row r="70" spans="2:22" ht="7.5" customHeight="1">
      <c r="B70" s="2225"/>
      <c r="C70" s="2224"/>
      <c r="D70" s="2229"/>
      <c r="E70" s="2243"/>
      <c r="F70" s="2243"/>
      <c r="G70" s="2242"/>
      <c r="H70" s="2242"/>
      <c r="I70" s="2242"/>
      <c r="J70" s="2229"/>
      <c r="K70" s="2242"/>
      <c r="L70" s="2242"/>
      <c r="M70" s="2242"/>
      <c r="N70" s="2241"/>
      <c r="O70" s="2213"/>
      <c r="P70" s="2212"/>
    </row>
    <row r="71" spans="2:22" ht="22.5" customHeight="1">
      <c r="B71" s="2225"/>
      <c r="C71" s="2224"/>
      <c r="D71" s="2229"/>
      <c r="E71" s="2229"/>
      <c r="F71" s="2229"/>
      <c r="H71" s="2229"/>
      <c r="I71" s="2240" t="s">
        <v>2133</v>
      </c>
      <c r="J71" s="2083">
        <v>1</v>
      </c>
      <c r="K71" s="2229"/>
      <c r="L71" s="2239" t="s">
        <v>2132</v>
      </c>
      <c r="M71" s="2238"/>
      <c r="N71" s="2235"/>
      <c r="O71" s="2213"/>
      <c r="P71" s="2090"/>
    </row>
    <row r="72" spans="2:22" ht="7.5" customHeight="1">
      <c r="B72" s="2225"/>
      <c r="C72" s="2224"/>
      <c r="D72" s="2229"/>
      <c r="E72" s="2229"/>
      <c r="F72" s="2229"/>
      <c r="G72" s="2229"/>
      <c r="H72" s="2229"/>
      <c r="I72" s="2229"/>
      <c r="J72" s="2229"/>
      <c r="K72" s="2229"/>
      <c r="L72" s="2229"/>
      <c r="M72" s="2229"/>
      <c r="N72" s="2235"/>
      <c r="O72" s="2213"/>
      <c r="P72" s="2212"/>
    </row>
    <row r="73" spans="2:22" ht="16.899999999999999" customHeight="1">
      <c r="B73" s="2236"/>
      <c r="C73" s="2237" cm="1">
        <f t="array" aca="1" ref="C73" ca="1">IFERROR(_xlfn.UNIQUE(F17:F66),"")</f>
        <v>0</v>
      </c>
      <c r="D73" s="2229"/>
      <c r="E73" s="2229"/>
      <c r="F73" s="2229"/>
      <c r="G73" s="2221">
        <f ca="1">SUMIF($F$17:$F$67,$C73,INDEX(INDIRECT("A17:M66"),0,MATCH("Opening Balance",INDIRECT("15:15"),0)))</f>
        <v>100000</v>
      </c>
      <c r="H73" s="2221">
        <f ca="1">SUMIF($F$17:$F$67,$C73,INDEX(INDIRECT("A17:M66"),0,MATCH("Actual Payments",INDIRECT("15:15"),0)))</f>
        <v>0</v>
      </c>
      <c r="I73" s="2221">
        <f ca="1">SUMIF($F$17:$F$67,$C73,INDEX(INDIRECT("A17:M66"),0,MATCH("Interest",INDIRECT("15:15"),0)))</f>
        <v>8269.99</v>
      </c>
      <c r="J73" s="2103">
        <f ca="1">SUMIF($F$17:$F$67,$C73,INDEX(INDIRECT("A17:M66"),0,MATCH("Closing Balance",INDIRECT("15:15"),0)))</f>
        <v>108269.99</v>
      </c>
      <c r="K73" s="2231"/>
      <c r="L73" s="2231"/>
      <c r="M73" s="2231"/>
      <c r="N73" s="2235"/>
      <c r="O73" s="2213"/>
      <c r="P73" s="1893"/>
      <c r="Q73" s="2217"/>
      <c r="V73" s="2090" t="b">
        <f>IF(D03_Number_of_Directors&gt;=1,FALSE,TRUE)</f>
        <v>0</v>
      </c>
    </row>
    <row r="74" spans="2:22" ht="16.899999999999999" hidden="1" customHeight="1">
      <c r="B74" s="2236"/>
      <c r="C74" s="855"/>
      <c r="D74" s="2229"/>
      <c r="E74" s="2229"/>
      <c r="F74" s="2229"/>
      <c r="G74" s="2221">
        <f ca="1">SUMIF($F$17:$F$67,$C74,INDEX(INDIRECT("A17:M66"),0,MATCH("Opening Balance",INDIRECT("15:15"),0)))</f>
        <v>100000</v>
      </c>
      <c r="H74" s="2221">
        <f ca="1">SUMIF($F$17:$F$67,$C74,INDEX(INDIRECT("A17:M66"),0,MATCH("Actual Payments",INDIRECT("15:15"),0)))</f>
        <v>0</v>
      </c>
      <c r="I74" s="2221">
        <f ca="1">SUMIF($F$17:$F$67,$C74,INDEX(INDIRECT("A17:M66"),0,MATCH("Interest",INDIRECT("15:15"),0)))</f>
        <v>8269.99</v>
      </c>
      <c r="J74" s="2103">
        <f ca="1">SUMIF($F$17:$F$67,$C74,INDEX(INDIRECT("A17:M66"),0,MATCH("Closing Balance",INDIRECT("15:15"),0)))</f>
        <v>108269.99</v>
      </c>
      <c r="K74" s="2231"/>
      <c r="L74" s="2231"/>
      <c r="M74" s="2231"/>
      <c r="N74" s="2235"/>
      <c r="O74" s="2213"/>
      <c r="P74" s="1893"/>
      <c r="Q74" s="2217"/>
      <c r="V74" s="2090" t="b">
        <f>IF(D03_Number_of_Directors&gt;=2,FALSE,TRUE)</f>
        <v>1</v>
      </c>
    </row>
    <row r="75" spans="2:22" ht="16.899999999999999" hidden="1" customHeight="1">
      <c r="B75" s="2236"/>
      <c r="C75" s="855"/>
      <c r="D75" s="2229"/>
      <c r="E75" s="2229"/>
      <c r="F75" s="2229"/>
      <c r="G75" s="2221">
        <f ca="1">SUMIF($F$17:$F$67,$C75,INDEX(INDIRECT("A17:M66"),0,MATCH("Opening Balance",INDIRECT("15:15"),0)))</f>
        <v>100000</v>
      </c>
      <c r="H75" s="2221">
        <f ca="1">SUMIF($F$17:$F$67,$C75,INDEX(INDIRECT("A17:M66"),0,MATCH("Actual Payments",INDIRECT("15:15"),0)))</f>
        <v>0</v>
      </c>
      <c r="I75" s="2221">
        <f ca="1">SUMIF($F$17:$F$67,$C75,INDEX(INDIRECT("A17:M66"),0,MATCH("Interest",INDIRECT("15:15"),0)))</f>
        <v>8269.99</v>
      </c>
      <c r="J75" s="2103">
        <f ca="1">SUMIF($F$17:$F$67,$C75,INDEX(INDIRECT("A17:M66"),0,MATCH("Closing Balance",INDIRECT("15:15"),0)))</f>
        <v>108269.99</v>
      </c>
      <c r="K75" s="2231"/>
      <c r="L75" s="2231"/>
      <c r="M75" s="2231"/>
      <c r="N75" s="2235"/>
      <c r="O75" s="2213"/>
      <c r="P75" s="1893"/>
      <c r="Q75" s="2217"/>
      <c r="V75" s="2090" t="b">
        <f>IF(D03_Number_of_Directors&gt;=3,FALSE,TRUE)</f>
        <v>1</v>
      </c>
    </row>
    <row r="76" spans="2:22" ht="16.899999999999999" hidden="1" customHeight="1">
      <c r="B76" s="2236"/>
      <c r="C76" s="855"/>
      <c r="D76" s="2229"/>
      <c r="E76" s="2229"/>
      <c r="F76" s="2229"/>
      <c r="G76" s="2221">
        <f ca="1">SUMIF($F$17:$F$67,$C76,INDEX(INDIRECT("A17:M66"),0,MATCH("Opening Balance",INDIRECT("15:15"),0)))</f>
        <v>100000</v>
      </c>
      <c r="H76" s="2221">
        <f ca="1">SUMIF($F$17:$F$67,$C76,INDEX(INDIRECT("A17:M66"),0,MATCH("Actual Payments",INDIRECT("15:15"),0)))</f>
        <v>0</v>
      </c>
      <c r="I76" s="2221">
        <f ca="1">SUMIF($F$17:$F$67,$C76,INDEX(INDIRECT("A17:M66"),0,MATCH("Interest",INDIRECT("15:15"),0)))</f>
        <v>8269.99</v>
      </c>
      <c r="J76" s="2103">
        <f ca="1">SUMIF($F$17:$F$67,$C76,INDEX(INDIRECT("A17:M66"),0,MATCH("Closing Balance",INDIRECT("15:15"),0)))</f>
        <v>108269.99</v>
      </c>
      <c r="K76" s="2231"/>
      <c r="L76" s="2231"/>
      <c r="M76" s="2231"/>
      <c r="N76" s="2235"/>
      <c r="O76" s="2213"/>
      <c r="P76" s="1893"/>
      <c r="Q76" s="2217"/>
      <c r="V76" s="2090" t="b">
        <f>IF(D03_Number_of_Directors&gt;=4,FALSE,TRUE)</f>
        <v>1</v>
      </c>
    </row>
    <row r="77" spans="2:22" ht="16.899999999999999" hidden="1" customHeight="1">
      <c r="B77" s="2236"/>
      <c r="C77" s="855"/>
      <c r="D77" s="2229"/>
      <c r="E77" s="2229"/>
      <c r="F77" s="2229"/>
      <c r="G77" s="2221">
        <f ca="1">SUMIF($F$17:$F$67,$C77,INDEX(INDIRECT("A17:M66"),0,MATCH("Opening Balance",INDIRECT("15:15"),0)))</f>
        <v>100000</v>
      </c>
      <c r="H77" s="2221">
        <f ca="1">SUMIF($F$17:$F$67,$C77,INDEX(INDIRECT("A17:M66"),0,MATCH("Actual Payments",INDIRECT("15:15"),0)))</f>
        <v>0</v>
      </c>
      <c r="I77" s="2221">
        <f ca="1">SUMIF($F$17:$F$67,$C77,INDEX(INDIRECT("A17:M66"),0,MATCH("Interest",INDIRECT("15:15"),0)))</f>
        <v>8269.99</v>
      </c>
      <c r="J77" s="2103">
        <f ca="1">SUMIF($F$17:$F$67,$C77,INDEX(INDIRECT("A17:M66"),0,MATCH("Closing Balance",INDIRECT("15:15"),0)))</f>
        <v>108269.99</v>
      </c>
      <c r="K77" s="2231"/>
      <c r="L77" s="2231"/>
      <c r="M77" s="2231"/>
      <c r="N77" s="2235"/>
      <c r="O77" s="2213"/>
      <c r="P77" s="1893"/>
      <c r="Q77" s="2217"/>
      <c r="V77" s="2090" t="b">
        <f>IF(D03_Number_of_Directors&gt;=5,FALSE,TRUE)</f>
        <v>1</v>
      </c>
    </row>
    <row r="78" spans="2:22" ht="16.899999999999999" hidden="1" customHeight="1">
      <c r="B78" s="2236"/>
      <c r="C78" s="855"/>
      <c r="D78" s="2229"/>
      <c r="E78" s="2229"/>
      <c r="F78" s="2229"/>
      <c r="G78" s="2221">
        <f ca="1">SUMIF($F$17:$F$67,$C78,INDEX(INDIRECT("A17:M66"),0,MATCH("Opening Balance",INDIRECT("15:15"),0)))</f>
        <v>100000</v>
      </c>
      <c r="H78" s="2221">
        <f ca="1">SUMIF($F$17:$F$67,$C78,INDEX(INDIRECT("A17:M66"),0,MATCH("Actual Payments",INDIRECT("15:15"),0)))</f>
        <v>0</v>
      </c>
      <c r="I78" s="2221">
        <f ca="1">SUMIF($F$17:$F$67,$C78,INDEX(INDIRECT("A17:M66"),0,MATCH("Interest",INDIRECT("15:15"),0)))</f>
        <v>8269.99</v>
      </c>
      <c r="J78" s="2103">
        <f ca="1">SUMIF($F$17:$F$67,$C78,INDEX(INDIRECT("A17:M66"),0,MATCH("Closing Balance",INDIRECT("15:15"),0)))</f>
        <v>108269.99</v>
      </c>
      <c r="K78" s="2231"/>
      <c r="L78" s="2231"/>
      <c r="M78" s="2231"/>
      <c r="N78" s="2235"/>
      <c r="O78" s="2213"/>
      <c r="P78" s="1893"/>
      <c r="Q78" s="2217"/>
      <c r="V78" s="2090" t="b">
        <f>IF(D03_Number_of_Directors&gt;=6,FALSE,TRUE)</f>
        <v>1</v>
      </c>
    </row>
    <row r="79" spans="2:22" ht="16.899999999999999" hidden="1" customHeight="1">
      <c r="B79" s="2236"/>
      <c r="C79" s="855"/>
      <c r="D79" s="2229"/>
      <c r="E79" s="2229"/>
      <c r="F79" s="2229"/>
      <c r="G79" s="2221">
        <f ca="1">SUMIF($F$17:$F$67,$C79,INDEX(INDIRECT("A17:M66"),0,MATCH("Opening Balance",INDIRECT("15:15"),0)))</f>
        <v>100000</v>
      </c>
      <c r="H79" s="2221">
        <f ca="1">SUMIF($F$17:$F$67,$C79,INDEX(INDIRECT("A17:M66"),0,MATCH("Actual Payments",INDIRECT("15:15"),0)))</f>
        <v>0</v>
      </c>
      <c r="I79" s="2221">
        <f ca="1">SUMIF($F$17:$F$67,$C79,INDEX(INDIRECT("A17:M66"),0,MATCH("Interest",INDIRECT("15:15"),0)))</f>
        <v>8269.99</v>
      </c>
      <c r="J79" s="2103">
        <f ca="1">SUMIF($F$17:$F$67,$C79,INDEX(INDIRECT("A17:M66"),0,MATCH("Closing Balance",INDIRECT("15:15"),0)))</f>
        <v>108269.99</v>
      </c>
      <c r="K79" s="2231"/>
      <c r="L79" s="2231"/>
      <c r="M79" s="2231"/>
      <c r="N79" s="2235"/>
      <c r="O79" s="2213"/>
      <c r="P79" s="1893"/>
      <c r="Q79" s="2217"/>
      <c r="V79" s="2090" t="b">
        <f>IF(D03_Number_of_Directors&gt;=7,FALSE,TRUE)</f>
        <v>1</v>
      </c>
    </row>
    <row r="80" spans="2:22" ht="16.899999999999999" hidden="1" customHeight="1">
      <c r="B80" s="2236"/>
      <c r="C80" s="855"/>
      <c r="D80" s="2229"/>
      <c r="E80" s="2229"/>
      <c r="F80" s="2229"/>
      <c r="G80" s="2221">
        <f ca="1">SUMIF($F$17:$F$67,$C80,INDEX(INDIRECT("A17:M66"),0,MATCH("Opening Balance",INDIRECT("15:15"),0)))</f>
        <v>100000</v>
      </c>
      <c r="H80" s="2221">
        <f ca="1">SUMIF($F$17:$F$67,$C80,INDEX(INDIRECT("A17:M66"),0,MATCH("Actual Payments",INDIRECT("15:15"),0)))</f>
        <v>0</v>
      </c>
      <c r="I80" s="2221">
        <f ca="1">SUMIF($F$17:$F$67,$C80,INDEX(INDIRECT("A17:M66"),0,MATCH("Interest",INDIRECT("15:15"),0)))</f>
        <v>8269.99</v>
      </c>
      <c r="J80" s="2103">
        <f ca="1">SUMIF($F$17:$F$67,$C80,INDEX(INDIRECT("A17:M66"),0,MATCH("Closing Balance",INDIRECT("15:15"),0)))</f>
        <v>108269.99</v>
      </c>
      <c r="K80" s="2231"/>
      <c r="L80" s="2231"/>
      <c r="M80" s="2231"/>
      <c r="N80" s="2235"/>
      <c r="O80" s="2213"/>
      <c r="P80" s="1893"/>
      <c r="Q80" s="2217"/>
      <c r="V80" s="2090" t="b">
        <f>IF(D03_Number_of_Directors&gt;=8,FALSE,TRUE)</f>
        <v>1</v>
      </c>
    </row>
    <row r="81" spans="2:22" ht="16.899999999999999" hidden="1" customHeight="1">
      <c r="B81" s="2236"/>
      <c r="C81" s="855"/>
      <c r="D81" s="2229"/>
      <c r="E81" s="2229"/>
      <c r="F81" s="2229"/>
      <c r="G81" s="2221">
        <f ca="1">SUMIF($F$17:$F$67,$C81,INDEX(INDIRECT("A17:M66"),0,MATCH("Opening Balance",INDIRECT("15:15"),0)))</f>
        <v>100000</v>
      </c>
      <c r="H81" s="2221">
        <f ca="1">SUMIF($F$17:$F$67,$C81,INDEX(INDIRECT("A17:M66"),0,MATCH("Actual Payments",INDIRECT("15:15"),0)))</f>
        <v>0</v>
      </c>
      <c r="I81" s="2221">
        <f ca="1">SUMIF($F$17:$F$67,$C81,INDEX(INDIRECT("A17:M66"),0,MATCH("Interest",INDIRECT("15:15"),0)))</f>
        <v>8269.99</v>
      </c>
      <c r="J81" s="2103">
        <f ca="1">SUMIF($F$17:$F$67,$C81,INDEX(INDIRECT("A17:M66"),0,MATCH("Closing Balance",INDIRECT("15:15"),0)))</f>
        <v>108269.99</v>
      </c>
      <c r="K81" s="2231"/>
      <c r="L81" s="2231"/>
      <c r="M81" s="2231"/>
      <c r="N81" s="2235"/>
      <c r="O81" s="2213"/>
      <c r="P81" s="1893"/>
      <c r="Q81" s="2217"/>
      <c r="V81" s="2090" t="b">
        <f>IF(D03_Number_of_Directors&gt;=9,FALSE,TRUE)</f>
        <v>1</v>
      </c>
    </row>
    <row r="82" spans="2:22" ht="16.899999999999999" hidden="1" customHeight="1">
      <c r="B82" s="2236"/>
      <c r="C82" s="855"/>
      <c r="D82" s="2229"/>
      <c r="E82" s="2229"/>
      <c r="F82" s="2229"/>
      <c r="G82" s="2221">
        <f ca="1">SUMIF($F$17:$F$67,$C82,INDEX(INDIRECT("A17:M66"),0,MATCH("Opening Balance",INDIRECT("15:15"),0)))</f>
        <v>100000</v>
      </c>
      <c r="H82" s="2221">
        <f ca="1">SUMIF($F$17:$F$67,$C82,INDEX(INDIRECT("A17:M66"),0,MATCH("Actual Payments",INDIRECT("15:15"),0)))</f>
        <v>0</v>
      </c>
      <c r="I82" s="2221">
        <f ca="1">SUMIF($F$17:$F$67,$C82,INDEX(INDIRECT("A17:M66"),0,MATCH("Interest",INDIRECT("15:15"),0)))</f>
        <v>8269.99</v>
      </c>
      <c r="J82" s="2103">
        <f ca="1">SUMIF($F$17:$F$67,$C82,INDEX(INDIRECT("A17:M66"),0,MATCH("Closing Balance",INDIRECT("15:15"),0)))</f>
        <v>108269.99</v>
      </c>
      <c r="K82" s="2231"/>
      <c r="L82" s="2231"/>
      <c r="M82" s="2231"/>
      <c r="N82" s="2235"/>
      <c r="O82" s="2213"/>
      <c r="P82" s="1893"/>
      <c r="Q82" s="2217"/>
      <c r="V82" s="2090" t="b">
        <f>IF(D03_Number_of_Directors&gt;=10,FALSE,TRUE)</f>
        <v>1</v>
      </c>
    </row>
    <row r="83" spans="2:22" ht="7.5" customHeight="1">
      <c r="B83" s="2234"/>
      <c r="C83" s="2214"/>
      <c r="D83" s="2233"/>
      <c r="E83" s="2233"/>
      <c r="F83" s="2233"/>
      <c r="G83" s="2214"/>
      <c r="H83" s="2214"/>
      <c r="I83" s="2214"/>
      <c r="J83" s="2214"/>
      <c r="K83" s="2214"/>
      <c r="L83" s="2214"/>
      <c r="M83" s="2214"/>
      <c r="N83" s="2232"/>
      <c r="O83" s="2213"/>
      <c r="P83" s="2212"/>
    </row>
    <row r="84" spans="2:22" ht="22.5" customHeight="1">
      <c r="B84" s="2231"/>
      <c r="C84" s="2230"/>
      <c r="D84" s="2229"/>
      <c r="E84" s="2229"/>
      <c r="F84" s="2229"/>
      <c r="G84" s="2229"/>
      <c r="H84" s="2229"/>
      <c r="I84" s="2229"/>
      <c r="J84" s="2229"/>
      <c r="K84" s="2229"/>
      <c r="L84" s="2229"/>
      <c r="M84" s="2229"/>
      <c r="N84" s="2213"/>
      <c r="O84" s="2213"/>
      <c r="P84" s="2212"/>
    </row>
    <row r="85" spans="2:22" ht="22.5" customHeight="1">
      <c r="B85" s="2228" t="s">
        <v>2131</v>
      </c>
      <c r="C85" s="2227"/>
      <c r="D85" s="2226"/>
      <c r="G85" s="2038"/>
      <c r="H85" s="2038"/>
      <c r="I85" s="2038"/>
      <c r="J85" s="2038"/>
      <c r="K85" s="2038"/>
      <c r="L85" s="2038"/>
      <c r="M85" s="2038"/>
    </row>
    <row r="86" spans="2:22" ht="7.5" customHeight="1">
      <c r="B86" s="2225"/>
      <c r="C86" s="2224"/>
      <c r="D86" s="2038"/>
      <c r="E86" s="2223"/>
      <c r="F86" s="2223"/>
      <c r="G86" s="2222"/>
      <c r="H86" s="2222"/>
      <c r="I86" s="2222"/>
      <c r="J86" s="2222"/>
      <c r="K86" s="2222"/>
      <c r="L86" s="2222"/>
      <c r="M86" s="2222"/>
      <c r="N86" s="2173"/>
    </row>
    <row r="87" spans="2:22" ht="17.25" customHeight="1">
      <c r="B87" s="2220"/>
      <c r="C87" s="855" t="s">
        <v>2130</v>
      </c>
      <c r="D87" s="2038"/>
      <c r="E87" s="2038"/>
      <c r="F87" s="2038"/>
      <c r="G87" s="2221">
        <f ca="1">SUMIF(INDEX(INDIRECT("HNSW_Summary!A:Z"), 0, MATCH("TemplateId", INDIRECT("HNSW_Summary!1:1"), 0)), "5843ca72-ff96-4333-a63b-a8c3ea30f161", INDEX(INDIRECT("HNSW_Summary!A:Z"), 0, MATCH("OpBalance", INDIRECT("HNSW_Summary!1:1"), 0)))</f>
        <v>100000</v>
      </c>
      <c r="H87" s="2221">
        <f ca="1">SUMIF(INDEX(INDIRECT("HNSW_Summary!A:Z"), 0, MATCH("TemplateId", INDIRECT("HNSW_Summary!1:1"), 0)), "5843ca72-ff96-4333-a63b-a8c3ea30f161", INDEX(INDIRECT("HNSW_Summary!A:Z"), 0, MATCH("Repayments", INDIRECT("HNSW_Summary!1:1"), 0)))</f>
        <v>0</v>
      </c>
      <c r="I87" s="2221">
        <f ca="1">SUMIF(INDEX(INDIRECT("HNSW_Summary!A:Z"), 0, MATCH("TemplateId", INDIRECT("HNSW_Summary!1:1"), 0)), "5843ca72-ff96-4333-a63b-a8c3ea30f161", INDEX(INDIRECT("HNSW_Summary!A:Z"), 0, MATCH("Interest", INDIRECT("HNSW_Summary!1:1"), 0)))</f>
        <v>8269.99</v>
      </c>
      <c r="J87" s="2221">
        <f ca="1">SUMIF(INDEX(INDIRECT("HNSW_Summary!A:Z"), 0, MATCH("TemplateId", INDIRECT("HNSW_Summary!1:1"), 0)), "5843ca72-ff96-4333-a63b-a8c3ea30f161", INDEX(INDIRECT("HNSW_Summary!A:Z"), 0, MATCH("ClBalance", INDIRECT("HNSW_Summary!1:1"), 0)))</f>
        <v>108269.99</v>
      </c>
      <c r="K87" s="2218"/>
      <c r="L87" s="2218"/>
      <c r="M87" s="2218"/>
      <c r="N87" s="2126"/>
      <c r="P87" s="1893"/>
      <c r="Q87" s="2217"/>
    </row>
    <row r="88" spans="2:22" ht="17.25" customHeight="1">
      <c r="B88" s="2220"/>
      <c r="C88" s="855" t="s">
        <v>2129</v>
      </c>
      <c r="D88" s="2038"/>
      <c r="E88" s="2038"/>
      <c r="F88" s="2038"/>
      <c r="G88" s="2221">
        <f ca="1">SUMIF(INDEX(INDIRECT("HNSW_Summary!A:Z"), 0, MATCH("TemplateId", INDIRECT("HNSW_Summary!1:1"), 0)), "7668b802-3f9b-4d52-bd4e-592cd4b27494", INDEX(INDIRECT("HNSW_Summary!A:Z"), 0, MATCH("OpBalance", INDIRECT("HNSW_Summary!1:1"), 0)))</f>
        <v>0</v>
      </c>
      <c r="H88" s="2221">
        <f ca="1">SUMIF(INDEX(INDIRECT("HNSW_Summary!A:Z"), 0, MATCH("TemplateId", INDIRECT("HNSW_Summary!1:1"), 0)), "7668b802-3f9b-4d52-bd4e-592cd4b27494", INDEX(INDIRECT("HNSW_Summary!A:Z"), 0, MATCH("Repayments", INDIRECT("HNSW_Summary!1:1"), 0)))</f>
        <v>0</v>
      </c>
      <c r="I88" s="2221">
        <f ca="1">SUMIF(INDEX(INDIRECT("HNSW_Summary!A:Z"), 0, MATCH("TemplateId", INDIRECT("HNSW_Summary!1:1"), 0)), "7668b802-3f9b-4d52-bd4e-592cd4b27494", INDEX(INDIRECT("HNSW_Summary!A:Z"), 0, MATCH("Interest", INDIRECT("HNSW_Summary!1:1"), 0)))</f>
        <v>0</v>
      </c>
      <c r="J88" s="2221">
        <f ca="1">SUMIF(INDEX(INDIRECT("HNSW_Summary!A:Z"), 0, MATCH("TemplateId", INDIRECT("HNSW_Summary!1:1"), 0)), "7668b802-3f9b-4d52-bd4e-592cd4b27494", INDEX(INDIRECT("HNSW_Summary!A:Z"), 0, MATCH("ClBalance", INDIRECT("HNSW_Summary!1:1"), 0)))</f>
        <v>0</v>
      </c>
      <c r="K88" s="2218"/>
      <c r="L88" s="2218"/>
      <c r="M88" s="2218"/>
      <c r="N88" s="2126"/>
      <c r="P88" s="1893"/>
      <c r="Q88" s="2217"/>
    </row>
    <row r="89" spans="2:22" ht="7.5" customHeight="1">
      <c r="B89" s="2220"/>
      <c r="C89" s="855"/>
      <c r="D89" s="2038"/>
      <c r="E89" s="2038"/>
      <c r="F89" s="2038"/>
      <c r="K89" s="2218"/>
      <c r="L89" s="2218"/>
      <c r="M89" s="2218"/>
      <c r="N89" s="2126"/>
    </row>
    <row r="90" spans="2:22" ht="17.25" customHeight="1">
      <c r="B90" s="2220"/>
      <c r="C90" s="1382" t="s">
        <v>2060</v>
      </c>
      <c r="D90" s="2038"/>
      <c r="E90" s="2038"/>
      <c r="F90" s="2038"/>
      <c r="G90" s="2219">
        <f ca="1">SUM(G87:G88)</f>
        <v>100000</v>
      </c>
      <c r="H90" s="2219">
        <f ca="1">SUM(H87:H88)</f>
        <v>0</v>
      </c>
      <c r="I90" s="2219">
        <f ca="1">SUM(I87:I88)</f>
        <v>8269.99</v>
      </c>
      <c r="J90" s="2219">
        <f ca="1">SUM(J87:J88)</f>
        <v>108269.99</v>
      </c>
      <c r="K90" s="2218"/>
      <c r="L90" s="2218"/>
      <c r="M90" s="2218"/>
      <c r="N90" s="2126"/>
      <c r="P90" s="1893"/>
      <c r="Q90" s="2217"/>
    </row>
    <row r="91" spans="2:22" ht="7.5" customHeight="1">
      <c r="B91" s="2216"/>
      <c r="C91" s="2214"/>
      <c r="D91" s="2215"/>
      <c r="E91" s="2215"/>
      <c r="F91" s="2215"/>
      <c r="G91" s="2214"/>
      <c r="H91" s="2214"/>
      <c r="I91" s="2214"/>
      <c r="J91" s="2214"/>
      <c r="K91" s="2214"/>
      <c r="L91" s="2214"/>
      <c r="M91" s="2214"/>
      <c r="N91" s="2122"/>
    </row>
    <row r="92" spans="2:22">
      <c r="B92" s="2213"/>
      <c r="C92" s="1382"/>
      <c r="D92" s="2213"/>
      <c r="E92" s="2213"/>
      <c r="F92" s="2213"/>
      <c r="G92" s="2213"/>
      <c r="H92" s="2213"/>
      <c r="I92" s="2213"/>
      <c r="J92" s="2213"/>
      <c r="K92" s="2213"/>
      <c r="L92" s="2213"/>
      <c r="M92" s="2213"/>
      <c r="N92" s="2213"/>
      <c r="O92" s="2213"/>
      <c r="P92" s="2212"/>
    </row>
  </sheetData>
  <sheetProtection sheet="1" insertHyperlinks="0"/>
  <dataConsolidate/>
  <mergeCells count="8">
    <mergeCell ref="B85:D85"/>
    <mergeCell ref="C8:M8"/>
    <mergeCell ref="C9:M9"/>
    <mergeCell ref="P15:Q15"/>
    <mergeCell ref="L13:M13"/>
    <mergeCell ref="L71:M71"/>
    <mergeCell ref="B11:D11"/>
    <mergeCell ref="B69:D69"/>
  </mergeCells>
  <conditionalFormatting sqref="D17:E66">
    <cfRule type="containsBlanks" dxfId="462" priority="7">
      <formula>LEN(TRIM(D17))=0</formula>
    </cfRule>
    <cfRule type="cellIs" dxfId="461" priority="8" operator="equal">
      <formula>"q"</formula>
    </cfRule>
  </conditionalFormatting>
  <conditionalFormatting sqref="F17:J66">
    <cfRule type="expression" dxfId="460" priority="6">
      <formula>AND($G17&lt;&gt;"AddC",$G17&lt;&gt;"Mode",$G17&lt;&gt;"Add")</formula>
    </cfRule>
  </conditionalFormatting>
  <conditionalFormatting sqref="G73:J82">
    <cfRule type="expression" dxfId="459" priority="4">
      <formula>AND(#REF!&lt;&gt;"AddC",#REF!&lt;&gt;"Mode",#REF!&lt;&gt;"Add")</formula>
    </cfRule>
  </conditionalFormatting>
  <conditionalFormatting sqref="G13:L13">
    <cfRule type="expression" dxfId="458" priority="1">
      <formula>AND(#REF!&lt;&gt;"AddC",#REF!&lt;&gt;"Mode",#REF!&lt;&gt;"Add")</formula>
    </cfRule>
  </conditionalFormatting>
  <conditionalFormatting sqref="G12:M12 G14:M16 K17:K66 G67:M68 H71:I71 K89:M89">
    <cfRule type="expression" dxfId="457" priority="10">
      <formula>AND(#REF!&lt;&gt;"AddC",#REF!&lt;&gt;"Mode",#REF!&lt;&gt;"Add")</formula>
    </cfRule>
  </conditionalFormatting>
  <conditionalFormatting sqref="G70:M70 G72:M72 K73:M82 G83:M1048576">
    <cfRule type="expression" dxfId="456" priority="5">
      <formula>AND(#REF!&lt;&gt;"AddC",#REF!&lt;&gt;"Mode",#REF!&lt;&gt;"Add")</formula>
    </cfRule>
  </conditionalFormatting>
  <conditionalFormatting sqref="H69:M69">
    <cfRule type="expression" dxfId="455" priority="3">
      <formula>AND(#REF!&lt;&gt;"AddC",#REF!&lt;&gt;"Mode",#REF!&lt;&gt;"Add")</formula>
    </cfRule>
  </conditionalFormatting>
  <conditionalFormatting sqref="K71:L71">
    <cfRule type="expression" dxfId="454" priority="2">
      <formula>AND(#REF!&lt;&gt;"AddC",#REF!&lt;&gt;"Mode",#REF!&lt;&gt;"Add")</formula>
    </cfRule>
  </conditionalFormatting>
  <conditionalFormatting sqref="L17:M66">
    <cfRule type="expression" dxfId="453" priority="9">
      <formula>AND($G17&lt;&gt;"AddC",$G17&lt;&gt;"Mode",$G17&lt;&gt;"Add")</formula>
    </cfRule>
  </conditionalFormatting>
  <conditionalFormatting sqref="M12 M14:M16 M67:M70 M72:M1048576">
    <cfRule type="expression" dxfId="452" priority="11">
      <formula>AND(ISNUMBER($M12),$M12&lt;-0.01)</formula>
    </cfRule>
  </conditionalFormatting>
  <hyperlinks>
    <hyperlink ref="L71:M71" location="'D03 Company Debit Loan Summary'!Go_ShowHideRows_01" tooltip="Update Display" display="P  Update Display" xr:uid="{3B4B1E9E-697D-41E9-A40B-23590A32C1DC}"/>
    <hyperlink ref="L13:M13" location="'D03 Company Debit Loan Summary'!Go_ShowHideRows" tooltip="Update Display" display="P  Update Display" xr:uid="{29BA8E3B-664E-4EF0-9CB1-34FAAFFAB212}"/>
    <hyperlink ref="M3" location="'D03 Company Debit Loan Summary'!Go_Index" tooltip="Go to Record" display="Show Record" xr:uid="{D4190210-6E35-4758-814A-BCAAD59F3452}"/>
  </hyperlinks>
  <printOptions horizontalCentered="1"/>
  <pageMargins left="0.59055118110236227" right="0.59055118110236227" top="0.59055118110236227" bottom="0.78740157480314965" header="0" footer="0"/>
  <pageSetup paperSize="9" scale="51" fitToHeight="2" orientation="portrait"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F260DD7A-BFE3-4852-8BD2-CEE28D059348}">
          <xm:f>'D03 Company Debit Loan Summary'!D03_Number_of_Directors</xm:f>
        </x15:webExtension>
        <x15:webExtension appRef="{E626E1C6-6897-4494-9657-8E650994D0EE}">
          <xm:f>'D03 Company Debit Loan Summary'!D03_Number_of_Loans</xm:f>
        </x15:webExtension>
        <x15:webExtension appRef="{69DF4D21-7618-4DB5-895B-BA98343BCC75}">
          <xm:f>'D03 Company Debit Loan Summary'!Reconcile_Director1LoanBalance</xm:f>
        </x15:webExtension>
        <x15:webExtension appRef="{E2466253-CC6D-4F26-893B-750009E7BB26}">
          <xm:f>'D03 Company Debit Loan Summary'!Reconcile_Director2LoanBalance</xm:f>
        </x15:webExtension>
        <x15:webExtension appRef="{F6C03A82-7BCB-43E5-AE34-DFCBA1CBDD1F}">
          <xm:f>'D03 Company Debit Loan Summary'!Reconcile_Director3LoanBalance</xm:f>
        </x15:webExtension>
        <x15:webExtension appRef="{E0391CF0-34DA-4BD9-B9A6-23D60E9B15B9}">
          <xm:f>'D03 Company Debit Loan Summary'!Reconcile_Div7AClosingBalance</xm:f>
        </x15:webExtension>
        <x15:webExtension appRef="{4DA00947-BB24-4390-AB71-8CD8FB6DE1B8}">
          <xm:f>'D03 Company Debit Loan Summary'!Reconcile_TotalClosingBalance</xm:f>
        </x15:webExtension>
        <x15:webExtension appRef="{3E823792-36D4-4C08-BAD8-851A40F8A3DF}">
          <xm:f>'D03 Company Debit Loan Summary'!Reconcile_UPEClosingBalance</xm:f>
        </x15:webExtension>
      </x15:webExtens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66D31-1D7A-474D-B818-1B36A4E27377}">
  <dimension ref="A1:P165"/>
  <sheetViews>
    <sheetView showGridLines="0" topLeftCell="A3" zoomScaleNormal="100" zoomScaleSheetLayoutView="70" workbookViewId="0">
      <selection activeCell="A3" sqref="A3"/>
    </sheetView>
  </sheetViews>
  <sheetFormatPr defaultRowHeight="15"/>
  <cols>
    <col min="1" max="1" width="4.28515625" style="1758" customWidth="1"/>
    <col min="2" max="2" width="1.42578125" style="1758" customWidth="1"/>
    <col min="3" max="4" width="15.7109375" style="1758" hidden="1" customWidth="1"/>
    <col min="5" max="5" width="13" style="1758" customWidth="1"/>
    <col min="6" max="6" width="15.7109375" style="1758" customWidth="1"/>
    <col min="7" max="10" width="17.7109375" style="1758" customWidth="1"/>
    <col min="11" max="12" width="18.140625" style="1758" customWidth="1"/>
    <col min="13" max="13" width="1.42578125" style="1758" customWidth="1"/>
    <col min="14" max="14" width="4.28515625" style="1758" customWidth="1"/>
    <col min="15" max="16" width="15.7109375" style="1758" customWidth="1"/>
    <col min="17" max="17" width="9.140625" style="1758"/>
    <col min="18" max="18" width="13.7109375" style="1758" bestFit="1" customWidth="1"/>
    <col min="19" max="16384" width="9.140625" style="1758"/>
  </cols>
  <sheetData>
    <row r="1" spans="1:16" ht="22.5" hidden="1" customHeight="1">
      <c r="D1" s="1379" t="s">
        <v>1528</v>
      </c>
      <c r="G1" s="1379" t="s">
        <v>1565</v>
      </c>
      <c r="H1" s="1379" t="s">
        <v>395</v>
      </c>
      <c r="I1" s="1379" t="s">
        <v>1564</v>
      </c>
      <c r="J1" s="1379" t="s">
        <v>1563</v>
      </c>
      <c r="K1" s="1379" t="s">
        <v>399</v>
      </c>
      <c r="L1" s="1379" t="s">
        <v>1562</v>
      </c>
    </row>
    <row r="2" spans="1:16" ht="24" hidden="1" customHeight="1">
      <c r="C2" s="417"/>
      <c r="D2" s="417"/>
      <c r="E2" s="1378" t="s">
        <v>181</v>
      </c>
      <c r="F2" s="1814" t="s">
        <v>1561</v>
      </c>
      <c r="G2" s="417"/>
      <c r="H2" s="417"/>
      <c r="I2" s="1813"/>
      <c r="J2" s="1812"/>
      <c r="K2" s="1813" t="s">
        <v>177</v>
      </c>
      <c r="L2" s="1812" t="str">
        <f>IFERROR(Jurisdiction,"AU")</f>
        <v>AU</v>
      </c>
    </row>
    <row r="3" spans="1:16" ht="7.5" customHeight="1">
      <c r="C3" s="417"/>
      <c r="D3" s="417"/>
      <c r="E3" s="1378"/>
      <c r="F3" s="1814"/>
      <c r="G3" s="417"/>
      <c r="H3" s="417"/>
      <c r="I3" s="1813"/>
      <c r="J3" s="1812"/>
    </row>
    <row r="4" spans="1:16" ht="24.95" customHeight="1">
      <c r="C4" s="417"/>
      <c r="D4" s="417"/>
      <c r="E4" s="1547" t="s">
        <v>1560</v>
      </c>
      <c r="F4" s="1547"/>
      <c r="G4" s="1547"/>
      <c r="H4" s="1547"/>
      <c r="I4" s="1547"/>
      <c r="K4"/>
      <c r="L4" s="1380" t="s">
        <v>174</v>
      </c>
      <c r="O4" s="1811" t="s">
        <v>179</v>
      </c>
      <c r="P4" s="1810" t="s">
        <v>1559</v>
      </c>
    </row>
    <row r="5" spans="1:16" ht="22.5" customHeight="1">
      <c r="B5" s="417"/>
      <c r="C5" s="417"/>
      <c r="D5" s="417"/>
      <c r="E5" s="1548" t="str">
        <f>_xlfn.TEXTJOIN(" ",1,IFERROR(_xlfn.SINGLE(Cl_Name),"Client Name"),IF(IFERROR(_xlfn.SINGLE(Cl_Code),"")="","","("&amp;_xlfn.SINGLE(Cl_Code)&amp;")"))</f>
        <v>Springrange Holdings Pty Ltd (MuM001)</v>
      </c>
      <c r="F5" s="1548"/>
      <c r="G5" s="1548"/>
      <c r="H5" s="1548"/>
      <c r="I5" s="1548"/>
      <c r="K5" s="1371"/>
      <c r="L5" s="1373" t="str">
        <f>IF(ISBLANK(_xlfn.SINGLE(Tm_TBAccount)),_xlfn.TEXTJOIN("-",1,K7:L7),TEXT(_xlfn.SINGLE(Tm_TBAccount),"0"))</f>
        <v/>
      </c>
    </row>
    <row r="6" spans="1:16" ht="22.5" customHeight="1">
      <c r="B6" s="417"/>
      <c r="C6" s="417"/>
      <c r="D6" s="417"/>
      <c r="E6" s="1541">
        <f>IFERROR(_xlfn.SINGLE(PeriodEndDate),DATE(2024,6,30))</f>
        <v>45473</v>
      </c>
      <c r="F6" s="1542"/>
      <c r="G6" s="1542"/>
      <c r="H6" s="1542"/>
      <c r="K6" s="1371"/>
      <c r="L6" s="771" t="str">
        <f>J53</f>
        <v>Pending</v>
      </c>
      <c r="M6" s="1809">
        <f>IFERROR(_xlfn.XLOOKUP("58b922e4-8362-43ac-98a1-9a86aa6dddd2",RecordInfo.RecordId,RecordInfo.Tolerances),0)</f>
        <v>0.01</v>
      </c>
      <c r="O6" s="1545" t="s">
        <v>307</v>
      </c>
      <c r="P6" s="1546"/>
    </row>
    <row r="7" spans="1:16" ht="17.25" hidden="1" customHeight="1">
      <c r="B7" s="417"/>
      <c r="C7" s="417"/>
      <c r="D7" s="417"/>
      <c r="E7" s="1370"/>
      <c r="F7" s="417"/>
      <c r="G7" s="417"/>
      <c r="H7" s="417"/>
      <c r="J7" s="1369"/>
      <c r="K7" s="1368"/>
      <c r="L7" s="1368"/>
    </row>
    <row r="8" spans="1:16" ht="7.5" customHeight="1">
      <c r="B8" s="411"/>
      <c r="C8" s="411"/>
      <c r="D8" s="411"/>
      <c r="E8" s="411"/>
      <c r="F8" s="411"/>
      <c r="G8" s="411"/>
      <c r="H8" s="411"/>
      <c r="I8" s="1807"/>
      <c r="J8" s="1807"/>
      <c r="K8" s="1807"/>
      <c r="L8" s="1807"/>
      <c r="M8" s="1807"/>
    </row>
    <row r="9" spans="1:16" ht="7.5" customHeight="1"/>
    <row r="10" spans="1:16" ht="30" customHeight="1">
      <c r="A10" s="1366" t="str">
        <f>IF(SUBTOTAL(103,A11),"-","+")</f>
        <v>+</v>
      </c>
      <c r="C10" s="1498" t="s">
        <v>1558</v>
      </c>
      <c r="D10" s="1498"/>
      <c r="E10" s="1498"/>
      <c r="F10" s="1498"/>
      <c r="G10" s="1498"/>
      <c r="H10" s="1498"/>
      <c r="I10" s="1498"/>
      <c r="J10" s="1498"/>
      <c r="K10" s="1498"/>
      <c r="L10" s="1498"/>
    </row>
    <row r="11" spans="1:16" ht="17.25" hidden="1" customHeight="1">
      <c r="A11" s="1758" t="s">
        <v>58</v>
      </c>
      <c r="E11" s="1365" t="s">
        <v>1557</v>
      </c>
      <c r="F11" s="1561" t="s">
        <v>1556</v>
      </c>
      <c r="G11" s="1561"/>
      <c r="H11" s="1561"/>
      <c r="I11" s="1561"/>
      <c r="J11" s="1561"/>
      <c r="K11" s="1561"/>
      <c r="L11" s="1561"/>
    </row>
    <row r="12" spans="1:16" ht="17.25" hidden="1" customHeight="1">
      <c r="E12" s="1806"/>
      <c r="F12" s="1561" t="s">
        <v>1555</v>
      </c>
      <c r="G12" s="1561"/>
      <c r="H12" s="1561"/>
      <c r="I12" s="1561"/>
      <c r="J12" s="1561"/>
      <c r="K12" s="1561"/>
      <c r="L12" s="1561"/>
    </row>
    <row r="13" spans="1:16" ht="17.25" hidden="1" customHeight="1">
      <c r="E13" s="1806"/>
      <c r="F13" s="1561" t="s">
        <v>1554</v>
      </c>
      <c r="G13" s="1561"/>
      <c r="H13" s="1561"/>
      <c r="I13" s="1561"/>
      <c r="J13" s="1561"/>
      <c r="K13" s="1561"/>
      <c r="L13" s="1561"/>
    </row>
    <row r="14" spans="1:16" ht="24.95" customHeight="1"/>
    <row r="15" spans="1:16" ht="22.5" customHeight="1">
      <c r="A15" s="1317" t="str">
        <f>IF(SUBTOTAL(103,A16),"-","+")</f>
        <v>+</v>
      </c>
      <c r="B15" s="1538" t="s">
        <v>1553</v>
      </c>
      <c r="C15" s="1539"/>
      <c r="D15" s="1539"/>
      <c r="E15" s="1539"/>
      <c r="F15" s="1539"/>
      <c r="G15" s="1539"/>
      <c r="H15" s="1540"/>
      <c r="I15" s="355"/>
      <c r="J15" s="355"/>
      <c r="K15" s="355"/>
      <c r="L15" s="355"/>
    </row>
    <row r="16" spans="1:16" ht="7.5" hidden="1" customHeight="1">
      <c r="A16" s="1758" t="s">
        <v>58</v>
      </c>
      <c r="B16" s="1780"/>
      <c r="C16" s="1779"/>
      <c r="D16" s="1779"/>
      <c r="E16" s="1779"/>
      <c r="F16" s="1779"/>
      <c r="G16" s="1779"/>
      <c r="H16" s="1779"/>
      <c r="I16" s="1779"/>
      <c r="J16" s="1779"/>
      <c r="K16" s="1779"/>
      <c r="L16" s="1779"/>
      <c r="M16" s="1778"/>
    </row>
    <row r="17" spans="2:16" ht="17.25" hidden="1" customHeight="1">
      <c r="B17" s="1769"/>
      <c r="G17" s="1321">
        <v>41091</v>
      </c>
      <c r="H17" s="1360" t="s">
        <v>747</v>
      </c>
      <c r="I17" s="1321">
        <v>41455</v>
      </c>
      <c r="J17" s="1361">
        <v>7.0499999999999993E-2</v>
      </c>
      <c r="M17" s="1767"/>
    </row>
    <row r="18" spans="2:16" ht="17.25" hidden="1" customHeight="1">
      <c r="B18" s="1769"/>
      <c r="G18" s="1321">
        <v>41456</v>
      </c>
      <c r="H18" s="1360" t="s">
        <v>747</v>
      </c>
      <c r="I18" s="1321">
        <v>41820</v>
      </c>
      <c r="J18" s="1361">
        <v>6.2E-2</v>
      </c>
      <c r="M18" s="1767"/>
    </row>
    <row r="19" spans="2:16" ht="17.25" hidden="1" customHeight="1">
      <c r="B19" s="1769"/>
      <c r="G19" s="1321">
        <v>41821</v>
      </c>
      <c r="H19" s="1360" t="s">
        <v>747</v>
      </c>
      <c r="I19" s="1321">
        <v>42185</v>
      </c>
      <c r="J19" s="1361">
        <v>5.9499999999999997E-2</v>
      </c>
      <c r="M19" s="1767"/>
      <c r="N19" s="1805"/>
    </row>
    <row r="20" spans="2:16" ht="17.25" hidden="1" customHeight="1">
      <c r="B20" s="1769"/>
      <c r="G20" s="1321">
        <v>42186</v>
      </c>
      <c r="H20" s="1360" t="s">
        <v>747</v>
      </c>
      <c r="I20" s="1321">
        <v>42551</v>
      </c>
      <c r="J20" s="1361">
        <v>5.45E-2</v>
      </c>
      <c r="M20" s="1767"/>
      <c r="N20" s="1796"/>
    </row>
    <row r="21" spans="2:16" ht="17.25" hidden="1" customHeight="1">
      <c r="B21" s="1769"/>
      <c r="G21" s="1321">
        <v>42552</v>
      </c>
      <c r="H21" s="1360" t="s">
        <v>747</v>
      </c>
      <c r="I21" s="1321">
        <v>42916</v>
      </c>
      <c r="J21" s="1361">
        <v>5.3999999999999999E-2</v>
      </c>
      <c r="M21" s="1767"/>
      <c r="N21" s="1796"/>
    </row>
    <row r="22" spans="2:16" ht="17.25" hidden="1" customHeight="1">
      <c r="B22" s="1769"/>
      <c r="G22" s="1321">
        <v>42917</v>
      </c>
      <c r="H22" s="1360" t="s">
        <v>747</v>
      </c>
      <c r="I22" s="1321">
        <v>43281</v>
      </c>
      <c r="J22" s="1361">
        <v>5.2999999999999999E-2</v>
      </c>
      <c r="M22" s="1767"/>
      <c r="N22" s="1804"/>
    </row>
    <row r="23" spans="2:16" ht="17.25" hidden="1" customHeight="1">
      <c r="B23" s="1769"/>
      <c r="G23" s="1321">
        <v>43282</v>
      </c>
      <c r="H23" s="1360" t="s">
        <v>747</v>
      </c>
      <c r="I23" s="1321">
        <v>43646</v>
      </c>
      <c r="J23" s="1361">
        <v>5.1999999999999998E-2</v>
      </c>
      <c r="M23" s="1767"/>
      <c r="N23" s="1796"/>
    </row>
    <row r="24" spans="2:16" ht="17.25" hidden="1" customHeight="1">
      <c r="B24" s="1769"/>
      <c r="G24" s="1321">
        <v>43647</v>
      </c>
      <c r="H24" s="1360" t="s">
        <v>747</v>
      </c>
      <c r="I24" s="1321">
        <v>44012</v>
      </c>
      <c r="J24" s="1359">
        <v>5.3699999999999998E-2</v>
      </c>
      <c r="M24" s="1767"/>
      <c r="N24" s="1796"/>
    </row>
    <row r="25" spans="2:16" ht="17.25" hidden="1" customHeight="1">
      <c r="B25" s="1769"/>
      <c r="G25" s="1321">
        <v>44013</v>
      </c>
      <c r="H25" s="1360" t="s">
        <v>747</v>
      </c>
      <c r="I25" s="1321">
        <v>44377</v>
      </c>
      <c r="J25" s="1359">
        <v>4.5199999999999997E-2</v>
      </c>
      <c r="M25" s="1767"/>
      <c r="N25" s="1796"/>
    </row>
    <row r="26" spans="2:16" ht="17.25" hidden="1" customHeight="1">
      <c r="B26" s="1769"/>
      <c r="G26" s="1321">
        <v>44378</v>
      </c>
      <c r="H26" s="1360" t="s">
        <v>747</v>
      </c>
      <c r="I26" s="1321">
        <v>44742</v>
      </c>
      <c r="J26" s="1359">
        <v>4.5199999999999997E-2</v>
      </c>
      <c r="M26" s="1767"/>
      <c r="N26" s="1796"/>
    </row>
    <row r="27" spans="2:16" ht="17.25" hidden="1" customHeight="1">
      <c r="B27" s="1769"/>
      <c r="G27" s="1321">
        <v>44743</v>
      </c>
      <c r="H27" s="1360" t="s">
        <v>747</v>
      </c>
      <c r="I27" s="1321">
        <v>45107</v>
      </c>
      <c r="J27" s="1359">
        <v>4.7699999999999999E-2</v>
      </c>
      <c r="M27" s="1767"/>
      <c r="N27" s="1796"/>
    </row>
    <row r="28" spans="2:16" ht="17.25" hidden="1" customHeight="1">
      <c r="B28" s="1769"/>
      <c r="G28" s="1321">
        <v>45108</v>
      </c>
      <c r="H28" s="1360" t="s">
        <v>747</v>
      </c>
      <c r="I28" s="1321">
        <v>45473</v>
      </c>
      <c r="J28" s="1359">
        <v>8.2699999999999996E-2</v>
      </c>
      <c r="M28" s="1767"/>
      <c r="N28" s="1796"/>
    </row>
    <row r="29" spans="2:16" ht="17.25" hidden="1" customHeight="1">
      <c r="B29" s="1769"/>
      <c r="G29" s="1321">
        <v>45474</v>
      </c>
      <c r="H29" s="1360" t="s">
        <v>747</v>
      </c>
      <c r="I29" s="1321">
        <v>45838</v>
      </c>
      <c r="J29" s="1359">
        <v>8.77E-2</v>
      </c>
      <c r="M29" s="1767"/>
      <c r="N29" s="1796"/>
    </row>
    <row r="30" spans="2:16" ht="7.5" hidden="1" customHeight="1">
      <c r="B30" s="1765"/>
      <c r="C30" s="1764"/>
      <c r="D30" s="1764"/>
      <c r="E30" s="1764"/>
      <c r="F30" s="1803"/>
      <c r="G30" s="1802"/>
      <c r="H30" s="1764"/>
      <c r="I30" s="1801"/>
      <c r="J30" s="1764"/>
      <c r="K30" s="1764"/>
      <c r="L30" s="1764"/>
      <c r="M30" s="1763"/>
      <c r="N30" s="1796"/>
    </row>
    <row r="31" spans="2:16" ht="22.5" customHeight="1"/>
    <row r="32" spans="2:16" ht="22.5" customHeight="1">
      <c r="B32" s="1554" t="s">
        <v>410</v>
      </c>
      <c r="C32" s="1555"/>
      <c r="D32" s="1555"/>
      <c r="E32" s="1555"/>
      <c r="F32" s="1555"/>
      <c r="G32" s="1555"/>
      <c r="H32" s="1556"/>
      <c r="O32" s="1552" t="s">
        <v>155</v>
      </c>
      <c r="P32" s="1553"/>
    </row>
    <row r="33" spans="2:16" ht="7.5" customHeight="1">
      <c r="B33" s="1800"/>
      <c r="C33" s="1799"/>
      <c r="D33" s="1799"/>
      <c r="E33" s="1799"/>
      <c r="F33" s="1799"/>
      <c r="G33" s="1799"/>
      <c r="H33" s="1799"/>
      <c r="I33" s="1799"/>
      <c r="J33" s="1799"/>
      <c r="K33" s="1799"/>
      <c r="L33" s="1799"/>
      <c r="M33" s="1798"/>
    </row>
    <row r="34" spans="2:16" ht="17.25" customHeight="1">
      <c r="B34" s="1769"/>
      <c r="E34" s="523" t="s">
        <v>1552</v>
      </c>
      <c r="F34" s="1549"/>
      <c r="G34" s="1550"/>
      <c r="H34" s="1550"/>
      <c r="I34" s="1550"/>
      <c r="J34" s="1551"/>
      <c r="K34" s="1543"/>
      <c r="L34" s="1543"/>
      <c r="M34" s="1797"/>
      <c r="N34" s="1796"/>
      <c r="O34" s="436"/>
      <c r="P34" s="1766"/>
    </row>
    <row r="35" spans="2:16" ht="17.25" customHeight="1">
      <c r="B35" s="1769"/>
      <c r="E35" s="1559" t="s">
        <v>1551</v>
      </c>
      <c r="F35" s="1559"/>
      <c r="G35" s="1559"/>
      <c r="H35" s="1559"/>
      <c r="I35" s="1338"/>
      <c r="J35" s="1350"/>
      <c r="K35" s="1349"/>
      <c r="L35" s="1349"/>
      <c r="M35" s="1767"/>
      <c r="N35" s="1796"/>
      <c r="O35" s="436"/>
      <c r="P35" s="1766"/>
    </row>
    <row r="36" spans="2:16" ht="17.25" customHeight="1">
      <c r="B36" s="1769"/>
      <c r="E36" s="1559" t="s">
        <v>1550</v>
      </c>
      <c r="F36" s="1559"/>
      <c r="G36" s="1559"/>
      <c r="H36" s="1559"/>
      <c r="I36" s="1338"/>
      <c r="J36" s="1350"/>
      <c r="K36" s="1349"/>
      <c r="L36" s="1349"/>
      <c r="M36" s="1767"/>
      <c r="N36" s="1781"/>
      <c r="O36" s="436"/>
      <c r="P36" s="1766"/>
    </row>
    <row r="37" spans="2:16" ht="17.25" customHeight="1">
      <c r="B37" s="1769"/>
      <c r="E37" s="1559" t="s">
        <v>1549</v>
      </c>
      <c r="F37" s="1559"/>
      <c r="G37" s="1559"/>
      <c r="H37" s="1559"/>
      <c r="I37" s="1338"/>
      <c r="J37" s="1350"/>
      <c r="K37" s="1349"/>
      <c r="L37" s="1349"/>
      <c r="M37" s="1767"/>
      <c r="N37" s="1781"/>
      <c r="O37" s="436"/>
      <c r="P37" s="1766"/>
    </row>
    <row r="38" spans="2:16" ht="17.25" hidden="1" customHeight="1">
      <c r="B38" s="1769"/>
      <c r="E38" s="1559" t="s">
        <v>1519</v>
      </c>
      <c r="F38" s="1559"/>
      <c r="G38" s="1559"/>
      <c r="H38" s="1559"/>
      <c r="I38" s="1338"/>
      <c r="J38" s="1351">
        <f>IF(MOD(YEAR(E6),4)=0,366,365)</f>
        <v>366</v>
      </c>
      <c r="K38" s="1349"/>
      <c r="L38" s="1349"/>
      <c r="M38" s="1767"/>
      <c r="N38" s="1781"/>
      <c r="O38" s="436"/>
      <c r="P38" s="1766"/>
    </row>
    <row r="39" spans="2:16" ht="17.25" customHeight="1">
      <c r="B39" s="1769"/>
      <c r="E39" s="1559" t="s">
        <v>1548</v>
      </c>
      <c r="F39" s="1559"/>
      <c r="G39" s="1559"/>
      <c r="H39" s="1559"/>
      <c r="I39" s="1338"/>
      <c r="J39" s="1350"/>
      <c r="L39" s="1349"/>
      <c r="M39" s="1767"/>
      <c r="N39" s="1781"/>
      <c r="O39" s="436"/>
      <c r="P39" s="1766"/>
    </row>
    <row r="40" spans="2:16" ht="17.25" customHeight="1">
      <c r="B40" s="1769"/>
      <c r="E40" s="1559" t="s">
        <v>1547</v>
      </c>
      <c r="F40" s="1559"/>
      <c r="G40" s="1559"/>
      <c r="H40" s="1559"/>
      <c r="I40" s="1338"/>
      <c r="J40" s="1348">
        <f>IF(YEAR(E6)=J37,"Year of Loan",MAX(0,$J$39-(YEAR($E$6)-$J$37)+1))</f>
        <v>0</v>
      </c>
      <c r="L40" s="1795"/>
      <c r="M40" s="1767"/>
      <c r="N40" s="1781"/>
      <c r="O40" s="436"/>
      <c r="P40" s="1766"/>
    </row>
    <row r="41" spans="2:16" ht="17.25" customHeight="1">
      <c r="B41" s="1769"/>
      <c r="E41" s="1559" t="str">
        <f>IF(J39=J40,"Sum of the Loans Made in FY"&amp;J37&amp;" Year Before any Repayments were Made","Amount of the Loan Not Repaid by the End of the Prior Year")</f>
        <v>Sum of the Loans Made in FY Year Before any Repayments were Made</v>
      </c>
      <c r="F41" s="1559"/>
      <c r="G41" s="1559"/>
      <c r="H41" s="1559"/>
      <c r="I41" s="71"/>
      <c r="J41" s="1347">
        <f>IF(J40="Year of Loan", 0, MAX(SingleOB_1,SingleOB_2))</f>
        <v>0</v>
      </c>
      <c r="K41" s="1794"/>
      <c r="L41" s="1794"/>
      <c r="M41" s="1767"/>
      <c r="N41" s="1781"/>
      <c r="O41" s="436"/>
      <c r="P41" s="1766"/>
    </row>
    <row r="42" spans="2:16" ht="17.25" customHeight="1">
      <c r="B42" s="1769"/>
      <c r="E42" s="1559" t="s">
        <v>1546</v>
      </c>
      <c r="F42" s="1559"/>
      <c r="G42" s="1559"/>
      <c r="H42" s="1559"/>
      <c r="I42" s="1345"/>
      <c r="J42" s="1344"/>
      <c r="M42" s="1767"/>
      <c r="N42" s="1781"/>
      <c r="O42" s="436"/>
      <c r="P42" s="1766"/>
    </row>
    <row r="43" spans="2:16" ht="30" customHeight="1">
      <c r="B43" s="1769"/>
      <c r="E43" s="1559" t="s">
        <v>1545</v>
      </c>
      <c r="F43" s="1559"/>
      <c r="G43" s="1559"/>
      <c r="H43" s="1559"/>
      <c r="I43" s="1338"/>
      <c r="J43" s="1343">
        <f>IF($E$6="",0,VLOOKUP($E$6,Interest_Rate,4))</f>
        <v>8.2699999999999996E-2</v>
      </c>
      <c r="K43" s="1793" t="s">
        <v>1544</v>
      </c>
      <c r="L43" s="1792"/>
      <c r="M43" s="1767"/>
      <c r="N43" s="1781"/>
      <c r="O43" s="436"/>
      <c r="P43" s="1766"/>
    </row>
    <row r="44" spans="2:16" ht="17.25" customHeight="1">
      <c r="B44" s="1769"/>
      <c r="E44" s="1559" t="s">
        <v>1543</v>
      </c>
      <c r="F44" s="1559"/>
      <c r="G44" s="1559"/>
      <c r="H44" s="1559"/>
      <c r="I44" s="1338"/>
      <c r="J44" s="1303">
        <f>IF(J40=J40,ROUNDDOWN(IF(OR($J$43=0,$J$45&lt;=0,$J$40=0,$J$41&lt;=0),0,($J$45*$J$43)/(1-(1/(1+$J$43)^$J$40))),2),"")</f>
        <v>0</v>
      </c>
      <c r="M44" s="1767"/>
      <c r="N44" s="1781"/>
      <c r="O44" s="436"/>
      <c r="P44" s="1766"/>
    </row>
    <row r="45" spans="2:16" ht="17.25" customHeight="1">
      <c r="B45" s="1769"/>
      <c r="E45" s="1559" t="s">
        <v>1542</v>
      </c>
      <c r="F45" s="1559"/>
      <c r="G45" s="1559"/>
      <c r="H45" s="1559"/>
      <c r="I45" s="1338"/>
      <c r="J45" s="1303">
        <f>IF(J40="Year of Loan",0,IF(J39=J40,$J$41-SUMIF($F$63:$F$88,"&lt;"&amp;$J$42,$H$63:$H$88),J41))</f>
        <v>0</v>
      </c>
      <c r="M45" s="1767"/>
      <c r="N45" s="1781"/>
      <c r="O45" s="436"/>
      <c r="P45" s="1766"/>
    </row>
    <row r="46" spans="2:16" ht="16.899999999999999" customHeight="1">
      <c r="B46" s="1769"/>
      <c r="E46" s="1559" t="s">
        <v>1541</v>
      </c>
      <c r="F46" s="1559"/>
      <c r="G46" s="1559"/>
      <c r="H46" s="1559"/>
      <c r="I46" s="1338"/>
      <c r="J46" s="1303">
        <f>IF(J40="Year of Loan",(G90-H90),ROUNDDOWN($J$41-$H$90+$I$90,2))</f>
        <v>0</v>
      </c>
      <c r="K46" s="1557" t="str">
        <f>IF(J46=0,"",IF(J46&lt;=0.01,"Credit Account",""))</f>
        <v/>
      </c>
      <c r="L46" s="1558"/>
      <c r="M46" s="1767"/>
      <c r="N46" s="1781"/>
      <c r="O46" s="436"/>
      <c r="P46" s="1766"/>
    </row>
    <row r="47" spans="2:16" ht="7.5" customHeight="1">
      <c r="B47" s="1769"/>
      <c r="E47" s="1559"/>
      <c r="F47" s="1559"/>
      <c r="G47" s="1559"/>
      <c r="H47" s="1559"/>
      <c r="I47" s="71"/>
      <c r="J47" s="1342"/>
      <c r="K47" s="1341"/>
      <c r="M47" s="1767"/>
      <c r="N47" s="1781"/>
      <c r="O47" s="1340"/>
      <c r="P47" s="1791"/>
    </row>
    <row r="48" spans="2:16" ht="17.25" customHeight="1">
      <c r="B48" s="1769"/>
      <c r="E48" s="1559" t="s">
        <v>1540</v>
      </c>
      <c r="F48" s="1559"/>
      <c r="G48" s="1559"/>
      <c r="H48" s="1559"/>
      <c r="I48" s="1338"/>
      <c r="J48" s="1303">
        <f>IF(J40="Year of Loan", "",G90)</f>
        <v>0</v>
      </c>
      <c r="K48" s="1562" t="s">
        <v>1539</v>
      </c>
      <c r="L48" s="1563"/>
      <c r="M48" s="1767"/>
      <c r="N48" s="1781"/>
      <c r="O48" s="436"/>
      <c r="P48" s="1766"/>
    </row>
    <row r="49" spans="1:16" ht="17.25" customHeight="1">
      <c r="B49" s="1769"/>
      <c r="E49" s="1559"/>
      <c r="F49" s="1559"/>
      <c r="G49" s="1559"/>
      <c r="H49" s="1559"/>
      <c r="I49" s="71"/>
      <c r="J49" s="1790"/>
      <c r="K49" s="1332"/>
      <c r="L49" s="1331"/>
      <c r="M49" s="1767"/>
      <c r="N49" s="1781"/>
      <c r="O49" s="1337"/>
      <c r="P49" s="1789"/>
    </row>
    <row r="50" spans="1:16" ht="17.25" customHeight="1">
      <c r="B50" s="1769"/>
      <c r="E50" s="1566" t="s">
        <v>1538</v>
      </c>
      <c r="F50" s="1566"/>
      <c r="G50" s="1566"/>
      <c r="H50" s="1566"/>
      <c r="I50" s="71"/>
      <c r="J50" s="1788">
        <f>SingleCB_1</f>
        <v>0</v>
      </c>
      <c r="K50" s="1332"/>
      <c r="L50" s="1331"/>
      <c r="M50" s="1767"/>
      <c r="N50" s="1781"/>
      <c r="O50" s="436"/>
      <c r="P50" s="1766"/>
    </row>
    <row r="51" spans="1:16" ht="17.25" customHeight="1">
      <c r="B51" s="1769"/>
      <c r="E51" s="1566" t="s">
        <v>356</v>
      </c>
      <c r="F51" s="1566"/>
      <c r="G51" s="1566"/>
      <c r="H51" s="1566"/>
      <c r="J51" s="1787"/>
      <c r="K51" s="1332"/>
      <c r="L51" s="1331"/>
      <c r="M51" s="1767"/>
      <c r="N51" s="1781"/>
      <c r="O51" s="436"/>
      <c r="P51" s="1766"/>
    </row>
    <row r="52" spans="1:16" ht="17.25" customHeight="1">
      <c r="B52" s="1769"/>
      <c r="E52" s="1566" t="s">
        <v>280</v>
      </c>
      <c r="F52" s="1566"/>
      <c r="G52" s="1566"/>
      <c r="H52" s="1566"/>
      <c r="I52" s="71"/>
      <c r="J52" s="1786" t="str">
        <f>IF(AND(J50=0,J51=0),"",J51-J50)</f>
        <v/>
      </c>
      <c r="K52" s="1332"/>
      <c r="L52" s="1331"/>
      <c r="M52" s="1767"/>
      <c r="N52" s="1781"/>
      <c r="O52" s="436"/>
      <c r="P52" s="1766"/>
    </row>
    <row r="53" spans="1:16" ht="7.5" customHeight="1">
      <c r="B53" s="1785"/>
      <c r="C53" s="1783"/>
      <c r="D53" s="1783"/>
      <c r="E53" s="1783"/>
      <c r="F53" s="1783"/>
      <c r="G53" s="1783"/>
      <c r="H53" s="1783"/>
      <c r="I53" s="1783"/>
      <c r="J53" s="1784" t="str" cm="1">
        <f t="array" ref="J53">IF(J52="","Pending",IF(ABS(J52)&gt;Tm_Tolerance,"Out of Balance","Reconciled"))</f>
        <v>Pending</v>
      </c>
      <c r="K53" s="1783"/>
      <c r="L53" s="1783"/>
      <c r="M53" s="1782"/>
      <c r="N53" s="1781"/>
    </row>
    <row r="54" spans="1:16" ht="22.5" customHeight="1">
      <c r="N54" s="1781"/>
    </row>
    <row r="55" spans="1:16" ht="22.5" customHeight="1">
      <c r="A55" s="1317" t="str">
        <f>IF(SUBTOTAL(103,A56),"-","+")</f>
        <v>-</v>
      </c>
      <c r="B55" s="1538" t="s">
        <v>1537</v>
      </c>
      <c r="C55" s="1539"/>
      <c r="D55" s="1539"/>
      <c r="E55" s="1539"/>
      <c r="F55" s="1539"/>
      <c r="G55" s="1539"/>
      <c r="H55" s="1540"/>
    </row>
    <row r="56" spans="1:16" ht="7.5" customHeight="1">
      <c r="A56" s="1758" t="s">
        <v>58</v>
      </c>
      <c r="B56" s="1780"/>
      <c r="C56" s="1779"/>
      <c r="D56" s="1779"/>
      <c r="E56" s="1779"/>
      <c r="F56" s="1779"/>
      <c r="G56" s="1779"/>
      <c r="H56" s="1779"/>
      <c r="I56" s="1779"/>
      <c r="J56" s="1779"/>
      <c r="K56" s="1779"/>
      <c r="L56" s="1779"/>
      <c r="M56" s="1778"/>
    </row>
    <row r="57" spans="1:16" ht="17.25" customHeight="1">
      <c r="B57" s="1769"/>
      <c r="E57" s="1533" t="s">
        <v>1536</v>
      </c>
      <c r="F57" s="1534"/>
      <c r="G57" s="1534"/>
      <c r="H57" s="1534"/>
      <c r="I57" s="1534"/>
      <c r="J57" s="1534"/>
      <c r="K57" s="1534"/>
      <c r="L57" s="1534"/>
      <c r="M57" s="1771"/>
    </row>
    <row r="58" spans="1:16" ht="30" customHeight="1">
      <c r="B58" s="1769"/>
      <c r="E58" s="1560" t="s">
        <v>1535</v>
      </c>
      <c r="F58" s="1560"/>
      <c r="G58" s="1560"/>
      <c r="H58" s="1560"/>
      <c r="I58" s="1560"/>
      <c r="J58" s="1560"/>
      <c r="K58" s="1560"/>
      <c r="L58" s="1560"/>
      <c r="M58" s="1771"/>
    </row>
    <row r="59" spans="1:16" ht="7.5" customHeight="1">
      <c r="B59" s="1769"/>
      <c r="M59" s="1767"/>
    </row>
    <row r="60" spans="1:16" ht="45" customHeight="1">
      <c r="B60" s="1769"/>
      <c r="F60" s="406" t="s">
        <v>1534</v>
      </c>
      <c r="G60" s="405" t="s">
        <v>1533</v>
      </c>
      <c r="H60" s="405" t="s">
        <v>395</v>
      </c>
      <c r="I60" s="405" t="s">
        <v>1532</v>
      </c>
      <c r="J60" s="404" t="s">
        <v>1531</v>
      </c>
      <c r="M60" s="1767"/>
    </row>
    <row r="61" spans="1:16" ht="7.5" customHeight="1">
      <c r="B61" s="1769"/>
      <c r="F61" s="1310"/>
      <c r="G61" s="1310"/>
      <c r="H61" s="1310"/>
      <c r="I61" s="1310"/>
      <c r="J61" s="1310"/>
      <c r="M61" s="1767"/>
    </row>
    <row r="62" spans="1:16" ht="17.25" customHeight="1">
      <c r="B62" s="1769"/>
      <c r="F62" s="399">
        <f>IF($E$6="","",DATE(YEAR($E$6)-1,MONTH($E$6),DAY($E$6)+1))</f>
        <v>45108</v>
      </c>
      <c r="G62" s="1535" t="s">
        <v>514</v>
      </c>
      <c r="H62" s="1535"/>
      <c r="I62" s="1535"/>
      <c r="J62" s="1322">
        <f>J41</f>
        <v>0</v>
      </c>
      <c r="K62" s="1776"/>
      <c r="L62" s="1776"/>
      <c r="M62" s="1770"/>
      <c r="O62" s="436"/>
      <c r="P62" s="1766"/>
    </row>
    <row r="63" spans="1:16" ht="16.899999999999999" customHeight="1">
      <c r="B63" s="1769"/>
      <c r="F63" s="351"/>
      <c r="G63" s="347"/>
      <c r="H63" s="347"/>
      <c r="I63" s="1303">
        <f>ROUND(IF(OR($J$43=0,$J$41=0,F63=0,F63&lt;$F$62,J62&lt;=0,$J$45&lt;=0),0,IF(AND($F$62&gt;=0,$J$41&gt;=0),($J$43*J62)/$J$38*(F63-F62),IF(AND(F63&lt;=$E$6,F62&gt;=$E$6-$J$38),0,$J$43*J62/$J$38*(F63-F62)))),2)</f>
        <v>0</v>
      </c>
      <c r="J63" s="1303">
        <f>IF(J40="Year of Loan",(G63-H63),IF($J$41=0,IF(F63=0,0,J62+G63),IF(OR(F63=0,H63=0),J62,IF($J$62-SUM($H$63:H63)&lt;=0,0,J62-H63))))</f>
        <v>0</v>
      </c>
      <c r="L63" s="1776"/>
      <c r="M63" s="1770"/>
      <c r="O63" s="436"/>
      <c r="P63" s="1766"/>
    </row>
    <row r="64" spans="1:16" ht="16.899999999999999" customHeight="1">
      <c r="B64" s="1769"/>
      <c r="F64" s="351"/>
      <c r="G64" s="347"/>
      <c r="H64" s="347"/>
      <c r="I64" s="1303">
        <f>ROUND(IF(OR($J$43=0,$J$41=0,F64=0,F64&lt;$F$62,J63&lt;=0,$J$45&lt;=0),0,IF(AND($F$62&gt;=0,$J$41&gt;=0),($J$43*J63)/$J$38*(F64-F63),IF(AND(F64&lt;=$E$6,F63&gt;=$E$6-$J$38),0,$J$43*J63/$J$38*(F64-F63)))),2)</f>
        <v>0</v>
      </c>
      <c r="J64" s="1303">
        <f>IF($J$40="Year of Loan",(J63+G64-H64),IF($J$41=0,IF(F64=0,0,J63+G64),IF(OR(F64=0,H64=0),J63,IF($J$62-SUM($H$63:H64)&lt;=0,0,J63-H64))))</f>
        <v>0</v>
      </c>
      <c r="K64" s="1777"/>
      <c r="L64" s="1776"/>
      <c r="M64" s="1770"/>
      <c r="O64" s="436"/>
      <c r="P64" s="1766"/>
    </row>
    <row r="65" spans="2:16" ht="16.899999999999999" customHeight="1">
      <c r="B65" s="1769"/>
      <c r="F65" s="351"/>
      <c r="G65" s="347"/>
      <c r="H65" s="347"/>
      <c r="I65" s="1303">
        <f>ROUND(IF(OR($J$43=0,$J$41=0,F65=0,F65&lt;$F$62,J64&lt;=0,$J$45&lt;=0),0,IF(AND($F$62&gt;=0,$J$41&gt;=0),($J$43*J64)/$J$38*(F65-F64),IF(AND(F65&lt;=$E$6,F64&gt;=$E$6-$J$38),0,$J$43*J64/$J$38*(F65-F64)))),2)</f>
        <v>0</v>
      </c>
      <c r="J65" s="1303">
        <f>IF($J$40="Year of Loan",(J64+G65-H65),IF($J$41=0,IF(F65=0,0,J64+G65),IF(OR(F65=0,H65=0),J64,IF($J$62-SUM($H$63:H65)&lt;=0,0,J64-H65))))</f>
        <v>0</v>
      </c>
      <c r="K65" s="1777"/>
      <c r="L65" s="1776"/>
      <c r="M65" s="1770"/>
      <c r="O65" s="436"/>
      <c r="P65" s="1766"/>
    </row>
    <row r="66" spans="2:16" ht="16.899999999999999" customHeight="1">
      <c r="B66" s="1769"/>
      <c r="F66" s="351"/>
      <c r="G66" s="347"/>
      <c r="H66" s="347"/>
      <c r="I66" s="1303">
        <f>ROUND(IF(OR($J$43=0,$J$41=0,F66=0,F66&lt;$F$62,J65&lt;=0,$J$45&lt;=0),0,IF(AND($F$62&gt;=0,$J$41&gt;=0),($J$43*J65)/$J$38*(F66-F65),IF(AND(F66&lt;=$E$6,F65&gt;=$E$6-$J$38),0,$J$43*J65/$J$38*(F66-F65)))),2)</f>
        <v>0</v>
      </c>
      <c r="J66" s="1303">
        <f>IF($J$40="Year of Loan",(J65+G66-H66),IF($J$41=0,IF(F66=0,0,J65+G66),IF(OR(F66=0,H66=0),J65,IF($J$62-SUM($H$63:H66)&lt;=0,0,J65-H66))))</f>
        <v>0</v>
      </c>
      <c r="K66" s="1777"/>
      <c r="L66" s="1776"/>
      <c r="M66" s="1770"/>
      <c r="O66" s="436"/>
      <c r="P66" s="1766"/>
    </row>
    <row r="67" spans="2:16" ht="16.899999999999999" customHeight="1">
      <c r="B67" s="1769"/>
      <c r="F67" s="351"/>
      <c r="G67" s="347"/>
      <c r="H67" s="347"/>
      <c r="I67" s="1303">
        <f>ROUND(IF(OR($J$43=0,$J$41=0,F67=0,F67&lt;$F$62,J66&lt;=0,$J$45&lt;=0),0,IF(AND($F$62&gt;=0,$J$41&gt;=0),($J$43*J66)/$J$38*(F67-F66),IF(AND(F67&lt;=$E$6,F66&gt;=$E$6-$J$38),0,$J$43*J66/$J$38*(F67-F66)))),2)</f>
        <v>0</v>
      </c>
      <c r="J67" s="1303">
        <f>IF($J$40="Year of Loan",(J66+G67-H67),IF($J$41=0,IF(F67=0,0,J66+G67),IF(OR(F67=0,H67=0),J66,IF($J$62-SUM($H$63:H67)&lt;=0,0,J66-H67))))</f>
        <v>0</v>
      </c>
      <c r="K67" s="1777"/>
      <c r="L67" s="1776"/>
      <c r="M67" s="1770"/>
      <c r="O67" s="436"/>
      <c r="P67" s="1766"/>
    </row>
    <row r="68" spans="2:16" ht="16.899999999999999" customHeight="1">
      <c r="B68" s="1769"/>
      <c r="F68" s="351"/>
      <c r="G68" s="347"/>
      <c r="H68" s="347"/>
      <c r="I68" s="1303">
        <f>ROUND(IF(OR($J$43=0,$J$41=0,F68=0,F68&lt;$F$62,J67&lt;=0,$J$45&lt;=0),0,IF(AND($F$62&gt;=0,$J$41&gt;=0),($J$43*J67)/$J$38*(F68-F67),IF(AND(F68&lt;=$E$6,F67&gt;=$E$6-$J$38),0,$J$43*J67/$J$38*(F68-F67)))),2)</f>
        <v>0</v>
      </c>
      <c r="J68" s="1303">
        <f>IF($J$40="Year of Loan",(J67+G68-H68),IF($J$41=0,IF(F68=0,0,J67+G68),IF(OR(F68=0,H68=0),J67,IF($J$62-SUM($H$63:H68)&lt;=0,0,J67-H68))))</f>
        <v>0</v>
      </c>
      <c r="K68" s="1777"/>
      <c r="L68" s="1776"/>
      <c r="M68" s="1770"/>
      <c r="O68" s="436"/>
      <c r="P68" s="1766"/>
    </row>
    <row r="69" spans="2:16" ht="16.899999999999999" customHeight="1">
      <c r="B69" s="1769"/>
      <c r="F69" s="351"/>
      <c r="G69" s="347"/>
      <c r="H69" s="347"/>
      <c r="I69" s="1303">
        <f>ROUND(IF(OR($J$43=0,$J$41=0,F69=0,F69&lt;$F$62,J68&lt;=0,$J$45&lt;=0),0,IF(AND($F$62&gt;=0,$J$41&gt;=0),($J$43*J68)/$J$38*(F69-F68),IF(AND(F69&lt;=$E$6,F68&gt;=$E$6-$J$38),0,$J$43*J68/$J$38*(F69-F68)))),2)</f>
        <v>0</v>
      </c>
      <c r="J69" s="1303">
        <f>IF($J$40="Year of Loan",(J68+G69-H69),IF($J$41=0,IF(F69=0,0,J68+G69),IF(OR(F69=0,H69=0),J68,IF($J$62-SUM($H$63:H69)&lt;=0,0,J68-H69))))</f>
        <v>0</v>
      </c>
      <c r="L69" s="1776"/>
      <c r="M69" s="1770"/>
      <c r="O69" s="436"/>
      <c r="P69" s="1766"/>
    </row>
    <row r="70" spans="2:16" ht="16.899999999999999" customHeight="1">
      <c r="B70" s="1769"/>
      <c r="F70" s="351"/>
      <c r="G70" s="347"/>
      <c r="H70" s="347"/>
      <c r="I70" s="1303">
        <f>ROUND(IF(OR($J$43=0,$J$41=0,F70=0,F70&lt;$F$62,J69&lt;=0,$J$45&lt;=0),0,IF(AND($F$62&gt;=0,$J$41&gt;=0),($J$43*J69)/$J$38*(F70-F69),IF(AND(F70&lt;=$E$6,F69&gt;=$E$6-$J$38),0,$J$43*J69/$J$38*(F70-F69)))),2)</f>
        <v>0</v>
      </c>
      <c r="J70" s="1303">
        <f>IF($J$40="Year of Loan",(J69+G70-H70),IF($J$41=0,IF(F70=0,0,J69+G70),IF(OR(F70=0,H70=0),J69,IF($J$62-SUM($H$63:H70)&lt;=0,0,J69-H70))))</f>
        <v>0</v>
      </c>
      <c r="K70" s="1777"/>
      <c r="L70" s="1776"/>
      <c r="M70" s="1767"/>
      <c r="O70" s="436"/>
      <c r="P70" s="1766"/>
    </row>
    <row r="71" spans="2:16" ht="16.899999999999999" customHeight="1">
      <c r="B71" s="1769"/>
      <c r="F71" s="351"/>
      <c r="G71" s="347"/>
      <c r="H71" s="347"/>
      <c r="I71" s="1303">
        <f>ROUND(IF(OR($J$43=0,$J$41=0,F71=0,F71&lt;$F$62,J70&lt;=0,$J$45&lt;=0),0,IF(AND($F$62&gt;=0,$J$41&gt;=0),($J$43*J70)/$J$38*(F71-F70),IF(AND(F71&lt;=$E$6,F70&gt;=$E$6-$J$38),0,$J$43*J70/$J$38*(F71-F70)))),2)</f>
        <v>0</v>
      </c>
      <c r="J71" s="1303">
        <f>IF($J$40="Year of Loan",(J70+G71-H71),IF($J$41=0,IF(F71=0,0,J70+G71),IF(OR(F71=0,H71=0),J70,IF($J$62-SUM($H$63:H71)&lt;=0,0,J70-H71))))</f>
        <v>0</v>
      </c>
      <c r="K71" s="1777"/>
      <c r="L71" s="1776"/>
      <c r="M71" s="1767"/>
      <c r="O71" s="436"/>
      <c r="P71" s="1766"/>
    </row>
    <row r="72" spans="2:16" ht="16.899999999999999" customHeight="1">
      <c r="B72" s="1769"/>
      <c r="F72" s="351"/>
      <c r="G72" s="347"/>
      <c r="H72" s="347"/>
      <c r="I72" s="1303">
        <f>ROUND(IF(OR($J$43=0,$J$41=0,F72=0,F72&lt;$F$62,J71&lt;=0,$J$45&lt;=0),0,IF(AND($F$62&gt;=0,$J$41&gt;=0),($J$43*J71)/$J$38*(F72-F71),IF(AND(F72&lt;=$E$6,F71&gt;=$E$6-$J$38),0,$J$43*J71/$J$38*(F72-F71)))),2)</f>
        <v>0</v>
      </c>
      <c r="J72" s="1303">
        <f>IF($J$40="Year of Loan",(J71+G72-H72),IF($J$41=0,IF(F72=0,0,J71+G72),IF(OR(F72=0,H72=0),J71,IF($J$62-SUM($H$63:H72)&lt;=0,0,J71-H72))))</f>
        <v>0</v>
      </c>
      <c r="K72" s="1777"/>
      <c r="L72" s="1776"/>
      <c r="M72" s="1767"/>
      <c r="O72" s="436"/>
      <c r="P72" s="1766"/>
    </row>
    <row r="73" spans="2:16" ht="16.899999999999999" customHeight="1">
      <c r="B73" s="1769"/>
      <c r="F73" s="351"/>
      <c r="G73" s="347"/>
      <c r="H73" s="347"/>
      <c r="I73" s="1303">
        <f>ROUND(IF(OR($J$43=0,$J$41=0,F73=0,F73&lt;$F$62,J72&lt;=0,$J$45&lt;=0),0,IF(AND($F$62&gt;=0,$J$41&gt;=0),($J$43*J72)/$J$38*(F73-F72),IF(AND(F73&lt;=$E$6,F72&gt;=$E$6-$J$38),0,$J$43*J72/$J$38*(F73-F72)))),2)</f>
        <v>0</v>
      </c>
      <c r="J73" s="1303">
        <f>IF($J$40="Year of Loan",(J72+G73-H73),IF($J$41=0,IF(F73=0,0,J72+G73),IF(OR(F73=0,H73=0),J72,IF($J$62-SUM($H$63:H73)&lt;=0,0,J72-H73))))</f>
        <v>0</v>
      </c>
      <c r="K73" s="1777"/>
      <c r="L73" s="1776"/>
      <c r="M73" s="1767"/>
      <c r="O73" s="436"/>
      <c r="P73" s="1766"/>
    </row>
    <row r="74" spans="2:16" ht="16.899999999999999" customHeight="1">
      <c r="B74" s="1769"/>
      <c r="F74" s="351"/>
      <c r="G74" s="347"/>
      <c r="H74" s="347"/>
      <c r="I74" s="1303">
        <f>ROUND(IF(OR($J$43=0,$J$41=0,F74=0,F74&lt;$F$62,J73&lt;=0,$J$45&lt;=0),0,IF(AND($F$62&gt;=0,$J$41&gt;=0),($J$43*J73)/$J$38*(F74-F73),IF(AND(F74&lt;=$E$6,F73&gt;=$E$6-$J$38),0,$J$43*J73/$J$38*(F74-F73)))),2)</f>
        <v>0</v>
      </c>
      <c r="J74" s="1303">
        <f>IF($J$40="Year of Loan",(J73+G74-H74),IF($J$41=0,IF(F74=0,0,J73+G74),IF(OR(F74=0,H74=0),J73,IF($J$62-SUM($H$63:H74)&lt;=0,0,J73-H74))))</f>
        <v>0</v>
      </c>
      <c r="K74" s="1777"/>
      <c r="L74" s="1776"/>
      <c r="M74" s="1767"/>
      <c r="O74" s="436"/>
      <c r="P74" s="1766"/>
    </row>
    <row r="75" spans="2:16" ht="16.899999999999999" customHeight="1">
      <c r="B75" s="1769"/>
      <c r="F75" s="351"/>
      <c r="G75" s="347"/>
      <c r="H75" s="347"/>
      <c r="I75" s="1303">
        <f>ROUND(IF(OR($J$43=0,$J$41=0,F75=0,F75&lt;$F$62,J74&lt;=0,$J$45&lt;=0),0,IF(AND($F$62&gt;=0,$J$41&gt;=0),($J$43*J74)/$J$38*(F75-F74),IF(AND(F75&lt;=$E$6,F74&gt;=$E$6-$J$38),0,$J$43*J74/$J$38*(F75-F74)))),2)</f>
        <v>0</v>
      </c>
      <c r="J75" s="1303">
        <f>IF($J$40="Year of Loan",(J74+G75-H75),IF($J$41=0,IF(F75=0,0,J74+G75),IF(OR(F75=0,H75=0),J74,IF($J$62-SUM($H$63:H75)&lt;=0,0,J74-H75))))</f>
        <v>0</v>
      </c>
      <c r="K75" s="1777"/>
      <c r="L75" s="1776"/>
      <c r="M75" s="1767"/>
      <c r="O75" s="436"/>
      <c r="P75" s="1766"/>
    </row>
    <row r="76" spans="2:16" ht="16.899999999999999" customHeight="1">
      <c r="B76" s="1769"/>
      <c r="F76" s="351"/>
      <c r="G76" s="347"/>
      <c r="H76" s="347"/>
      <c r="I76" s="1303">
        <f>ROUND(IF(OR($J$43=0,$J$41=0,F76=0,F76&lt;$F$62,J75&lt;=0,$J$45&lt;=0),0,IF(AND($F$62&gt;=0,$J$41&gt;=0),($J$43*J75)/$J$38*(F76-F75),IF(AND(F76&lt;=$E$6,F75&gt;=$E$6-$J$38),0,$J$43*J75/$J$38*(F76-F75)))),2)</f>
        <v>0</v>
      </c>
      <c r="J76" s="1303">
        <f>IF($J$40="Year of Loan",(J75+G76-H76),IF($J$41=0,IF(F76=0,0,J75+G76),IF(OR(F76=0,H76=0),J75,IF($J$62-SUM($H$63:H76)&lt;=0,0,J75-H76))))</f>
        <v>0</v>
      </c>
      <c r="K76" s="1777"/>
      <c r="L76" s="1776"/>
      <c r="M76" s="1767"/>
      <c r="O76" s="436"/>
      <c r="P76" s="1766"/>
    </row>
    <row r="77" spans="2:16" ht="16.899999999999999" customHeight="1">
      <c r="B77" s="1769"/>
      <c r="F77" s="351"/>
      <c r="G77" s="347"/>
      <c r="H77" s="347"/>
      <c r="I77" s="1303">
        <f>ROUND(IF(OR($J$43=0,$J$41=0,F77=0,F77&lt;$F$62,J76&lt;=0,$J$45&lt;=0),0,IF(AND($F$62&gt;=0,$J$41&gt;=0),($J$43*J76)/$J$38*(F77-F76),IF(AND(F77&lt;=$E$6,F76&gt;=$E$6-$J$38),0,$J$43*J76/$J$38*(F77-F76)))),2)</f>
        <v>0</v>
      </c>
      <c r="J77" s="1303">
        <f>IF($J$40="Year of Loan",(J76+G77-H77),IF($J$41=0,IF(F77=0,0,J76+G77),IF(OR(F77=0,H77=0),J76,IF($J$62-SUM($H$63:H77)&lt;=0,0,J76-H77))))</f>
        <v>0</v>
      </c>
      <c r="K77" s="1777"/>
      <c r="L77" s="1776"/>
      <c r="M77" s="1767"/>
      <c r="O77" s="436"/>
      <c r="P77" s="1766"/>
    </row>
    <row r="78" spans="2:16" ht="16.899999999999999" customHeight="1">
      <c r="B78" s="1769"/>
      <c r="F78" s="351"/>
      <c r="G78" s="347"/>
      <c r="H78" s="347"/>
      <c r="I78" s="1303">
        <f>ROUND(IF(OR($J$43=0,$J$41=0,F78=0,F78&lt;$F$62,J77&lt;=0,$J$45&lt;=0),0,IF(AND($F$62&gt;=0,$J$41&gt;=0),($J$43*J77)/$J$38*(F78-F77),IF(AND(F78&lt;=$E$6,F77&gt;=$E$6-$J$38),0,$J$43*J77/$J$38*(F78-F77)))),2)</f>
        <v>0</v>
      </c>
      <c r="J78" s="1303">
        <f>IF($J$40="Year of Loan",(J77+G78-H78),IF($J$41=0,IF(F78=0,0,J77+G78),IF(OR(F78=0,H78=0),J77,IF($J$62-SUM($H$63:H78)&lt;=0,0,J77-H78))))</f>
        <v>0</v>
      </c>
      <c r="K78" s="1777"/>
      <c r="L78" s="1776"/>
      <c r="M78" s="1767"/>
      <c r="O78" s="436"/>
      <c r="P78" s="1766"/>
    </row>
    <row r="79" spans="2:16" ht="16.899999999999999" customHeight="1">
      <c r="B79" s="1769"/>
      <c r="F79" s="351"/>
      <c r="G79" s="347"/>
      <c r="H79" s="347"/>
      <c r="I79" s="1303">
        <f>ROUND(IF(OR($J$43=0,$J$41=0,F79=0,F79&lt;$F$62,J78&lt;=0,$J$45&lt;=0),0,IF(AND($F$62&gt;=0,$J$41&gt;=0),($J$43*J78)/$J$38*(F79-F78),IF(AND(F79&lt;=$E$6,F78&gt;=$E$6-$J$38),0,$J$43*J78/$J$38*(F79-F78)))),2)</f>
        <v>0</v>
      </c>
      <c r="J79" s="1303">
        <f>IF($J$40="Year of Loan",(J78+G79-H79),IF($J$41=0,IF(F79=0,0,J78+G79),IF(OR(F79=0,H79=0),J78,IF($J$62-SUM($H$63:H79)&lt;=0,0,J78-H79))))</f>
        <v>0</v>
      </c>
      <c r="K79" s="1777"/>
      <c r="L79" s="1776"/>
      <c r="M79" s="1767"/>
      <c r="O79" s="436"/>
      <c r="P79" s="1766"/>
    </row>
    <row r="80" spans="2:16" ht="16.899999999999999" customHeight="1">
      <c r="B80" s="1769"/>
      <c r="F80" s="351"/>
      <c r="G80" s="347"/>
      <c r="H80" s="347"/>
      <c r="I80" s="1303">
        <f>ROUND(IF(OR($J$43=0,$J$41=0,F80=0,F80&lt;$F$62,J79&lt;=0,$J$45&lt;=0),0,IF(AND($F$62&gt;=0,$J$41&gt;=0),($J$43*J79)/$J$38*(F80-F79),IF(AND(F80&lt;=$E$6,F79&gt;=$E$6-$J$38),0,$J$43*J79/$J$38*(F80-F79)))),2)</f>
        <v>0</v>
      </c>
      <c r="J80" s="1303">
        <f>IF($J$40="Year of Loan",(J79+G80-H80),IF($J$41=0,IF(F80=0,0,J79+G80),IF(OR(F80=0,H80=0),J79,IF($J$62-SUM($H$63:H80)&lt;=0,0,J79-H80))))</f>
        <v>0</v>
      </c>
      <c r="K80" s="1777"/>
      <c r="L80" s="1776"/>
      <c r="M80" s="1767"/>
      <c r="O80" s="436"/>
      <c r="P80" s="1766"/>
    </row>
    <row r="81" spans="1:16" ht="16.899999999999999" customHeight="1">
      <c r="B81" s="1769"/>
      <c r="F81" s="351"/>
      <c r="G81" s="347"/>
      <c r="H81" s="347"/>
      <c r="I81" s="1303">
        <f>ROUND(IF(OR($J$43=0,$J$41=0,F81=0,F81&lt;$F$62,J80&lt;=0,$J$45&lt;=0),0,IF(AND($F$62&gt;=0,$J$41&gt;=0),($J$43*J80)/$J$38*(F81-F80),IF(AND(F81&lt;=$E$6,F80&gt;=$E$6-$J$38),0,$J$43*J80/$J$38*(F81-F80)))),2)</f>
        <v>0</v>
      </c>
      <c r="J81" s="1303">
        <f>IF($J$40="Year of Loan",(J80+G81-H81),IF($J$41=0,IF(F81=0,0,J80+G81),IF(OR(F81=0,H81=0),J80,IF($J$62-SUM($H$63:H81)&lt;=0,0,J80-H81))))</f>
        <v>0</v>
      </c>
      <c r="K81" s="1777"/>
      <c r="L81" s="1776"/>
      <c r="M81" s="1771"/>
      <c r="O81" s="436"/>
      <c r="P81" s="1766"/>
    </row>
    <row r="82" spans="1:16" ht="16.899999999999999" customHeight="1">
      <c r="B82" s="1769"/>
      <c r="F82" s="351"/>
      <c r="G82" s="347"/>
      <c r="H82" s="347"/>
      <c r="I82" s="1303">
        <f>ROUND(IF(OR($J$43=0,$J$41=0,F82=0,F82&lt;$F$62,J81&lt;=0,$J$45&lt;=0),0,IF(AND($F$62&gt;=0,$J$41&gt;=0),($J$43*J81)/$J$38*(F82-F81),IF(AND(F82&lt;=$E$6,F81&gt;=$E$6-$J$38),0,$J$43*J81/$J$38*(F82-F81)))),2)</f>
        <v>0</v>
      </c>
      <c r="J82" s="1303">
        <f>IF($J$40="Year of Loan",(J81+G82-H82),IF($J$41=0,IF(F82=0,0,J81+G82),IF(OR(F82=0,H82=0),J81,IF($J$62-SUM($H$63:H82)&lt;=0,0,J81-H82))))</f>
        <v>0</v>
      </c>
      <c r="K82" s="1777"/>
      <c r="L82" s="1776"/>
      <c r="M82" s="1771"/>
      <c r="O82" s="436"/>
      <c r="P82" s="1766"/>
    </row>
    <row r="83" spans="1:16" ht="16.899999999999999" customHeight="1">
      <c r="B83" s="1769"/>
      <c r="F83" s="351"/>
      <c r="G83" s="347"/>
      <c r="H83" s="347"/>
      <c r="I83" s="1303">
        <f>ROUND(IF(OR($J$43=0,$J$41=0,F83=0,F83&lt;$F$62,J82&lt;=0,$J$45&lt;=0),0,IF(AND($F$62&gt;=0,$J$41&gt;=0),($J$43*J82)/$J$38*(F83-F82),IF(AND(F83&lt;=$E$6,F82&gt;=$E$6-$J$38),0,$J$43*J82/$J$38*(F83-F82)))),2)</f>
        <v>0</v>
      </c>
      <c r="J83" s="1303">
        <f>IF($J$40="Year of Loan",(J82+G83-H83),IF($J$41=0,IF(F83=0,0,J82+G83),IF(OR(F83=0,H83=0),J82,IF($J$62-SUM($H$63:H83)&lt;=0,0,J82-H83))))</f>
        <v>0</v>
      </c>
      <c r="K83" s="1777"/>
      <c r="L83" s="1776"/>
      <c r="M83" s="1767"/>
      <c r="O83" s="436"/>
      <c r="P83" s="1766"/>
    </row>
    <row r="84" spans="1:16" ht="16.899999999999999" customHeight="1">
      <c r="B84" s="1769"/>
      <c r="F84" s="351"/>
      <c r="G84" s="347"/>
      <c r="H84" s="347"/>
      <c r="I84" s="1303">
        <f>ROUND(IF(OR($J$43=0,$J$41=0,F84=0,F84&lt;$F$62,J83&lt;=0,$J$45&lt;=0),0,IF(AND($F$62&gt;=0,$J$41&gt;=0),($J$43*J83)/$J$38*(F84-F83),IF(AND(F84&lt;=$E$6,F83&gt;=$E$6-$J$38),0,$J$43*J83/$J$38*(F84-F83)))),2)</f>
        <v>0</v>
      </c>
      <c r="J84" s="1303">
        <f>IF($J$40="Year of Loan",(J83+G84-H84),IF($J$41=0,IF(F84=0,0,J83+G84),IF(OR(F84=0,H84=0),J83,IF($J$62-SUM($H$63:H84)&lt;=0,0,J83-H84))))</f>
        <v>0</v>
      </c>
      <c r="K84" s="1777"/>
      <c r="L84" s="1776"/>
      <c r="M84" s="1767"/>
      <c r="O84" s="436"/>
      <c r="P84" s="1766"/>
    </row>
    <row r="85" spans="1:16" ht="16.899999999999999" customHeight="1">
      <c r="B85" s="1769"/>
      <c r="F85" s="351"/>
      <c r="G85" s="347"/>
      <c r="H85" s="347"/>
      <c r="I85" s="1303">
        <f>ROUND(IF(OR($J$43=0,$J$41=0,F85=0,F85&lt;$F$62,J84&lt;=0,$J$45&lt;=0),0,IF(AND($F$62&gt;=0,$J$41&gt;=0),($J$43*J84)/$J$38*(F85-F84),IF(AND(F85&lt;=$E$6,F84&gt;=$E$6-$J$38),0,$J$43*J84/$J$38*(F85-F84)))),2)</f>
        <v>0</v>
      </c>
      <c r="J85" s="1303">
        <f>IF($J$40="Year of Loan",(J84+G85-H85),IF($J$41=0,IF(F85=0,0,J84+G85),IF(OR(F85=0,H85=0),J84,IF($J$62-SUM($H$63:H85)&lt;=0,0,J84-H85))))</f>
        <v>0</v>
      </c>
      <c r="K85" s="1777"/>
      <c r="L85" s="1776"/>
      <c r="M85" s="1767"/>
      <c r="O85" s="436"/>
      <c r="P85" s="1766"/>
    </row>
    <row r="86" spans="1:16" ht="16.899999999999999" customHeight="1">
      <c r="B86" s="1769"/>
      <c r="F86" s="351"/>
      <c r="G86" s="347"/>
      <c r="H86" s="347"/>
      <c r="I86" s="1303">
        <f>ROUND(IF(OR($J$43=0,$J$41=0,F86=0,F86&lt;$F$62,J85&lt;=0,$J$45&lt;=0),0,IF(AND($F$62&gt;=0,$J$41&gt;=0),($J$43*J85)/$J$38*(F86-F85),IF(AND(F86&lt;=$E$6,F85&gt;=$E$6-$J$38),0,$J$43*J85/$J$38*(F86-F85)))),2)</f>
        <v>0</v>
      </c>
      <c r="J86" s="1303">
        <f>IF($J$40="Year of Loan",(J85+G86-H86),IF($J$41=0,IF(F86=0,0,J85+G86),IF(OR(F86=0,H86=0),J85,IF($J$62-SUM($H$63:H86)&lt;=0,0,J85-H86))))</f>
        <v>0</v>
      </c>
      <c r="K86" s="1777"/>
      <c r="L86" s="1776"/>
      <c r="M86" s="1767"/>
      <c r="O86" s="436"/>
      <c r="P86" s="1766"/>
    </row>
    <row r="87" spans="1:16" ht="16.899999999999999" customHeight="1">
      <c r="B87" s="1769"/>
      <c r="F87" s="351"/>
      <c r="G87" s="347"/>
      <c r="H87" s="347"/>
      <c r="I87" s="1303">
        <f>ROUND(IF(OR($J$43=0,$J$41=0,F87=0,F87&lt;$F$62,J86&lt;=0,$J$45&lt;=0),0,IF(AND($F$62&gt;=0,$J$41&gt;=0),($J$43*J86)/$J$38*(F87-F86),IF(AND(F87&lt;=$E$6,F86&gt;=$E$6-$J$38),0,$J$43*J86/$J$38*(F87-F86)))),2)</f>
        <v>0</v>
      </c>
      <c r="J87" s="1303">
        <f>IF($J$40="Year of Loan",(J86+G87-H87),IF($J$41=0,IF(F87=0,0,J86+G87),IF(OR(F87=0,H87=0),J86,IF($J$62-SUM($H$63:H87)&lt;=0,0,J86-H87))))</f>
        <v>0</v>
      </c>
      <c r="K87" s="1777"/>
      <c r="L87" s="1776"/>
      <c r="M87" s="1767"/>
      <c r="O87" s="436"/>
      <c r="P87" s="1766"/>
    </row>
    <row r="88" spans="1:16" ht="16.899999999999999" customHeight="1">
      <c r="B88" s="1769"/>
      <c r="F88" s="351"/>
      <c r="G88" s="347"/>
      <c r="H88" s="347"/>
      <c r="I88" s="1303">
        <f>ROUND(IF(OR($J$43=0,$J$41=0,F88=0,F88&lt;$F$62,J87&lt;=0,$J$45&lt;=0),0,IF(AND($F$62&gt;=0,$J$41&gt;=0),($J$43*J87)/$J$38*(F88-F87),IF(AND(F88&lt;=$E$6,F87&gt;=$E$6-$J$38),0,$J$43*J87/$J$38*(F88-F87)))),2)</f>
        <v>0</v>
      </c>
      <c r="J88" s="1303">
        <f>IF($J$40="Year of Loan",(J87+G88-H88),IF($J$41=0,IF(F88=0,0,J87+G88),IF(OR(F88=0,H88=0),J87,IF($J$62-SUM($H$63:H88)&lt;=0,0,J87-H88))))</f>
        <v>0</v>
      </c>
      <c r="K88" s="1777"/>
      <c r="L88" s="1776"/>
      <c r="M88" s="1767"/>
      <c r="O88" s="436"/>
      <c r="P88" s="1766"/>
    </row>
    <row r="89" spans="1:16" ht="16.899999999999999" customHeight="1">
      <c r="B89" s="1769"/>
      <c r="F89" s="1321">
        <f>$E$6</f>
        <v>45473</v>
      </c>
      <c r="I89" s="1303">
        <f>IF(J40="Year of Loan", 0, IF($J$41=0,0,IF(ISERROR(IF($J$43=0,0,($J$43*VLOOKUP(F89,F63:J88,5)/J38))),IF($J$62&gt;0,$J$62*$J$43,0),IF($J$43=0,0,($J$43*(VLOOKUP(F89,F63:J88,5)/J38)*(F89-VLOOKUP(F89,F63:J88,1)+1))))))</f>
        <v>0</v>
      </c>
      <c r="K89" s="1777"/>
      <c r="L89" s="1776"/>
      <c r="M89" s="1767"/>
      <c r="O89" s="436"/>
      <c r="P89" s="1766"/>
    </row>
    <row r="90" spans="1:16" ht="16.899999999999999" customHeight="1">
      <c r="B90" s="1769"/>
      <c r="G90" s="1319">
        <f>SUM(G63:G89)</f>
        <v>0</v>
      </c>
      <c r="H90" s="1319">
        <f>SUM(H63:H89)</f>
        <v>0</v>
      </c>
      <c r="I90" s="1319">
        <f>ROUNDDOWN(SUM(I63:I89),2)</f>
        <v>0</v>
      </c>
      <c r="J90" s="1776"/>
      <c r="M90" s="1767"/>
      <c r="O90" s="436"/>
      <c r="P90" s="1766"/>
    </row>
    <row r="91" spans="1:16" ht="7.5" customHeight="1">
      <c r="B91" s="1765"/>
      <c r="C91" s="1764"/>
      <c r="D91" s="1764"/>
      <c r="E91" s="1764"/>
      <c r="F91" s="1764"/>
      <c r="G91" s="1764"/>
      <c r="H91" s="1764"/>
      <c r="I91" s="1764"/>
      <c r="J91" s="1764"/>
      <c r="K91" s="1764"/>
      <c r="L91" s="1764"/>
      <c r="M91" s="1763"/>
    </row>
    <row r="92" spans="1:16" ht="22.5" customHeight="1"/>
    <row r="93" spans="1:16" ht="22.5" customHeight="1">
      <c r="A93" s="1317" t="str">
        <f>IF(SUBTOTAL(103,A94),"-","+")</f>
        <v>-</v>
      </c>
      <c r="B93" s="1538" t="s">
        <v>1530</v>
      </c>
      <c r="C93" s="1539"/>
      <c r="D93" s="1539"/>
      <c r="E93" s="1539"/>
      <c r="F93" s="1539"/>
      <c r="G93" s="1539"/>
      <c r="H93" s="1540"/>
      <c r="I93" s="355"/>
      <c r="J93" s="355"/>
      <c r="K93" s="355"/>
      <c r="L93" s="355"/>
      <c r="M93" s="1775"/>
    </row>
    <row r="94" spans="1:16" ht="7.5" customHeight="1">
      <c r="A94" s="1758" t="s">
        <v>58</v>
      </c>
      <c r="B94" s="1774"/>
      <c r="C94" s="1773"/>
      <c r="D94" s="1773"/>
      <c r="E94" s="1773"/>
      <c r="F94" s="1773"/>
      <c r="G94" s="1773"/>
      <c r="H94" s="1313"/>
      <c r="I94" s="1313"/>
      <c r="J94" s="1313"/>
      <c r="K94" s="1313"/>
      <c r="L94" s="1313"/>
      <c r="M94" s="1772"/>
    </row>
    <row r="95" spans="1:16" ht="30" customHeight="1">
      <c r="B95" s="1769"/>
      <c r="E95" s="1536" t="s">
        <v>1529</v>
      </c>
      <c r="F95" s="1537"/>
      <c r="G95" s="1537"/>
      <c r="H95" s="1537"/>
      <c r="I95" s="1537"/>
      <c r="J95" s="1537"/>
      <c r="K95" s="1537"/>
      <c r="L95" s="1537"/>
      <c r="M95" s="1771"/>
    </row>
    <row r="96" spans="1:16" ht="17.25" customHeight="1">
      <c r="B96" s="1769"/>
      <c r="M96" s="1767"/>
    </row>
    <row r="97" spans="2:16" ht="35.1" customHeight="1">
      <c r="B97" s="1769"/>
      <c r="C97" s="1767"/>
      <c r="D97" s="405" t="s">
        <v>1528</v>
      </c>
      <c r="E97" s="1477" t="s">
        <v>1527</v>
      </c>
      <c r="F97" s="1532"/>
      <c r="G97" s="405" t="s">
        <v>514</v>
      </c>
      <c r="H97" s="405" t="s">
        <v>1526</v>
      </c>
      <c r="I97" s="405" t="s">
        <v>1525</v>
      </c>
      <c r="J97" s="405" t="s">
        <v>1524</v>
      </c>
      <c r="K97" s="405" t="s">
        <v>399</v>
      </c>
      <c r="L97" s="404" t="s">
        <v>546</v>
      </c>
      <c r="M97" s="1767"/>
    </row>
    <row r="98" spans="2:16" ht="7.5" customHeight="1">
      <c r="B98" s="1769"/>
      <c r="E98" s="1310"/>
      <c r="F98" s="1310"/>
      <c r="G98" s="1310"/>
      <c r="H98" s="1310"/>
      <c r="I98" s="1310"/>
      <c r="J98" s="1310"/>
      <c r="K98" s="1310"/>
      <c r="L98" s="1310"/>
      <c r="M98" s="1767"/>
    </row>
    <row r="99" spans="2:16" ht="17.25" customHeight="1">
      <c r="B99" s="1769"/>
      <c r="C99" s="1309">
        <f>$F$34</f>
        <v>0</v>
      </c>
      <c r="D99" s="1308">
        <f>J35</f>
        <v>0</v>
      </c>
      <c r="E99" s="399" t="str">
        <f>IF(AND(J40="Year of Loan",SingleCB_1&gt;0),$E$6,IF(OR($J$40=0,$J$41&lt;=0,$E$6=""),"",$E$6))</f>
        <v/>
      </c>
      <c r="F99" s="1305" t="str">
        <f>IF(E99="","",IF($J$41&gt;0,J39-J40+1,IF(J40="year of Loan",0,0)))</f>
        <v/>
      </c>
      <c r="G99" s="1303">
        <f>IF(J40="Year of Loan",0,IF($J$41&lt;=0,0,$J$41))</f>
        <v>0</v>
      </c>
      <c r="H99" s="1303">
        <f>IF(J40="Year of Loan",0,IF($J$41=0,0,$H$90))</f>
        <v>0</v>
      </c>
      <c r="I99" s="1303">
        <f>IF(J40="Year of Loan", 0, ROUND(IF(E99=0,0,IF(J99=0,0,H99-J99)),2))</f>
        <v>0</v>
      </c>
      <c r="J99" s="1303">
        <f>IF(J40="Year of Loan",0,J44)</f>
        <v>0</v>
      </c>
      <c r="K99" s="1303">
        <f>IF(J40="Year of Loan",0,IF($J$45&lt;=0,0,$I$90))</f>
        <v>0</v>
      </c>
      <c r="L99" s="1303">
        <f>SingleCB_1</f>
        <v>0</v>
      </c>
      <c r="M99" s="1770"/>
      <c r="O99" s="436"/>
      <c r="P99" s="1766"/>
    </row>
    <row r="100" spans="2:16" ht="17.25" customHeight="1">
      <c r="B100" s="1769"/>
      <c r="E100" s="399" t="str">
        <f>IF(OR(E99="",L99=0),"",IF($J$40&lt;2,"",E99+J129))</f>
        <v/>
      </c>
      <c r="F100" s="1305" t="str">
        <f>IF(E100="","",F99+1)</f>
        <v/>
      </c>
      <c r="G100" s="1303">
        <f>IF(L99&lt;=1,0,IF($J$40="year of Loan",L99,IF(OR($J$45=0,E100=""),0,L99)))</f>
        <v>0</v>
      </c>
      <c r="H100" s="1768"/>
      <c r="I100" s="1768"/>
      <c r="J100" s="1303">
        <f>IFERROR(IF($J$40&lt;H129,0,IF($J$40="year of Loan",(G100*I129)/(1-(1/(1+I129)^($J$39-(H129-1)*1))),IF($J$40=H129,G100+K100,(G100*I129)/(1-(1/(1+I129))^($J$40-(H129-1)*1))))),0)</f>
        <v>0</v>
      </c>
      <c r="K100" s="1303">
        <f>IF(G100=0,0,G100*I129)</f>
        <v>0</v>
      </c>
      <c r="L100" s="1303">
        <f>IF(ISBLANK($J$40),0,IF(AND(G100=0,K100=0),0,ROUND(IF(G100+K100&lt;=0.01,0,G100-J100+K100),2)))</f>
        <v>0</v>
      </c>
      <c r="M100" s="1767"/>
      <c r="O100" s="436"/>
      <c r="P100" s="1766"/>
    </row>
    <row r="101" spans="2:16" ht="17.25" customHeight="1">
      <c r="B101" s="1769"/>
      <c r="E101" s="399" t="str">
        <f>IF(OR(E100="",L100=0),"",IF($J$40&lt;2,"",E100+J130))</f>
        <v/>
      </c>
      <c r="F101" s="1305" t="str">
        <f>IF(E101="","",F100+1)</f>
        <v/>
      </c>
      <c r="G101" s="1303">
        <f>IF(L100&lt;=1,0,IF($J$40="year of Loan",L100,IF(OR($J$45=0,E101=""),0,L100)))</f>
        <v>0</v>
      </c>
      <c r="I101" s="1768"/>
      <c r="J101" s="1303">
        <f>IFERROR(IF($J$40&lt;H130,0,IF($J$40="year of Loan",(G101*I130)/(1-(1/(1+I130)^($J$39-(H130-1)*1))),IF($J$40=H130,G101+K101,(G101*I130)/(1-(1/(1+I130))^($J$40-(H130-1)*1))))),0)</f>
        <v>0</v>
      </c>
      <c r="K101" s="1303">
        <f>IF(G101=0,0,G101*I130)</f>
        <v>0</v>
      </c>
      <c r="L101" s="1303">
        <f>IF(ISBLANK($J$40),0,IF(AND(G101=0,K101=0),0,ROUND(IF(G101+K101&lt;=0.01,0,G101-J101+K101),2)))</f>
        <v>0</v>
      </c>
      <c r="M101" s="1767"/>
      <c r="O101" s="436"/>
      <c r="P101" s="1766"/>
    </row>
    <row r="102" spans="2:16" ht="17.25" customHeight="1">
      <c r="B102" s="1769"/>
      <c r="E102" s="399" t="str">
        <f>IF(OR(E101="",L101=0),"",IF($J$40&lt;2,"",E101+J131))</f>
        <v/>
      </c>
      <c r="F102" s="1305" t="str">
        <f>IF(E102="","",F101+1)</f>
        <v/>
      </c>
      <c r="G102" s="1303">
        <f>IF(L101&lt;=1,0,IF($J$40="year of Loan",L101,IF(OR($J$45=0,E102=""),0,L101)))</f>
        <v>0</v>
      </c>
      <c r="I102" s="1768"/>
      <c r="J102" s="1303">
        <f>IFERROR(IF($J$40&lt;H131,0,IF($J$40="year of Loan",(G102*I131)/(1-(1/(1+I131)^($J$39-(H131-1)*1))),IF($J$40=H131,G102+K102,(G102*I131)/(1-(1/(1+I131))^($J$40-(H131-1)*1))))),0)</f>
        <v>0</v>
      </c>
      <c r="K102" s="1303">
        <f>IF(G102=0,0,G102*I131)</f>
        <v>0</v>
      </c>
      <c r="L102" s="1303">
        <f>IF(ISBLANK($J$40),0,IF(AND(G102=0,K102=0),0,ROUND(IF(G102+K102&lt;=0.01,0,G102-J102+K102),2)))</f>
        <v>0</v>
      </c>
      <c r="M102" s="1767"/>
      <c r="O102" s="436"/>
      <c r="P102" s="1766"/>
    </row>
    <row r="103" spans="2:16" ht="17.25" customHeight="1">
      <c r="B103" s="1769"/>
      <c r="E103" s="399" t="str">
        <f>IF(OR(E102="",L102=0),"",IF($J$40&lt;2,"",E102+J132))</f>
        <v/>
      </c>
      <c r="F103" s="1305" t="str">
        <f>IF(E103="","",F102+1)</f>
        <v/>
      </c>
      <c r="G103" s="1303">
        <f>IF(L102&lt;=1,0,IF($J$40="year of Loan",L102,IF(OR($J$45=0,E103=""),0,L102)))</f>
        <v>0</v>
      </c>
      <c r="I103" s="1768"/>
      <c r="J103" s="1303">
        <f>IFERROR(IF($J$40&lt;H132,0,IF($J$40="year of Loan",(G103*I132)/(1-(1/(1+I132)^($J$39-(H132-1)*1))),IF($J$40=H132,G103+K103,(G103*I132)/(1-(1/(1+I132))^($J$40-(H132-1)*1))))),0)</f>
        <v>0</v>
      </c>
      <c r="K103" s="1303">
        <f>IF(G103=0,0,G103*I132)</f>
        <v>0</v>
      </c>
      <c r="L103" s="1303">
        <f>IF(ISBLANK($J$40),0,IF(AND(G103=0,K103=0),0,ROUND(IF(G103+K103&lt;=0.01,0,G103-J103+K103),2)))</f>
        <v>0</v>
      </c>
      <c r="M103" s="1767"/>
      <c r="O103" s="436"/>
      <c r="P103" s="1766"/>
    </row>
    <row r="104" spans="2:16" ht="17.25" customHeight="1">
      <c r="B104" s="1769"/>
      <c r="E104" s="399" t="str">
        <f>IF(OR(E103="",L103=0),"",IF($J$40&lt;2,"",E103+J133))</f>
        <v/>
      </c>
      <c r="F104" s="1305" t="str">
        <f>IF(E104="","",F103+1)</f>
        <v/>
      </c>
      <c r="G104" s="1303">
        <f>IF(L103&lt;=1,0,IF($J$40="year of Loan",L103,IF(OR($J$45=0,E104=""),0,L103)))</f>
        <v>0</v>
      </c>
      <c r="I104" s="1768"/>
      <c r="J104" s="1303">
        <f>IFERROR(IF($J$40&lt;H133,0,IF($J$40="year of Loan",(G104*I133)/(1-(1/(1+I133)^($J$39-(H133-1)*1))),IF($J$40=H133,G104+K104,(G104*I133)/(1-(1/(1+I133))^($J$40-(H133-1)*1))))),0)</f>
        <v>0</v>
      </c>
      <c r="K104" s="1303">
        <f>IF(G104=0,0,G104*I133)</f>
        <v>0</v>
      </c>
      <c r="L104" s="1303">
        <f>IF(ISBLANK($J$40),0,IF(AND(G104=0,K104=0),0,ROUND(IF(G104+K104&lt;=0.01,0,G104-J104+K104),2)))</f>
        <v>0</v>
      </c>
      <c r="M104" s="1767"/>
      <c r="O104" s="436"/>
      <c r="P104" s="1766"/>
    </row>
    <row r="105" spans="2:16" ht="17.25" customHeight="1">
      <c r="B105" s="1769"/>
      <c r="E105" s="399" t="str">
        <f>IF(OR(E104="",L104=0),"",IF($J$40&lt;2,"",E104+J134))</f>
        <v/>
      </c>
      <c r="F105" s="1305" t="str">
        <f>IF(E105="","",F104+1)</f>
        <v/>
      </c>
      <c r="G105" s="1303">
        <f>IF(L104&lt;=1,0,IF($J$40="year of Loan",L104,IF(OR($J$45=0,E105=""),0,L104)))</f>
        <v>0</v>
      </c>
      <c r="I105" s="1768"/>
      <c r="J105" s="1303">
        <f>IFERROR(IF($J$40&lt;H134,0,IF($J$40="year of Loan",(G105*I134)/(1-(1/(1+I134)^($J$39-(H134-1)*1))),IF($J$40=H134,G105+K105,(G105*I134)/(1-(1/(1+I134))^($J$40-(H134-1)*1))))),0)</f>
        <v>0</v>
      </c>
      <c r="K105" s="1303">
        <f>IF(G105=0,0,G105*I134)</f>
        <v>0</v>
      </c>
      <c r="L105" s="1303">
        <f>IF(ISBLANK($J$40),0,IF(AND(G105=0,K105=0),0,ROUND(IF(G105+K105&lt;=0.01,0,G105-J105+K105),2)))</f>
        <v>0</v>
      </c>
      <c r="M105" s="1767"/>
      <c r="O105" s="436"/>
      <c r="P105" s="1766"/>
    </row>
    <row r="106" spans="2:16" ht="17.25" customHeight="1">
      <c r="B106" s="1769"/>
      <c r="E106" s="399" t="str">
        <f>IF(OR(E105="",L105=0),"",IF($J$40&lt;2,"",E105+J135))</f>
        <v/>
      </c>
      <c r="F106" s="1305" t="str">
        <f>IF(E106="","",F105+1)</f>
        <v/>
      </c>
      <c r="G106" s="1303">
        <f>IF(L105&lt;=1,0,IF($J$40="year of Loan",L105,IF(OR($J$45=0,E106=""),0,L105)))</f>
        <v>0</v>
      </c>
      <c r="I106" s="1768"/>
      <c r="J106" s="1303">
        <f>IFERROR(IF($J$40&lt;H135,0,IF($J$40="year of Loan",(G106*I135)/(1-(1/(1+I135)^($J$39-(H135-1)*1))),IF($J$40=H135,G106+K106,(G106*I135)/(1-(1/(1+I135))^($J$40-(H135-1)*1))))),0)</f>
        <v>0</v>
      </c>
      <c r="K106" s="1303">
        <f>IF(G106=0,0,G106*I135)</f>
        <v>0</v>
      </c>
      <c r="L106" s="1303">
        <f>IF(ISBLANK($J$40),0,IF(AND(G106=0,K106=0),0,ROUND(IF(G106+K106&lt;=0.01,0,G106-J106+K106),2)))</f>
        <v>0</v>
      </c>
      <c r="M106" s="1767"/>
      <c r="O106" s="436"/>
      <c r="P106" s="1766"/>
    </row>
    <row r="107" spans="2:16" ht="17.25" customHeight="1">
      <c r="B107" s="1769"/>
      <c r="E107" s="399" t="str">
        <f>IF(OR(E106="",L106=0),"",IF($J$40&lt;2,"",E106+J136))</f>
        <v/>
      </c>
      <c r="F107" s="1305" t="str">
        <f>IF(E107="","",F106+1)</f>
        <v/>
      </c>
      <c r="G107" s="1303">
        <f>IF(L106&lt;=1,0,IF($J$40="year of Loan",L106,IF(OR($J$45=0,E107=""),0,L106)))</f>
        <v>0</v>
      </c>
      <c r="I107" s="1768"/>
      <c r="J107" s="1303">
        <f>IFERROR(IF($J$40&lt;H136,0,IF($J$40="year of Loan",(G107*I136)/(1-(1/(1+I136)^($J$39-(H136-1)*1))),IF($J$40=H136,G107+K107,(G107*I136)/(1-(1/(1+I136))^($J$40-(H136-1)*1))))),0)</f>
        <v>0</v>
      </c>
      <c r="K107" s="1303">
        <f>IF(G107=0,0,G107*I136)</f>
        <v>0</v>
      </c>
      <c r="L107" s="1303">
        <f>IF(ISBLANK($J$40),0,IF(AND(G107=0,K107=0),0,ROUND(IF(G107+K107&lt;=0.01,0,G107-J107+K107),2)))</f>
        <v>0</v>
      </c>
      <c r="M107" s="1767"/>
      <c r="O107" s="436"/>
      <c r="P107" s="1766"/>
    </row>
    <row r="108" spans="2:16" ht="17.25" customHeight="1">
      <c r="B108" s="1769"/>
      <c r="E108" s="399" t="str">
        <f>IF(OR(E107="",L107=0),"",IF($J$40&lt;2,"",E107+J137))</f>
        <v/>
      </c>
      <c r="F108" s="1305" t="str">
        <f>IF(E108="","",F107+1)</f>
        <v/>
      </c>
      <c r="G108" s="1303">
        <f>IF(L107&lt;=1,0,IF($J$40="year of Loan",L107,IF(OR($J$45=0,E108=""),0,L107)))</f>
        <v>0</v>
      </c>
      <c r="I108" s="1768"/>
      <c r="J108" s="1303">
        <f>IFERROR(IF($J$40&lt;H137,0,IF($J$40="year of Loan",(G108*I137)/(1-(1/(1+I137)^($J$39-(H137-1)*1))),IF($J$40=H137,G108+K108,(G108*I137)/(1-(1/(1+I137))^($J$40-(H137-1)*1))))),0)</f>
        <v>0</v>
      </c>
      <c r="K108" s="1303">
        <f>IF(G108=0,0,G108*I137)</f>
        <v>0</v>
      </c>
      <c r="L108" s="1303">
        <f>IF(ISBLANK($J$40),0,IF(AND(G108=0,K108=0),0,ROUND(IF(G108+K108&lt;=0.01,0,G108-J108+K108),2)))</f>
        <v>0</v>
      </c>
      <c r="M108" s="1767"/>
      <c r="O108" s="436"/>
      <c r="P108" s="1766"/>
    </row>
    <row r="109" spans="2:16" ht="17.25" customHeight="1">
      <c r="B109" s="1769"/>
      <c r="E109" s="399" t="str">
        <f>IF(OR(E108="",L108=0),"",IF($J$40&lt;2,"",E108+J138))</f>
        <v/>
      </c>
      <c r="F109" s="1305" t="str">
        <f>IF(E109="","",F108+1)</f>
        <v/>
      </c>
      <c r="G109" s="1303">
        <f>IF(L108&lt;=1,0,IF($J$40="year of Loan",L108,IF(OR($J$45=0,E109=""),0,L108)))</f>
        <v>0</v>
      </c>
      <c r="I109" s="1768"/>
      <c r="J109" s="1303">
        <f>IFERROR(IF($J$40&lt;H138,0,IF($J$40="year of Loan",(G109*I138)/(1-(1/(1+I138)^($J$39-(H138-1)*1))),IF($J$40=H138,G109+K109,(G109*I138)/(1-(1/(1+I138))^($J$40-(H138-1)*1))))),0)</f>
        <v>0</v>
      </c>
      <c r="K109" s="1303">
        <f>IF(G109=0,0,G109*I138)</f>
        <v>0</v>
      </c>
      <c r="L109" s="1303">
        <f>IF(ISBLANK($J$40),0,IF(AND(G109=0,K109=0),0,ROUND(IF(G109+K109&lt;=0.01,0,G109-J109+K109),2)))</f>
        <v>0</v>
      </c>
      <c r="M109" s="1767"/>
      <c r="O109" s="436"/>
      <c r="P109" s="1766"/>
    </row>
    <row r="110" spans="2:16" ht="17.25" customHeight="1">
      <c r="B110" s="1769"/>
      <c r="E110" s="399" t="str">
        <f>IF(OR(E109="",L109=0),"",IF($J$40&lt;2,"",E109+J139))</f>
        <v/>
      </c>
      <c r="F110" s="1305" t="str">
        <f>IF(E110="","",F109+1)</f>
        <v/>
      </c>
      <c r="G110" s="1303">
        <f>IF(L109&lt;=1,0,IF($J$40="year of Loan",L109,IF(OR($J$45=0,E110=""),0,L109)))</f>
        <v>0</v>
      </c>
      <c r="I110" s="1768"/>
      <c r="J110" s="1303">
        <f>IFERROR(IF($J$40&lt;H139,0,IF($J$40="year of Loan",(G110*I139)/(1-(1/(1+I139)^($J$39-(H139-1)*1))),IF($J$40=H139,G110+K110,(G110*I139)/(1-(1/(1+I139))^($J$40-(H139-1)*1))))),0)</f>
        <v>0</v>
      </c>
      <c r="K110" s="1303">
        <f>IF(G110=0,0,G110*I139)</f>
        <v>0</v>
      </c>
      <c r="L110" s="1303">
        <f>IF(ISBLANK($J$40),0,IF(AND(G110=0,K110=0),0,ROUND(IF(G110+K110&lt;=0.01,0,G110-J110+K110),2)))</f>
        <v>0</v>
      </c>
      <c r="M110" s="1767"/>
      <c r="O110" s="436"/>
      <c r="P110" s="1766"/>
    </row>
    <row r="111" spans="2:16" ht="17.25" customHeight="1">
      <c r="B111" s="1769"/>
      <c r="E111" s="399" t="str">
        <f>IF(OR(E110="",L110=0),"",IF($J$40&lt;2,"",E110+J141))</f>
        <v/>
      </c>
      <c r="F111" s="1305" t="str">
        <f>IF(E111="","",F110+1)</f>
        <v/>
      </c>
      <c r="G111" s="1303">
        <f>IF(L110&lt;=1,0,IF($J$40="year of Loan",L110,IF(OR($J$45=0,E111=""),0,L110)))</f>
        <v>0</v>
      </c>
      <c r="I111" s="1768"/>
      <c r="J111" s="1303">
        <f>IFERROR(IF($J$40&lt;H141,0,IF($J$40="year of Loan",(G111*I141)/(1-(1/(1+I141)^($J$39-(H141-1)*1))),IF($J$40=H141,G111+K111,(G111*I141)/(1-(1/(1+I141))^($J$40-(H141-1)*1))))),0)</f>
        <v>0</v>
      </c>
      <c r="K111" s="1303">
        <f>IF(G111=0,0,G111*I141)</f>
        <v>0</v>
      </c>
      <c r="L111" s="1303">
        <f>IF(ISBLANK($J$40),0,IF(AND(G111=0,K111=0),0,ROUND(IF(G111+K111&lt;=0.01,0,G111-J111+K111),2)))</f>
        <v>0</v>
      </c>
      <c r="M111" s="1767"/>
      <c r="O111" s="436"/>
      <c r="P111" s="1766"/>
    </row>
    <row r="112" spans="2:16" ht="17.25" customHeight="1">
      <c r="B112" s="1769"/>
      <c r="E112" s="399" t="str">
        <f>IF(OR(E111="",L111=0),"",IF($J$40&lt;2,"",E111+J142))</f>
        <v/>
      </c>
      <c r="F112" s="1305" t="str">
        <f>IF(E112="","",F111+1)</f>
        <v/>
      </c>
      <c r="G112" s="1303">
        <f>IF(L111&lt;=1,0,IF($J$40="year of Loan",L111,IF(OR($J$45=0,E112=""),0,L111)))</f>
        <v>0</v>
      </c>
      <c r="I112" s="1768"/>
      <c r="J112" s="1303">
        <f>IFERROR(IF($J$40&lt;H142,0,IF($J$40="year of Loan",(G112*I142)/(1-(1/(1+I142)^($J$39-(H142-1)*1))),IF($J$40=H142,G112+K112,(G112*I142)/(1-(1/(1+I142))^($J$40-(H142-1)*1))))),0)</f>
        <v>0</v>
      </c>
      <c r="K112" s="1303">
        <f>IF(G112=0,0,G112*I142)</f>
        <v>0</v>
      </c>
      <c r="L112" s="1303">
        <f>IF(ISBLANK($J$40),0,IF(AND(G112=0,K112=0),0,ROUND(IF(G112+K112&lt;=0.01,0,G112-J112+K112),2)))</f>
        <v>0</v>
      </c>
      <c r="M112" s="1767"/>
      <c r="O112" s="436"/>
      <c r="P112" s="1766"/>
    </row>
    <row r="113" spans="2:16" ht="17.25" customHeight="1">
      <c r="B113" s="1769"/>
      <c r="E113" s="399" t="str">
        <f>IF(OR(E112="",L112=0),"",IF($J$40&lt;2,"",E112+J143))</f>
        <v/>
      </c>
      <c r="F113" s="1305" t="str">
        <f>IF(E113="","",F112+1)</f>
        <v/>
      </c>
      <c r="G113" s="1303">
        <f>IF(L112&lt;=1,0,IF($J$40="year of Loan",L112,IF(OR($J$45=0,E113=""),0,L112)))</f>
        <v>0</v>
      </c>
      <c r="I113" s="1768"/>
      <c r="J113" s="1303">
        <f>IFERROR(IF($J$40&lt;H143,0,IF($J$40="year of Loan",(G113*I143)/(1-(1/(1+I143)^($J$39-(H143-1)*1))),IF($J$40=H143,G113+K113,(G113*I143)/(1-(1/(1+I143))^($J$40-(H143-1)*1))))),0)</f>
        <v>0</v>
      </c>
      <c r="K113" s="1303">
        <f>IF(G113=0,0,G113*I143)</f>
        <v>0</v>
      </c>
      <c r="L113" s="1303">
        <f>IF(ISBLANK($J$40),0,IF(AND(G113=0,K113=0),0,ROUND(IF(G113+K113&lt;=0.01,0,G113-J113+K113),2)))</f>
        <v>0</v>
      </c>
      <c r="M113" s="1767"/>
      <c r="O113" s="436"/>
      <c r="P113" s="1766"/>
    </row>
    <row r="114" spans="2:16" ht="17.25" customHeight="1">
      <c r="B114" s="1769"/>
      <c r="E114" s="399" t="str">
        <f>IF(OR(E113="",L113=0),"",IF($J$40&lt;2,"",E113+J144))</f>
        <v/>
      </c>
      <c r="F114" s="1305" t="str">
        <f>IF(E114="","",F113+1)</f>
        <v/>
      </c>
      <c r="G114" s="1303">
        <f>IF(L113&lt;=1,0,IF($J$40="year of Loan",L113,IF(OR($J$45=0,E114=""),0,L113)))</f>
        <v>0</v>
      </c>
      <c r="I114" s="1768"/>
      <c r="J114" s="1303">
        <f>IFERROR(IF($J$40&lt;H144,0,IF($J$40="year of Loan",(G114*I144)/(1-(1/(1+I144)^($J$39-(H144-1)*1))),IF($J$40=H144,G114+K114,(G114*I144)/(1-(1/(1+I144))^($J$40-(H144-1)*1))))),0)</f>
        <v>0</v>
      </c>
      <c r="K114" s="1303">
        <f>IF(G114=0,0,G114*I144)</f>
        <v>0</v>
      </c>
      <c r="L114" s="1303">
        <f>IF(ISBLANK($J$40),0,IF(AND(G114=0,K114=0),0,ROUND(IF(G114+K114&lt;=0.01,0,G114-J114+K114),2)))</f>
        <v>0</v>
      </c>
      <c r="M114" s="1767"/>
      <c r="O114" s="436"/>
      <c r="P114" s="1766"/>
    </row>
    <row r="115" spans="2:16" ht="17.25" customHeight="1">
      <c r="B115" s="1769"/>
      <c r="E115" s="399" t="str">
        <f>IF(OR(E114="",L114=0),"",IF($J$40&lt;2,"",E114+J145))</f>
        <v/>
      </c>
      <c r="F115" s="1305" t="str">
        <f>IF(E115="","",F114+1)</f>
        <v/>
      </c>
      <c r="G115" s="1303">
        <f>IF(L114&lt;=1,0,IF($J$40="year of Loan",L114,IF(OR($J$45=0,E115=""),0,L114)))</f>
        <v>0</v>
      </c>
      <c r="I115" s="1768"/>
      <c r="J115" s="1303">
        <f>IFERROR(IF($J$40&lt;H145,0,IF($J$40="year of Loan",(G115*I145)/(1-(1/(1+I145)^($J$39-(H145-1)*1))),IF($J$40=H145,G115+K115,(G115*I145)/(1-(1/(1+I145))^($J$40-(H145-1)*1))))),0)</f>
        <v>0</v>
      </c>
      <c r="K115" s="1303">
        <f>IF(G115=0,0,G115*I145)</f>
        <v>0</v>
      </c>
      <c r="L115" s="1303">
        <f>IF(ISBLANK($J$40),0,IF(AND(G115=0,K115=0),0,ROUND(IF(G115+K115&lt;=0.01,0,G115-J115+K115),2)))</f>
        <v>0</v>
      </c>
      <c r="M115" s="1767"/>
      <c r="O115" s="436"/>
      <c r="P115" s="1766"/>
    </row>
    <row r="116" spans="2:16" ht="17.25" customHeight="1">
      <c r="B116" s="1769"/>
      <c r="E116" s="399" t="str">
        <f>IF(OR(E115="",L115=0),"",IF($J$40&lt;2,"",E115+J146))</f>
        <v/>
      </c>
      <c r="F116" s="1305" t="str">
        <f>IF(E116="","",F115+1)</f>
        <v/>
      </c>
      <c r="G116" s="1303">
        <f>IF(L115&lt;=1,0,IF($J$40="year of Loan",L115,IF(OR($J$45=0,E116=""),0,L115)))</f>
        <v>0</v>
      </c>
      <c r="I116" s="1768"/>
      <c r="J116" s="1303">
        <f>IFERROR(IF($J$40&lt;H146,0,IF($J$40="year of Loan",(G116*I146)/(1-(1/(1+I146)^($J$39-(H146-1)*1))),IF($J$40=H146,G116+K116,(G116*I146)/(1-(1/(1+I146))^($J$40-(H146-1)*1))))),0)</f>
        <v>0</v>
      </c>
      <c r="K116" s="1303">
        <f>IF(G116=0,0,G116*I146)</f>
        <v>0</v>
      </c>
      <c r="L116" s="1303">
        <f>IF(ISBLANK($J$40),0,IF(AND(G116=0,K116=0),0,ROUND(IF(G116+K116&lt;=0.01,0,G116-J116+K116),2)))</f>
        <v>0</v>
      </c>
      <c r="M116" s="1767"/>
      <c r="O116" s="436"/>
      <c r="P116" s="1766"/>
    </row>
    <row r="117" spans="2:16" ht="17.25" customHeight="1">
      <c r="B117" s="1769"/>
      <c r="E117" s="399" t="str">
        <f>IF(OR(E116="",L116=0),"",IF($J$40&lt;2,"",E116+J147))</f>
        <v/>
      </c>
      <c r="F117" s="1305" t="str">
        <f>IF(E117="","",F116+1)</f>
        <v/>
      </c>
      <c r="G117" s="1303">
        <f>IF(L116&lt;=1,0,IF($J$40="year of Loan",L116,IF(OR($J$45=0,E117=""),0,L116)))</f>
        <v>0</v>
      </c>
      <c r="I117" s="1768"/>
      <c r="J117" s="1303">
        <f>IFERROR(IF($J$40&lt;H147,0,IF($J$40="year of Loan",(G117*I147)/(1-(1/(1+I147)^($J$39-(H147-1)*1))),IF($J$40=H147,G117+K117,(G117*I147)/(1-(1/(1+I147))^($J$40-(H147-1)*1))))),0)</f>
        <v>0</v>
      </c>
      <c r="K117" s="1303">
        <f>IF(G117=0,0,G117*I147)</f>
        <v>0</v>
      </c>
      <c r="L117" s="1303">
        <f>IF(ISBLANK($J$40),0,IF(AND(G117=0,K117=0),0,ROUND(IF(G117+K117&lt;=0.01,0,G117-J117+K117),2)))</f>
        <v>0</v>
      </c>
      <c r="M117" s="1767"/>
      <c r="O117" s="436"/>
      <c r="P117" s="1766"/>
    </row>
    <row r="118" spans="2:16" ht="17.25" customHeight="1">
      <c r="B118" s="1769"/>
      <c r="E118" s="399" t="str">
        <f>IF(OR(E117="",L117=0),"",IF($J$40&lt;2,"",E117+J148))</f>
        <v/>
      </c>
      <c r="F118" s="1305" t="str">
        <f>IF(E118="","",F117+1)</f>
        <v/>
      </c>
      <c r="G118" s="1303">
        <f>IF(L117&lt;=1,0,IF($J$40="year of Loan",L117,IF(OR($J$45=0,E118=""),0,L117)))</f>
        <v>0</v>
      </c>
      <c r="I118" s="1768"/>
      <c r="J118" s="1303">
        <f>IFERROR(IF($J$40&lt;H148,0,IF($J$40="year of Loan",(G118*I148)/(1-(1/(1+I148)^($J$39-(H148-1)*1))),IF($J$40=H148,G118+K118,(G118*I148)/(1-(1/(1+I148))^($J$40-(H148-1)*1))))),0)</f>
        <v>0</v>
      </c>
      <c r="K118" s="1303">
        <f>IF(G118=0,0,G118*I148)</f>
        <v>0</v>
      </c>
      <c r="L118" s="1303">
        <f>IF(ISBLANK($J$40),0,IF(AND(G118=0,K118=0),0,ROUND(IF(G118+K118&lt;=0.01,0,G118-J118+K118),2)))</f>
        <v>0</v>
      </c>
      <c r="M118" s="1767"/>
      <c r="O118" s="436"/>
      <c r="P118" s="1766"/>
    </row>
    <row r="119" spans="2:16" ht="17.25" customHeight="1">
      <c r="B119" s="1769"/>
      <c r="E119" s="399" t="str">
        <f>IF(OR(E118="",L118=0),"",IF($J$40&lt;2,"",E118+J149))</f>
        <v/>
      </c>
      <c r="F119" s="1305" t="str">
        <f>IF(E119="","",F118+1)</f>
        <v/>
      </c>
      <c r="G119" s="1303">
        <f>IF(L118&lt;=1,0,IF($J$40="year of Loan",L118,IF(OR($J$45=0,E119=""),0,L118)))</f>
        <v>0</v>
      </c>
      <c r="I119" s="1768"/>
      <c r="J119" s="1303">
        <f>IFERROR(IF($J$40&lt;H149,0,IF($J$40="year of Loan",(G119*I149)/(1-(1/(1+I149)^($J$39-(H149-1)*1))),IF($J$40=H149,G119+K119,(G119*I149)/(1-(1/(1+I149))^($J$40-(H149-1)*1))))),0)</f>
        <v>0</v>
      </c>
      <c r="K119" s="1303">
        <f>IF(G119=0,0,G119*I149)</f>
        <v>0</v>
      </c>
      <c r="L119" s="1303">
        <f>IF(ISBLANK($J$40),0,IF(AND(G119=0,K119=0),0,ROUND(IF(G119+K119&lt;=0.01,0,G119-J119+K119),2)))</f>
        <v>0</v>
      </c>
      <c r="M119" s="1767"/>
      <c r="O119" s="436"/>
      <c r="P119" s="1766"/>
    </row>
    <row r="120" spans="2:16" ht="17.25" customHeight="1">
      <c r="B120" s="1769"/>
      <c r="E120" s="399" t="str">
        <f>IF(OR(E119="",L119=0),"",IF($J$40&lt;2,"",E119+J150))</f>
        <v/>
      </c>
      <c r="F120" s="1305" t="str">
        <f>IF(E120="","",F119+1)</f>
        <v/>
      </c>
      <c r="G120" s="1303">
        <f>IF(L119&lt;=1,0,IF($J$40="year of Loan",L119,IF(OR($J$45=0,E120=""),0,L119)))</f>
        <v>0</v>
      </c>
      <c r="I120" s="1768"/>
      <c r="J120" s="1303">
        <f>IFERROR(IF($J$40&lt;H150,0,IF($J$40="year of Loan",(G120*I150)/(1-(1/(1+I150)^($J$39-(H150-1)*1))),IF($J$40=H150,G120+K120,(G120*I150)/(1-(1/(1+I150))^($J$40-(H150-1)*1))))),0)</f>
        <v>0</v>
      </c>
      <c r="K120" s="1303">
        <f>IF(G120=0,0,G120*I150)</f>
        <v>0</v>
      </c>
      <c r="L120" s="1303">
        <f>IF(ISBLANK($J$40),0,IF(AND(G120=0,K120=0),0,ROUND(IF(G120+K120&lt;=0.01,0,G120-J120+K120),2)))</f>
        <v>0</v>
      </c>
      <c r="M120" s="1767"/>
      <c r="O120" s="436"/>
      <c r="P120" s="1766"/>
    </row>
    <row r="121" spans="2:16" ht="17.25" customHeight="1">
      <c r="B121" s="1769"/>
      <c r="E121" s="399" t="str">
        <f>IF(OR(E120="",L120=0),"",IF($J$40&lt;2,"",E120+J151))</f>
        <v/>
      </c>
      <c r="F121" s="1305" t="str">
        <f>IF(E121="","",F120+1)</f>
        <v/>
      </c>
      <c r="G121" s="1303">
        <f>IF(L120&lt;=1,0,IF($J$40="year of Loan",L120,IF(OR($J$45=0,E121=""),0,L120)))</f>
        <v>0</v>
      </c>
      <c r="I121" s="1768"/>
      <c r="J121" s="1303">
        <f>IFERROR(IF($J$40&lt;H151,0,IF($J$40="year of Loan",(G121*I151)/(1-(1/(1+I151)^($J$39-(H151-1)*1))),IF($J$40=H151,G121+K121,(G121*I151)/(1-(1/(1+I151))^($J$40-(H151-1)*1))))),0)</f>
        <v>0</v>
      </c>
      <c r="K121" s="1303">
        <f>IF(G121=0,0,G121*I151)</f>
        <v>0</v>
      </c>
      <c r="L121" s="1303">
        <f>IF(ISBLANK($J$40),0,IF(AND(G121=0,K121=0),0,ROUND(IF(G121+K121&lt;=0.01,0,G121-J121+K121),2)))</f>
        <v>0</v>
      </c>
      <c r="M121" s="1767"/>
      <c r="O121" s="436"/>
      <c r="P121" s="1766"/>
    </row>
    <row r="122" spans="2:16" ht="17.25" customHeight="1">
      <c r="B122" s="1769"/>
      <c r="E122" s="399" t="str">
        <f>IF(OR(E121="",L121=0),"",IF($J$40&lt;2,"",E121+J152))</f>
        <v/>
      </c>
      <c r="F122" s="1305" t="str">
        <f>IF(E122="","",F121+1)</f>
        <v/>
      </c>
      <c r="G122" s="1303">
        <f>IF(L121&lt;=1,0,IF($J$40="year of Loan",L121,IF(OR($J$45=0,E122=""),0,L121)))</f>
        <v>0</v>
      </c>
      <c r="I122" s="1768"/>
      <c r="J122" s="1303">
        <f>IFERROR(IF($J$40&lt;H152,0,IF($J$40="year of Loan",(G122*I152)/(1-(1/(1+I152)^($J$39-(H152-1)*1))),IF($J$40=H152,G122+K122,(G122*I152)/(1-(1/(1+I152))^($J$40-(H152-1)*1))))),0)</f>
        <v>0</v>
      </c>
      <c r="K122" s="1303">
        <f>IF(G122=0,0,G122*I152)</f>
        <v>0</v>
      </c>
      <c r="L122" s="1303">
        <f>IF(ISBLANK($J$40),0,IF(AND(G122=0,K122=0),0,ROUND(IF(G122+K122&lt;=0.01,0,G122-J122+K122),2)))</f>
        <v>0</v>
      </c>
      <c r="M122" s="1767"/>
      <c r="O122" s="436"/>
      <c r="P122" s="1766"/>
    </row>
    <row r="123" spans="2:16" ht="17.25" customHeight="1">
      <c r="B123" s="1769"/>
      <c r="E123" s="399" t="str">
        <f>IF(OR(E122="",L122=0),"",IF($J$40&lt;2,"",E122+J153))</f>
        <v/>
      </c>
      <c r="F123" s="1305" t="str">
        <f>IF(E123="","",F122+1)</f>
        <v/>
      </c>
      <c r="G123" s="1303">
        <f>IF(L122&lt;=1,0,IF($J$40="year of Loan",L122,IF(OR($J$45=0,E123=""),0,L122)))</f>
        <v>0</v>
      </c>
      <c r="I123" s="1768"/>
      <c r="J123" s="1303">
        <f>IFERROR(IF($J$40&lt;H153,0,IF($J$40="year of Loan",(G123*I153)/(1-(1/(1+I153)^($J$39-(H153-1)*1))),IF($J$40=H153,G123+K123,(G123*I153)/(1-(1/(1+I153))^($J$40-(H153-1)*1))))),0)</f>
        <v>0</v>
      </c>
      <c r="K123" s="1303">
        <f>IF(G123=0,0,G123*I153)</f>
        <v>0</v>
      </c>
      <c r="L123" s="1303">
        <f>IF(ISBLANK($J$40),0,IF(AND(G123=0,K123=0),0,ROUND(IF(G123+K123&lt;=0.01,0,G123-J123+K123),2)))</f>
        <v>0</v>
      </c>
      <c r="M123" s="1767"/>
      <c r="O123" s="436"/>
      <c r="P123" s="1766"/>
    </row>
    <row r="124" spans="2:16" ht="7.5" customHeight="1">
      <c r="B124" s="1765"/>
      <c r="C124" s="1764"/>
      <c r="D124" s="1764"/>
      <c r="E124" s="1764"/>
      <c r="F124" s="1764"/>
      <c r="G124" s="1764"/>
      <c r="H124" s="1764"/>
      <c r="I124" s="1764"/>
      <c r="J124" s="1764"/>
      <c r="K124" s="1764"/>
      <c r="L124" s="1764"/>
      <c r="M124" s="1763"/>
    </row>
    <row r="125" spans="2:16" ht="12.75" customHeight="1"/>
    <row r="126" spans="2:16" hidden="1">
      <c r="E126" s="1762" t="s">
        <v>1523</v>
      </c>
      <c r="F126" s="1761"/>
    </row>
    <row r="127" spans="2:16" hidden="1">
      <c r="E127" s="1760" t="s">
        <v>1522</v>
      </c>
      <c r="F127" s="1760" t="s">
        <v>1520</v>
      </c>
      <c r="G127" s="1760" t="s">
        <v>1522</v>
      </c>
      <c r="H127" s="1760" t="s">
        <v>1521</v>
      </c>
      <c r="I127" s="1760" t="s">
        <v>1520</v>
      </c>
      <c r="J127" s="1760" t="s">
        <v>1519</v>
      </c>
    </row>
    <row r="128" spans="2:16" hidden="1">
      <c r="E128" s="1760"/>
      <c r="F128" s="1760"/>
      <c r="G128" s="1294" t="str">
        <f>IF(E99="","",YEAR(E99))</f>
        <v/>
      </c>
      <c r="H128" s="1294" t="str">
        <f>IF(E99="","",IF($J$41&gt;0,1,IF(J40="year of Loan",0,0)))</f>
        <v/>
      </c>
      <c r="I128" s="1295">
        <f>IF(G128&gt;$E$141,$F$141,INDEX($F$129:$F$141,MATCH(G128,$E$129:$E$141,0)))</f>
        <v>8.77E-2</v>
      </c>
      <c r="J128" s="1294" t="str">
        <f>IFERROR(IF(MOD((YEAR(E99)),4)=3,366,365),"")</f>
        <v/>
      </c>
    </row>
    <row r="129" spans="5:10" hidden="1">
      <c r="E129" s="1294">
        <f>YEAR(I17)</f>
        <v>2013</v>
      </c>
      <c r="F129" s="1295">
        <f>J17</f>
        <v>7.0499999999999993E-2</v>
      </c>
      <c r="G129" s="1294" t="str">
        <f>IF(E100="","",YEAR(E100))</f>
        <v/>
      </c>
      <c r="H129" s="1294" t="str">
        <f>IF(E100="","",H128+1)</f>
        <v/>
      </c>
      <c r="I129" s="1295">
        <f>IF(G129&gt;$E$141,$F$141,INDEX($F$129:$F$141,MATCH(G129,$E$129:$E$141,0)))</f>
        <v>8.77E-2</v>
      </c>
      <c r="J129" s="1294" t="str">
        <f>IFERROR(IF(MOD((YEAR(E99)),4)=3,366,365),"")</f>
        <v/>
      </c>
    </row>
    <row r="130" spans="5:10" hidden="1">
      <c r="E130" s="1294">
        <f>YEAR(I18)</f>
        <v>2014</v>
      </c>
      <c r="F130" s="1295">
        <f>J18</f>
        <v>6.2E-2</v>
      </c>
      <c r="G130" s="1294" t="str">
        <f>IF(E101="","",YEAR(E101))</f>
        <v/>
      </c>
      <c r="H130" s="1294" t="str">
        <f>IF(E101="","",H129+1)</f>
        <v/>
      </c>
      <c r="I130" s="1295">
        <f>IF(G130&gt;$E$141,$F$141,INDEX($F$129:$F$141,MATCH(G130,$E$129:$E$141,0)))</f>
        <v>8.77E-2</v>
      </c>
      <c r="J130" s="1294" t="str">
        <f>IFERROR(IF(MOD((YEAR(E100)),4)=3,366,365),"")</f>
        <v/>
      </c>
    </row>
    <row r="131" spans="5:10" hidden="1">
      <c r="E131" s="1294">
        <f>YEAR(I19)</f>
        <v>2015</v>
      </c>
      <c r="F131" s="1295">
        <f>J19</f>
        <v>5.9499999999999997E-2</v>
      </c>
      <c r="G131" s="1294" t="str">
        <f>IF(E102="","",YEAR(E102))</f>
        <v/>
      </c>
      <c r="H131" s="1294" t="str">
        <f>IF(E102="","",H130+1)</f>
        <v/>
      </c>
      <c r="I131" s="1295">
        <f>IF(G131&gt;$E$141,$F$141,INDEX($F$129:$F$141,MATCH(G131,$E$129:$E$141,0)))</f>
        <v>8.77E-2</v>
      </c>
      <c r="J131" s="1294" t="str">
        <f>IFERROR(IF(MOD((YEAR(E101)),4)=3,366,365),"")</f>
        <v/>
      </c>
    </row>
    <row r="132" spans="5:10" hidden="1">
      <c r="E132" s="1294">
        <f>YEAR(I20)</f>
        <v>2016</v>
      </c>
      <c r="F132" s="1295">
        <f>J20</f>
        <v>5.45E-2</v>
      </c>
      <c r="G132" s="1294" t="str">
        <f>IF(E103="","",YEAR(E103))</f>
        <v/>
      </c>
      <c r="H132" s="1294" t="str">
        <f>IF(E103="","",H131+1)</f>
        <v/>
      </c>
      <c r="I132" s="1295">
        <f>IF(G132&gt;$E$141,$F$141,INDEX($F$129:$F$141,MATCH(G132,$E$129:$E$141,0)))</f>
        <v>8.77E-2</v>
      </c>
      <c r="J132" s="1294" t="str">
        <f>IFERROR(IF(MOD((YEAR(E102)),4)=3,366,365),"")</f>
        <v/>
      </c>
    </row>
    <row r="133" spans="5:10" hidden="1">
      <c r="E133" s="1294">
        <f>YEAR(I21)</f>
        <v>2017</v>
      </c>
      <c r="F133" s="1295">
        <f>J21</f>
        <v>5.3999999999999999E-2</v>
      </c>
      <c r="G133" s="1294" t="str">
        <f>IF(E104="","",YEAR(E104))</f>
        <v/>
      </c>
      <c r="H133" s="1294" t="str">
        <f>IF(E104="","",H132+1)</f>
        <v/>
      </c>
      <c r="I133" s="1295">
        <f>IF(G133&gt;$E$141,$F$141,INDEX($F$129:$F$141,MATCH(G133,$E$129:$E$141,0)))</f>
        <v>8.77E-2</v>
      </c>
      <c r="J133" s="1294" t="str">
        <f>IFERROR(IF(MOD((YEAR(E103)),4)=3,366,365),"")</f>
        <v/>
      </c>
    </row>
    <row r="134" spans="5:10" hidden="1">
      <c r="E134" s="1294">
        <f>YEAR(I22)</f>
        <v>2018</v>
      </c>
      <c r="F134" s="1295">
        <f>J22</f>
        <v>5.2999999999999999E-2</v>
      </c>
      <c r="G134" s="1294" t="str">
        <f>IF(E105="","",YEAR(E105))</f>
        <v/>
      </c>
      <c r="H134" s="1294" t="str">
        <f>IF(E105="","",H133+1)</f>
        <v/>
      </c>
      <c r="I134" s="1295">
        <f>IF(G134&gt;$E$141,$F$141,INDEX($F$129:$F$141,MATCH(G134,$E$129:$E$141,0)))</f>
        <v>8.77E-2</v>
      </c>
      <c r="J134" s="1294" t="str">
        <f>IFERROR(IF(MOD((YEAR(E104)),4)=3,366,365),"")</f>
        <v/>
      </c>
    </row>
    <row r="135" spans="5:10" hidden="1">
      <c r="E135" s="1294">
        <f>YEAR(I23)</f>
        <v>2019</v>
      </c>
      <c r="F135" s="1295">
        <f>J23</f>
        <v>5.1999999999999998E-2</v>
      </c>
      <c r="G135" s="1294" t="str">
        <f>IF(E106="","",YEAR(E106))</f>
        <v/>
      </c>
      <c r="H135" s="1294" t="str">
        <f>IF(E106="","",H134+1)</f>
        <v/>
      </c>
      <c r="I135" s="1295">
        <f>IF(G135&gt;$E$141,$F$141,INDEX($F$129:$F$141,MATCH(G135,$E$129:$E$141,0)))</f>
        <v>8.77E-2</v>
      </c>
      <c r="J135" s="1294" t="str">
        <f>IFERROR(IF(MOD((YEAR(E105)),4)=3,366,365),"")</f>
        <v/>
      </c>
    </row>
    <row r="136" spans="5:10" hidden="1">
      <c r="E136" s="1294">
        <f>YEAR(I24)</f>
        <v>2020</v>
      </c>
      <c r="F136" s="1295">
        <f>J24</f>
        <v>5.3699999999999998E-2</v>
      </c>
      <c r="G136" s="1294" t="str">
        <f>IF(E107="","",YEAR(E107))</f>
        <v/>
      </c>
      <c r="H136" s="1294" t="str">
        <f>IF(E107="","",H135+1)</f>
        <v/>
      </c>
      <c r="I136" s="1295">
        <f>IF(G136&gt;$E$141,$F$141,INDEX($F$129:$F$141,MATCH(G136,$E$129:$E$141,0)))</f>
        <v>8.77E-2</v>
      </c>
      <c r="J136" s="1294" t="str">
        <f>IFERROR(IF(MOD((YEAR(E106)),4)=3,366,365),"")</f>
        <v/>
      </c>
    </row>
    <row r="137" spans="5:10" hidden="1">
      <c r="E137" s="1294">
        <f>YEAR(I25)</f>
        <v>2021</v>
      </c>
      <c r="F137" s="1295">
        <f>J25</f>
        <v>4.5199999999999997E-2</v>
      </c>
      <c r="G137" s="1294" t="str">
        <f>IF(E108="","",YEAR(E108))</f>
        <v/>
      </c>
      <c r="H137" s="1294" t="str">
        <f>IF(E108="","",H136+1)</f>
        <v/>
      </c>
      <c r="I137" s="1295">
        <f>IF(G137&gt;$E$141,$F$141,INDEX($F$129:$F$141,MATCH(G137,$E$129:$E$141,0)))</f>
        <v>8.77E-2</v>
      </c>
      <c r="J137" s="1294" t="str">
        <f>IFERROR(IF(MOD((YEAR(E107)),4)=3,366,365),"")</f>
        <v/>
      </c>
    </row>
    <row r="138" spans="5:10" hidden="1">
      <c r="E138" s="1294">
        <f>YEAR(I26)</f>
        <v>2022</v>
      </c>
      <c r="F138" s="1295">
        <f>J26</f>
        <v>4.5199999999999997E-2</v>
      </c>
      <c r="G138" s="1294" t="str">
        <f>IF(E109="","",YEAR(E109))</f>
        <v/>
      </c>
      <c r="H138" s="1294" t="str">
        <f>IF(E109="","",H137+1)</f>
        <v/>
      </c>
      <c r="I138" s="1295">
        <f>IF(G138&gt;$E$141,$F$141,INDEX($F$129:$F$141,MATCH(G138,$E$129:$E$141,0)))</f>
        <v>8.77E-2</v>
      </c>
      <c r="J138" s="1294" t="str">
        <f>IFERROR(IF(MOD((YEAR(E108)),4)=3,366,365),"")</f>
        <v/>
      </c>
    </row>
    <row r="139" spans="5:10" hidden="1">
      <c r="E139" s="1294">
        <f>YEAR(I27)</f>
        <v>2023</v>
      </c>
      <c r="F139" s="1295">
        <f>J27</f>
        <v>4.7699999999999999E-2</v>
      </c>
      <c r="G139" s="1294" t="str">
        <f>IF(E110="","",YEAR(E110))</f>
        <v/>
      </c>
      <c r="H139" s="1294" t="str">
        <f>IF(E110="","",H138+1)</f>
        <v/>
      </c>
      <c r="I139" s="1295">
        <f>IF(G139&gt;$E$141,$F$141,INDEX($F$129:$F$141,MATCH(G139,$E$129:$E$141,0)))</f>
        <v>8.77E-2</v>
      </c>
      <c r="J139" s="1294" t="str">
        <f>IFERROR(IF(MOD((YEAR(E109)),4)=3,366,365),"")</f>
        <v/>
      </c>
    </row>
    <row r="140" spans="5:10" hidden="1">
      <c r="E140" s="1294">
        <f>YEAR(I28)</f>
        <v>2024</v>
      </c>
      <c r="F140" s="1295">
        <f>J28</f>
        <v>8.2699999999999996E-2</v>
      </c>
      <c r="G140" s="1294" t="str">
        <f>IF(E111="","",YEAR(E111))</f>
        <v/>
      </c>
      <c r="H140" s="1294" t="str">
        <f>IF(E111="","",H139+1)</f>
        <v/>
      </c>
      <c r="I140" s="1295">
        <f>IF(G140&gt;$E$141,$F$141,INDEX($F$129:$F$141,MATCH(G140,$E$129:$E$141,0)))</f>
        <v>8.77E-2</v>
      </c>
      <c r="J140" s="1294" t="str">
        <f>IFERROR(IF(MOD((YEAR(E110)),4)=3,366,365),"")</f>
        <v/>
      </c>
    </row>
    <row r="141" spans="5:10" hidden="1">
      <c r="E141" s="1294">
        <f>YEAR(I29)</f>
        <v>2025</v>
      </c>
      <c r="F141" s="1295">
        <f>J29</f>
        <v>8.77E-2</v>
      </c>
      <c r="G141" s="1294" t="str">
        <f>IF(E111="","",YEAR(E111))</f>
        <v/>
      </c>
      <c r="H141" s="1294" t="str">
        <f>IF(E111="","",H139+1)</f>
        <v/>
      </c>
      <c r="I141" s="1295">
        <f>IF(G141&gt;$E$141,$F$141,INDEX($F$129:$F$141,MATCH(G141,$E$129:$E$141,0)))</f>
        <v>8.77E-2</v>
      </c>
      <c r="J141" s="1294" t="str">
        <f>IFERROR(IF(MOD((YEAR(E110)),4)=3,366,365),"")</f>
        <v/>
      </c>
    </row>
    <row r="142" spans="5:10" hidden="1">
      <c r="G142" s="1294" t="str">
        <f>IF(E112="","",YEAR(E112))</f>
        <v/>
      </c>
      <c r="H142" s="1294" t="str">
        <f>IF(E112="","",H141+1)</f>
        <v/>
      </c>
      <c r="I142" s="1295">
        <f>IF(G142&gt;$E$141,$F$141,INDEX($F$129:$F$141,MATCH(G142,$E$129:$E$141,0)))</f>
        <v>8.77E-2</v>
      </c>
      <c r="J142" s="1294" t="str">
        <f>IFERROR(IF(MOD((YEAR(E111)),4)=3,366,365),"")</f>
        <v/>
      </c>
    </row>
    <row r="143" spans="5:10" hidden="1">
      <c r="G143" s="1294" t="str">
        <f>IF(E113="","",YEAR(E113))</f>
        <v/>
      </c>
      <c r="H143" s="1294" t="str">
        <f>IF(E113="","",H142+1)</f>
        <v/>
      </c>
      <c r="I143" s="1295">
        <f>IF(G143&gt;$E$141,$F$141,INDEX($F$129:$F$141,MATCH(G143,$E$129:$E$141,0)))</f>
        <v>8.77E-2</v>
      </c>
      <c r="J143" s="1294" t="str">
        <f>IFERROR(IF(MOD((YEAR(E112)),4)=3,366,365),"")</f>
        <v/>
      </c>
    </row>
    <row r="144" spans="5:10" hidden="1">
      <c r="G144" s="1294" t="str">
        <f>IF(E114="","",YEAR(E114))</f>
        <v/>
      </c>
      <c r="H144" s="1294" t="str">
        <f>IF(E114="","",H143+1)</f>
        <v/>
      </c>
      <c r="I144" s="1295">
        <f>IF(G144&gt;$E$141,$F$141,INDEX($F$129:$F$141,MATCH(G144,$E$129:$E$141,0)))</f>
        <v>8.77E-2</v>
      </c>
      <c r="J144" s="1294" t="str">
        <f>IFERROR(IF(MOD((YEAR(E113)),4)=3,366,365),"")</f>
        <v/>
      </c>
    </row>
    <row r="145" spans="7:10" hidden="1">
      <c r="G145" s="1294" t="str">
        <f>IF(E115="","",YEAR(E115))</f>
        <v/>
      </c>
      <c r="H145" s="1294" t="str">
        <f>IF(E115="","",H144+1)</f>
        <v/>
      </c>
      <c r="I145" s="1295">
        <f>IF(G145&gt;$E$141,$F$141,INDEX($F$129:$F$141,MATCH(G145,$E$129:$E$141,0)))</f>
        <v>8.77E-2</v>
      </c>
      <c r="J145" s="1294" t="str">
        <f>IFERROR(IF(MOD((YEAR(E114)),4)=3,366,365),"")</f>
        <v/>
      </c>
    </row>
    <row r="146" spans="7:10" hidden="1">
      <c r="G146" s="1294" t="str">
        <f>IF(E116="","",YEAR(E116))</f>
        <v/>
      </c>
      <c r="H146" s="1294" t="str">
        <f>IF(E116="","",H145+1)</f>
        <v/>
      </c>
      <c r="I146" s="1295">
        <f>IF(G146&gt;$E$141,$F$141,INDEX($F$129:$F$141,MATCH(G146,$E$129:$E$141,0)))</f>
        <v>8.77E-2</v>
      </c>
      <c r="J146" s="1294" t="str">
        <f>IFERROR(IF(MOD((YEAR(E115)),4)=3,366,365),"")</f>
        <v/>
      </c>
    </row>
    <row r="147" spans="7:10" hidden="1">
      <c r="G147" s="1294" t="str">
        <f>IF(E117="","",YEAR(E117))</f>
        <v/>
      </c>
      <c r="H147" s="1294" t="str">
        <f>IF(E117="","",H146+1)</f>
        <v/>
      </c>
      <c r="I147" s="1295">
        <f>IF(G147&gt;$E$141,$F$141,INDEX($F$129:$F$141,MATCH(G147,$E$129:$E$141,0)))</f>
        <v>8.77E-2</v>
      </c>
      <c r="J147" s="1294" t="str">
        <f>IFERROR(IF(MOD((YEAR(E116)),4)=3,366,365),"")</f>
        <v/>
      </c>
    </row>
    <row r="148" spans="7:10" hidden="1">
      <c r="G148" s="1294" t="str">
        <f>IF(E118="","",YEAR(E118))</f>
        <v/>
      </c>
      <c r="H148" s="1294" t="str">
        <f>IF(E118="","",H147+1)</f>
        <v/>
      </c>
      <c r="I148" s="1295">
        <f>IF(G148&gt;$E$141,$F$141,INDEX($F$129:$F$141,MATCH(G148,$E$129:$E$141,0)))</f>
        <v>8.77E-2</v>
      </c>
      <c r="J148" s="1294" t="str">
        <f>IFERROR(IF(MOD((YEAR(E117)),4)=3,366,365),"")</f>
        <v/>
      </c>
    </row>
    <row r="149" spans="7:10" hidden="1">
      <c r="G149" s="1294" t="str">
        <f>IF(E119="","",YEAR(E119))</f>
        <v/>
      </c>
      <c r="H149" s="1294" t="str">
        <f>IF(E119="","",H148+1)</f>
        <v/>
      </c>
      <c r="I149" s="1295">
        <f>IF(G149&gt;$E$141,$F$141,INDEX($F$129:$F$141,MATCH(G149,$E$129:$E$141,0)))</f>
        <v>8.77E-2</v>
      </c>
      <c r="J149" s="1294" t="str">
        <f>IFERROR(IF(MOD((YEAR(E118)),4)=3,366,365),"")</f>
        <v/>
      </c>
    </row>
    <row r="150" spans="7:10" hidden="1">
      <c r="G150" s="1294" t="str">
        <f>IF(E120="","",YEAR(E120))</f>
        <v/>
      </c>
      <c r="H150" s="1294" t="str">
        <f>IF(E120="","",H149+1)</f>
        <v/>
      </c>
      <c r="I150" s="1295">
        <f>IF(G150&gt;$E$141,$F$141,INDEX($F$129:$F$141,MATCH(G150,$E$129:$E$141,0)))</f>
        <v>8.77E-2</v>
      </c>
      <c r="J150" s="1294" t="str">
        <f>IFERROR(IF(MOD((YEAR(E119)),4)=3,366,365),"")</f>
        <v/>
      </c>
    </row>
    <row r="151" spans="7:10" hidden="1">
      <c r="G151" s="1294" t="str">
        <f>IF(E121="","",YEAR(E121))</f>
        <v/>
      </c>
      <c r="H151" s="1294" t="str">
        <f>IF(E121="","",H150+1)</f>
        <v/>
      </c>
      <c r="I151" s="1295">
        <f>IF(G151&gt;$E$141,$F$141,INDEX($F$129:$F$141,MATCH(G151,$E$129:$E$141,0)))</f>
        <v>8.77E-2</v>
      </c>
      <c r="J151" s="1294" t="str">
        <f>IFERROR(IF(MOD((YEAR(E120)),4)=3,366,365),"")</f>
        <v/>
      </c>
    </row>
    <row r="152" spans="7:10" hidden="1">
      <c r="G152" s="1294" t="str">
        <f>IF(E122="","",YEAR(E122))</f>
        <v/>
      </c>
      <c r="H152" s="1294" t="str">
        <f>IF(E122="","",H151+1)</f>
        <v/>
      </c>
      <c r="I152" s="1295">
        <f>IF(G152&gt;$E$141,$F$141,INDEX($F$129:$F$141,MATCH(G152,$E$129:$E$141,0)))</f>
        <v>8.77E-2</v>
      </c>
      <c r="J152" s="1294" t="str">
        <f>IFERROR(IF(MOD((YEAR(E121)),4)=3,366,365),"")</f>
        <v/>
      </c>
    </row>
    <row r="153" spans="7:10" hidden="1">
      <c r="G153" s="1294" t="str">
        <f>IF(E123="","",YEAR(E123))</f>
        <v/>
      </c>
      <c r="H153" s="1294" t="str">
        <f>IF(E123="","",H152+1)</f>
        <v/>
      </c>
      <c r="I153" s="1295">
        <f>IF(G153&gt;$E$141,$F$141,INDEX($F$129:$F$141,MATCH(G153,$E$129:$E$141,0)))</f>
        <v>8.77E-2</v>
      </c>
      <c r="J153" s="1294" t="str">
        <f>IFERROR(IF(MOD((YEAR(E122)),4)=3,366,365),"")</f>
        <v/>
      </c>
    </row>
    <row r="154" spans="7:10">
      <c r="G154" s="1759"/>
      <c r="H154" s="1759"/>
    </row>
    <row r="155" spans="7:10">
      <c r="G155" s="1759"/>
      <c r="H155" s="1759"/>
    </row>
    <row r="156" spans="7:10">
      <c r="H156" s="1759"/>
    </row>
    <row r="157" spans="7:10">
      <c r="H157" s="1759"/>
    </row>
    <row r="158" spans="7:10">
      <c r="H158" s="1759"/>
    </row>
    <row r="159" spans="7:10">
      <c r="H159" s="1759"/>
    </row>
    <row r="160" spans="7:10">
      <c r="H160" s="1759"/>
    </row>
    <row r="161" spans="8:8">
      <c r="H161" s="1759"/>
    </row>
    <row r="162" spans="8:8">
      <c r="H162" s="1759"/>
    </row>
    <row r="163" spans="8:8">
      <c r="H163" s="1759"/>
    </row>
    <row r="164" spans="8:8">
      <c r="H164" s="1759"/>
    </row>
    <row r="165" spans="8:8">
      <c r="H165" s="1759"/>
    </row>
  </sheetData>
  <sheetProtection sheet="1" formatCells="0" formatColumns="0" formatRows="0" insertColumns="0" insertRows="0" insertHyperlinks="0"/>
  <mergeCells count="41">
    <mergeCell ref="E50:H50"/>
    <mergeCell ref="E43:H43"/>
    <mergeCell ref="E44:H44"/>
    <mergeCell ref="E45:H45"/>
    <mergeCell ref="E51:H51"/>
    <mergeCell ref="K43:L43"/>
    <mergeCell ref="E52:H52"/>
    <mergeCell ref="E46:H46"/>
    <mergeCell ref="E47:H47"/>
    <mergeCell ref="E48:H48"/>
    <mergeCell ref="E49:H49"/>
    <mergeCell ref="E58:L58"/>
    <mergeCell ref="F11:L11"/>
    <mergeCell ref="F12:L12"/>
    <mergeCell ref="F13:L13"/>
    <mergeCell ref="E36:H36"/>
    <mergeCell ref="E37:H37"/>
    <mergeCell ref="E38:H38"/>
    <mergeCell ref="E39:H39"/>
    <mergeCell ref="E40:H40"/>
    <mergeCell ref="E41:H41"/>
    <mergeCell ref="K48:L48"/>
    <mergeCell ref="O32:P32"/>
    <mergeCell ref="B15:H15"/>
    <mergeCell ref="B32:H32"/>
    <mergeCell ref="K46:L46"/>
    <mergeCell ref="E35:H35"/>
    <mergeCell ref="E42:H42"/>
    <mergeCell ref="E6:H6"/>
    <mergeCell ref="C10:L10"/>
    <mergeCell ref="K34:M34"/>
    <mergeCell ref="O6:P6"/>
    <mergeCell ref="E4:I4"/>
    <mergeCell ref="E5:I5"/>
    <mergeCell ref="E97:F97"/>
    <mergeCell ref="E57:L57"/>
    <mergeCell ref="G62:I62"/>
    <mergeCell ref="E95:L95"/>
    <mergeCell ref="B55:H55"/>
    <mergeCell ref="B93:H93"/>
    <mergeCell ref="F34:J34"/>
  </mergeCells>
  <conditionalFormatting sqref="F63:F88">
    <cfRule type="cellIs" dxfId="451" priority="21" stopIfTrue="1" operator="equal">
      <formula>0</formula>
    </cfRule>
    <cfRule type="cellIs" dxfId="450" priority="22" stopIfTrue="1" operator="lessThan">
      <formula>$F$62</formula>
    </cfRule>
    <cfRule type="cellIs" dxfId="449" priority="23" stopIfTrue="1" operator="greaterThan">
      <formula>$E$6</formula>
    </cfRule>
  </conditionalFormatting>
  <conditionalFormatting sqref="J41">
    <cfRule type="expression" dxfId="448" priority="3">
      <formula>$J$40="Year of Loan"</formula>
    </cfRule>
  </conditionalFormatting>
  <conditionalFormatting sqref="J44:J45">
    <cfRule type="expression" dxfId="447" priority="1">
      <formula>$J$40="Year of Loan"</formula>
    </cfRule>
  </conditionalFormatting>
  <conditionalFormatting sqref="J47">
    <cfRule type="cellIs" dxfId="446" priority="8" stopIfTrue="1" operator="equal">
      <formula>"Credit Account"</formula>
    </cfRule>
  </conditionalFormatting>
  <conditionalFormatting sqref="J48">
    <cfRule type="expression" dxfId="445" priority="2">
      <formula>$J$40="Year of Loan"</formula>
    </cfRule>
  </conditionalFormatting>
  <conditionalFormatting sqref="J50">
    <cfRule type="expression" dxfId="444" priority="24">
      <formula>J53="Reconciled"</formula>
    </cfRule>
    <cfRule type="expression" dxfId="443" priority="25">
      <formula>J53="Out of Balance"</formula>
    </cfRule>
  </conditionalFormatting>
  <conditionalFormatting sqref="J51">
    <cfRule type="expression" dxfId="442" priority="26">
      <formula>J53="Reconciled"</formula>
    </cfRule>
    <cfRule type="expression" dxfId="441" priority="27">
      <formula>J53="Out of Balance"</formula>
    </cfRule>
  </conditionalFormatting>
  <conditionalFormatting sqref="J52">
    <cfRule type="expression" dxfId="440" priority="28">
      <formula>J53="Reconciled"</formula>
    </cfRule>
    <cfRule type="expression" dxfId="439" priority="29">
      <formula>J53="Out of Balance"</formula>
    </cfRule>
  </conditionalFormatting>
  <conditionalFormatting sqref="K5:K6 J7">
    <cfRule type="cellIs" dxfId="438" priority="11" operator="equal">
      <formula>"Partner Approved"</formula>
    </cfRule>
    <cfRule type="cellIs" dxfId="437" priority="12" operator="equal">
      <formula>"Reviewed"</formula>
    </cfRule>
    <cfRule type="cellIs" dxfId="436" priority="13" operator="equal">
      <formula>"Rework Complete"</formula>
    </cfRule>
    <cfRule type="cellIs" dxfId="435" priority="14" operator="equal">
      <formula>"Client Query"</formula>
    </cfRule>
    <cfRule type="cellIs" dxfId="434" priority="15" operator="equal">
      <formula>"Started"</formula>
    </cfRule>
    <cfRule type="cellIs" dxfId="433" priority="16" operator="equal">
      <formula>"Ready for Review"</formula>
    </cfRule>
    <cfRule type="cellIs" dxfId="432" priority="17" operator="equal">
      <formula>"Rework Required"</formula>
    </cfRule>
    <cfRule type="cellIs" dxfId="431" priority="18" operator="equal">
      <formula>"Complete"</formula>
    </cfRule>
  </conditionalFormatting>
  <conditionalFormatting sqref="K43:L43">
    <cfRule type="expression" dxfId="430" priority="4">
      <formula>$J$40="Year of Loan"</formula>
    </cfRule>
  </conditionalFormatting>
  <conditionalFormatting sqref="K46:L46">
    <cfRule type="cellIs" dxfId="429" priority="9" stopIfTrue="1" operator="equal">
      <formula>"Credit Account"</formula>
    </cfRule>
  </conditionalFormatting>
  <conditionalFormatting sqref="K48:L48">
    <cfRule type="expression" dxfId="428" priority="5">
      <formula>AND($J$40&lt;&gt;"Year of Loan",$J$48&gt;0)</formula>
    </cfRule>
  </conditionalFormatting>
  <conditionalFormatting sqref="L6">
    <cfRule type="expression" dxfId="427" priority="6">
      <formula>$J$53="Reconciled"</formula>
    </cfRule>
    <cfRule type="expression" dxfId="426" priority="7">
      <formula>$J$53="Out of Balance"</formula>
    </cfRule>
  </conditionalFormatting>
  <dataValidations count="9">
    <dataValidation allowBlank="1" showInputMessage="1" showErrorMessage="1" prompt="The earlier of the due date for lodgement and the date of lodgement for company's tax return for the applicable income year." sqref="J42" xr:uid="{1A4164A9-4682-4775-AE23-171A738774D9}"/>
    <dataValidation type="whole" operator="lessThanOrEqual" allowBlank="1" showInputMessage="1" showErrorMessage="1" error="Maximum term is 7 years for unsecured loans and 25 years for secured loans." sqref="J39" xr:uid="{F551D566-7EB5-4E72-A90E-7C3229CD827A}">
      <formula1>IF(J36="Unsecured",7,25)</formula1>
    </dataValidation>
    <dataValidation type="list" allowBlank="1" showInputMessage="1" showErrorMessage="1" sqref="J36" xr:uid="{B213D377-E953-4CB0-BFF2-B7D203C72938}">
      <formula1>"Secured,Unsecured"</formula1>
    </dataValidation>
    <dataValidation allowBlank="1" showInputMessage="1" showErrorMessage="1" prompt="The ATO interprets Div 7A to mean that repayments take effect at the beginning of the day of repayment. A repayment on 30 June should be entered in the table as normal. This row calculates interest from the last repayment to the end of 30 June." sqref="I89" xr:uid="{D58AD333-E62C-433B-A052-191F947CCBA0}"/>
    <dataValidation allowBlank="1" showInputMessage="1" showErrorMessage="1" prompt="As interest is not payable for the remainder of the year where a loan is fully repaid, there may be a shortfall compared to the minimum repayment.  That under-repayment does not breach Division 7A and can be ignored." sqref="I99" xr:uid="{CE4CB806-84D1-4450-B6B6-D71BE17C26BA}"/>
    <dataValidation allowBlank="1" showInputMessage="1" showErrorMessage="1" prompt="If the loan is an existing loan at the beginning of the year, any drawdowns will become a new loan. Use these cells for new loans only._x000a_" sqref="G63:G88" xr:uid="{81F96081-E0ED-4594-B861-5E238F3C6B68}"/>
    <dataValidation allowBlank="1" showInputMessage="1" showErrorMessage="1" prompt="If the loan is repaid in full before the end of the year, the minimum repayment is the principal plus interest calculated to the date of the repayment. That amount will be less than the amount shown here." sqref="J44" xr:uid="{04C31422-A90D-4EB0-BA03-6FDFCC120342}"/>
    <dataValidation type="list" allowBlank="1" showInputMessage="1" showErrorMessage="1" sqref="I34:J34 G34:H35 F35" xr:uid="{D4658813-3572-4924-801E-3191BAEB732A}">
      <formula1>CategoryList</formula1>
    </dataValidation>
    <dataValidation type="list" allowBlank="1" showInputMessage="1" showErrorMessage="1" sqref="F34" xr:uid="{DE2A7C17-FE28-4333-A850-4341A1A4AE79}">
      <formula1>CategoryList</formula1>
    </dataValidation>
  </dataValidations>
  <hyperlinks>
    <hyperlink ref="L4" location="'G31 Div 7A Loan Calculator (1)'!Go_Index" tooltip="Go to Record" display="Show Record" xr:uid="{D779F900-6379-4117-9BAF-78294AFEFDC6}"/>
    <hyperlink ref="O6" location="'G31 Div 7A Loan Calculator (1)'!Go_RefreshSummary" tooltip="Refresh Summary" display="Refresh" xr:uid="{121E6628-2CF3-4043-95FC-8A1A1FF71936}"/>
    <hyperlink ref="F11:L11" r:id="rId1" tooltip="Go to ITAA Act 1936 s109R" display="ATO Section 109R Some Payments Relating to Loans not Taken into Account" xr:uid="{AC0132C1-4580-4E55-B41B-C5FF80C70491}"/>
    <hyperlink ref="F12:L12" r:id="rId2" tooltip="Go to ATO website" display="ATO Division 7A and trusts" xr:uid="{82EE9DF8-FECB-460A-902C-B9203C73A28D}"/>
    <hyperlink ref="F13:L13" r:id="rId3" tooltip="Go to ATO website" display="ATO Division 7A calculator and decision tool" xr:uid="{F71D817D-5EBF-4680-969D-AD761F0A7B4B}"/>
    <hyperlink ref="A15:G15" location="'G31 Div 7A Loan Calculator (1)'!Go_RollUp_03" tooltip="Show/hide cells" display="'Div 7A Calculator'!Go_RollUp_03" xr:uid="{6FBD6456-0B21-4E32-8DD5-6E10F4415BD0}"/>
    <hyperlink ref="A55:G55" location="'G31 Div 7A Loan Calculator (1)'!Go_RollUp_06" tooltip="Show/hide cells" display="'Div 7A Calculator'!Go_RollUp_06" xr:uid="{93E8B187-70E8-4B46-B3C5-A7BB16056A0A}"/>
    <hyperlink ref="A93:G93" location="'G31 Div 7A Loan Calculator (1)'!Go_RollUp_07" tooltip="Show/hide cells" display="'Div 7A Calculator'!Go_RollUp_07" xr:uid="{60E61E28-1FC9-448F-87D9-ACF8CC7BE437}"/>
    <hyperlink ref="A10" location="'G31 Div 7A Loan Calculator (1)'!Go_RollUp_01" tooltip="Show/hide" display="'Div 7A Calculator'!Go_RollUp_01" xr:uid="{0C20D4D7-95BB-4EC7-BD34-535DF690F784}"/>
    <hyperlink ref="L6" location="'G31 Div 7A Loan Calculator (1)'!Go_Variance_01" tooltip="Go to Reconciliation" display="'Div 7A Calculator'!Go_Variance_01" xr:uid="{2DF42BE1-44E1-4167-98CB-ADE9BFDA5AC7}"/>
    <hyperlink ref="O6:P6" location="'G31 Div 7A Loan Calculator (1)'!Go_RefreshSummary" tooltip="Refresh the G32 Division 7A Summary worksheet" display="P Refresh" xr:uid="{1D60B737-C364-490D-A164-8417D8E37935}"/>
  </hyperlinks>
  <pageMargins left="0.74803149606299213" right="0.74803149606299213" top="0.98425196850393704" bottom="0.98425196850393704" header="0.51181102362204722" footer="0.51181102362204722"/>
  <pageSetup paperSize="9" scale="59" fitToHeight="3" orientation="portrait" horizontalDpi="300" verticalDpi="300" r:id="rId4"/>
  <headerFooter alignWithMargins="0">
    <oddFooter>&amp;L&amp;F
Copyright(c) 2005-Present Business Fitness Pty Ltd&amp;R&amp;A  Page   &amp;"Arial,Regular"&amp;P</oddFooter>
  </headerFooter>
  <rowBreaks count="2" manualBreakCount="2">
    <brk id="54" min="1" max="11" man="1"/>
    <brk id="92" min="1" max="11" man="1"/>
  </rowBreaks>
  <customProperties>
    <customPr name="SheetId" r:id="rId5"/>
    <customPr name="SheetName" r:id="rId6"/>
  </customProperties>
  <extLst>
    <ext xmlns:x15="http://schemas.microsoft.com/office/spreadsheetml/2010/11/main" uri="{F7C9EE02-42E1-4005-9D12-6889AFFD525C}">
      <x15:webExtensions xmlns:xm="http://schemas.microsoft.com/office/excel/2006/main">
        <x15:webExtension appRef="{35C39D9C-2A89-4281-8DFC-8E0E5A450380}">
          <xm:f>'G31 Div 7A Loan Calculator (1)'!G31_LoanBalance</xm:f>
        </x15:webExtension>
        <x15:webExtension appRef="{7A155A13-F09A-4679-849C-6D44490CE27A}">
          <xm:f>'G31 Div 7A Loan Calculator (1)'!Reconcile_LoanBalance</xm:f>
        </x15:webExtension>
      </x15:webExtens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B7CD1-0B57-45AB-AE62-8090426B1714}">
  <sheetPr>
    <pageSetUpPr autoPageBreaks="0" fitToPage="1"/>
  </sheetPr>
  <dimension ref="A1:Z203"/>
  <sheetViews>
    <sheetView showGridLines="0" topLeftCell="A2" zoomScaleNormal="100" workbookViewId="0">
      <selection activeCell="A2" sqref="A2"/>
    </sheetView>
  </sheetViews>
  <sheetFormatPr defaultColWidth="8.85546875" defaultRowHeight="15"/>
  <cols>
    <col min="1" max="1" width="4.28515625" style="65" customWidth="1"/>
    <col min="2" max="2" width="1.28515625" style="65" customWidth="1"/>
    <col min="3" max="3" width="34.42578125" style="133" hidden="1" customWidth="1"/>
    <col min="4" max="4" width="65.85546875" style="282" customWidth="1"/>
    <col min="5" max="5" width="31.140625" style="891" hidden="1" customWidth="1"/>
    <col min="6" max="6" width="4.28515625" style="65" customWidth="1"/>
    <col min="7" max="8" width="15.7109375" style="65" customWidth="1"/>
    <col min="9" max="9" width="4.28515625" style="287" customWidth="1"/>
    <col min="10" max="10" width="15.7109375" style="65" customWidth="1"/>
    <col min="11" max="11" width="1.42578125" style="65" customWidth="1"/>
    <col min="12" max="12" width="15" style="257" customWidth="1"/>
    <col min="13" max="14" width="4.28515625" style="65" customWidth="1"/>
    <col min="15" max="18" width="15.7109375" style="65" hidden="1" customWidth="1"/>
    <col min="19" max="19" width="35.85546875" style="65" hidden="1" customWidth="1"/>
    <col min="20" max="20" width="19.85546875" style="65" hidden="1" customWidth="1"/>
    <col min="21" max="23" width="7.85546875" style="65" hidden="1" customWidth="1"/>
    <col min="24" max="24" width="4.28515625" style="65" hidden="1" customWidth="1"/>
    <col min="25" max="26" width="15.7109375" style="133" customWidth="1"/>
    <col min="27" max="16384" width="8.85546875" style="65"/>
  </cols>
  <sheetData>
    <row r="1" spans="1:26" s="133" customFormat="1" ht="12.75" hidden="1">
      <c r="D1" s="1048" t="s">
        <v>1314</v>
      </c>
      <c r="E1" s="891"/>
      <c r="G1" s="268" t="s">
        <v>179</v>
      </c>
      <c r="H1" s="133" t="s">
        <v>318</v>
      </c>
      <c r="I1" s="287"/>
      <c r="L1" s="1047"/>
    </row>
    <row r="2" spans="1:26" ht="7.5" customHeight="1">
      <c r="D2" s="417"/>
      <c r="E2" s="1046"/>
    </row>
    <row r="3" spans="1:26" s="1028" customFormat="1" ht="24.95" customHeight="1">
      <c r="A3" s="118"/>
      <c r="B3" s="1027"/>
      <c r="D3" s="417" t="s">
        <v>1313</v>
      </c>
      <c r="E3" s="1045"/>
      <c r="H3"/>
      <c r="I3" s="1030"/>
      <c r="J3" s="1049" t="s">
        <v>174</v>
      </c>
      <c r="M3" s="1024"/>
      <c r="O3" s="1025"/>
      <c r="P3" s="1029"/>
      <c r="Q3" s="1029"/>
      <c r="R3" s="1029"/>
      <c r="Y3" s="1029"/>
      <c r="Z3" s="1029"/>
    </row>
    <row r="4" spans="1:26" s="1028" customFormat="1" ht="22.5" customHeight="1" thickBot="1">
      <c r="A4" s="118"/>
      <c r="B4" s="1027"/>
      <c r="D4" s="1044" t="str">
        <f>_xlfn.TEXTJOIN(" ",1,IFERROR(_xlfn.SINGLE(Cl_Name),"Client Name"),IF(IFERROR(_xlfn.SINGLE(Cl_Code),"")="","","("&amp;_xlfn.SINGLE(Cl_Code)&amp;")"))</f>
        <v>Springrange Holdings Pty Ltd (MuM001)</v>
      </c>
      <c r="E4" s="1043"/>
      <c r="F4" s="1042"/>
      <c r="G4" s="1042"/>
      <c r="I4" s="1030"/>
      <c r="L4" s="65"/>
      <c r="O4" s="1025"/>
      <c r="P4" s="1025"/>
      <c r="Q4" s="1029"/>
      <c r="R4" s="1029"/>
      <c r="Y4" s="1029"/>
      <c r="Z4" s="1029"/>
    </row>
    <row r="5" spans="1:26" s="1028" customFormat="1" ht="22.5" customHeight="1">
      <c r="A5" s="118"/>
      <c r="B5" s="1027"/>
      <c r="D5" s="1041">
        <f>IFERROR(_xlfn.SINGLE(PeriodEndDate),DATE(1901,1,1))</f>
        <v>45473</v>
      </c>
      <c r="E5" s="1040"/>
      <c r="F5" s="1039"/>
      <c r="G5" s="1039"/>
      <c r="I5" s="1038"/>
      <c r="J5" s="1037"/>
      <c r="K5" s="1036"/>
      <c r="L5" s="65"/>
      <c r="M5" s="1035">
        <f>IFERROR(_xlfn.SINGLE(Options_Tolerance),0.01)</f>
        <v>0.01</v>
      </c>
      <c r="O5" s="1029"/>
      <c r="P5" s="1029"/>
      <c r="Q5" s="1029"/>
      <c r="R5" s="1029"/>
      <c r="Y5" s="1029"/>
      <c r="Z5" s="1029"/>
    </row>
    <row r="6" spans="1:26" s="1028" customFormat="1" ht="7.5" customHeight="1">
      <c r="A6" s="118"/>
      <c r="B6" s="726"/>
      <c r="C6" s="117"/>
      <c r="D6" s="117"/>
      <c r="E6" s="1034"/>
      <c r="F6" s="117"/>
      <c r="G6" s="1032"/>
      <c r="H6" s="1032"/>
      <c r="I6" s="1033"/>
      <c r="J6" s="1032"/>
      <c r="K6" s="1032"/>
      <c r="O6" s="1029"/>
      <c r="P6" s="1029"/>
      <c r="Q6" s="1029"/>
      <c r="R6" s="1029"/>
      <c r="Y6" s="1029"/>
      <c r="Z6" s="1029"/>
    </row>
    <row r="7" spans="1:26" s="1028" customFormat="1" ht="7.15" customHeight="1">
      <c r="B7" s="1027"/>
      <c r="E7" s="1031"/>
      <c r="I7" s="1030"/>
      <c r="O7" s="1029"/>
      <c r="P7" s="1029"/>
      <c r="Q7" s="1029"/>
      <c r="R7" s="1029"/>
      <c r="Y7" s="1029"/>
      <c r="Z7" s="1029"/>
    </row>
    <row r="8" spans="1:26" s="1024" customFormat="1" ht="17.25" customHeight="1">
      <c r="B8" s="1027"/>
      <c r="D8" s="1420" t="s">
        <v>1312</v>
      </c>
      <c r="E8" s="1420"/>
      <c r="F8" s="1420"/>
      <c r="G8" s="1420"/>
      <c r="H8" s="1420"/>
      <c r="I8" s="1420"/>
      <c r="J8" s="1420"/>
      <c r="K8" s="1026"/>
      <c r="L8" s="1026"/>
      <c r="O8" s="1025"/>
      <c r="P8" s="1025"/>
      <c r="Q8" s="1025"/>
      <c r="R8" s="1025"/>
      <c r="Y8" s="1025"/>
      <c r="Z8" s="1025"/>
    </row>
    <row r="9" spans="1:26" ht="30" customHeight="1">
      <c r="A9" s="277"/>
      <c r="D9" s="1421" t="s">
        <v>1311</v>
      </c>
      <c r="E9" s="1421"/>
      <c r="F9" s="1421"/>
      <c r="G9" s="1421"/>
      <c r="H9" s="1421"/>
      <c r="I9" s="1421"/>
      <c r="J9" s="1421"/>
      <c r="K9" s="1023"/>
      <c r="L9" s="1023"/>
      <c r="M9" s="355"/>
    </row>
    <row r="10" spans="1:26" ht="17.25" customHeight="1">
      <c r="A10" s="277"/>
      <c r="D10" s="1422" t="s">
        <v>1310</v>
      </c>
      <c r="E10" s="1422"/>
      <c r="F10" s="1422"/>
      <c r="G10" s="1422"/>
      <c r="H10" s="1422"/>
      <c r="I10" s="1422"/>
      <c r="J10" s="1422"/>
      <c r="K10" s="1022"/>
      <c r="L10" s="1022"/>
      <c r="M10" s="355"/>
    </row>
    <row r="11" spans="1:26" ht="17.25" customHeight="1">
      <c r="A11" s="277"/>
      <c r="D11" s="1422" t="s">
        <v>1309</v>
      </c>
      <c r="E11" s="1422"/>
      <c r="F11" s="1422"/>
      <c r="G11" s="1422"/>
      <c r="H11" s="1422"/>
      <c r="I11" s="1422"/>
      <c r="J11" s="1422"/>
      <c r="K11" s="1022"/>
      <c r="L11" s="1022"/>
      <c r="M11" s="355"/>
    </row>
    <row r="12" spans="1:26" ht="17.25" customHeight="1"/>
    <row r="13" spans="1:26" ht="17.25" customHeight="1">
      <c r="A13" s="277"/>
      <c r="H13" s="355"/>
      <c r="I13" s="1018" t="s">
        <v>1308</v>
      </c>
      <c r="J13" s="1020"/>
      <c r="K13" s="1019"/>
      <c r="L13" s="355"/>
      <c r="M13" s="355"/>
    </row>
    <row r="14" spans="1:26" ht="7.5" customHeight="1">
      <c r="A14" s="277"/>
      <c r="H14" s="355"/>
      <c r="I14" s="1018"/>
      <c r="K14" s="355"/>
      <c r="L14" s="355"/>
      <c r="M14" s="355"/>
    </row>
    <row r="15" spans="1:26" ht="17.25" customHeight="1">
      <c r="I15" s="1018" t="s">
        <v>1307</v>
      </c>
      <c r="J15" s="1017">
        <f>IFERROR(YEAR(D5),"")</f>
        <v>2024</v>
      </c>
      <c r="K15" s="1014"/>
      <c r="L15" s="1014"/>
      <c r="M15" s="1014"/>
      <c r="N15" s="1014"/>
      <c r="O15" s="999"/>
      <c r="P15" s="999"/>
      <c r="Q15" s="999"/>
      <c r="R15" s="999"/>
      <c r="S15" s="999"/>
      <c r="T15" s="999"/>
      <c r="U15" s="999"/>
      <c r="V15" s="999"/>
      <c r="W15" s="999"/>
      <c r="Y15" s="32"/>
    </row>
    <row r="16" spans="1:26" ht="17.25" customHeight="1"/>
    <row r="17" spans="1:26" ht="30" customHeight="1">
      <c r="G17" s="1418">
        <v>2024</v>
      </c>
      <c r="H17" s="1419"/>
      <c r="I17" s="1016"/>
      <c r="J17" s="1015">
        <v>2023</v>
      </c>
      <c r="K17" s="1014"/>
      <c r="L17" s="1015" t="s">
        <v>1306</v>
      </c>
      <c r="M17" s="1014"/>
      <c r="N17" s="1014"/>
      <c r="O17" s="1000" t="s">
        <v>1305</v>
      </c>
      <c r="P17" s="1000" t="s">
        <v>1304</v>
      </c>
      <c r="Q17" s="1000" t="s">
        <v>379</v>
      </c>
      <c r="R17" s="1000" t="s">
        <v>1303</v>
      </c>
      <c r="S17" s="1000" t="s">
        <v>1302</v>
      </c>
      <c r="T17" s="1000" t="s">
        <v>1301</v>
      </c>
      <c r="U17" s="1000" t="s">
        <v>1300</v>
      </c>
      <c r="V17" s="1000" t="s">
        <v>1299</v>
      </c>
      <c r="W17" s="1000" t="s">
        <v>1298</v>
      </c>
      <c r="Y17" s="1412" t="s">
        <v>155</v>
      </c>
      <c r="Z17" s="1413"/>
    </row>
    <row r="18" spans="1:26" ht="8.25" customHeight="1">
      <c r="G18" s="1014"/>
      <c r="H18" s="1014"/>
      <c r="J18" s="1014"/>
      <c r="K18" s="1014"/>
      <c r="L18" s="1014"/>
      <c r="M18" s="1014"/>
      <c r="N18" s="1014"/>
      <c r="O18" s="999"/>
      <c r="P18" s="999"/>
      <c r="Q18" s="999"/>
      <c r="R18" s="999"/>
      <c r="S18" s="999"/>
      <c r="T18" s="999"/>
      <c r="U18" s="999"/>
      <c r="V18" s="999"/>
      <c r="W18" s="999"/>
      <c r="Y18" s="32"/>
    </row>
    <row r="19" spans="1:26" ht="7.5" customHeight="1"/>
    <row r="20" spans="1:26" s="1006" customFormat="1" ht="22.5" customHeight="1">
      <c r="A20" s="955" t="str">
        <f>IF(SUBTOTAL(103,A21),"-","+")</f>
        <v>-</v>
      </c>
      <c r="B20" s="938"/>
      <c r="C20" s="937"/>
      <c r="D20" s="935" t="s">
        <v>1297</v>
      </c>
      <c r="E20" s="936"/>
      <c r="F20" s="935"/>
      <c r="G20" s="935"/>
      <c r="H20" s="935"/>
      <c r="I20" s="1013"/>
      <c r="J20" s="1012"/>
      <c r="K20" s="931"/>
      <c r="L20" s="940"/>
      <c r="M20" s="931"/>
      <c r="N20" s="931"/>
      <c r="O20" s="1011"/>
      <c r="P20" s="1011"/>
      <c r="Q20" s="1011"/>
      <c r="R20" s="1011"/>
      <c r="S20" s="1011"/>
      <c r="T20" s="1011"/>
      <c r="U20" s="1011"/>
      <c r="V20" s="1011"/>
      <c r="W20" s="1011"/>
      <c r="Y20" s="967"/>
      <c r="Z20" s="133"/>
    </row>
    <row r="21" spans="1:26" s="1006" customFormat="1" ht="7.5" customHeight="1">
      <c r="A21" s="1006" t="s">
        <v>58</v>
      </c>
      <c r="B21" s="1010"/>
      <c r="C21" s="980"/>
      <c r="D21" s="1009"/>
      <c r="E21" s="891"/>
      <c r="F21" s="1007"/>
      <c r="G21" s="1007"/>
      <c r="H21" s="1007"/>
      <c r="I21" s="998"/>
      <c r="J21" s="1007"/>
      <c r="K21" s="1007"/>
      <c r="L21" s="1008"/>
      <c r="M21" s="1007"/>
      <c r="N21" s="1007"/>
      <c r="Y21" s="988"/>
      <c r="Z21" s="133"/>
    </row>
    <row r="22" spans="1:26" s="999" customFormat="1" ht="17.25" customHeight="1">
      <c r="B22" s="1001"/>
      <c r="C22" s="1005"/>
      <c r="D22" s="1004" t="s">
        <v>1296</v>
      </c>
      <c r="E22" s="1003"/>
      <c r="F22" s="992"/>
      <c r="G22" s="992"/>
      <c r="H22" s="992"/>
      <c r="I22" s="1002"/>
      <c r="J22" s="992"/>
      <c r="K22" s="989"/>
      <c r="L22" s="1001"/>
      <c r="M22" s="989"/>
      <c r="N22" s="989"/>
      <c r="Y22" s="1000"/>
      <c r="Z22" s="1000"/>
    </row>
    <row r="23" spans="1:26" ht="7.5" customHeight="1">
      <c r="B23" s="403"/>
      <c r="C23" s="901"/>
      <c r="D23" s="867"/>
      <c r="E23" s="892"/>
      <c r="F23" s="570"/>
      <c r="G23" s="570"/>
      <c r="H23" s="570"/>
      <c r="I23" s="998"/>
      <c r="J23" s="570"/>
      <c r="K23" s="403"/>
      <c r="L23" s="956"/>
      <c r="M23" s="403"/>
      <c r="N23" s="403"/>
      <c r="Y23" s="997"/>
    </row>
    <row r="24" spans="1:26" ht="17.25" customHeight="1" thickBot="1">
      <c r="A24" s="996"/>
      <c r="B24" s="403"/>
      <c r="C24" s="901" t="s">
        <v>1295</v>
      </c>
      <c r="D24" s="905" t="s">
        <v>1294</v>
      </c>
      <c r="E24" s="892" t="s">
        <v>1293</v>
      </c>
      <c r="F24" s="570"/>
      <c r="G24" s="914"/>
      <c r="H24" s="913">
        <f t="shared" ref="H24:H36" si="0">ROUND(IF(L24="Summary sheet",O24, IF(L24="Worksheet",P24, IF(L24="Ledger",Q24,G24))),0)</f>
        <v>0</v>
      </c>
      <c r="I24" s="919" t="s">
        <v>893</v>
      </c>
      <c r="J24" s="914"/>
      <c r="K24" s="403"/>
      <c r="L24" s="911" t="str" cm="1">
        <f t="array" ref="L24">_xlfn.IFS(G24&lt;&gt;0,"Manual", O24&lt;&gt;0,"Summary Sheet",P24&lt;&gt;0,"Worksheet",IFERROR(Q24&lt;&gt;0,0),"Ledger",TRUE,"Manual")</f>
        <v>Manual</v>
      </c>
      <c r="M24" s="989"/>
      <c r="N24" s="403"/>
      <c r="O24" s="995"/>
      <c r="P24" s="908"/>
      <c r="Q24" s="908">
        <f t="shared" ref="Q24:Q36" si="1">_xlfn.SINGLE(IF(ISBLANK(R24)=FALSE, R24,     IF(AND(ISBLANK(U24)=FALSE,ISBLANK(V24)=FALSE),SUMIFS(Tx_LedgerReport.TaxonomyBalancesDrCr,Tx_LedgerReport.TaxonomyNames,S24,Tx_LedgerReport.PPs,U24,Tx_LedgerReport.NonDeductibles,V24),         IF(ISBLANK(V24)=FALSE,SUMIFS(Tx_LedgerReport.TaxonomyBalancesDrCr,Tx_LedgerReport.TaxonomyNames,S24,Tx_LedgerReport.NonDeductibles,V24),     IF(ISBLANK(U24)=FALSE,SUMIFS(Tx_LedgerReport.TaxonomyBalancesDrCr,Tx_LedgerReport.TaxonomyNames,S24,Tx_LedgerReport.PPs,U24),            SUMIF(Tx_LedgerReport.TaxonomyNames,S24,Tx_LedgerReport.TaxonomyBalancesDrCr))))))       *       IF(W24=TRUE,-1,1)+T24</f>
        <v>0</v>
      </c>
      <c r="R24" s="907"/>
      <c r="S24" s="906" t="s">
        <v>1292</v>
      </c>
      <c r="T24" s="906"/>
      <c r="U24" s="906"/>
      <c r="V24" s="906"/>
      <c r="W24" s="906" t="b">
        <v>1</v>
      </c>
      <c r="Y24" s="23"/>
      <c r="Z24" s="22"/>
    </row>
    <row r="25" spans="1:26" ht="17.25" customHeight="1">
      <c r="B25" s="403"/>
      <c r="C25" s="901" t="s">
        <v>1291</v>
      </c>
      <c r="D25" s="905" t="s">
        <v>1290</v>
      </c>
      <c r="E25" s="892" t="s">
        <v>1289</v>
      </c>
      <c r="F25" s="570"/>
      <c r="G25" s="914"/>
      <c r="H25" s="913">
        <f t="shared" si="0"/>
        <v>0</v>
      </c>
      <c r="I25" s="919" t="s">
        <v>899</v>
      </c>
      <c r="J25" s="914"/>
      <c r="K25" s="403"/>
      <c r="L25" s="911" t="str" cm="1">
        <f t="array" ref="L25">_xlfn.IFS(G25&lt;&gt;0,"Manual", O25&lt;&gt;0,"Summary Sheet",P25&lt;&gt;0,"Worksheet",IFERROR(Q25&lt;&gt;0,0),"Ledger",TRUE,"Manual")</f>
        <v>Manual</v>
      </c>
      <c r="M25" s="989"/>
      <c r="N25" s="403"/>
      <c r="O25" s="995"/>
      <c r="P25" s="908"/>
      <c r="Q25" s="908">
        <f t="shared" si="1"/>
        <v>0</v>
      </c>
      <c r="R25" s="907"/>
      <c r="S25" s="906" t="s">
        <v>1288</v>
      </c>
      <c r="T25" s="906"/>
      <c r="U25" s="906"/>
      <c r="V25" s="906"/>
      <c r="W25" s="906" t="b">
        <v>1</v>
      </c>
      <c r="Y25" s="23"/>
      <c r="Z25" s="22"/>
    </row>
    <row r="26" spans="1:26" ht="17.25" customHeight="1">
      <c r="B26" s="403"/>
      <c r="C26" s="901" t="s">
        <v>1287</v>
      </c>
      <c r="D26" s="905" t="s">
        <v>1286</v>
      </c>
      <c r="E26" s="892" t="s">
        <v>1285</v>
      </c>
      <c r="F26" s="570"/>
      <c r="G26" s="914"/>
      <c r="H26" s="913">
        <f t="shared" si="0"/>
        <v>137947</v>
      </c>
      <c r="I26" s="919" t="s">
        <v>889</v>
      </c>
      <c r="J26" s="914"/>
      <c r="K26" s="403"/>
      <c r="L26" s="911" t="str" cm="1">
        <f t="array" ref="L26">_xlfn.IFS(G26&lt;&gt;0,"Manual", O26&lt;&gt;0,"Summary Sheet",P26&lt;&gt;0,"Worksheet",IFERROR(Q26&lt;&gt;0,0),"Ledger",TRUE,"Manual")</f>
        <v>Ledger</v>
      </c>
      <c r="M26" s="910" t="s">
        <v>284</v>
      </c>
      <c r="N26" s="403"/>
      <c r="O26" s="995"/>
      <c r="P26" s="908">
        <f>SUMIF(SheetNamedRangesNames,"M35_SalesThisYr",SheetNamedRangesValues)</f>
        <v>0</v>
      </c>
      <c r="Q26" s="908">
        <f t="shared" si="1"/>
        <v>137947.41999999998</v>
      </c>
      <c r="R26" s="907"/>
      <c r="S26" s="906" t="s">
        <v>1284</v>
      </c>
      <c r="T26" s="906"/>
      <c r="U26" s="906"/>
      <c r="V26" s="906"/>
      <c r="W26" s="906" t="b">
        <v>1</v>
      </c>
      <c r="Y26" s="23"/>
      <c r="Z26" s="22"/>
    </row>
    <row r="27" spans="1:26" ht="17.25" customHeight="1">
      <c r="B27" s="403"/>
      <c r="C27" s="901" t="s">
        <v>1283</v>
      </c>
      <c r="D27" s="905" t="s">
        <v>1282</v>
      </c>
      <c r="E27" s="892" t="s">
        <v>1281</v>
      </c>
      <c r="F27" s="570"/>
      <c r="G27" s="914"/>
      <c r="H27" s="913">
        <f t="shared" si="0"/>
        <v>0</v>
      </c>
      <c r="I27" s="919" t="s">
        <v>882</v>
      </c>
      <c r="J27" s="914"/>
      <c r="K27" s="403"/>
      <c r="L27" s="911" t="str" cm="1">
        <f t="array" ref="L27">_xlfn.IFS(G27&lt;&gt;0,"Manual", O27&lt;&gt;0,"Summary Sheet",P27&lt;&gt;0,"Worksheet",IFERROR(Q27&lt;&gt;0,0),"Ledger",TRUE,"Manual")</f>
        <v>Manual</v>
      </c>
      <c r="M27" s="910" t="s">
        <v>284</v>
      </c>
      <c r="N27" s="403"/>
      <c r="O27" s="908"/>
      <c r="P27" s="908">
        <f>SUMIF(SheetNamedRangesNames,"M07_CashDistGross_Partnership",SheetNamedRangesValues)</f>
        <v>0</v>
      </c>
      <c r="Q27" s="908">
        <f t="shared" si="1"/>
        <v>0</v>
      </c>
      <c r="R27" s="907"/>
      <c r="S27" s="906" t="s">
        <v>1280</v>
      </c>
      <c r="T27" s="906"/>
      <c r="U27" s="906"/>
      <c r="V27" s="906"/>
      <c r="W27" s="906" t="b">
        <v>1</v>
      </c>
      <c r="Y27" s="23"/>
      <c r="Z27" s="22"/>
    </row>
    <row r="28" spans="1:26" ht="17.25" customHeight="1">
      <c r="B28" s="403"/>
      <c r="C28" s="901" t="s">
        <v>1279</v>
      </c>
      <c r="D28" s="905" t="s">
        <v>1278</v>
      </c>
      <c r="E28" s="892" t="s">
        <v>1277</v>
      </c>
      <c r="F28" s="570"/>
      <c r="G28" s="914"/>
      <c r="H28" s="913">
        <f t="shared" si="0"/>
        <v>0</v>
      </c>
      <c r="I28" s="919" t="s">
        <v>875</v>
      </c>
      <c r="J28" s="914"/>
      <c r="K28" s="403"/>
      <c r="L28" s="911" t="str" cm="1">
        <f t="array" ref="L28">_xlfn.IFS(G28&lt;&gt;0,"Manual", O28&lt;&gt;0,"Summary Sheet",P28&lt;&gt;0,"Worksheet",IFERROR(Q28&lt;&gt;0,0),"Ledger",TRUE,"Manual")</f>
        <v>Manual</v>
      </c>
      <c r="M28" s="910" t="s">
        <v>284</v>
      </c>
      <c r="N28" s="403"/>
      <c r="O28" s="908"/>
      <c r="P28" s="908">
        <f>SUMIF(SheetNamedRangesNames,"M07_CashDistGross_Trust",SheetNamedRangesValues)</f>
        <v>0</v>
      </c>
      <c r="Q28" s="908">
        <f t="shared" si="1"/>
        <v>0</v>
      </c>
      <c r="R28" s="907"/>
      <c r="S28" s="906" t="s">
        <v>1276</v>
      </c>
      <c r="T28" s="906"/>
      <c r="U28" s="906"/>
      <c r="V28" s="906"/>
      <c r="W28" s="906" t="b">
        <v>1</v>
      </c>
      <c r="Y28" s="23"/>
      <c r="Z28" s="22"/>
    </row>
    <row r="29" spans="1:26" ht="17.25" customHeight="1">
      <c r="B29" s="403"/>
      <c r="C29" s="901" t="s">
        <v>1275</v>
      </c>
      <c r="D29" s="905" t="s">
        <v>1274</v>
      </c>
      <c r="E29" s="892" t="s">
        <v>1273</v>
      </c>
      <c r="F29" s="570"/>
      <c r="G29" s="914"/>
      <c r="H29" s="913">
        <f t="shared" si="0"/>
        <v>0</v>
      </c>
      <c r="I29" s="919" t="s">
        <v>1009</v>
      </c>
      <c r="J29" s="914"/>
      <c r="K29" s="403"/>
      <c r="L29" s="911" t="str" cm="1">
        <f t="array" ref="L29">_xlfn.IFS(G29&lt;&gt;0,"Manual", O29&lt;&gt;0,"Summary Sheet",P29&lt;&gt;0,"Worksheet",IFERROR(Q29&lt;&gt;0,0),"Ledger",TRUE,"Manual")</f>
        <v>Manual</v>
      </c>
      <c r="M29" s="989"/>
      <c r="N29" s="403"/>
      <c r="O29" s="908"/>
      <c r="P29" s="908"/>
      <c r="Q29" s="908">
        <f t="shared" si="1"/>
        <v>0</v>
      </c>
      <c r="R29" s="907"/>
      <c r="S29" s="906" t="s">
        <v>1272</v>
      </c>
      <c r="T29" s="906"/>
      <c r="U29" s="906"/>
      <c r="V29" s="906"/>
      <c r="W29" s="906" t="b">
        <v>1</v>
      </c>
      <c r="Y29" s="23"/>
      <c r="Z29" s="22"/>
    </row>
    <row r="30" spans="1:26" ht="17.25" customHeight="1">
      <c r="B30" s="403"/>
      <c r="C30" s="901" t="s">
        <v>1271</v>
      </c>
      <c r="D30" s="905" t="s">
        <v>1270</v>
      </c>
      <c r="E30" s="892" t="s">
        <v>1269</v>
      </c>
      <c r="F30" s="570"/>
      <c r="G30" s="914"/>
      <c r="H30" s="913">
        <f t="shared" si="0"/>
        <v>0</v>
      </c>
      <c r="I30" s="919" t="s">
        <v>868</v>
      </c>
      <c r="J30" s="914"/>
      <c r="K30" s="403"/>
      <c r="L30" s="911" t="str" cm="1">
        <f t="array" ref="L30">_xlfn.IFS(G30&lt;&gt;0,"Manual", O30&lt;&gt;0,"Summary Sheet",P30&lt;&gt;0,"Worksheet",IFERROR(Q30&lt;&gt;0,0),"Ledger",TRUE,"Manual")</f>
        <v>Manual</v>
      </c>
      <c r="M30" s="910" t="s">
        <v>284</v>
      </c>
      <c r="N30" s="403"/>
      <c r="O30" s="908"/>
      <c r="P30" s="908">
        <f>SUMIF(SheetNamedRangesNames,"M15_GrossInterestBank",SheetNamedRangesValues)+SUMIF(SheetNamedRangesNames,"M15_GrossInterestOther",SheetNamedRangesValues)</f>
        <v>0</v>
      </c>
      <c r="Q30" s="908">
        <f t="shared" si="1"/>
        <v>0</v>
      </c>
      <c r="R30" s="907"/>
      <c r="S30" s="906" t="s">
        <v>1268</v>
      </c>
      <c r="T30" s="906"/>
      <c r="U30" s="906"/>
      <c r="V30" s="906"/>
      <c r="W30" s="906" t="b">
        <v>1</v>
      </c>
      <c r="Y30" s="23"/>
      <c r="Z30" s="22"/>
    </row>
    <row r="31" spans="1:26" ht="17.25" customHeight="1">
      <c r="B31" s="403"/>
      <c r="C31" s="901" t="s">
        <v>1267</v>
      </c>
      <c r="D31" s="905" t="s">
        <v>1266</v>
      </c>
      <c r="E31" s="892" t="s">
        <v>1265</v>
      </c>
      <c r="F31" s="570"/>
      <c r="G31" s="914"/>
      <c r="H31" s="913">
        <f t="shared" si="0"/>
        <v>0</v>
      </c>
      <c r="I31" s="919" t="s">
        <v>860</v>
      </c>
      <c r="J31" s="914"/>
      <c r="K31" s="403"/>
      <c r="L31" s="911" t="str" cm="1">
        <f t="array" ref="L31">_xlfn.IFS(G31&lt;&gt;0,"Manual", O31&lt;&gt;0,"Summary Sheet",P31&lt;&gt;0,"Worksheet",IFERROR(Q31&lt;&gt;0,0),"Ledger",TRUE,"Manual")</f>
        <v>Manual</v>
      </c>
      <c r="M31" s="910" t="s">
        <v>284</v>
      </c>
      <c r="N31" s="403"/>
      <c r="O31" s="908">
        <f>SUMIF(SheetNamedRangesNames,"M26_TotalIncome",SheetNamedRangesValues)</f>
        <v>0</v>
      </c>
      <c r="P31" s="908">
        <f>SUMIF(SheetNamedRangesNames,"M25_ClientRentProp1",SheetNamedRangesValues)</f>
        <v>0</v>
      </c>
      <c r="Q31" s="908">
        <f t="shared" si="1"/>
        <v>0</v>
      </c>
      <c r="R31" s="907"/>
      <c r="S31" s="906" t="s">
        <v>1264</v>
      </c>
      <c r="T31" s="906"/>
      <c r="U31" s="906"/>
      <c r="V31" s="906"/>
      <c r="W31" s="906" t="b">
        <v>1</v>
      </c>
      <c r="Y31" s="23"/>
      <c r="Z31" s="22"/>
    </row>
    <row r="32" spans="1:26" ht="17.25" customHeight="1">
      <c r="B32" s="403"/>
      <c r="C32" s="901" t="s">
        <v>1263</v>
      </c>
      <c r="D32" s="905" t="s">
        <v>1262</v>
      </c>
      <c r="E32" s="892" t="s">
        <v>1261</v>
      </c>
      <c r="F32" s="570"/>
      <c r="G32" s="914"/>
      <c r="H32" s="913">
        <f t="shared" si="0"/>
        <v>0</v>
      </c>
      <c r="I32" s="919" t="s">
        <v>857</v>
      </c>
      <c r="J32" s="914"/>
      <c r="K32" s="403"/>
      <c r="L32" s="911" t="str" cm="1">
        <f t="array" ref="L32">_xlfn.IFS(G32&lt;&gt;0,"Manual", O32&lt;&gt;0,"Summary Sheet",P32&lt;&gt;0,"Worksheet",IFERROR(Q32&lt;&gt;0,0),"Ledger",TRUE,"Manual")</f>
        <v>Manual</v>
      </c>
      <c r="M32" s="910" t="s">
        <v>284</v>
      </c>
      <c r="N32" s="403"/>
      <c r="O32" s="908"/>
      <c r="P32" s="908">
        <f>SUMIF(SheetNamedRangesNames,"M10_UnfrankedDividends",SheetNamedRangesValues)+SUMIF(SheetNamedRangesNames,"M10_FrankedDividends",SheetNamedRangesValues)</f>
        <v>0</v>
      </c>
      <c r="Q32" s="908">
        <f t="shared" si="1"/>
        <v>0</v>
      </c>
      <c r="R32" s="907">
        <f>SUMIF(Tx_LedgerReport.TaxonomyNames,"Inv.Rev.Dividends.Franked",Tx_LedgerReport.TaxonomyBalancesDrCr)+SUMIF(Tx_LedgerReport.TaxonomyNames,"Inv.Rev.Dividends.Unfranked",Tx_LedgerReport.TaxonomyBalancesDrCr)</f>
        <v>0</v>
      </c>
      <c r="S32" s="907"/>
      <c r="T32" s="907"/>
      <c r="U32" s="906"/>
      <c r="V32" s="906"/>
      <c r="W32" s="906" t="b">
        <v>1</v>
      </c>
      <c r="Y32" s="23"/>
      <c r="Z32" s="22"/>
    </row>
    <row r="33" spans="2:26" ht="17.25" customHeight="1">
      <c r="B33" s="403"/>
      <c r="C33" s="901" t="s">
        <v>1260</v>
      </c>
      <c r="D33" s="905" t="s">
        <v>1259</v>
      </c>
      <c r="E33" s="892" t="s">
        <v>1258</v>
      </c>
      <c r="F33" s="570"/>
      <c r="G33" s="914"/>
      <c r="H33" s="913">
        <f t="shared" si="0"/>
        <v>0</v>
      </c>
      <c r="I33" s="919" t="s">
        <v>829</v>
      </c>
      <c r="J33" s="914"/>
      <c r="K33" s="403"/>
      <c r="L33" s="911" t="str" cm="1">
        <f t="array" ref="L33">_xlfn.IFS(G33&lt;&gt;0,"Manual", O33&lt;&gt;0,"Summary Sheet",P33&lt;&gt;0,"Worksheet",IFERROR(Q33&lt;&gt;0,0),"Ledger",TRUE,"Manual")</f>
        <v>Manual</v>
      </c>
      <c r="M33" s="989"/>
      <c r="N33" s="403"/>
      <c r="O33" s="908"/>
      <c r="P33" s="908"/>
      <c r="Q33" s="908">
        <f t="shared" si="1"/>
        <v>0</v>
      </c>
      <c r="R33" s="907"/>
      <c r="S33" s="906" t="s">
        <v>1257</v>
      </c>
      <c r="T33" s="906"/>
      <c r="U33" s="906"/>
      <c r="V33" s="906"/>
      <c r="W33" s="906" t="b">
        <v>1</v>
      </c>
      <c r="Y33" s="23"/>
      <c r="Z33" s="22"/>
    </row>
    <row r="34" spans="2:26" ht="17.25" customHeight="1">
      <c r="B34" s="403"/>
      <c r="C34" s="901" t="s">
        <v>1256</v>
      </c>
      <c r="D34" s="905" t="s">
        <v>1255</v>
      </c>
      <c r="E34" s="892" t="s">
        <v>1254</v>
      </c>
      <c r="F34" s="570"/>
      <c r="G34" s="914"/>
      <c r="H34" s="913">
        <f t="shared" si="0"/>
        <v>0</v>
      </c>
      <c r="I34" s="919" t="s">
        <v>991</v>
      </c>
      <c r="J34" s="914"/>
      <c r="K34" s="403"/>
      <c r="L34" s="911" t="str" cm="1">
        <f t="array" ref="L34">_xlfn.IFS(G34&lt;&gt;0,"Manual", O34&lt;&gt;0,"Summary Sheet",P34&lt;&gt;0,"Worksheet",IFERROR(Q34&lt;&gt;0,0),"Ledger",TRUE,"Manual")</f>
        <v>Manual</v>
      </c>
      <c r="M34" s="989"/>
      <c r="N34" s="403"/>
      <c r="O34" s="908"/>
      <c r="P34" s="908"/>
      <c r="Q34" s="908">
        <f t="shared" si="1"/>
        <v>0</v>
      </c>
      <c r="R34" s="907"/>
      <c r="S34" s="906" t="s">
        <v>1253</v>
      </c>
      <c r="T34" s="906"/>
      <c r="U34" s="906"/>
      <c r="V34" s="906"/>
      <c r="W34" s="906" t="b">
        <v>1</v>
      </c>
      <c r="Y34" s="23"/>
      <c r="Z34" s="22"/>
    </row>
    <row r="35" spans="2:26" ht="17.25" customHeight="1">
      <c r="B35" s="403"/>
      <c r="C35" s="901" t="s">
        <v>1252</v>
      </c>
      <c r="D35" s="905" t="s">
        <v>1251</v>
      </c>
      <c r="E35" s="892" t="s">
        <v>1250</v>
      </c>
      <c r="F35" s="570"/>
      <c r="G35" s="914"/>
      <c r="H35" s="913">
        <f t="shared" si="0"/>
        <v>0</v>
      </c>
      <c r="I35" s="919" t="s">
        <v>927</v>
      </c>
      <c r="J35" s="914"/>
      <c r="K35" s="403"/>
      <c r="L35" s="911" t="str" cm="1">
        <f t="array" ref="L35">_xlfn.IFS(G35&lt;&gt;0,"Manual", O35&lt;&gt;0,"Summary Sheet",P35&lt;&gt;0,"Worksheet",IFERROR(Q35&lt;&gt;0,0),"Ledger",TRUE,"Manual")</f>
        <v>Manual</v>
      </c>
      <c r="M35" s="989"/>
      <c r="N35" s="403"/>
      <c r="O35" s="908"/>
      <c r="P35" s="908"/>
      <c r="Q35" s="908">
        <f t="shared" si="1"/>
        <v>0</v>
      </c>
      <c r="R35" s="907"/>
      <c r="S35" s="906" t="s">
        <v>1249</v>
      </c>
      <c r="T35" s="906"/>
      <c r="U35" s="906"/>
      <c r="V35" s="906"/>
      <c r="W35" s="906" t="b">
        <v>1</v>
      </c>
      <c r="Y35" s="23"/>
      <c r="Z35" s="22"/>
    </row>
    <row r="36" spans="2:26" ht="17.25" customHeight="1">
      <c r="B36" s="403"/>
      <c r="C36" s="901" t="s">
        <v>1248</v>
      </c>
      <c r="D36" s="905" t="s">
        <v>1247</v>
      </c>
      <c r="E36" s="892" t="s">
        <v>1246</v>
      </c>
      <c r="F36" s="570"/>
      <c r="G36" s="914"/>
      <c r="H36" s="913">
        <f t="shared" si="0"/>
        <v>0</v>
      </c>
      <c r="I36" s="919" t="s">
        <v>984</v>
      </c>
      <c r="J36" s="914"/>
      <c r="K36" s="403"/>
      <c r="L36" s="911" t="str" cm="1">
        <f t="array" ref="L36">_xlfn.IFS(G36&lt;&gt;0,"Manual", O36&lt;&gt;0,"Summary Sheet",P36&lt;&gt;0,"Worksheet",IFERROR(Q36&lt;&gt;0,0),"Ledger",TRUE,"Manual")</f>
        <v>Manual</v>
      </c>
      <c r="M36" s="910" t="s">
        <v>284</v>
      </c>
      <c r="N36" s="403"/>
      <c r="O36" s="908"/>
      <c r="P36" s="908">
        <f>SUMIF(SheetNamedRangesNames,"M20_OtherIncome",SheetNamedRangesValues)</f>
        <v>0</v>
      </c>
      <c r="Q36" s="908">
        <f t="shared" si="1"/>
        <v>0</v>
      </c>
      <c r="R36" s="907">
        <f>SUMIF(Tx_LedgerReport.TaxonomyNames,"Bus.Rev*",Tx_LedgerReport.TaxonomyBalancesDrCr)+SUMIF(Tx_LedgerReport.TaxonomyNames,"Rental.Rev*",Tx_LedgerReport.TaxonomyBalancesDrCr)+SUMIF(Tx_LedgerReport.TaxonomyNames,"Inv.Rev.*",Tx_LedgerReport.TaxonomyBalancesDrCr)</f>
        <v>-137947.41999999998</v>
      </c>
      <c r="S36" s="906"/>
      <c r="T36" s="984">
        <f>-SUM(Q24:Q35)</f>
        <v>-137947.41999999998</v>
      </c>
      <c r="U36" s="906"/>
      <c r="V36" s="906"/>
      <c r="W36" s="906" t="b">
        <v>1</v>
      </c>
      <c r="Y36" s="23"/>
      <c r="Z36" s="22"/>
    </row>
    <row r="37" spans="2:26" ht="7.5" customHeight="1">
      <c r="B37" s="403"/>
      <c r="C37" s="901"/>
      <c r="D37" s="867"/>
      <c r="E37" s="892"/>
      <c r="F37" s="570"/>
      <c r="G37" s="958"/>
      <c r="H37" s="243"/>
      <c r="I37" s="919"/>
      <c r="J37" s="930"/>
      <c r="K37" s="403"/>
      <c r="L37" s="65"/>
      <c r="M37" s="403"/>
      <c r="N37" s="403"/>
      <c r="R37" s="902"/>
      <c r="Y37" s="988"/>
      <c r="Z37" s="901"/>
    </row>
    <row r="38" spans="2:26" s="156" customFormat="1" ht="17.25" customHeight="1">
      <c r="B38" s="953"/>
      <c r="C38" s="980"/>
      <c r="D38" s="948" t="s">
        <v>1245</v>
      </c>
      <c r="E38" s="892" t="s">
        <v>1244</v>
      </c>
      <c r="F38" s="806"/>
      <c r="G38" s="983"/>
      <c r="H38" s="970">
        <f>SUM(H24:H36)</f>
        <v>137947</v>
      </c>
      <c r="I38" s="919" t="s">
        <v>822</v>
      </c>
      <c r="J38" s="982"/>
      <c r="K38" s="953"/>
      <c r="L38" s="65"/>
      <c r="M38" s="953"/>
      <c r="N38" s="953"/>
      <c r="O38" s="65"/>
      <c r="P38" s="65"/>
      <c r="Q38" s="65"/>
      <c r="R38" s="902"/>
      <c r="S38" s="65"/>
      <c r="T38" s="65"/>
      <c r="U38" s="65"/>
      <c r="V38" s="65"/>
      <c r="W38" s="65"/>
      <c r="Y38" s="23"/>
      <c r="Z38" s="22"/>
    </row>
    <row r="39" spans="2:26" ht="7.5" customHeight="1">
      <c r="B39" s="403"/>
      <c r="C39" s="901"/>
      <c r="D39" s="867"/>
      <c r="E39" s="892"/>
      <c r="F39" s="570"/>
      <c r="G39" s="958"/>
      <c r="H39" s="958"/>
      <c r="I39" s="919"/>
      <c r="J39" s="957"/>
      <c r="K39" s="403"/>
      <c r="L39" s="65"/>
      <c r="M39" s="403"/>
      <c r="N39" s="403"/>
      <c r="R39" s="902"/>
      <c r="Y39" s="988"/>
      <c r="Z39" s="901"/>
    </row>
    <row r="40" spans="2:26">
      <c r="B40" s="403"/>
      <c r="C40" s="901"/>
      <c r="D40" s="994" t="s">
        <v>1243</v>
      </c>
      <c r="E40" s="993"/>
      <c r="F40" s="992"/>
      <c r="G40" s="991"/>
      <c r="H40" s="991"/>
      <c r="I40" s="990"/>
      <c r="J40" s="990"/>
      <c r="K40" s="989"/>
      <c r="L40" s="65"/>
      <c r="M40" s="989"/>
      <c r="N40" s="989"/>
      <c r="R40" s="902"/>
      <c r="Y40" s="967"/>
      <c r="Z40" s="901"/>
    </row>
    <row r="41" spans="2:26" ht="7.5" customHeight="1">
      <c r="B41" s="403"/>
      <c r="C41" s="901"/>
      <c r="D41" s="867"/>
      <c r="E41" s="892"/>
      <c r="F41" s="570"/>
      <c r="G41" s="958"/>
      <c r="H41" s="958"/>
      <c r="I41" s="919"/>
      <c r="J41" s="957"/>
      <c r="K41" s="403"/>
      <c r="L41" s="65"/>
      <c r="M41" s="403"/>
      <c r="N41" s="403"/>
      <c r="R41" s="902"/>
      <c r="Y41" s="988"/>
      <c r="Z41" s="901"/>
    </row>
    <row r="42" spans="2:26" ht="17.25" customHeight="1">
      <c r="B42" s="403"/>
      <c r="C42" s="901" t="s">
        <v>1242</v>
      </c>
      <c r="D42" s="905" t="s">
        <v>1241</v>
      </c>
      <c r="E42" s="892" t="s">
        <v>1240</v>
      </c>
      <c r="F42" s="985"/>
      <c r="G42" s="914"/>
      <c r="H42" s="913">
        <f t="shared" ref="H42:H58" si="2">ROUND(IF(L42="Summary sheet",O42, IF(L42="Worksheet",P42, IF(L42="Ledger",Q42,G42))),0)</f>
        <v>0</v>
      </c>
      <c r="I42" s="919" t="s">
        <v>893</v>
      </c>
      <c r="J42" s="914"/>
      <c r="K42" s="918"/>
      <c r="L42" s="911" t="str" cm="1">
        <f t="array" ref="L42">_xlfn.IFS(G42&lt;&gt;0,"Manual", O42&lt;&gt;0,"Summary Sheet",P42&lt;&gt;0,"Worksheet",IFERROR(Q42&lt;&gt;0,0),"Ledger",TRUE,"Manual")</f>
        <v>Manual</v>
      </c>
      <c r="M42" s="918"/>
      <c r="N42" s="918"/>
      <c r="O42" s="908"/>
      <c r="P42" s="908"/>
      <c r="Q42" s="908">
        <f t="shared" ref="Q42:Q58" si="3">_xlfn.SINGLE(IF(ISBLANK(R42)=FALSE, R42,     IF(AND(ISBLANK(U42)=FALSE,ISBLANK(V42)=FALSE),SUMIFS(Tx_LedgerReport.TaxonomyBalancesDrCr,Tx_LedgerReport.TaxonomyNames,S42,Tx_LedgerReport.PPs,U42,Tx_LedgerReport.NonDeductibles,V42),         IF(ISBLANK(V42)=FALSE,SUMIFS(Tx_LedgerReport.TaxonomyBalancesDrCr,Tx_LedgerReport.TaxonomyNames,S42,Tx_LedgerReport.NonDeductibles,V42),     IF(ISBLANK(U42)=FALSE,SUMIFS(Tx_LedgerReport.TaxonomyBalancesDrCr,Tx_LedgerReport.TaxonomyNames,S42,Tx_LedgerReport.PPs,U42),            SUMIF(Tx_LedgerReport.TaxonomyNames,S42,Tx_LedgerReport.TaxonomyBalancesDrCr))))))       *       IF(W42=TRUE,-1,1)+T42</f>
        <v>0</v>
      </c>
      <c r="R42" s="907"/>
      <c r="S42" s="906" t="s">
        <v>1239</v>
      </c>
      <c r="T42" s="906"/>
      <c r="U42" s="906"/>
      <c r="V42" s="906"/>
      <c r="W42" s="906"/>
      <c r="Y42" s="23"/>
      <c r="Z42" s="22"/>
    </row>
    <row r="43" spans="2:26" ht="17.25" customHeight="1">
      <c r="B43" s="403"/>
      <c r="C43" s="901" t="s">
        <v>1238</v>
      </c>
      <c r="D43" s="905" t="s">
        <v>618</v>
      </c>
      <c r="E43" s="892" t="s">
        <v>1237</v>
      </c>
      <c r="F43" s="985"/>
      <c r="G43" s="914"/>
      <c r="H43" s="913">
        <f t="shared" si="2"/>
        <v>3028</v>
      </c>
      <c r="I43" s="919" t="s">
        <v>899</v>
      </c>
      <c r="J43" s="914"/>
      <c r="K43" s="918"/>
      <c r="L43" s="911" t="str" cm="1">
        <f t="array" ref="L43">_xlfn.IFS(G43&lt;&gt;0,"Manual", O43&lt;&gt;0,"Summary Sheet",P43&lt;&gt;0,"Worksheet",IFERROR(Q43&lt;&gt;0,0),"Ledger",TRUE,"Manual")</f>
        <v>Ledger</v>
      </c>
      <c r="M43" s="910" t="s">
        <v>284</v>
      </c>
      <c r="N43" s="918"/>
      <c r="O43" s="908"/>
      <c r="P43" s="908">
        <f>SUMIF(SheetNamedRangesNames,"M35_COGSThisYr",SheetNamedRangesValues)</f>
        <v>0</v>
      </c>
      <c r="Q43" s="908">
        <f t="shared" si="3"/>
        <v>3028.07</v>
      </c>
      <c r="R43" s="907"/>
      <c r="S43" s="906" t="s">
        <v>1236</v>
      </c>
      <c r="T43" s="906"/>
      <c r="U43" s="906"/>
      <c r="V43" s="906"/>
      <c r="W43" s="906"/>
      <c r="Y43" s="23"/>
      <c r="Z43" s="22"/>
    </row>
    <row r="44" spans="2:26" ht="17.25" customHeight="1">
      <c r="B44" s="403"/>
      <c r="C44" s="901" t="s">
        <v>1235</v>
      </c>
      <c r="D44" s="905" t="s">
        <v>1234</v>
      </c>
      <c r="E44" s="892" t="s">
        <v>1233</v>
      </c>
      <c r="F44" s="985"/>
      <c r="G44" s="914"/>
      <c r="H44" s="913">
        <f t="shared" si="2"/>
        <v>0</v>
      </c>
      <c r="I44" s="919" t="s">
        <v>889</v>
      </c>
      <c r="J44" s="914"/>
      <c r="K44" s="918"/>
      <c r="L44" s="911" t="str" cm="1">
        <f t="array" ref="L44">_xlfn.IFS(G44&lt;&gt;0,"Manual", O44&lt;&gt;0,"Summary Sheet",P44&lt;&gt;0,"Worksheet",IFERROR(Q44&lt;&gt;0,0),"Ledger",TRUE,"Manual")</f>
        <v>Manual</v>
      </c>
      <c r="N44" s="918"/>
      <c r="O44" s="908"/>
      <c r="P44" s="908"/>
      <c r="Q44" s="908">
        <f t="shared" si="3"/>
        <v>0</v>
      </c>
      <c r="R44" s="907"/>
      <c r="S44" s="906" t="s">
        <v>1232</v>
      </c>
      <c r="T44" s="906"/>
      <c r="U44" s="906"/>
      <c r="V44" s="906"/>
      <c r="W44" s="906"/>
      <c r="Y44" s="23"/>
      <c r="Z44" s="22"/>
    </row>
    <row r="45" spans="2:26" ht="17.25" customHeight="1">
      <c r="B45" s="403"/>
      <c r="C45" s="901" t="s">
        <v>1231</v>
      </c>
      <c r="D45" s="905" t="s">
        <v>1230</v>
      </c>
      <c r="E45" s="892" t="s">
        <v>1229</v>
      </c>
      <c r="F45" s="985"/>
      <c r="G45" s="914"/>
      <c r="H45" s="913">
        <f t="shared" si="2"/>
        <v>1227</v>
      </c>
      <c r="I45" s="919" t="s">
        <v>882</v>
      </c>
      <c r="J45" s="914"/>
      <c r="K45" s="918"/>
      <c r="L45" s="911" t="str" cm="1">
        <f t="array" ref="L45">_xlfn.IFS(G45&lt;&gt;0,"Manual", O45&lt;&gt;0,"Summary Sheet",P45&lt;&gt;0,"Worksheet",IFERROR(Q45&lt;&gt;0,0),"Ledger",TRUE,"Manual")</f>
        <v>Ledger</v>
      </c>
      <c r="M45" s="910" t="s">
        <v>284</v>
      </c>
      <c r="N45" s="918"/>
      <c r="O45" s="908"/>
      <c r="P45" s="908">
        <f>SUMIF(SheetNamedRangesNames,"N75_SuperExpense",SheetNamedRangesValues)</f>
        <v>0</v>
      </c>
      <c r="Q45" s="908">
        <f t="shared" si="3"/>
        <v>1226.93</v>
      </c>
      <c r="R45" s="907"/>
      <c r="S45" s="906" t="s">
        <v>1228</v>
      </c>
      <c r="T45" s="906"/>
      <c r="U45" s="906"/>
      <c r="V45" s="906"/>
      <c r="W45" s="906"/>
      <c r="Y45" s="23"/>
      <c r="Z45" s="22"/>
    </row>
    <row r="46" spans="2:26" ht="17.25" customHeight="1">
      <c r="B46" s="403"/>
      <c r="C46" s="901" t="s">
        <v>1227</v>
      </c>
      <c r="D46" s="905" t="s">
        <v>1226</v>
      </c>
      <c r="E46" s="892" t="s">
        <v>1225</v>
      </c>
      <c r="F46" s="985"/>
      <c r="G46" s="914"/>
      <c r="H46" s="913">
        <f t="shared" si="2"/>
        <v>0</v>
      </c>
      <c r="I46" s="919" t="s">
        <v>875</v>
      </c>
      <c r="J46" s="914"/>
      <c r="K46" s="918"/>
      <c r="L46" s="911" t="str" cm="1">
        <f t="array" ref="L46">_xlfn.IFS(G46&lt;&gt;0,"Manual", O46&lt;&gt;0,"Summary Sheet",P46&lt;&gt;0,"Worksheet",IFERROR(Q46&lt;&gt;0,0),"Ledger",TRUE,"Manual")</f>
        <v>Manual</v>
      </c>
      <c r="M46" s="918"/>
      <c r="N46" s="918"/>
      <c r="O46" s="908"/>
      <c r="P46" s="908"/>
      <c r="Q46" s="908">
        <f t="shared" si="3"/>
        <v>0</v>
      </c>
      <c r="R46" s="907"/>
      <c r="S46" s="906" t="s">
        <v>1224</v>
      </c>
      <c r="T46" s="906"/>
      <c r="U46" s="906"/>
      <c r="V46" s="906"/>
      <c r="W46" s="906"/>
      <c r="Y46" s="23"/>
      <c r="Z46" s="22"/>
    </row>
    <row r="47" spans="2:26" ht="17.25" customHeight="1">
      <c r="B47" s="403"/>
      <c r="C47" s="901" t="s">
        <v>1223</v>
      </c>
      <c r="D47" s="905" t="s">
        <v>1222</v>
      </c>
      <c r="E47" s="892" t="s">
        <v>1221</v>
      </c>
      <c r="F47" s="985"/>
      <c r="G47" s="914"/>
      <c r="H47" s="913">
        <f t="shared" si="2"/>
        <v>0</v>
      </c>
      <c r="I47" s="919" t="s">
        <v>868</v>
      </c>
      <c r="J47" s="914"/>
      <c r="K47" s="918"/>
      <c r="L47" s="911" t="str" cm="1">
        <f t="array" ref="L47">_xlfn.IFS(G47&lt;&gt;0,"Manual", O47&lt;&gt;0,"Summary Sheet",P47&lt;&gt;0,"Worksheet",IFERROR(Q47&lt;&gt;0,0),"Ledger",TRUE,"Manual")</f>
        <v>Manual</v>
      </c>
      <c r="M47" s="910" t="s">
        <v>284</v>
      </c>
      <c r="N47" s="918"/>
      <c r="O47" s="908"/>
      <c r="P47" s="908">
        <f>SUMIF(SheetNamedRangesNames,"H20_OperatingLeases",SheetNamedRangesValues)+SUMIF(SheetNamedRangesNames,"H20_FinanceLeases",SheetNamedRangesValues)</f>
        <v>0</v>
      </c>
      <c r="Q47" s="908">
        <f t="shared" si="3"/>
        <v>0</v>
      </c>
      <c r="R47" s="907"/>
      <c r="S47" s="906" t="s">
        <v>1220</v>
      </c>
      <c r="T47" s="906"/>
      <c r="U47" s="906"/>
      <c r="V47" s="906"/>
      <c r="W47" s="906"/>
      <c r="Y47" s="23"/>
      <c r="Z47" s="22"/>
    </row>
    <row r="48" spans="2:26" ht="17.25" customHeight="1">
      <c r="B48" s="403"/>
      <c r="C48" s="901" t="s">
        <v>1219</v>
      </c>
      <c r="D48" s="905" t="s">
        <v>1218</v>
      </c>
      <c r="E48" s="892" t="s">
        <v>1217</v>
      </c>
      <c r="F48" s="985"/>
      <c r="G48" s="914"/>
      <c r="H48" s="913">
        <f t="shared" si="2"/>
        <v>0</v>
      </c>
      <c r="I48" s="919" t="s">
        <v>829</v>
      </c>
      <c r="J48" s="914"/>
      <c r="K48" s="918"/>
      <c r="L48" s="911" t="str" cm="1">
        <f t="array" ref="L48">_xlfn.IFS(G48&lt;&gt;0,"Manual", O48&lt;&gt;0,"Summary Sheet",P48&lt;&gt;0,"Worksheet",IFERROR(Q48&lt;&gt;0,0),"Ledger",TRUE,"Manual")</f>
        <v>Manual</v>
      </c>
      <c r="M48" s="918"/>
      <c r="N48" s="918"/>
      <c r="O48" s="908"/>
      <c r="P48" s="908"/>
      <c r="Q48" s="908">
        <f t="shared" si="3"/>
        <v>0</v>
      </c>
      <c r="R48" s="907"/>
      <c r="S48" s="906" t="s">
        <v>1216</v>
      </c>
      <c r="T48" s="906"/>
      <c r="U48" s="906"/>
      <c r="V48" s="906"/>
      <c r="W48" s="906"/>
      <c r="Y48" s="23"/>
      <c r="Z48" s="22"/>
    </row>
    <row r="49" spans="1:26" ht="17.25" customHeight="1">
      <c r="B49" s="403"/>
      <c r="C49" s="901" t="s">
        <v>1215</v>
      </c>
      <c r="D49" s="905" t="s">
        <v>1214</v>
      </c>
      <c r="E49" s="892" t="s">
        <v>1213</v>
      </c>
      <c r="F49" s="985"/>
      <c r="G49" s="914"/>
      <c r="H49" s="913">
        <f t="shared" si="2"/>
        <v>0</v>
      </c>
      <c r="I49" s="919" t="s">
        <v>857</v>
      </c>
      <c r="J49" s="914"/>
      <c r="K49" s="918"/>
      <c r="L49" s="911" t="str" cm="1">
        <f t="array" ref="L49">_xlfn.IFS(G49&lt;&gt;0,"Manual", O49&lt;&gt;0,"Summary Sheet",P49&lt;&gt;0,"Worksheet",IFERROR(Q49&lt;&gt;0,0),"Ledger",TRUE,"Manual")</f>
        <v>Manual</v>
      </c>
      <c r="M49" s="918"/>
      <c r="N49" s="918"/>
      <c r="O49" s="908"/>
      <c r="P49" s="908"/>
      <c r="Q49" s="908">
        <f t="shared" si="3"/>
        <v>0</v>
      </c>
      <c r="R49" s="907"/>
      <c r="S49" s="906" t="s">
        <v>1212</v>
      </c>
      <c r="T49" s="906"/>
      <c r="U49" s="906"/>
      <c r="V49" s="906"/>
      <c r="W49" s="906"/>
      <c r="Y49" s="23"/>
      <c r="Z49" s="22"/>
    </row>
    <row r="50" spans="1:26" ht="17.25" customHeight="1">
      <c r="B50" s="403"/>
      <c r="C50" s="901" t="s">
        <v>1211</v>
      </c>
      <c r="D50" s="905" t="s">
        <v>1210</v>
      </c>
      <c r="E50" s="892" t="s">
        <v>1209</v>
      </c>
      <c r="F50" s="985"/>
      <c r="G50" s="914"/>
      <c r="H50" s="913">
        <f t="shared" si="2"/>
        <v>3229</v>
      </c>
      <c r="I50" s="919" t="s">
        <v>904</v>
      </c>
      <c r="J50" s="914"/>
      <c r="K50" s="918"/>
      <c r="L50" s="911" t="str" cm="1">
        <f t="array" ref="L50">_xlfn.IFS(G50&lt;&gt;0,"Manual", O50&lt;&gt;0,"Summary Sheet",P50&lt;&gt;0,"Worksheet",IFERROR(Q50&lt;&gt;0,0),"Ledger",TRUE,"Manual")</f>
        <v>Ledger</v>
      </c>
      <c r="M50" s="918"/>
      <c r="N50" s="918"/>
      <c r="O50" s="908"/>
      <c r="P50" s="908"/>
      <c r="Q50" s="908">
        <f t="shared" si="3"/>
        <v>3229.17</v>
      </c>
      <c r="R50" s="907"/>
      <c r="S50" s="906" t="s">
        <v>1208</v>
      </c>
      <c r="T50" s="906"/>
      <c r="U50" s="906"/>
      <c r="V50" s="906"/>
      <c r="W50" s="906"/>
      <c r="Y50" s="23"/>
      <c r="Z50" s="22"/>
    </row>
    <row r="51" spans="1:26" ht="17.25" customHeight="1">
      <c r="B51" s="403"/>
      <c r="C51" s="901" t="s">
        <v>1207</v>
      </c>
      <c r="D51" s="905" t="s">
        <v>1206</v>
      </c>
      <c r="E51" s="892" t="s">
        <v>1205</v>
      </c>
      <c r="F51" s="985"/>
      <c r="G51" s="914"/>
      <c r="H51" s="913">
        <f t="shared" si="2"/>
        <v>0</v>
      </c>
      <c r="I51" s="919" t="s">
        <v>927</v>
      </c>
      <c r="J51" s="914"/>
      <c r="K51" s="918"/>
      <c r="L51" s="911" t="str" cm="1">
        <f t="array" ref="L51">_xlfn.IFS(G51&lt;&gt;0,"Manual", O51&lt;&gt;0,"Summary Sheet",P51&lt;&gt;0,"Worksheet",IFERROR(Q51&lt;&gt;0,0),"Ledger",TRUE,"Manual")</f>
        <v>Manual</v>
      </c>
      <c r="M51" s="918"/>
      <c r="N51" s="918"/>
      <c r="O51" s="908"/>
      <c r="P51" s="908"/>
      <c r="Q51" s="908">
        <f t="shared" si="3"/>
        <v>0</v>
      </c>
      <c r="R51" s="907"/>
      <c r="S51" s="906" t="s">
        <v>1204</v>
      </c>
      <c r="T51" s="906"/>
      <c r="U51" s="906"/>
      <c r="V51" s="906"/>
      <c r="W51" s="906"/>
      <c r="Y51" s="23"/>
      <c r="Z51" s="22"/>
    </row>
    <row r="52" spans="1:26" ht="17.25" customHeight="1">
      <c r="B52" s="403"/>
      <c r="C52" s="901" t="s">
        <v>1203</v>
      </c>
      <c r="D52" s="905" t="s">
        <v>1202</v>
      </c>
      <c r="E52" s="892" t="s">
        <v>1201</v>
      </c>
      <c r="F52" s="985"/>
      <c r="G52" s="914"/>
      <c r="H52" s="913">
        <f t="shared" si="2"/>
        <v>0</v>
      </c>
      <c r="I52" s="919" t="s">
        <v>908</v>
      </c>
      <c r="J52" s="914"/>
      <c r="K52" s="918"/>
      <c r="L52" s="911" t="str" cm="1">
        <f t="array" ref="L52">_xlfn.IFS(G52&lt;&gt;0,"Manual", O52&lt;&gt;0,"Summary Sheet",P52&lt;&gt;0,"Worksheet",IFERROR(Q52&lt;&gt;0,0),"Ledger",TRUE,"Manual")</f>
        <v>Manual</v>
      </c>
      <c r="M52" s="918"/>
      <c r="N52" s="918"/>
      <c r="O52" s="908"/>
      <c r="P52" s="908"/>
      <c r="Q52" s="908">
        <f t="shared" si="3"/>
        <v>0</v>
      </c>
      <c r="R52" s="907"/>
      <c r="S52" s="906" t="s">
        <v>1200</v>
      </c>
      <c r="T52" s="906"/>
      <c r="U52" s="906"/>
      <c r="V52" s="906"/>
      <c r="W52" s="906"/>
      <c r="Y52" s="23"/>
      <c r="Z52" s="22"/>
    </row>
    <row r="53" spans="1:26" ht="17.25" customHeight="1">
      <c r="B53" s="403"/>
      <c r="C53" s="901" t="s">
        <v>1199</v>
      </c>
      <c r="D53" s="905" t="s">
        <v>1198</v>
      </c>
      <c r="E53" s="892" t="s">
        <v>1197</v>
      </c>
      <c r="F53" s="985"/>
      <c r="G53" s="914"/>
      <c r="H53" s="913">
        <f t="shared" si="2"/>
        <v>0</v>
      </c>
      <c r="I53" s="919" t="s">
        <v>1096</v>
      </c>
      <c r="J53" s="914"/>
      <c r="K53" s="918"/>
      <c r="L53" s="911" t="str" cm="1">
        <f t="array" ref="L53">_xlfn.IFS(G53&lt;&gt;0,"Manual", O53&lt;&gt;0,"Summary Sheet",P53&lt;&gt;0,"Worksheet",IFERROR(Q53&lt;&gt;0,0),"Ledger",TRUE,"Manual")</f>
        <v>Manual</v>
      </c>
      <c r="M53" s="918"/>
      <c r="N53" s="918"/>
      <c r="O53" s="908"/>
      <c r="P53" s="908"/>
      <c r="Q53" s="908">
        <f t="shared" si="3"/>
        <v>0</v>
      </c>
      <c r="R53" s="907"/>
      <c r="S53" s="906" t="s">
        <v>1196</v>
      </c>
      <c r="T53" s="906"/>
      <c r="U53" s="906"/>
      <c r="V53" s="906"/>
      <c r="W53" s="906"/>
      <c r="Y53" s="23"/>
      <c r="Z53" s="22"/>
    </row>
    <row r="54" spans="1:26" ht="17.25" customHeight="1">
      <c r="B54" s="403"/>
      <c r="C54" s="901" t="s">
        <v>1195</v>
      </c>
      <c r="D54" s="905" t="s">
        <v>1194</v>
      </c>
      <c r="E54" s="892" t="s">
        <v>1193</v>
      </c>
      <c r="F54" s="985"/>
      <c r="G54" s="914"/>
      <c r="H54" s="913">
        <f t="shared" si="2"/>
        <v>0</v>
      </c>
      <c r="I54" s="919" t="s">
        <v>1009</v>
      </c>
      <c r="J54" s="914"/>
      <c r="K54" s="918"/>
      <c r="L54" s="911" t="str" cm="1">
        <f t="array" ref="L54">_xlfn.IFS(G54&lt;&gt;0,"Manual", O54&lt;&gt;0,"Summary Sheet",P54&lt;&gt;0,"Worksheet",IFERROR(Q54&lt;&gt;0,0),"Ledger",TRUE,"Manual")</f>
        <v>Manual</v>
      </c>
      <c r="M54" s="910" t="s">
        <v>284</v>
      </c>
      <c r="N54" s="918"/>
      <c r="O54" s="908"/>
      <c r="P54" s="908">
        <f>SUMIF(SheetNamedRangesNames,"G10_AccountingDepreciation",SheetNamedRangesValues)</f>
        <v>0</v>
      </c>
      <c r="Q54" s="908">
        <f t="shared" si="3"/>
        <v>0</v>
      </c>
      <c r="R54" s="907"/>
      <c r="S54" s="906" t="s">
        <v>1192</v>
      </c>
      <c r="T54" s="906"/>
      <c r="U54" s="906"/>
      <c r="V54" s="906"/>
      <c r="W54" s="906"/>
      <c r="Y54" s="23"/>
      <c r="Z54" s="22"/>
    </row>
    <row r="55" spans="1:26" ht="17.25" customHeight="1">
      <c r="B55" s="403"/>
      <c r="C55" s="901" t="s">
        <v>1191</v>
      </c>
      <c r="D55" s="905" t="s">
        <v>1190</v>
      </c>
      <c r="E55" s="892" t="s">
        <v>1189</v>
      </c>
      <c r="F55" s="985"/>
      <c r="G55" s="914"/>
      <c r="H55" s="913">
        <f t="shared" si="2"/>
        <v>1204</v>
      </c>
      <c r="I55" s="919" t="s">
        <v>1005</v>
      </c>
      <c r="J55" s="914"/>
      <c r="K55" s="918"/>
      <c r="L55" s="911" t="str" cm="1">
        <f t="array" ref="L55">_xlfn.IFS(G55&lt;&gt;0,"Manual", O55&lt;&gt;0,"Summary Sheet",P55&lt;&gt;0,"Worksheet",IFERROR(Q55&lt;&gt;0,0),"Ledger",TRUE,"Manual")</f>
        <v>Ledger</v>
      </c>
      <c r="M55" s="910" t="s">
        <v>284</v>
      </c>
      <c r="N55" s="918"/>
      <c r="O55" s="908"/>
      <c r="P55" s="908">
        <f>SUMIF(SheetNamedRangesNames,"TRD1_MVHighestDedAmount",SheetNamedRangesValues)</f>
        <v>0</v>
      </c>
      <c r="Q55" s="908">
        <f t="shared" si="3"/>
        <v>1204.1600000000001</v>
      </c>
      <c r="R55" s="907"/>
      <c r="S55" s="906" t="s">
        <v>1188</v>
      </c>
      <c r="T55" s="906"/>
      <c r="U55" s="906"/>
      <c r="V55" s="906"/>
      <c r="W55" s="906"/>
      <c r="Y55" s="23"/>
      <c r="Z55" s="22"/>
    </row>
    <row r="56" spans="1:26" ht="17.25" customHeight="1">
      <c r="B56" s="403"/>
      <c r="C56" s="901" t="s">
        <v>1187</v>
      </c>
      <c r="D56" s="905" t="s">
        <v>1186</v>
      </c>
      <c r="E56" s="892" t="s">
        <v>1185</v>
      </c>
      <c r="F56" s="985"/>
      <c r="G56" s="914"/>
      <c r="H56" s="913">
        <f t="shared" si="2"/>
        <v>4586</v>
      </c>
      <c r="I56" s="919" t="s">
        <v>1113</v>
      </c>
      <c r="J56" s="914"/>
      <c r="K56" s="918"/>
      <c r="L56" s="911" t="str" cm="1">
        <f t="array" ref="L56">_xlfn.IFS(G56&lt;&gt;0,"Manual", O56&lt;&gt;0,"Summary Sheet",P56&lt;&gt;0,"Worksheet",IFERROR(Q56&lt;&gt;0,0),"Ledger",TRUE,"Manual")</f>
        <v>Ledger</v>
      </c>
      <c r="M56" s="910" t="s">
        <v>284</v>
      </c>
      <c r="N56" s="918"/>
      <c r="O56" s="908"/>
      <c r="P56" s="908">
        <f>SUMIF(SheetNamedRangesNames,"N60_RM",SheetNamedRangesValues)</f>
        <v>0</v>
      </c>
      <c r="Q56" s="908">
        <f t="shared" si="3"/>
        <v>4586.4799999999996</v>
      </c>
      <c r="R56" s="907"/>
      <c r="S56" s="906" t="s">
        <v>1184</v>
      </c>
      <c r="T56" s="906"/>
      <c r="U56" s="906"/>
      <c r="V56" s="906"/>
      <c r="W56" s="906"/>
      <c r="Y56" s="23"/>
      <c r="Z56" s="22"/>
    </row>
    <row r="57" spans="1:26" ht="17.25" customHeight="1">
      <c r="B57" s="403"/>
      <c r="C57" s="901" t="s">
        <v>1183</v>
      </c>
      <c r="D57" s="987" t="s">
        <v>1182</v>
      </c>
      <c r="E57" s="986" t="s">
        <v>1181</v>
      </c>
      <c r="F57" s="985"/>
      <c r="G57" s="914"/>
      <c r="H57" s="913">
        <f t="shared" si="2"/>
        <v>0</v>
      </c>
      <c r="I57" s="919" t="s">
        <v>860</v>
      </c>
      <c r="J57" s="914"/>
      <c r="K57" s="918"/>
      <c r="L57" s="911" t="str" cm="1">
        <f t="array" ref="L57">_xlfn.IFS(G57&lt;&gt;0,"Manual", O57&lt;&gt;0,"Summary Sheet",P57&lt;&gt;0,"Worksheet",IFERROR(Q57&lt;&gt;0,0),"Ledger",TRUE,"Manual")</f>
        <v>Manual</v>
      </c>
      <c r="M57" s="918"/>
      <c r="N57" s="918"/>
      <c r="O57" s="908"/>
      <c r="P57" s="908"/>
      <c r="Q57" s="908">
        <f t="shared" si="3"/>
        <v>0</v>
      </c>
      <c r="R57" s="907"/>
      <c r="S57" s="906" t="s">
        <v>1180</v>
      </c>
      <c r="T57" s="906"/>
      <c r="U57" s="906"/>
      <c r="V57" s="906"/>
      <c r="W57" s="906"/>
      <c r="Y57" s="23"/>
      <c r="Z57" s="22"/>
    </row>
    <row r="58" spans="1:26" ht="17.25" customHeight="1">
      <c r="B58" s="403"/>
      <c r="C58" s="901" t="s">
        <v>1179</v>
      </c>
      <c r="D58" s="905" t="s">
        <v>1178</v>
      </c>
      <c r="E58" s="892" t="s">
        <v>1177</v>
      </c>
      <c r="F58" s="985"/>
      <c r="G58" s="914"/>
      <c r="H58" s="913">
        <f t="shared" si="2"/>
        <v>26887</v>
      </c>
      <c r="I58" s="919" t="s">
        <v>822</v>
      </c>
      <c r="J58" s="914"/>
      <c r="K58" s="918"/>
      <c r="L58" s="911" t="str" cm="1">
        <f t="array" ref="L58">_xlfn.IFS(G58&lt;&gt;0,"Manual", O58&lt;&gt;0,"Summary Sheet",P58&lt;&gt;0,"Worksheet",IFERROR(Q58&lt;&gt;0,0),"Ledger",TRUE,"Manual")</f>
        <v>Ledger</v>
      </c>
      <c r="N58" s="918"/>
      <c r="O58" s="908"/>
      <c r="P58" s="908"/>
      <c r="Q58" s="908">
        <f t="shared" si="3"/>
        <v>26887.410000000011</v>
      </c>
      <c r="R58" s="907">
        <f>SUMIF(Tx_LedgerReport.TaxonomyNames,"Bus.Exp.*",Tx_LedgerReport.TaxonomyBalancesDrCr)-SUM(Q42:Q57)</f>
        <v>26887.410000000011</v>
      </c>
      <c r="S58" s="906"/>
      <c r="T58" s="984"/>
      <c r="U58" s="906"/>
      <c r="V58" s="906"/>
      <c r="W58" s="906"/>
      <c r="Y58" s="23"/>
      <c r="Z58" s="22"/>
    </row>
    <row r="59" spans="1:26" ht="7.5" customHeight="1">
      <c r="B59" s="403"/>
      <c r="C59" s="901"/>
      <c r="D59" s="867"/>
      <c r="E59" s="892"/>
      <c r="F59" s="111"/>
      <c r="G59" s="981"/>
      <c r="H59" s="981"/>
      <c r="I59" s="919"/>
      <c r="J59" s="930"/>
      <c r="K59" s="403"/>
      <c r="L59" s="956"/>
      <c r="M59" s="403"/>
      <c r="N59" s="403"/>
      <c r="R59" s="902"/>
      <c r="Y59" s="901"/>
      <c r="Z59" s="901"/>
    </row>
    <row r="60" spans="1:26" s="156" customFormat="1" ht="17.25" customHeight="1">
      <c r="B60" s="953"/>
      <c r="C60" s="980"/>
      <c r="D60" s="948" t="s">
        <v>1176</v>
      </c>
      <c r="E60" s="892" t="s">
        <v>1175</v>
      </c>
      <c r="F60" s="570"/>
      <c r="G60" s="983"/>
      <c r="H60" s="970">
        <f>SUM(H42:H58)</f>
        <v>40161</v>
      </c>
      <c r="I60" s="919" t="s">
        <v>991</v>
      </c>
      <c r="J60" s="982"/>
      <c r="K60" s="953"/>
      <c r="L60" s="968"/>
      <c r="M60" s="953"/>
      <c r="N60" s="953"/>
      <c r="O60" s="65"/>
      <c r="P60" s="65"/>
      <c r="Q60" s="65"/>
      <c r="R60" s="902"/>
      <c r="S60" s="65"/>
      <c r="T60" s="65"/>
      <c r="U60" s="65"/>
      <c r="V60" s="65"/>
      <c r="W60" s="65"/>
      <c r="Y60" s="23"/>
      <c r="Z60" s="22"/>
    </row>
    <row r="61" spans="1:26" s="156" customFormat="1" ht="7.5" customHeight="1">
      <c r="B61" s="953"/>
      <c r="C61" s="980"/>
      <c r="D61" s="900"/>
      <c r="E61" s="892"/>
      <c r="F61" s="111"/>
      <c r="G61" s="981"/>
      <c r="H61" s="981"/>
      <c r="I61" s="919"/>
      <c r="J61" s="930"/>
      <c r="K61" s="953"/>
      <c r="L61" s="968"/>
      <c r="M61" s="953"/>
      <c r="N61" s="953"/>
      <c r="O61" s="65"/>
      <c r="P61" s="65"/>
      <c r="Q61" s="65"/>
      <c r="R61" s="902"/>
      <c r="S61" s="65"/>
      <c r="T61" s="65"/>
      <c r="U61" s="65"/>
      <c r="V61" s="65"/>
      <c r="W61" s="65"/>
      <c r="Y61" s="980"/>
      <c r="Z61" s="980"/>
    </row>
    <row r="62" spans="1:26" s="156" customFormat="1" ht="17.25" customHeight="1">
      <c r="B62" s="953"/>
      <c r="C62" s="980"/>
      <c r="D62" s="900" t="s">
        <v>1174</v>
      </c>
      <c r="E62" s="892" t="s">
        <v>1173</v>
      </c>
      <c r="F62" s="111"/>
      <c r="G62" s="983"/>
      <c r="H62" s="970">
        <f>H38-H60</f>
        <v>97786</v>
      </c>
      <c r="I62" s="919" t="s">
        <v>971</v>
      </c>
      <c r="J62" s="982"/>
      <c r="K62" s="953"/>
      <c r="L62" s="968"/>
      <c r="M62" s="953"/>
      <c r="N62" s="953"/>
      <c r="O62" s="65"/>
      <c r="P62" s="65"/>
      <c r="Q62" s="65"/>
      <c r="R62" s="902"/>
      <c r="S62" s="65"/>
      <c r="T62" s="65"/>
      <c r="U62" s="65"/>
      <c r="V62" s="65"/>
      <c r="W62" s="65"/>
      <c r="Y62" s="23"/>
      <c r="Z62" s="22"/>
    </row>
    <row r="63" spans="1:26" s="156" customFormat="1" ht="17.25" customHeight="1">
      <c r="B63" s="953"/>
      <c r="C63" s="980"/>
      <c r="D63" s="900"/>
      <c r="E63" s="892"/>
      <c r="F63" s="111"/>
      <c r="G63" s="981"/>
      <c r="H63" s="981"/>
      <c r="I63" s="919"/>
      <c r="J63" s="919"/>
      <c r="K63" s="953"/>
      <c r="L63" s="968"/>
      <c r="M63" s="953"/>
      <c r="N63" s="953"/>
      <c r="O63" s="65"/>
      <c r="P63" s="65"/>
      <c r="Q63" s="65"/>
      <c r="R63" s="902"/>
      <c r="S63" s="65"/>
      <c r="T63" s="65"/>
      <c r="U63" s="65"/>
      <c r="V63" s="65"/>
      <c r="W63" s="65"/>
      <c r="Y63" s="980"/>
      <c r="Z63" s="980"/>
    </row>
    <row r="64" spans="1:26" s="156" customFormat="1" ht="22.5" customHeight="1">
      <c r="A64" s="955" t="str">
        <f>IF(SUBTOTAL(103,A65),"-","+")</f>
        <v>-</v>
      </c>
      <c r="B64" s="954"/>
      <c r="C64" s="937"/>
      <c r="D64" s="935" t="s">
        <v>1172</v>
      </c>
      <c r="E64" s="936"/>
      <c r="F64" s="935"/>
      <c r="G64" s="934"/>
      <c r="H64" s="934"/>
      <c r="I64" s="933"/>
      <c r="J64" s="932"/>
      <c r="K64" s="931"/>
      <c r="L64" s="1416" t="s">
        <v>1171</v>
      </c>
      <c r="M64" s="1417"/>
      <c r="N64" s="931"/>
      <c r="O64" s="65"/>
      <c r="P64" s="65"/>
      <c r="Q64" s="65"/>
      <c r="R64" s="902"/>
      <c r="S64" s="65"/>
      <c r="T64" s="65"/>
      <c r="U64" s="65"/>
      <c r="V64" s="65"/>
      <c r="W64" s="65"/>
      <c r="Y64" s="967"/>
      <c r="Z64" s="980"/>
    </row>
    <row r="65" spans="1:26" ht="7.5" customHeight="1">
      <c r="A65" s="65" t="s">
        <v>58</v>
      </c>
      <c r="B65" s="403"/>
      <c r="C65" s="901"/>
      <c r="D65" s="867"/>
      <c r="E65" s="892"/>
      <c r="F65" s="570"/>
      <c r="G65" s="958"/>
      <c r="H65" s="958"/>
      <c r="I65" s="919"/>
      <c r="J65" s="957"/>
      <c r="K65" s="403"/>
      <c r="L65" s="956"/>
      <c r="M65" s="403"/>
      <c r="N65" s="403"/>
      <c r="R65" s="902"/>
      <c r="Y65" s="901"/>
      <c r="Z65" s="901"/>
    </row>
    <row r="66" spans="1:26" ht="17.25" customHeight="1">
      <c r="B66" s="403"/>
      <c r="C66" s="901"/>
      <c r="D66" s="905" t="s">
        <v>1170</v>
      </c>
      <c r="E66" s="892" t="s">
        <v>1169</v>
      </c>
      <c r="F66" s="570"/>
      <c r="G66" s="243"/>
      <c r="H66" s="970">
        <f>H62</f>
        <v>97786</v>
      </c>
      <c r="I66" s="919"/>
      <c r="J66" s="969"/>
      <c r="K66" s="953"/>
      <c r="L66" s="968"/>
      <c r="M66" s="953"/>
      <c r="N66" s="953"/>
      <c r="R66" s="902"/>
      <c r="Y66" s="23"/>
      <c r="Z66" s="22"/>
    </row>
    <row r="67" spans="1:26" ht="7.5" customHeight="1">
      <c r="B67" s="403"/>
      <c r="C67" s="901"/>
      <c r="D67" s="905"/>
      <c r="E67" s="892"/>
      <c r="F67" s="570"/>
      <c r="G67" s="979"/>
      <c r="H67" s="978"/>
      <c r="I67" s="919"/>
      <c r="J67" s="930"/>
      <c r="K67" s="403"/>
      <c r="L67" s="956"/>
      <c r="M67" s="403"/>
      <c r="N67" s="403"/>
      <c r="R67" s="902"/>
      <c r="Y67" s="901"/>
      <c r="Z67" s="901"/>
    </row>
    <row r="68" spans="1:26" ht="17.25" customHeight="1">
      <c r="B68" s="403"/>
      <c r="C68" s="901" t="s">
        <v>1168</v>
      </c>
      <c r="D68" s="905" t="s">
        <v>1167</v>
      </c>
      <c r="E68" s="892" t="s">
        <v>1166</v>
      </c>
      <c r="F68" s="570"/>
      <c r="G68" s="243"/>
      <c r="H68" s="977"/>
      <c r="I68" s="919" t="s">
        <v>860</v>
      </c>
      <c r="J68" s="969"/>
      <c r="K68" s="953"/>
      <c r="L68" s="968"/>
      <c r="M68" s="953"/>
      <c r="N68" s="953"/>
      <c r="R68" s="902"/>
      <c r="Y68" s="23"/>
      <c r="Z68" s="22"/>
    </row>
    <row r="69" spans="1:26" ht="17.25" customHeight="1">
      <c r="B69" s="403"/>
      <c r="C69" s="901" t="s">
        <v>1165</v>
      </c>
      <c r="D69" s="905" t="s">
        <v>1164</v>
      </c>
      <c r="E69" s="892" t="s">
        <v>1163</v>
      </c>
      <c r="F69" s="570"/>
      <c r="G69" s="243"/>
      <c r="H69" s="976"/>
      <c r="I69" s="919" t="s">
        <v>1013</v>
      </c>
      <c r="J69" s="969"/>
      <c r="K69" s="953"/>
      <c r="L69" s="968"/>
      <c r="M69" s="953"/>
      <c r="N69" s="953"/>
      <c r="R69" s="902"/>
      <c r="Y69" s="23"/>
      <c r="Z69" s="22"/>
    </row>
    <row r="70" spans="1:26" ht="8.4499999999999993" customHeight="1">
      <c r="B70" s="403"/>
      <c r="C70" s="901"/>
      <c r="D70" s="905"/>
      <c r="E70" s="892"/>
      <c r="F70" s="570"/>
      <c r="G70" s="958"/>
      <c r="H70" s="243"/>
      <c r="I70" s="919"/>
      <c r="J70" s="930"/>
      <c r="K70" s="403"/>
      <c r="L70" s="956"/>
      <c r="M70" s="403"/>
      <c r="N70" s="403"/>
      <c r="R70" s="902"/>
      <c r="Y70" s="901"/>
      <c r="Z70" s="901"/>
    </row>
    <row r="71" spans="1:26" ht="17.25" customHeight="1">
      <c r="B71" s="403"/>
      <c r="C71" s="901"/>
      <c r="D71" s="948" t="s">
        <v>401</v>
      </c>
      <c r="E71" s="892"/>
      <c r="F71" s="570"/>
      <c r="G71" s="975"/>
      <c r="H71" s="974"/>
      <c r="I71" s="919"/>
      <c r="J71" s="930"/>
      <c r="K71" s="403"/>
      <c r="L71" s="956"/>
      <c r="M71" s="403"/>
      <c r="N71" s="403"/>
      <c r="R71" s="902"/>
      <c r="Y71" s="967"/>
      <c r="Z71" s="901"/>
    </row>
    <row r="72" spans="1:26" s="156" customFormat="1" ht="17.25" customHeight="1">
      <c r="B72" s="953"/>
      <c r="C72" s="901" t="s">
        <v>1162</v>
      </c>
      <c r="D72" s="905" t="s">
        <v>1161</v>
      </c>
      <c r="E72" s="892" t="s">
        <v>1160</v>
      </c>
      <c r="F72" s="570"/>
      <c r="G72" s="914"/>
      <c r="H72" s="913">
        <f t="shared" ref="H72:H79" si="4">ROUND(IF(L72="Tax Rec",O72, IF(L72="Worksheet",P72, IF(L72="Ledger",Q72,G72))),0)</f>
        <v>0</v>
      </c>
      <c r="I72" s="919" t="s">
        <v>899</v>
      </c>
      <c r="J72" s="914"/>
      <c r="K72" s="918"/>
      <c r="L72" s="911" t="str" cm="1">
        <f t="array" ref="L72">_xlfn.IFS(G72&lt;&gt;0,"Manual", O72&lt;&gt;0,"Tax Rec",P72&lt;&gt;0,"Worksheet",IFERROR(Q72&lt;&gt;0,0),"Ledger",TRUE,"Manual")</f>
        <v>Manual</v>
      </c>
      <c r="M72" s="910" t="s">
        <v>284</v>
      </c>
      <c r="N72" s="918"/>
      <c r="O72" s="909">
        <f>SUMIF(SheetNamedRangesNames,"Tx_NetCapitalGain",SheetNamedRangesValues)</f>
        <v>0</v>
      </c>
      <c r="P72" s="909">
        <f>SUMIF(SheetNamedRangesNames,"TR18_CurrentYrGains",SheetNamedRangesValues)</f>
        <v>0</v>
      </c>
      <c r="Q72" s="908">
        <f t="shared" ref="Q72:Q79" si="5">_xlfn.SINGLE(IF(ISBLANK(R72)=FALSE, R72,     IF(AND(ISBLANK(U72)=FALSE,ISBLANK(V72)=FALSE),SUMIFS(Tx_LedgerReport.TaxonomyBalancesDrCr,Tx_LedgerReport.TaxonomyNames,S72,Tx_LedgerReport.PPs,U72,Tx_LedgerReport.NonDeductibles,V72),         IF(ISBLANK(V72)=FALSE,SUMIFS(Tx_LedgerReport.TaxonomyBalancesDrCr,Tx_LedgerReport.TaxonomyNames,S72,Tx_LedgerReport.NonDeductibles,V72),     IF(ISBLANK(U72)=FALSE,SUMIFS(Tx_LedgerReport.TaxonomyBalancesDrCr,Tx_LedgerReport.TaxonomyNames,S72,Tx_LedgerReport.PPs,U72),            SUMIF(Tx_LedgerReport.TaxonomyNames,S72,Tx_LedgerReport.TaxonomyBalancesDrCr))))))       *       IF(W72=TRUE,-1,1)+T72</f>
        <v>0</v>
      </c>
      <c r="R72" s="907"/>
      <c r="S72" s="906"/>
      <c r="T72" s="906"/>
      <c r="U72" s="906"/>
      <c r="V72" s="906"/>
      <c r="W72" s="906" t="b">
        <v>1</v>
      </c>
      <c r="Y72" s="23"/>
      <c r="Z72" s="22"/>
    </row>
    <row r="73" spans="1:26" ht="17.25" customHeight="1">
      <c r="B73" s="403"/>
      <c r="C73" s="901" t="s">
        <v>1159</v>
      </c>
      <c r="D73" s="905" t="s">
        <v>1158</v>
      </c>
      <c r="E73" s="892" t="s">
        <v>1157</v>
      </c>
      <c r="F73" s="570"/>
      <c r="G73" s="914"/>
      <c r="H73" s="913">
        <f t="shared" si="4"/>
        <v>0</v>
      </c>
      <c r="I73" s="919" t="s">
        <v>908</v>
      </c>
      <c r="J73" s="914"/>
      <c r="K73" s="918"/>
      <c r="L73" s="911" t="str" cm="1">
        <f t="array" ref="L73">_xlfn.IFS(G73&lt;&gt;0,"Manual", O73&lt;&gt;0,"Tax Rec",P73&lt;&gt;0,"Worksheet",IFERROR(Q73&lt;&gt;0,0),"Ledger",TRUE,"Manual")</f>
        <v>Manual</v>
      </c>
      <c r="N73" s="918"/>
      <c r="O73" s="909">
        <f>SUMIF(SheetNamedRangesNames,"CC20_NonDedExemptInc",SheetNamedRangesValues)</f>
        <v>0</v>
      </c>
      <c r="P73" s="909"/>
      <c r="Q73" s="908">
        <f t="shared" si="5"/>
        <v>0</v>
      </c>
      <c r="R73" s="907"/>
      <c r="S73" s="906"/>
      <c r="T73" s="906"/>
      <c r="U73" s="906"/>
      <c r="V73" s="906"/>
      <c r="W73" s="906" t="b">
        <v>1</v>
      </c>
      <c r="Y73" s="23"/>
      <c r="Z73" s="22"/>
    </row>
    <row r="74" spans="1:26" ht="17.25" customHeight="1">
      <c r="B74" s="403"/>
      <c r="C74" s="901" t="s">
        <v>1156</v>
      </c>
      <c r="D74" s="905" t="s">
        <v>1155</v>
      </c>
      <c r="E74" s="892" t="s">
        <v>1154</v>
      </c>
      <c r="F74" s="570"/>
      <c r="G74" s="914"/>
      <c r="H74" s="913">
        <f t="shared" si="4"/>
        <v>0</v>
      </c>
      <c r="I74" s="919" t="s">
        <v>927</v>
      </c>
      <c r="J74" s="914"/>
      <c r="K74" s="918"/>
      <c r="L74" s="911" t="str" cm="1">
        <f t="array" ref="L74">_xlfn.IFS(G74&lt;&gt;0,"Manual", O74&lt;&gt;0,"Tax Rec",P74&lt;&gt;0,"Worksheet",IFERROR(Q74&lt;&gt;0,0),"Ledger",TRUE,"Manual")</f>
        <v>Manual</v>
      </c>
      <c r="N74" s="918"/>
      <c r="O74" s="909">
        <f>SUMIF(SheetNamedRangesNames,"M5_FrankingCredits",SheetNamedRangesValues)+SUMIF(SheetNamedRangesNames,"M10_FrankingCredits",SheetNamedRangesValues)+SUMIF(SheetNamedRangesNames,"M5a_FrankingCredits",SheetNamedRangesValues)+SUMIF(SheetNamedRangesNames,"Tx_FrankingCreditsManual",SheetNamedRangesValues)</f>
        <v>0</v>
      </c>
      <c r="P74" s="909">
        <f>SUMIF(SheetNamedRangesNames,"M5_FrankingCredits",SheetNamedRangesValues)+SUMIF(SheetNamedRangesNames,"M10_FrankingCredits",SheetNamedRangesValues)+SUMIF(SheetNamedRangesNames,"M5a_FrankingCredits",SheetNamedRangesValues)</f>
        <v>0</v>
      </c>
      <c r="Q74" s="908">
        <f t="shared" si="5"/>
        <v>0</v>
      </c>
      <c r="R74" s="907">
        <f>SUMIF(Tx_LedgerReport.TaxonomyNames,"Inv.Rev.Dividends.FrankingCredits",Tx_LedgerReport.TaxonomyBalances)+SUMIF(Tx_LedgerReport.TaxonomyNames,"Inv.Rev.Distributions.Credit.Franked",Tx_LedgerReport.TaxonomyBalances)</f>
        <v>0</v>
      </c>
      <c r="S74" s="906"/>
      <c r="T74" s="906"/>
      <c r="U74" s="906"/>
      <c r="V74" s="906"/>
      <c r="W74" s="906" t="b">
        <v>1</v>
      </c>
      <c r="Y74" s="23"/>
      <c r="Z74" s="22"/>
    </row>
    <row r="75" spans="1:26" ht="17.25" customHeight="1">
      <c r="B75" s="403"/>
      <c r="C75" s="901" t="s">
        <v>1153</v>
      </c>
      <c r="D75" s="905" t="s">
        <v>1152</v>
      </c>
      <c r="E75" s="892" t="s">
        <v>1151</v>
      </c>
      <c r="F75" s="570"/>
      <c r="G75" s="914"/>
      <c r="H75" s="913">
        <f t="shared" si="4"/>
        <v>0</v>
      </c>
      <c r="I75" s="919" t="s">
        <v>889</v>
      </c>
      <c r="J75" s="914"/>
      <c r="K75" s="918"/>
      <c r="L75" s="911" t="str" cm="1">
        <f t="array" ref="L75">_xlfn.IFS(G75&lt;&gt;0,"Manual", O75&lt;&gt;0,"Tax Rec",P75&lt;&gt;0,"Worksheet",IFERROR(Q75&lt;&gt;0,0),"Ledger",TRUE,"Manual")</f>
        <v>Manual</v>
      </c>
      <c r="N75" s="918"/>
      <c r="O75" s="909">
        <f>SUMIF(SheetNamedRangesNames,"Tx_AUSFCNZ",SheetNamedRangesValues)</f>
        <v>0</v>
      </c>
      <c r="P75" s="909"/>
      <c r="Q75" s="908">
        <f t="shared" si="5"/>
        <v>0</v>
      </c>
      <c r="R75" s="907"/>
      <c r="S75" s="906"/>
      <c r="T75" s="906"/>
      <c r="U75" s="906"/>
      <c r="V75" s="906"/>
      <c r="W75" s="906" t="b">
        <v>1</v>
      </c>
      <c r="Y75" s="23"/>
      <c r="Z75" s="22"/>
    </row>
    <row r="76" spans="1:26" ht="17.25" customHeight="1">
      <c r="B76" s="403"/>
      <c r="C76" s="901" t="s">
        <v>1150</v>
      </c>
      <c r="D76" s="905" t="s">
        <v>1149</v>
      </c>
      <c r="E76" s="892" t="s">
        <v>1148</v>
      </c>
      <c r="F76" s="570"/>
      <c r="G76" s="914"/>
      <c r="H76" s="913">
        <f t="shared" si="4"/>
        <v>0</v>
      </c>
      <c r="I76" s="919" t="s">
        <v>875</v>
      </c>
      <c r="J76" s="914"/>
      <c r="K76" s="918"/>
      <c r="L76" s="911" t="str" cm="1">
        <f t="array" ref="L76">_xlfn.IFS(G76&lt;&gt;0,"Manual", O76&lt;&gt;0,"Tax Rec",P76&lt;&gt;0,"Worksheet",IFERROR(Q76&lt;&gt;0,0),"Ledger",TRUE,"Manual")</f>
        <v>Manual</v>
      </c>
      <c r="N76" s="918"/>
      <c r="O76" s="909">
        <f>SUMIF(SheetNamedRangesNames,"Tx_TOFAIncome",SheetNamedRangesValues)</f>
        <v>0</v>
      </c>
      <c r="P76" s="909"/>
      <c r="Q76" s="908">
        <f t="shared" si="5"/>
        <v>0</v>
      </c>
      <c r="R76" s="907"/>
      <c r="S76" s="906"/>
      <c r="T76" s="906"/>
      <c r="U76" s="906"/>
      <c r="V76" s="906"/>
      <c r="W76" s="906" t="b">
        <v>1</v>
      </c>
      <c r="Y76" s="23"/>
      <c r="Z76" s="22"/>
    </row>
    <row r="77" spans="1:26" ht="17.25" customHeight="1">
      <c r="B77" s="403"/>
      <c r="C77" s="901" t="s">
        <v>1147</v>
      </c>
      <c r="D77" s="905" t="s">
        <v>1146</v>
      </c>
      <c r="E77" s="892" t="s">
        <v>1145</v>
      </c>
      <c r="F77" s="570"/>
      <c r="G77" s="914"/>
      <c r="H77" s="913">
        <f t="shared" si="4"/>
        <v>0</v>
      </c>
      <c r="I77" s="919" t="s">
        <v>893</v>
      </c>
      <c r="J77" s="914"/>
      <c r="K77" s="918"/>
      <c r="L77" s="911" t="str" cm="1">
        <f t="array" ref="L77">_xlfn.IFS(G77&lt;&gt;0,"Manual", O77&lt;&gt;0,"Tax Rec",P77&lt;&gt;0,"Worksheet",IFERROR(Q77&lt;&gt;0,0),"Ledger",TRUE,"Manual")</f>
        <v>Manual</v>
      </c>
      <c r="N77" s="918"/>
      <c r="O77" s="909">
        <f>SUMIF(SheetNamedRangesNames,"Tx_OtherAssessIncome",SheetNamedRangesValues)</f>
        <v>0</v>
      </c>
      <c r="P77" s="909"/>
      <c r="Q77" s="908">
        <f t="shared" si="5"/>
        <v>0</v>
      </c>
      <c r="R77" s="907"/>
      <c r="S77" s="906"/>
      <c r="T77" s="906"/>
      <c r="U77" s="906"/>
      <c r="V77" s="906"/>
      <c r="W77" s="906" t="b">
        <v>1</v>
      </c>
      <c r="Y77" s="23"/>
      <c r="Z77" s="22"/>
    </row>
    <row r="78" spans="1:26" ht="17.25" customHeight="1">
      <c r="B78" s="403"/>
      <c r="C78" s="901" t="s">
        <v>1144</v>
      </c>
      <c r="D78" s="905" t="s">
        <v>1143</v>
      </c>
      <c r="E78" s="892" t="s">
        <v>1142</v>
      </c>
      <c r="F78" s="570"/>
      <c r="G78" s="914"/>
      <c r="H78" s="913">
        <f t="shared" si="4"/>
        <v>0</v>
      </c>
      <c r="I78" s="919" t="s">
        <v>1096</v>
      </c>
      <c r="J78" s="914"/>
      <c r="K78" s="918"/>
      <c r="L78" s="911" t="str" cm="1">
        <f t="array" ref="L78">_xlfn.IFS(G78&lt;&gt;0,"Manual", O78&lt;&gt;0,"Tax Rec",P78&lt;&gt;0,"Worksheet",IFERROR(Q78&lt;&gt;0,0),"Ledger",TRUE,"Manual")</f>
        <v>Manual</v>
      </c>
      <c r="N78" s="918"/>
      <c r="O78" s="909">
        <f>SUMIF(SheetNamedRangesNames,"Tx_NDExpenses",SheetNamedRangesValues)</f>
        <v>0</v>
      </c>
      <c r="P78" s="909"/>
      <c r="Q78" s="908">
        <f t="shared" si="5"/>
        <v>0</v>
      </c>
      <c r="R78" s="907"/>
      <c r="S78" s="906"/>
      <c r="T78" s="906"/>
      <c r="U78" s="906"/>
      <c r="V78" s="906" t="b">
        <v>1</v>
      </c>
      <c r="W78" s="906"/>
      <c r="Y78" s="23"/>
      <c r="Z78" s="22"/>
    </row>
    <row r="79" spans="1:26" ht="17.25" customHeight="1">
      <c r="B79" s="403"/>
      <c r="C79" s="901" t="s">
        <v>1141</v>
      </c>
      <c r="D79" s="905" t="s">
        <v>1140</v>
      </c>
      <c r="E79" s="892" t="s">
        <v>1139</v>
      </c>
      <c r="F79" s="570"/>
      <c r="G79" s="914"/>
      <c r="H79" s="913">
        <f t="shared" si="4"/>
        <v>0</v>
      </c>
      <c r="I79" s="919" t="s">
        <v>882</v>
      </c>
      <c r="J79" s="914"/>
      <c r="K79" s="918"/>
      <c r="L79" s="911" t="str" cm="1">
        <f t="array" ref="L79">_xlfn.IFS(G79&lt;&gt;0,"Manual", O79&lt;&gt;0,"Tax Rec",P79&lt;&gt;0,"Worksheet",IFERROR(Q79&lt;&gt;0,0),"Ledger",TRUE,"Manual")</f>
        <v>Manual</v>
      </c>
      <c r="N79" s="918"/>
      <c r="O79" s="909">
        <f>SUMIF(SheetNamedRangesNames,"Tx_RDExpAccounting",SheetNamedRangesValues)</f>
        <v>0</v>
      </c>
      <c r="P79" s="909"/>
      <c r="Q79" s="908">
        <f t="shared" si="5"/>
        <v>0</v>
      </c>
      <c r="R79" s="907"/>
      <c r="S79" s="906"/>
      <c r="T79" s="906"/>
      <c r="U79" s="906"/>
      <c r="V79" s="906"/>
      <c r="W79" s="906"/>
      <c r="Y79" s="23"/>
      <c r="Z79" s="22"/>
    </row>
    <row r="80" spans="1:26" ht="7.5" customHeight="1">
      <c r="B80" s="403"/>
      <c r="C80" s="901"/>
      <c r="D80" s="905"/>
      <c r="E80" s="892"/>
      <c r="F80" s="570"/>
      <c r="G80" s="958"/>
      <c r="H80" s="243"/>
      <c r="I80" s="919"/>
      <c r="J80" s="930"/>
      <c r="K80" s="403"/>
      <c r="L80" s="956"/>
      <c r="M80" s="403"/>
      <c r="N80" s="403"/>
      <c r="R80" s="902"/>
      <c r="Y80" s="901"/>
      <c r="Z80" s="901"/>
    </row>
    <row r="81" spans="2:26" ht="17.25" customHeight="1">
      <c r="B81" s="403"/>
      <c r="C81" s="901"/>
      <c r="D81" s="948" t="s">
        <v>364</v>
      </c>
      <c r="E81" s="892" t="s">
        <v>1138</v>
      </c>
      <c r="F81" s="570"/>
      <c r="G81" s="243"/>
      <c r="H81" s="970">
        <f>SUM(H72:H79)</f>
        <v>0</v>
      </c>
      <c r="I81" s="919"/>
      <c r="J81" s="969"/>
      <c r="K81" s="953"/>
      <c r="L81" s="968"/>
      <c r="M81" s="953"/>
      <c r="N81" s="953"/>
      <c r="R81" s="902"/>
      <c r="Y81" s="23"/>
      <c r="Z81" s="22"/>
    </row>
    <row r="82" spans="2:26" ht="7.5" customHeight="1">
      <c r="B82" s="403"/>
      <c r="C82" s="901"/>
      <c r="D82" s="905"/>
      <c r="E82" s="892"/>
      <c r="F82" s="570"/>
      <c r="G82" s="958"/>
      <c r="H82" s="243"/>
      <c r="I82" s="919"/>
      <c r="J82" s="930"/>
      <c r="K82" s="403"/>
      <c r="L82" s="956"/>
      <c r="M82" s="403"/>
      <c r="N82" s="403"/>
      <c r="R82" s="902"/>
      <c r="Y82" s="901"/>
      <c r="Z82" s="901"/>
    </row>
    <row r="83" spans="2:26" ht="17.25" customHeight="1">
      <c r="B83" s="403"/>
      <c r="C83" s="901"/>
      <c r="D83" s="948" t="s">
        <v>1137</v>
      </c>
      <c r="E83" s="892"/>
      <c r="F83" s="570"/>
      <c r="G83" s="958"/>
      <c r="H83" s="243"/>
      <c r="I83" s="919"/>
      <c r="J83" s="930"/>
      <c r="K83" s="403"/>
      <c r="L83" s="956"/>
      <c r="M83" s="403"/>
      <c r="N83" s="403"/>
      <c r="R83" s="902"/>
      <c r="Y83" s="901"/>
      <c r="Z83" s="901"/>
    </row>
    <row r="84" spans="2:26" ht="17.25" customHeight="1">
      <c r="B84" s="403"/>
      <c r="C84" s="901" t="s">
        <v>1136</v>
      </c>
      <c r="D84" s="905" t="s">
        <v>1135</v>
      </c>
      <c r="E84" s="892" t="s">
        <v>1134</v>
      </c>
      <c r="F84" s="570"/>
      <c r="G84" s="914"/>
      <c r="H84" s="913">
        <f t="shared" ref="H84:H99" si="6">ROUND(IF(L84="Tax Rec",O84, IF(L84="Worksheet",P84, IF(L84="Ledger",Q84,G84))),0)</f>
        <v>0</v>
      </c>
      <c r="I84" s="919" t="s">
        <v>889</v>
      </c>
      <c r="J84" s="914"/>
      <c r="K84" s="918"/>
      <c r="L84" s="911" t="str" cm="1">
        <f t="array" ref="L84">_xlfn.IFS(G84&lt;&gt;0,"Manual", O84&lt;&gt;0,"Tax Rec",P84&lt;&gt;0,"Worksheet",IFERROR(Q84&lt;&gt;0,0),"Ledger",TRUE,"Manual")</f>
        <v>Manual</v>
      </c>
      <c r="N84" s="918"/>
      <c r="O84" s="908">
        <f>SUMIF(SheetNamedRangesNames,"Tx_Sec46FA",SheetNamedRangesValues)</f>
        <v>0</v>
      </c>
      <c r="P84" s="908"/>
      <c r="Q84" s="908">
        <f t="shared" ref="Q84:Q99" si="7">_xlfn.SINGLE(IF(ISBLANK(R84)=FALSE, R84,     IF(AND(ISBLANK(U84)=FALSE,ISBLANK(V84)=FALSE),SUMIFS(Tx_LedgerReport.TaxonomyBalancesDrCr,Tx_LedgerReport.TaxonomyNames,S84,Tx_LedgerReport.PPs,U84,Tx_LedgerReport.NonDeductibles,V84),         IF(ISBLANK(V84)=FALSE,SUMIFS(Tx_LedgerReport.TaxonomyBalancesDrCr,Tx_LedgerReport.TaxonomyNames,S84,Tx_LedgerReport.NonDeductibles,V84),     IF(ISBLANK(U84)=FALSE,SUMIFS(Tx_LedgerReport.TaxonomyBalancesDrCr,Tx_LedgerReport.TaxonomyNames,S84,Tx_LedgerReport.PPs,U84),            SUMIF(Tx_LedgerReport.TaxonomyNames,S84,Tx_LedgerReport.TaxonomyBalancesDrCr))))))       *       IF(W84=TRUE,-1,1)+T84</f>
        <v>0</v>
      </c>
      <c r="R84" s="907"/>
      <c r="S84" s="906"/>
      <c r="T84" s="906"/>
      <c r="U84" s="906"/>
      <c r="V84" s="906"/>
      <c r="W84" s="906"/>
      <c r="Y84" s="23"/>
      <c r="Z84" s="22"/>
    </row>
    <row r="85" spans="2:26" ht="17.25" customHeight="1">
      <c r="B85" s="403"/>
      <c r="C85" s="901" t="s">
        <v>1133</v>
      </c>
      <c r="D85" s="905" t="s">
        <v>1132</v>
      </c>
      <c r="E85" s="892" t="s">
        <v>1131</v>
      </c>
      <c r="F85" s="570"/>
      <c r="G85" s="914"/>
      <c r="H85" s="913">
        <f t="shared" si="6"/>
        <v>0</v>
      </c>
      <c r="I85" s="919" t="s">
        <v>868</v>
      </c>
      <c r="J85" s="914"/>
      <c r="K85" s="918"/>
      <c r="L85" s="911" t="str" cm="1">
        <f t="array" ref="L85">_xlfn.IFS(G85&lt;&gt;0,"Manual", O85&lt;&gt;0,"Tax Rec",P85&lt;&gt;0,"Worksheet",IFERROR(Q85&lt;&gt;0,0),"Ledger",TRUE,"Manual")</f>
        <v>Manual</v>
      </c>
      <c r="N85" s="918"/>
      <c r="O85" s="908">
        <f>SUMIF(SheetNamedRangesNames,"Tx_DepnTax",SheetNamedRangesValues)</f>
        <v>0</v>
      </c>
      <c r="P85" s="908"/>
      <c r="Q85" s="908">
        <f t="shared" si="7"/>
        <v>0</v>
      </c>
      <c r="R85" s="907"/>
      <c r="S85" s="906"/>
      <c r="T85" s="906"/>
      <c r="U85" s="906"/>
      <c r="V85" s="906"/>
      <c r="W85" s="906"/>
      <c r="Y85" s="23"/>
      <c r="Z85" s="22"/>
    </row>
    <row r="86" spans="2:26" ht="17.25" customHeight="1">
      <c r="B86" s="403"/>
      <c r="C86" s="901" t="s">
        <v>1130</v>
      </c>
      <c r="D86" s="905" t="s">
        <v>1129</v>
      </c>
      <c r="E86" s="892" t="s">
        <v>1128</v>
      </c>
      <c r="F86" s="570"/>
      <c r="G86" s="914"/>
      <c r="H86" s="913">
        <f t="shared" si="6"/>
        <v>0</v>
      </c>
      <c r="I86" s="919" t="s">
        <v>908</v>
      </c>
      <c r="J86" s="914"/>
      <c r="K86" s="918"/>
      <c r="L86" s="911" t="str" cm="1">
        <f t="array" ref="L86">_xlfn.IFS(G86&lt;&gt;0,"Manual", O86&lt;&gt;0,"Tax Rec",P86&lt;&gt;0,"Worksheet",IFERROR(Q86&lt;&gt;0,0),"Ledger",TRUE,"Manual")</f>
        <v>Manual</v>
      </c>
      <c r="N86" s="918"/>
      <c r="O86" s="908">
        <f>SUMIF(SheetNamedRangesNames,"Tx_MISExp",SheetNamedRangesValues)</f>
        <v>0</v>
      </c>
      <c r="P86" s="908"/>
      <c r="Q86" s="908">
        <f t="shared" si="7"/>
        <v>0</v>
      </c>
      <c r="R86" s="907"/>
      <c r="S86" s="906" t="s">
        <v>1127</v>
      </c>
      <c r="T86" s="906"/>
      <c r="U86" s="906"/>
      <c r="V86" s="906"/>
      <c r="W86" s="906"/>
      <c r="Y86" s="23"/>
      <c r="Z86" s="22"/>
    </row>
    <row r="87" spans="2:26" ht="17.25" customHeight="1">
      <c r="B87" s="403"/>
      <c r="C87" s="901" t="s">
        <v>1126</v>
      </c>
      <c r="D87" s="905" t="s">
        <v>1125</v>
      </c>
      <c r="E87" s="892" t="s">
        <v>1124</v>
      </c>
      <c r="F87" s="570"/>
      <c r="G87" s="914"/>
      <c r="H87" s="913">
        <f t="shared" si="6"/>
        <v>0</v>
      </c>
      <c r="I87" s="919" t="s">
        <v>875</v>
      </c>
      <c r="J87" s="914"/>
      <c r="K87" s="918"/>
      <c r="L87" s="911" t="str" cm="1">
        <f t="array" ref="L87">_xlfn.IFS(G87&lt;&gt;0,"Manual", O87&lt;&gt;0,"Tax Rec",P87&lt;&gt;0,"Worksheet",IFERROR(Q87&lt;&gt;0,0),"Ledger",TRUE,"Manual")</f>
        <v>Manual</v>
      </c>
      <c r="N87" s="918"/>
      <c r="O87" s="908">
        <f>SUMIF(SheetNamedRangesNames,"Tx_ImmWriteOff",SheetNamedRangesValues)</f>
        <v>0</v>
      </c>
      <c r="P87" s="908"/>
      <c r="Q87" s="908">
        <f t="shared" si="7"/>
        <v>0</v>
      </c>
      <c r="R87" s="907"/>
      <c r="S87" s="906" t="s">
        <v>1123</v>
      </c>
      <c r="T87" s="906"/>
      <c r="U87" s="906"/>
      <c r="V87" s="906"/>
      <c r="W87" s="906"/>
      <c r="Y87" s="23"/>
      <c r="Z87" s="22"/>
    </row>
    <row r="88" spans="2:26" ht="17.25" customHeight="1">
      <c r="B88" s="403"/>
      <c r="C88" s="901" t="s">
        <v>1122</v>
      </c>
      <c r="D88" s="905" t="s">
        <v>1121</v>
      </c>
      <c r="E88" s="892" t="s">
        <v>1120</v>
      </c>
      <c r="F88" s="570"/>
      <c r="G88" s="914"/>
      <c r="H88" s="913">
        <f t="shared" si="6"/>
        <v>0</v>
      </c>
      <c r="I88" s="919" t="s">
        <v>857</v>
      </c>
      <c r="J88" s="914"/>
      <c r="K88" s="918"/>
      <c r="L88" s="911" t="str" cm="1">
        <f t="array" ref="L88">_xlfn.IFS(G88&lt;&gt;0,"Manual", O88&lt;&gt;0,"Tax Rec",P88&lt;&gt;0,"Worksheet",IFERROR(Q88&lt;&gt;0,0),"Ledger",TRUE,"Manual")</f>
        <v>Manual</v>
      </c>
      <c r="N88" s="918"/>
      <c r="O88" s="908">
        <f>SUMIF(SheetNamedRangesNames,"Tx_ProjectPoolDed",SheetNamedRangesValues)</f>
        <v>0</v>
      </c>
      <c r="P88" s="908"/>
      <c r="Q88" s="908">
        <f t="shared" si="7"/>
        <v>0</v>
      </c>
      <c r="R88" s="907"/>
      <c r="S88" s="906"/>
      <c r="T88" s="906"/>
      <c r="U88" s="906"/>
      <c r="V88" s="906"/>
      <c r="W88" s="906"/>
      <c r="Y88" s="23"/>
      <c r="Z88" s="22"/>
    </row>
    <row r="89" spans="2:26" ht="17.25" customHeight="1">
      <c r="B89" s="403"/>
      <c r="C89" s="901" t="s">
        <v>1119</v>
      </c>
      <c r="D89" s="905" t="s">
        <v>1118</v>
      </c>
      <c r="E89" s="892" t="s">
        <v>1117</v>
      </c>
      <c r="F89" s="570"/>
      <c r="G89" s="914"/>
      <c r="H89" s="913">
        <f t="shared" si="6"/>
        <v>0</v>
      </c>
      <c r="I89" s="919" t="s">
        <v>829</v>
      </c>
      <c r="J89" s="914"/>
      <c r="K89" s="918"/>
      <c r="L89" s="911" t="str" cm="1">
        <f t="array" ref="L89">_xlfn.IFS(G89&lt;&gt;0,"Manual", O89&lt;&gt;0,"Tax Rec",P89&lt;&gt;0,"Worksheet",IFERROR(Q89&lt;&gt;0,0),"Ledger",TRUE,"Manual")</f>
        <v>Manual</v>
      </c>
      <c r="N89" s="918"/>
      <c r="O89" s="908">
        <f>SUMIF(SheetNamedRangesNames,"Tx_CapitalWorksDed",SheetNamedRangesValues)</f>
        <v>0</v>
      </c>
      <c r="P89" s="908"/>
      <c r="Q89" s="908">
        <f t="shared" si="7"/>
        <v>0</v>
      </c>
      <c r="R89" s="907"/>
      <c r="S89" s="906"/>
      <c r="T89" s="906"/>
      <c r="U89" s="906"/>
      <c r="V89" s="906"/>
      <c r="W89" s="906"/>
      <c r="Y89" s="23"/>
      <c r="Z89" s="22"/>
    </row>
    <row r="90" spans="2:26" ht="17.25" customHeight="1">
      <c r="B90" s="403"/>
      <c r="C90" s="901" t="s">
        <v>1116</v>
      </c>
      <c r="D90" s="905" t="s">
        <v>1115</v>
      </c>
      <c r="E90" s="892" t="s">
        <v>1114</v>
      </c>
      <c r="F90" s="570"/>
      <c r="G90" s="914"/>
      <c r="H90" s="913">
        <f t="shared" si="6"/>
        <v>0</v>
      </c>
      <c r="I90" s="919" t="s">
        <v>1113</v>
      </c>
      <c r="J90" s="914"/>
      <c r="K90" s="918"/>
      <c r="L90" s="911" t="str" cm="1">
        <f t="array" ref="L90">_xlfn.IFS(G90&lt;&gt;0,"Manual", O90&lt;&gt;0,"Tax Rec",P90&lt;&gt;0,"Worksheet",IFERROR(Q90&lt;&gt;0,0),"Ledger",TRUE,"Manual")</f>
        <v>Manual</v>
      </c>
      <c r="N90" s="918"/>
      <c r="O90" s="908">
        <f>SUMIF(SheetNamedRangesNames,"Tx_Sec40880",SheetNamedRangesValues)</f>
        <v>0</v>
      </c>
      <c r="P90" s="908"/>
      <c r="Q90" s="908">
        <f t="shared" si="7"/>
        <v>0</v>
      </c>
      <c r="R90" s="907"/>
      <c r="S90" s="906" t="s">
        <v>1112</v>
      </c>
      <c r="T90" s="906"/>
      <c r="U90" s="906"/>
      <c r="V90" s="906"/>
      <c r="W90" s="906"/>
      <c r="Y90" s="23"/>
      <c r="Z90" s="22"/>
    </row>
    <row r="91" spans="2:26" ht="30" customHeight="1">
      <c r="B91" s="403"/>
      <c r="C91" s="901" t="s">
        <v>1111</v>
      </c>
      <c r="D91" s="905" t="s">
        <v>1110</v>
      </c>
      <c r="E91" s="892" t="s">
        <v>1109</v>
      </c>
      <c r="F91" s="570"/>
      <c r="G91" s="914"/>
      <c r="H91" s="913">
        <f t="shared" si="6"/>
        <v>0</v>
      </c>
      <c r="I91" s="919" t="s">
        <v>378</v>
      </c>
      <c r="J91" s="914"/>
      <c r="K91" s="918"/>
      <c r="L91" s="911" t="str" cm="1">
        <f t="array" ref="L91">_xlfn.IFS(G91&lt;&gt;0,"Manual", O91&lt;&gt;0,"Tax Rec",P91&lt;&gt;0,"Worksheet",IFERROR(Q91&lt;&gt;0,0),"Ledger",TRUE,"Manual")</f>
        <v>Manual</v>
      </c>
      <c r="N91" s="918"/>
      <c r="O91" s="973">
        <f>SUMIF(SheetNamedRangesNames,"Tx_Landcare",SheetNamedRangesValues)</f>
        <v>0</v>
      </c>
      <c r="P91" s="908"/>
      <c r="Q91" s="908">
        <f t="shared" si="7"/>
        <v>0</v>
      </c>
      <c r="R91" s="907"/>
      <c r="S91" s="906"/>
      <c r="T91" s="906"/>
      <c r="U91" s="906"/>
      <c r="V91" s="906"/>
      <c r="W91" s="906"/>
      <c r="Y91" s="23"/>
      <c r="Z91" s="22"/>
    </row>
    <row r="92" spans="2:26" ht="17.25" customHeight="1">
      <c r="B92" s="403"/>
      <c r="C92" s="901" t="s">
        <v>1108</v>
      </c>
      <c r="D92" s="905" t="s">
        <v>1107</v>
      </c>
      <c r="E92" s="892" t="s">
        <v>1106</v>
      </c>
      <c r="F92" s="570"/>
      <c r="G92" s="914"/>
      <c r="H92" s="913">
        <f t="shared" si="6"/>
        <v>0</v>
      </c>
      <c r="I92" s="919" t="s">
        <v>1071</v>
      </c>
      <c r="J92" s="914"/>
      <c r="K92" s="918"/>
      <c r="L92" s="911" t="str" cm="1">
        <f t="array" ref="L92">_xlfn.IFS(G92&lt;&gt;0,"Manual", O92&lt;&gt;0,"Tax Rec",P92&lt;&gt;0,"Worksheet",IFERROR(Q92&lt;&gt;0,0),"Ledger",TRUE,"Manual")</f>
        <v>Manual</v>
      </c>
      <c r="O92" s="908">
        <f>SUMIF(SheetNamedRangesNames,"Tx_EnvProtDed",SheetNamedRangesValues)</f>
        <v>0</v>
      </c>
      <c r="P92" s="961"/>
      <c r="Q92" s="908">
        <f t="shared" si="7"/>
        <v>0</v>
      </c>
      <c r="R92" s="907"/>
      <c r="S92" s="906"/>
      <c r="T92" s="906"/>
      <c r="U92" s="906"/>
      <c r="V92" s="906"/>
      <c r="W92" s="906"/>
      <c r="Y92" s="23"/>
      <c r="Z92" s="22"/>
    </row>
    <row r="93" spans="2:26" ht="17.25" customHeight="1">
      <c r="B93" s="403"/>
      <c r="C93" s="901" t="s">
        <v>1105</v>
      </c>
      <c r="D93" s="905" t="s">
        <v>1104</v>
      </c>
      <c r="E93" s="892" t="s">
        <v>1103</v>
      </c>
      <c r="F93" s="570"/>
      <c r="G93" s="914"/>
      <c r="H93" s="913">
        <f t="shared" si="6"/>
        <v>0</v>
      </c>
      <c r="I93" s="919" t="s">
        <v>904</v>
      </c>
      <c r="J93" s="914"/>
      <c r="K93" s="918"/>
      <c r="L93" s="911" t="str" cm="1">
        <f t="array" ref="L93">_xlfn.IFS(G93&lt;&gt;0,"Manual", O93&lt;&gt;0,"Tax Rec",P93&lt;&gt;0,"Worksheet",IFERROR(Q93&lt;&gt;0,0),"Ledger",TRUE,"Manual")</f>
        <v>Manual</v>
      </c>
      <c r="N93" s="918"/>
      <c r="O93" s="908">
        <f>SUMIF(SheetNamedRangesNames,"CC20_ExemptIncome",SheetNamedRangesValues)</f>
        <v>0</v>
      </c>
      <c r="P93" s="908"/>
      <c r="Q93" s="908">
        <f t="shared" si="7"/>
        <v>0</v>
      </c>
      <c r="R93" s="907"/>
      <c r="S93" s="906"/>
      <c r="T93" s="906"/>
      <c r="U93" s="906"/>
      <c r="V93" s="906"/>
      <c r="W93" s="906"/>
      <c r="Y93" s="23"/>
      <c r="Z93" s="22"/>
    </row>
    <row r="94" spans="2:26" ht="17.25" customHeight="1">
      <c r="B94" s="403"/>
      <c r="C94" s="901" t="s">
        <v>1102</v>
      </c>
      <c r="D94" s="905" t="s">
        <v>1101</v>
      </c>
      <c r="E94" s="892" t="s">
        <v>1100</v>
      </c>
      <c r="F94" s="570"/>
      <c r="G94" s="914"/>
      <c r="H94" s="913">
        <f t="shared" si="6"/>
        <v>0</v>
      </c>
      <c r="I94" s="919" t="s">
        <v>991</v>
      </c>
      <c r="J94" s="914"/>
      <c r="K94" s="918"/>
      <c r="L94" s="911" t="str" cm="1">
        <f t="array" ref="L94">_xlfn.IFS(G94&lt;&gt;0,"Manual", O94&lt;&gt;0,"Tax Rec",P94&lt;&gt;0,"Worksheet",IFERROR(Q94&lt;&gt;0,0),"Ledger",TRUE,"Manual")</f>
        <v>Manual</v>
      </c>
      <c r="N94" s="918"/>
      <c r="O94" s="908">
        <f>SUMIF(SheetNamedRangesNames,"Tx_OtherNonAssIncome",SheetNamedRangesValues)</f>
        <v>0</v>
      </c>
      <c r="P94" s="908"/>
      <c r="Q94" s="908">
        <f t="shared" si="7"/>
        <v>0</v>
      </c>
      <c r="R94" s="907"/>
      <c r="S94" s="906"/>
      <c r="T94" s="906"/>
      <c r="U94" s="906"/>
      <c r="V94" s="906"/>
      <c r="W94" s="906"/>
      <c r="Y94" s="23"/>
      <c r="Z94" s="22"/>
    </row>
    <row r="95" spans="2:26" ht="17.25" customHeight="1">
      <c r="B95" s="403"/>
      <c r="C95" s="901" t="s">
        <v>1099</v>
      </c>
      <c r="D95" s="905" t="s">
        <v>1098</v>
      </c>
      <c r="E95" s="892" t="s">
        <v>1097</v>
      </c>
      <c r="F95" s="570"/>
      <c r="G95" s="914"/>
      <c r="H95" s="913">
        <f t="shared" si="6"/>
        <v>0</v>
      </c>
      <c r="I95" s="919" t="s">
        <v>1096</v>
      </c>
      <c r="J95" s="914"/>
      <c r="K95" s="918"/>
      <c r="L95" s="911" t="str" cm="1">
        <f t="array" ref="L95">_xlfn.IFS(G95&lt;&gt;0,"Manual", O95&lt;&gt;0,"Tax Rec",P95&lt;&gt;0,"Worksheet",IFERROR(Q95&lt;&gt;0,0),"Ledger",TRUE,"Manual")</f>
        <v>Manual</v>
      </c>
      <c r="N95" s="918"/>
      <c r="O95" s="908">
        <f>SUMIF(SheetNamedRangesNames,"Tx_TOFADed",SheetNamedRangesValues)</f>
        <v>0</v>
      </c>
      <c r="P95" s="908"/>
      <c r="Q95" s="908">
        <f t="shared" si="7"/>
        <v>0</v>
      </c>
      <c r="R95" s="907"/>
      <c r="S95" s="906"/>
      <c r="T95" s="906"/>
      <c r="U95" s="906"/>
      <c r="V95" s="906"/>
      <c r="W95" s="906"/>
      <c r="Y95" s="23"/>
      <c r="Z95" s="22"/>
    </row>
    <row r="96" spans="2:26" ht="17.25" customHeight="1">
      <c r="B96" s="403"/>
      <c r="C96" s="901" t="s">
        <v>1095</v>
      </c>
      <c r="D96" s="905" t="s">
        <v>1094</v>
      </c>
      <c r="E96" s="892" t="s">
        <v>1094</v>
      </c>
      <c r="F96" s="570"/>
      <c r="G96" s="914"/>
      <c r="H96" s="913">
        <f t="shared" si="6"/>
        <v>0</v>
      </c>
      <c r="I96" s="919" t="s">
        <v>1009</v>
      </c>
      <c r="J96" s="914"/>
      <c r="K96" s="918"/>
      <c r="L96" s="911" t="str" cm="1">
        <f t="array" ref="L96">_xlfn.IFS(G96&lt;&gt;0,"Manual", O96&lt;&gt;0,"Tax Rec",P96&lt;&gt;0,"Worksheet",IFERROR(Q96&lt;&gt;0,0),"Ledger",TRUE,"Manual")</f>
        <v>Manual</v>
      </c>
      <c r="N96" s="918"/>
      <c r="O96" s="908">
        <f>SUMIF(SheetNamedRangesNames,"Tx_OtherDedExp",SheetNamedRangesValues)-O97-O98</f>
        <v>0</v>
      </c>
      <c r="P96" s="908"/>
      <c r="Q96" s="908">
        <f t="shared" si="7"/>
        <v>0</v>
      </c>
      <c r="R96" s="907"/>
      <c r="S96" s="906"/>
      <c r="T96" s="906"/>
      <c r="U96" s="906"/>
      <c r="V96" s="906"/>
      <c r="W96" s="906"/>
      <c r="Y96" s="23"/>
      <c r="Z96" s="22"/>
    </row>
    <row r="97" spans="1:26" ht="17.25" customHeight="1">
      <c r="B97" s="403"/>
      <c r="C97" s="901" t="s">
        <v>1093</v>
      </c>
      <c r="D97" s="905" t="s">
        <v>1092</v>
      </c>
      <c r="E97" s="892" t="s">
        <v>1091</v>
      </c>
      <c r="F97" s="570"/>
      <c r="G97" s="914"/>
      <c r="H97" s="913">
        <f t="shared" si="6"/>
        <v>0</v>
      </c>
      <c r="I97" s="919" t="s">
        <v>927</v>
      </c>
      <c r="J97" s="972"/>
      <c r="K97" s="918"/>
      <c r="L97" s="911" t="str" cm="1">
        <f t="array" ref="L97">_xlfn.IFS(G97&lt;&gt;0,"Manual", O97&lt;&gt;0,"Tax Rec",P97&lt;&gt;0,"Worksheet",IFERROR(Q97&lt;&gt;0,0),"Ledger",TRUE,"Manual")</f>
        <v>Manual</v>
      </c>
      <c r="M97" s="910" t="s">
        <v>284</v>
      </c>
      <c r="N97" s="918"/>
      <c r="O97" s="908">
        <f>SUMIF(SheetNamedRangesNames,"Tx_SkillsBoost",SheetNamedRangesValues)</f>
        <v>0</v>
      </c>
      <c r="P97" s="908">
        <f>SUMIF(SheetNamedRangesNames,"CC45_SkillsTrainingBoost",SheetNamedRangesValues)</f>
        <v>0</v>
      </c>
      <c r="Q97" s="908">
        <f t="shared" si="7"/>
        <v>0</v>
      </c>
      <c r="R97" s="907"/>
      <c r="S97" s="906"/>
      <c r="T97" s="906"/>
      <c r="U97" s="906"/>
      <c r="V97" s="906"/>
      <c r="W97" s="906"/>
      <c r="Y97" s="23"/>
      <c r="Z97" s="22"/>
    </row>
    <row r="98" spans="1:26" ht="17.25" customHeight="1">
      <c r="B98" s="403"/>
      <c r="C98" s="901" t="s">
        <v>1090</v>
      </c>
      <c r="D98" s="905" t="s">
        <v>1089</v>
      </c>
      <c r="E98" s="892" t="s">
        <v>1088</v>
      </c>
      <c r="F98" s="570"/>
      <c r="G98" s="914"/>
      <c r="H98" s="913">
        <f t="shared" si="6"/>
        <v>0</v>
      </c>
      <c r="I98" s="919" t="s">
        <v>825</v>
      </c>
      <c r="J98" s="972"/>
      <c r="K98" s="918"/>
      <c r="L98" s="911" t="str" cm="1">
        <f t="array" ref="L98">_xlfn.IFS(G98&lt;&gt;0,"Manual", O98&lt;&gt;0,"Tax Rec",P98&lt;&gt;0,"Worksheet",IFERROR(Q98&lt;&gt;0,0),"Ledger",TRUE,"Manual")</f>
        <v>Manual</v>
      </c>
      <c r="M98" s="910" t="s">
        <v>284</v>
      </c>
      <c r="N98" s="918"/>
      <c r="O98" s="908">
        <f>SUMIF(SheetNamedRangesNames,"Tx_EnergyIncentive",SheetNamedRangesValues)</f>
        <v>0</v>
      </c>
      <c r="P98" s="908">
        <f>SUMIF(SheetNamedRangesNames,"CC38_EnergyIncentive",SheetNamedRangesValues)</f>
        <v>0</v>
      </c>
      <c r="Q98" s="908">
        <f t="shared" si="7"/>
        <v>0</v>
      </c>
      <c r="R98" s="907"/>
      <c r="S98" s="906"/>
      <c r="T98" s="906"/>
      <c r="U98" s="906"/>
      <c r="V98" s="906"/>
      <c r="W98" s="906"/>
      <c r="Y98" s="23"/>
      <c r="Z98" s="22"/>
    </row>
    <row r="99" spans="1:26" ht="17.25" customHeight="1">
      <c r="B99" s="403"/>
      <c r="C99" s="901" t="s">
        <v>1087</v>
      </c>
      <c r="D99" s="905" t="s">
        <v>1086</v>
      </c>
      <c r="E99" s="892" t="s">
        <v>1085</v>
      </c>
      <c r="F99" s="570"/>
      <c r="G99" s="914"/>
      <c r="H99" s="913">
        <f t="shared" si="6"/>
        <v>0</v>
      </c>
      <c r="I99" s="919" t="s">
        <v>984</v>
      </c>
      <c r="J99" s="914"/>
      <c r="K99" s="918"/>
      <c r="L99" s="911" t="str" cm="1">
        <f t="array" ref="L99">_xlfn.IFS(G99&lt;&gt;0,"Manual", O99&lt;&gt;0,"Tax Rec",P99&lt;&gt;0,"Worksheet",IFERROR(Q99&lt;&gt;0,0),"Ledger",TRUE,"Manual")</f>
        <v>Manual</v>
      </c>
      <c r="M99" s="910" t="s">
        <v>284</v>
      </c>
      <c r="N99" s="918"/>
      <c r="O99" s="908">
        <f>SUMIF(SheetNamedRangesNames,"CC20_LossesRecouped",SheetNamedRangesValues)</f>
        <v>0</v>
      </c>
      <c r="P99" s="908">
        <f>SUMIF(SheetNamedRangesNames,"CC15_Losses",SheetNamedRangesValues)</f>
        <v>0</v>
      </c>
      <c r="Q99" s="908">
        <f t="shared" si="7"/>
        <v>0</v>
      </c>
      <c r="R99" s="907"/>
      <c r="S99" s="906"/>
      <c r="T99" s="906"/>
      <c r="U99" s="906"/>
      <c r="V99" s="906"/>
      <c r="W99" s="906"/>
      <c r="Y99" s="23"/>
      <c r="Z99" s="22"/>
    </row>
    <row r="100" spans="1:26" ht="30" customHeight="1">
      <c r="B100" s="403"/>
      <c r="C100" s="901" t="s">
        <v>1084</v>
      </c>
      <c r="D100" s="905" t="s">
        <v>1083</v>
      </c>
      <c r="E100" s="892" t="s">
        <v>1082</v>
      </c>
      <c r="F100" s="570"/>
      <c r="G100" s="243"/>
      <c r="H100" s="914"/>
      <c r="I100" s="919" t="s">
        <v>822</v>
      </c>
      <c r="J100" s="914"/>
      <c r="K100" s="918"/>
      <c r="Y100" s="23"/>
      <c r="Z100" s="22"/>
    </row>
    <row r="101" spans="1:26" ht="7.5" customHeight="1">
      <c r="B101" s="403"/>
      <c r="C101" s="901"/>
      <c r="D101" s="905"/>
      <c r="E101" s="892"/>
      <c r="F101" s="570"/>
      <c r="G101" s="958"/>
      <c r="H101" s="243"/>
      <c r="I101" s="919"/>
      <c r="J101" s="930"/>
      <c r="K101" s="403"/>
      <c r="L101" s="956"/>
      <c r="M101" s="403"/>
      <c r="N101" s="403"/>
      <c r="R101" s="902"/>
      <c r="Y101" s="901"/>
      <c r="Z101" s="901"/>
    </row>
    <row r="102" spans="1:26" ht="17.25" customHeight="1">
      <c r="B102" s="403"/>
      <c r="C102" s="901"/>
      <c r="D102" s="948" t="s">
        <v>364</v>
      </c>
      <c r="E102" s="892" t="s">
        <v>1081</v>
      </c>
      <c r="F102" s="570"/>
      <c r="G102" s="243"/>
      <c r="H102" s="970">
        <f>SUM(H84:H100)</f>
        <v>0</v>
      </c>
      <c r="I102" s="919"/>
      <c r="J102" s="969"/>
      <c r="K102" s="953"/>
      <c r="L102" s="968"/>
      <c r="M102" s="953"/>
      <c r="N102" s="953"/>
      <c r="R102" s="902"/>
      <c r="Y102" s="23"/>
      <c r="Z102" s="22"/>
    </row>
    <row r="103" spans="1:26" ht="7.5" customHeight="1">
      <c r="B103" s="403"/>
      <c r="C103" s="901"/>
      <c r="D103" s="971"/>
      <c r="E103" s="959"/>
      <c r="F103" s="570"/>
      <c r="G103" s="958"/>
      <c r="H103" s="243"/>
      <c r="I103" s="919"/>
      <c r="J103" s="930"/>
      <c r="K103" s="403"/>
      <c r="L103" s="956"/>
      <c r="M103" s="403"/>
      <c r="N103" s="403"/>
      <c r="R103" s="902"/>
      <c r="Y103" s="901"/>
      <c r="Z103" s="901"/>
    </row>
    <row r="104" spans="1:26" ht="17.25" customHeight="1">
      <c r="B104" s="403"/>
      <c r="C104" s="901"/>
      <c r="D104" s="900" t="s">
        <v>1080</v>
      </c>
      <c r="E104" s="892" t="s">
        <v>1079</v>
      </c>
      <c r="F104" s="570"/>
      <c r="G104" s="243"/>
      <c r="H104" s="970">
        <f>H66+H81-H102</f>
        <v>97786</v>
      </c>
      <c r="I104" s="919" t="s">
        <v>971</v>
      </c>
      <c r="J104" s="969"/>
      <c r="K104" s="953"/>
      <c r="L104" s="968"/>
      <c r="M104" s="953"/>
      <c r="N104" s="953"/>
      <c r="R104" s="902"/>
      <c r="Y104" s="23"/>
      <c r="Z104" s="22"/>
    </row>
    <row r="105" spans="1:26" ht="17.25" customHeight="1">
      <c r="B105" s="403"/>
      <c r="C105" s="901"/>
      <c r="D105" s="960"/>
      <c r="E105" s="959"/>
      <c r="F105" s="570"/>
      <c r="G105" s="958"/>
      <c r="H105" s="958"/>
      <c r="I105" s="919"/>
      <c r="J105" s="957"/>
      <c r="K105" s="403"/>
      <c r="L105" s="956"/>
      <c r="M105" s="403"/>
      <c r="N105" s="403"/>
      <c r="R105" s="902"/>
      <c r="Y105" s="901"/>
      <c r="Z105" s="901"/>
    </row>
    <row r="106" spans="1:26" ht="22.5" customHeight="1">
      <c r="A106" s="955" t="str">
        <f>IF(SUBTOTAL(103,A107),"-","+")</f>
        <v>-</v>
      </c>
      <c r="B106" s="938"/>
      <c r="C106" s="937"/>
      <c r="D106" s="935" t="s">
        <v>1078</v>
      </c>
      <c r="E106" s="936"/>
      <c r="F106" s="935"/>
      <c r="G106" s="934"/>
      <c r="H106" s="934"/>
      <c r="I106" s="933"/>
      <c r="J106" s="932"/>
      <c r="K106" s="931"/>
      <c r="L106" s="940"/>
      <c r="M106" s="931"/>
      <c r="N106" s="931"/>
      <c r="R106" s="902"/>
      <c r="X106" s="953"/>
      <c r="Y106" s="967"/>
      <c r="Z106" s="901"/>
    </row>
    <row r="107" spans="1:26" ht="7.5" customHeight="1">
      <c r="A107" s="65" t="s">
        <v>58</v>
      </c>
      <c r="D107" s="867"/>
      <c r="E107" s="892"/>
      <c r="F107" s="17"/>
      <c r="G107" s="243"/>
      <c r="H107" s="243"/>
      <c r="I107" s="896"/>
      <c r="J107" s="930"/>
      <c r="R107" s="902"/>
      <c r="X107" s="953"/>
      <c r="Y107" s="967"/>
      <c r="Z107" s="901"/>
    </row>
    <row r="108" spans="1:26" ht="17.25" customHeight="1">
      <c r="B108" s="403"/>
      <c r="C108" s="901" t="s">
        <v>1077</v>
      </c>
      <c r="D108" s="905" t="s">
        <v>1076</v>
      </c>
      <c r="E108" s="892" t="s">
        <v>1075</v>
      </c>
      <c r="F108" s="570"/>
      <c r="G108" s="243"/>
      <c r="H108" s="966"/>
      <c r="I108" s="919" t="s">
        <v>378</v>
      </c>
      <c r="J108" s="965"/>
      <c r="K108" s="918"/>
      <c r="L108" s="946"/>
      <c r="M108" s="918"/>
      <c r="N108" s="918"/>
      <c r="R108" s="902"/>
      <c r="Y108" s="23"/>
      <c r="Z108" s="22"/>
    </row>
    <row r="109" spans="1:26" ht="17.25" customHeight="1">
      <c r="B109" s="403"/>
      <c r="C109" s="901" t="s">
        <v>1074</v>
      </c>
      <c r="D109" s="905" t="s">
        <v>1073</v>
      </c>
      <c r="E109" s="892" t="s">
        <v>1072</v>
      </c>
      <c r="F109" s="570"/>
      <c r="G109" s="243"/>
      <c r="H109" s="950"/>
      <c r="I109" s="919" t="s">
        <v>1071</v>
      </c>
      <c r="J109" s="964"/>
      <c r="K109" s="918"/>
      <c r="L109" s="946"/>
      <c r="M109" s="918"/>
      <c r="N109" s="918"/>
      <c r="R109" s="902"/>
      <c r="Y109" s="23"/>
      <c r="Z109" s="22"/>
    </row>
    <row r="110" spans="1:26" ht="17.25" customHeight="1">
      <c r="B110" s="403"/>
      <c r="C110" s="901" t="s">
        <v>1070</v>
      </c>
      <c r="D110" s="905" t="s">
        <v>1069</v>
      </c>
      <c r="E110" s="892" t="s">
        <v>1068</v>
      </c>
      <c r="F110" s="570"/>
      <c r="G110" s="914"/>
      <c r="H110" s="913">
        <f>ROUND(IF(L110="Summary sheet",O110, IF(L110="Worksheet",P110, IF(L110="Ledger",Q110,G110))),0)</f>
        <v>0</v>
      </c>
      <c r="I110" s="919" t="s">
        <v>899</v>
      </c>
      <c r="J110" s="912"/>
      <c r="K110" s="918"/>
      <c r="L110" s="911" t="str" cm="1">
        <f t="array" ref="L110">_xlfn.IFS(G110&lt;&gt;0,"Manual", O110&lt;&gt;0,"Summary Sheet",P110&lt;&gt;0,"Worksheet",IFERROR(Q110&lt;&gt;0,0),"Ledger",TRUE,"Manual")</f>
        <v>Manual</v>
      </c>
      <c r="M110" s="910" t="s">
        <v>284</v>
      </c>
      <c r="N110" s="918"/>
      <c r="O110" s="909"/>
      <c r="P110" s="909">
        <f>SUMIF(SheetNamedRangesNames,"M35_OSThisYr",SheetNamedRangesValues)</f>
        <v>0</v>
      </c>
      <c r="Q110" s="908">
        <f>_xlfn.SINGLE(IF(ISBLANK(R110)=FALSE, R110,     IF(AND(ISBLANK(U110)=FALSE,ISBLANK(V110)=FALSE),SUMIFS(Tx_LedgerReport.TaxonomyBalancesDrCr,Tx_LedgerReport.TaxonomyNames,S110,Tx_LedgerReport.PPs,U110,Tx_LedgerReport.NonDeductibles,V110),         IF(ISBLANK(V110)=FALSE,SUMIFS(Tx_LedgerReport.TaxonomyBalancesDrCr,Tx_LedgerReport.TaxonomyNames,S110,Tx_LedgerReport.NonDeductibles,V110),     IF(ISBLANK(U110)=FALSE,SUMIFS(Tx_LedgerReport.TaxonomyBalancesDrCr,Tx_LedgerReport.TaxonomyNames,S110,Tx_LedgerReport.PPs,U110),            SUMIF(Tx_LedgerReport.TaxonomyNames,S110,Tx_LedgerReport.TaxonomyBalancesDrCr))))))       *       IF(W110=TRUE,-1,1)+T110</f>
        <v>0</v>
      </c>
      <c r="R110" s="907"/>
      <c r="S110" s="906" t="s">
        <v>1067</v>
      </c>
      <c r="T110" s="906"/>
      <c r="U110" s="906"/>
      <c r="V110" s="906"/>
      <c r="W110" s="906"/>
      <c r="Y110" s="23"/>
      <c r="Z110" s="22"/>
    </row>
    <row r="111" spans="1:26" ht="17.25" customHeight="1">
      <c r="B111" s="403"/>
      <c r="C111" s="901" t="s">
        <v>1066</v>
      </c>
      <c r="D111" s="905" t="s">
        <v>1065</v>
      </c>
      <c r="E111" s="892" t="s">
        <v>1064</v>
      </c>
      <c r="F111" s="570"/>
      <c r="G111" s="914"/>
      <c r="H111" s="913">
        <f>ROUND(IF(L111="Summary sheet",O111, IF(L111="Worksheet",P111, IF(L111="Ledger",Q111,G111))),0)</f>
        <v>3028</v>
      </c>
      <c r="I111" s="919" t="s">
        <v>822</v>
      </c>
      <c r="J111" s="912"/>
      <c r="K111" s="918"/>
      <c r="L111" s="911" t="str" cm="1">
        <f t="array" ref="L111">_xlfn.IFS(G111&lt;&gt;0,"Manual", O111&lt;&gt;0,"Summary Sheet",P111&lt;&gt;0,"Worksheet",IFERROR(Q111&lt;&gt;0,0),"Ledger",TRUE,"Manual")</f>
        <v>Ledger</v>
      </c>
      <c r="M111" s="910" t="s">
        <v>284</v>
      </c>
      <c r="N111" s="918"/>
      <c r="O111" s="909"/>
      <c r="P111" s="909">
        <f>SUMIF(SheetNamedRangesNames,"M35_PurchasesThisYr",SheetNamedRangesValues)</f>
        <v>0</v>
      </c>
      <c r="Q111" s="908">
        <f>_xlfn.SINGLE(IF(ISBLANK(R111)=FALSE, R111,     IF(AND(ISBLANK(U111)=FALSE,ISBLANK(V111)=FALSE),SUMIFS(Tx_LedgerReport.TaxonomyBalancesDrCr,Tx_LedgerReport.TaxonomyNames,S111,Tx_LedgerReport.PPs,U111,Tx_LedgerReport.NonDeductibles,V111),         IF(ISBLANK(V111)=FALSE,SUMIFS(Tx_LedgerReport.TaxonomyBalancesDrCr,Tx_LedgerReport.TaxonomyNames,S111,Tx_LedgerReport.NonDeductibles,V111),     IF(ISBLANK(U111)=FALSE,SUMIFS(Tx_LedgerReport.TaxonomyBalancesDrCr,Tx_LedgerReport.TaxonomyNames,S111,Tx_LedgerReport.PPs,U111),            SUMIF(Tx_LedgerReport.TaxonomyNames,S111,Tx_LedgerReport.TaxonomyBalancesDrCr))))))       *       IF(W111=TRUE,-1,1)+T111</f>
        <v>3028.07</v>
      </c>
      <c r="R111" s="907">
        <f>SUMIF(Tx_LedgerReport.TaxonomyNames,"Bus.Exp.Cos.Purchases",Tx_LedgerReport.TaxonomyBalances)+SUMIF(Tx_LedgerReport.TaxonomyNames,"Bus.Exp.Cos.DirectCosts",Tx_LedgerReport.TaxonomyBalances)</f>
        <v>3028.07</v>
      </c>
      <c r="S111" s="906"/>
      <c r="T111" s="906"/>
      <c r="U111" s="906"/>
      <c r="V111" s="906"/>
      <c r="W111" s="906"/>
      <c r="Y111" s="23"/>
      <c r="Z111" s="22"/>
    </row>
    <row r="112" spans="1:26" ht="17.25" customHeight="1">
      <c r="B112" s="403"/>
      <c r="C112" s="901" t="s">
        <v>1063</v>
      </c>
      <c r="D112" s="905" t="s">
        <v>1062</v>
      </c>
      <c r="E112" s="892" t="s">
        <v>1061</v>
      </c>
      <c r="F112" s="570"/>
      <c r="G112" s="914"/>
      <c r="H112" s="913">
        <f>ROUND(IF(L112="Summary sheet",O112, IF(L112="Worksheet",P112, IF(L112="Ledger",Q112,G112))),0)</f>
        <v>0</v>
      </c>
      <c r="I112" s="919" t="s">
        <v>893</v>
      </c>
      <c r="J112" s="912"/>
      <c r="K112" s="918"/>
      <c r="L112" s="911" t="str" cm="1">
        <f t="array" ref="L112">_xlfn.IFS(G112&lt;&gt;0,"Manual", O112&lt;&gt;0,"Summary Sheet",P112&lt;&gt;0,"Worksheet",IFERROR(Q112&lt;&gt;0,0),"Ledger",TRUE,"Manual")</f>
        <v>Manual</v>
      </c>
      <c r="M112" s="910" t="s">
        <v>284</v>
      </c>
      <c r="N112" s="918"/>
      <c r="O112" s="909"/>
      <c r="P112" s="909">
        <f>SUMIF(SheetNamedRangesNames,"M35_CSThisYr",SheetNamedRangesValues)</f>
        <v>0</v>
      </c>
      <c r="Q112" s="908">
        <f>_xlfn.SINGLE(IF(ISBLANK(R112)=FALSE, R112,     IF(AND(ISBLANK(U112)=FALSE,ISBLANK(V112)=FALSE),SUMIFS(Tx_LedgerReport.TaxonomyBalancesDrCr,Tx_LedgerReport.TaxonomyNames,S112,Tx_LedgerReport.PPs,U112,Tx_LedgerReport.NonDeductibles,V112),         IF(ISBLANK(V112)=FALSE,SUMIFS(Tx_LedgerReport.TaxonomyBalancesDrCr,Tx_LedgerReport.TaxonomyNames,S112,Tx_LedgerReport.NonDeductibles,V112),     IF(ISBLANK(U112)=FALSE,SUMIFS(Tx_LedgerReport.TaxonomyBalancesDrCr,Tx_LedgerReport.TaxonomyNames,S112,Tx_LedgerReport.PPs,U112),            SUMIF(Tx_LedgerReport.TaxonomyNames,S112,Tx_LedgerReport.TaxonomyBalancesDrCr))))))       *       IF(W112=TRUE,-1,1)+T112</f>
        <v>0</v>
      </c>
      <c r="R112" s="907"/>
      <c r="S112" s="906" t="s">
        <v>1060</v>
      </c>
      <c r="T112" s="906"/>
      <c r="U112" s="906"/>
      <c r="V112" s="906"/>
      <c r="W112" s="906" t="b">
        <v>1</v>
      </c>
      <c r="Y112" s="23"/>
      <c r="Z112" s="22"/>
    </row>
    <row r="113" spans="2:26" ht="17.25" customHeight="1">
      <c r="B113" s="403"/>
      <c r="C113" s="901" t="s">
        <v>1059</v>
      </c>
      <c r="D113" s="905" t="s">
        <v>1058</v>
      </c>
      <c r="E113" s="892" t="s">
        <v>1057</v>
      </c>
      <c r="F113" s="570"/>
      <c r="G113" s="243"/>
      <c r="H113" s="914"/>
      <c r="I113" s="919"/>
      <c r="J113" s="949"/>
      <c r="K113" s="918"/>
      <c r="L113" s="65"/>
      <c r="M113" s="918"/>
      <c r="N113" s="918"/>
      <c r="R113" s="902"/>
      <c r="Y113" s="23"/>
      <c r="Z113" s="22"/>
    </row>
    <row r="114" spans="2:26" ht="17.25" customHeight="1">
      <c r="B114" s="403"/>
      <c r="C114" s="901" t="s">
        <v>1056</v>
      </c>
      <c r="D114" s="905" t="s">
        <v>1055</v>
      </c>
      <c r="E114" s="892" t="s">
        <v>1054</v>
      </c>
      <c r="F114" s="570"/>
      <c r="G114" s="914"/>
      <c r="H114" s="913">
        <f t="shared" ref="H114:H119" si="8">ROUND(IF(L114="Summary sheet",O114, IF(L114="Worksheet",P114, IF(L114="Ledger",Q114,G114))),0)</f>
        <v>59952</v>
      </c>
      <c r="I114" s="919" t="s">
        <v>889</v>
      </c>
      <c r="J114" s="912"/>
      <c r="K114" s="918"/>
      <c r="L114" s="911" t="str" cm="1">
        <f t="array" ref="L114">_xlfn.IFS(G114&lt;&gt;0,"Manual", O114&lt;&gt;0,"Summary Sheet",P114&lt;&gt;0,"Worksheet",IFERROR(Q114&lt;&gt;0,0),"Ledger",TRUE,"Manual")</f>
        <v>Ledger</v>
      </c>
      <c r="M114" s="910" t="s">
        <v>284</v>
      </c>
      <c r="N114" s="918"/>
      <c r="O114" s="909"/>
      <c r="P114" s="909">
        <f>SUMIF(SheetNamedRangesNames,"F05_TradeDebtors",SheetNamedRangesValues)</f>
        <v>0</v>
      </c>
      <c r="Q114" s="908">
        <f t="shared" ref="Q114:Q119" si="9">_xlfn.SINGLE(IF(ISBLANK(R114)=FALSE, R114,     IF(AND(ISBLANK(U114)=FALSE,ISBLANK(V114)=FALSE),SUMIFS(Tx_LedgerReport.TaxonomyBalancesDrCr,Tx_LedgerReport.TaxonomyNames,S114,Tx_LedgerReport.PPs,U114,Tx_LedgerReport.NonDeductibles,V114),         IF(ISBLANK(V114)=FALSE,SUMIFS(Tx_LedgerReport.TaxonomyBalancesDrCr,Tx_LedgerReport.TaxonomyNames,S114,Tx_LedgerReport.NonDeductibles,V114),     IF(ISBLANK(U114)=FALSE,SUMIFS(Tx_LedgerReport.TaxonomyBalancesDrCr,Tx_LedgerReport.TaxonomyNames,S114,Tx_LedgerReport.PPs,U114),            SUMIF(Tx_LedgerReport.TaxonomyNames,S114,Tx_LedgerReport.TaxonomyBalancesDrCr))))))       *       IF(W114=TRUE,-1,1)+T114</f>
        <v>59951.75</v>
      </c>
      <c r="R114" s="907"/>
      <c r="S114" s="906" t="s">
        <v>1053</v>
      </c>
      <c r="T114" s="906"/>
      <c r="U114" s="906"/>
      <c r="V114" s="906"/>
      <c r="W114" s="906"/>
      <c r="Y114" s="23"/>
      <c r="Z114" s="22"/>
    </row>
    <row r="115" spans="2:26" ht="17.25" customHeight="1">
      <c r="B115" s="403"/>
      <c r="C115" s="901" t="s">
        <v>1052</v>
      </c>
      <c r="D115" s="905" t="s">
        <v>1051</v>
      </c>
      <c r="E115" s="892" t="s">
        <v>1050</v>
      </c>
      <c r="F115" s="570"/>
      <c r="G115" s="914"/>
      <c r="H115" s="913">
        <f t="shared" si="8"/>
        <v>87594</v>
      </c>
      <c r="I115" s="919" t="s">
        <v>882</v>
      </c>
      <c r="J115" s="912"/>
      <c r="K115" s="918"/>
      <c r="L115" s="911" t="str" cm="1">
        <f t="array" ref="L115">_xlfn.IFS(G115&lt;&gt;0,"Manual", O115&lt;&gt;0,"Summary Sheet",P115&lt;&gt;0,"Worksheet",IFERROR(Q115&lt;&gt;0,0),"Ledger",TRUE,"Manual")</f>
        <v>Ledger</v>
      </c>
      <c r="M115" s="918"/>
      <c r="N115" s="918"/>
      <c r="O115" s="909"/>
      <c r="P115" s="909"/>
      <c r="Q115" s="908">
        <f t="shared" si="9"/>
        <v>87593.59</v>
      </c>
      <c r="R115" s="907"/>
      <c r="S115" s="906" t="s">
        <v>1049</v>
      </c>
      <c r="T115" s="906"/>
      <c r="U115" s="906"/>
      <c r="V115" s="906"/>
      <c r="W115" s="906"/>
      <c r="Y115" s="23"/>
      <c r="Z115" s="22"/>
    </row>
    <row r="116" spans="2:26" ht="17.25" customHeight="1">
      <c r="B116" s="403"/>
      <c r="C116" s="901" t="s">
        <v>1048</v>
      </c>
      <c r="D116" s="905" t="s">
        <v>1047</v>
      </c>
      <c r="E116" s="892" t="s">
        <v>1046</v>
      </c>
      <c r="F116" s="570"/>
      <c r="G116" s="914"/>
      <c r="H116" s="913">
        <f t="shared" si="8"/>
        <v>89429</v>
      </c>
      <c r="I116" s="919" t="s">
        <v>875</v>
      </c>
      <c r="J116" s="912"/>
      <c r="K116" s="918"/>
      <c r="L116" s="911" t="str" cm="1">
        <f t="array" ref="L116">_xlfn.IFS(G116&lt;&gt;0,"Manual", O116&lt;&gt;0,"Summary Sheet",P116&lt;&gt;0,"Worksheet",IFERROR(Q116&lt;&gt;0,0),"Ledger",TRUE,"Manual")</f>
        <v>Ledger</v>
      </c>
      <c r="M116" s="918"/>
      <c r="N116" s="918"/>
      <c r="O116" s="909"/>
      <c r="P116" s="909"/>
      <c r="Q116" s="908">
        <f t="shared" si="9"/>
        <v>89428.709999999992</v>
      </c>
      <c r="R116" s="907"/>
      <c r="S116" s="906" t="s">
        <v>1045</v>
      </c>
      <c r="T116" s="906"/>
      <c r="U116" s="906"/>
      <c r="V116" s="906"/>
      <c r="W116" s="906"/>
      <c r="Y116" s="23"/>
      <c r="Z116" s="22"/>
    </row>
    <row r="117" spans="2:26" ht="17.25" customHeight="1">
      <c r="B117" s="403"/>
      <c r="C117" s="901" t="s">
        <v>1044</v>
      </c>
      <c r="D117" s="905" t="s">
        <v>1043</v>
      </c>
      <c r="E117" s="892" t="s">
        <v>1042</v>
      </c>
      <c r="F117" s="570"/>
      <c r="G117" s="914"/>
      <c r="H117" s="913">
        <f t="shared" si="8"/>
        <v>-250</v>
      </c>
      <c r="I117" s="919" t="s">
        <v>868</v>
      </c>
      <c r="J117" s="912"/>
      <c r="K117" s="918"/>
      <c r="L117" s="911" t="str" cm="1">
        <f t="array" ref="L117">_xlfn.IFS(G117&lt;&gt;0,"Manual", O117&lt;&gt;0,"Summary Sheet",P117&lt;&gt;0,"Worksheet",IFERROR(Q117&lt;&gt;0,0),"Ledger",TRUE,"Manual")</f>
        <v>Ledger</v>
      </c>
      <c r="M117" s="910" t="s">
        <v>284</v>
      </c>
      <c r="N117" s="918"/>
      <c r="O117" s="909"/>
      <c r="P117" s="909">
        <f>SUMIF(SheetNamedRangesNames,"H05_TradeCreditors",SheetNamedRangesValues)</f>
        <v>0</v>
      </c>
      <c r="Q117" s="908">
        <f t="shared" si="9"/>
        <v>-250</v>
      </c>
      <c r="R117" s="907"/>
      <c r="S117" s="906" t="s">
        <v>1041</v>
      </c>
      <c r="T117" s="906"/>
      <c r="U117" s="906"/>
      <c r="V117" s="906"/>
      <c r="W117" s="906" t="b">
        <v>1</v>
      </c>
      <c r="Y117" s="23"/>
      <c r="Z117" s="22"/>
    </row>
    <row r="118" spans="2:26" ht="17.25" customHeight="1">
      <c r="B118" s="403"/>
      <c r="C118" s="901" t="s">
        <v>1040</v>
      </c>
      <c r="D118" s="905" t="s">
        <v>1039</v>
      </c>
      <c r="E118" s="892" t="s">
        <v>1038</v>
      </c>
      <c r="F118" s="570"/>
      <c r="G118" s="914"/>
      <c r="H118" s="913">
        <f t="shared" si="8"/>
        <v>-8356</v>
      </c>
      <c r="I118" s="919" t="s">
        <v>860</v>
      </c>
      <c r="J118" s="912"/>
      <c r="K118" s="918"/>
      <c r="L118" s="911" t="str" cm="1">
        <f t="array" ref="L118">_xlfn.IFS(G118&lt;&gt;0,"Manual", O118&lt;&gt;0,"Summary Sheet",P118&lt;&gt;0,"Worksheet",IFERROR(Q118&lt;&gt;0,0),"Ledger",TRUE,"Manual")</f>
        <v>Ledger</v>
      </c>
      <c r="M118" s="918"/>
      <c r="N118" s="918"/>
      <c r="O118" s="909"/>
      <c r="P118" s="909"/>
      <c r="Q118" s="908">
        <f t="shared" si="9"/>
        <v>-8356.49</v>
      </c>
      <c r="R118" s="907"/>
      <c r="S118" s="906" t="s">
        <v>1037</v>
      </c>
      <c r="T118" s="906"/>
      <c r="U118" s="906"/>
      <c r="V118" s="906"/>
      <c r="W118" s="906" t="b">
        <v>1</v>
      </c>
      <c r="Y118" s="23"/>
      <c r="Z118" s="22"/>
    </row>
    <row r="119" spans="2:26" ht="17.25" customHeight="1">
      <c r="B119" s="403"/>
      <c r="C119" s="901" t="s">
        <v>1036</v>
      </c>
      <c r="D119" s="905" t="s">
        <v>1035</v>
      </c>
      <c r="E119" s="892" t="s">
        <v>1034</v>
      </c>
      <c r="F119" s="570"/>
      <c r="G119" s="914"/>
      <c r="H119" s="913">
        <f t="shared" si="8"/>
        <v>-8356</v>
      </c>
      <c r="I119" s="919" t="s">
        <v>857</v>
      </c>
      <c r="J119" s="912"/>
      <c r="K119" s="918"/>
      <c r="L119" s="911" t="str" cm="1">
        <f t="array" ref="L119">_xlfn.IFS(G119&lt;&gt;0,"Manual", O119&lt;&gt;0,"Summary Sheet",P119&lt;&gt;0,"Worksheet",IFERROR(Q119&lt;&gt;0,0),"Ledger",TRUE,"Manual")</f>
        <v>Ledger</v>
      </c>
      <c r="M119" s="918"/>
      <c r="N119" s="918"/>
      <c r="O119" s="909"/>
      <c r="P119" s="909"/>
      <c r="Q119" s="908">
        <f t="shared" si="9"/>
        <v>-8356.49</v>
      </c>
      <c r="R119" s="907"/>
      <c r="S119" s="906" t="s">
        <v>1033</v>
      </c>
      <c r="T119" s="906"/>
      <c r="U119" s="906"/>
      <c r="V119" s="906"/>
      <c r="W119" s="906" t="b">
        <v>1</v>
      </c>
      <c r="Y119" s="23"/>
      <c r="Z119" s="22"/>
    </row>
    <row r="120" spans="2:26" ht="17.25" customHeight="1">
      <c r="B120" s="403"/>
      <c r="C120" s="901" t="s">
        <v>1032</v>
      </c>
      <c r="D120" s="905" t="s">
        <v>1031</v>
      </c>
      <c r="E120" s="892" t="s">
        <v>1030</v>
      </c>
      <c r="F120" s="570"/>
      <c r="G120" s="917"/>
      <c r="H120" s="914"/>
      <c r="I120" s="919" t="s">
        <v>927</v>
      </c>
      <c r="J120" s="912"/>
      <c r="K120" s="918"/>
      <c r="L120" s="65"/>
      <c r="Y120" s="23"/>
      <c r="Z120" s="22"/>
    </row>
    <row r="121" spans="2:26" ht="17.25" customHeight="1">
      <c r="B121" s="403"/>
      <c r="C121" s="901" t="s">
        <v>1029</v>
      </c>
      <c r="D121" s="905" t="s">
        <v>1028</v>
      </c>
      <c r="E121" s="892" t="s">
        <v>1027</v>
      </c>
      <c r="F121" s="570"/>
      <c r="G121" s="243"/>
      <c r="H121" s="914"/>
      <c r="I121" s="919" t="s">
        <v>825</v>
      </c>
      <c r="J121" s="912"/>
      <c r="K121" s="918"/>
      <c r="L121" s="65"/>
      <c r="Y121" s="23"/>
      <c r="Z121" s="22"/>
    </row>
    <row r="122" spans="2:26" ht="17.25" customHeight="1">
      <c r="B122" s="403"/>
      <c r="C122" s="901" t="s">
        <v>1026</v>
      </c>
      <c r="D122" s="905" t="s">
        <v>1025</v>
      </c>
      <c r="E122" s="892" t="s">
        <v>1024</v>
      </c>
      <c r="F122" s="570"/>
      <c r="G122" s="917"/>
      <c r="H122" s="914"/>
      <c r="I122" s="919" t="s">
        <v>927</v>
      </c>
      <c r="J122" s="912"/>
      <c r="K122" s="918"/>
      <c r="L122" s="65"/>
      <c r="Y122" s="23"/>
      <c r="Z122" s="22"/>
    </row>
    <row r="123" spans="2:26" ht="17.25" customHeight="1">
      <c r="B123" s="403"/>
      <c r="C123" s="901" t="s">
        <v>1023</v>
      </c>
      <c r="D123" s="905" t="s">
        <v>1022</v>
      </c>
      <c r="E123" s="892" t="s">
        <v>1021</v>
      </c>
      <c r="F123" s="570"/>
      <c r="G123" s="917"/>
      <c r="H123" s="914"/>
      <c r="I123" s="919" t="s">
        <v>825</v>
      </c>
      <c r="J123" s="912"/>
      <c r="K123" s="918"/>
      <c r="L123" s="65"/>
      <c r="Y123" s="23"/>
      <c r="Z123" s="22"/>
    </row>
    <row r="124" spans="2:26" ht="17.25" customHeight="1">
      <c r="B124" s="403"/>
      <c r="C124" s="901" t="s">
        <v>1020</v>
      </c>
      <c r="D124" s="905" t="s">
        <v>1019</v>
      </c>
      <c r="E124" s="892" t="s">
        <v>1018</v>
      </c>
      <c r="F124" s="570"/>
      <c r="G124" s="914"/>
      <c r="H124" s="913">
        <f>ROUND(IF(L124="Summary sheet",O124, IF(L124="Worksheet",P124, IF(L124="Ledger",Q124,G124))),0)</f>
        <v>0</v>
      </c>
      <c r="I124" s="919" t="s">
        <v>1017</v>
      </c>
      <c r="J124" s="912"/>
      <c r="K124" s="918"/>
      <c r="L124" s="911" t="str" cm="1">
        <f t="array" ref="L124">_xlfn.IFS(G124&lt;&gt;0,"Manual", O124&lt;&gt;0,"Summary Sheet",P124&lt;&gt;0,"Worksheet",IFERROR(Q124&lt;&gt;0,0),"Ledger",TRUE,"Manual")</f>
        <v>Manual</v>
      </c>
      <c r="M124" s="910" t="s">
        <v>284</v>
      </c>
      <c r="N124" s="918"/>
      <c r="O124" s="909"/>
      <c r="P124" s="909">
        <f>SUMIF(SheetNamedRangesNames,"CC5_OpeningFrankAcctBal",SheetNamedRangesValues)</f>
        <v>0</v>
      </c>
      <c r="Q124" s="908">
        <f>_xlfn.SINGLE(IF(ISBLANK(R124)=FALSE, R124,     IF(AND(ISBLANK(U124)=FALSE,ISBLANK(V124)=FALSE),SUMIFS(Tx_LedgerReport.TaxonomyBalancesDrCr,Tx_LedgerReport.TaxonomyNames,S124,Tx_LedgerReport.PPs,U124,Tx_LedgerReport.NonDeductibles,V124),         IF(ISBLANK(V124)=FALSE,SUMIFS(Tx_LedgerReport.TaxonomyBalancesDrCr,Tx_LedgerReport.TaxonomyNames,S124,Tx_LedgerReport.NonDeductibles,V124),     IF(ISBLANK(U124)=FALSE,SUMIFS(Tx_LedgerReport.TaxonomyBalancesDrCr,Tx_LedgerReport.TaxonomyNames,S124,Tx_LedgerReport.PPs,U124),            SUMIF(Tx_LedgerReport.TaxonomyNames,S124,Tx_LedgerReport.TaxonomyBalancesDrCr))))))       *       IF(W124=TRUE,-1,1)+T124</f>
        <v>0</v>
      </c>
      <c r="R124" s="907"/>
      <c r="S124" s="906"/>
      <c r="T124" s="906"/>
      <c r="U124" s="906"/>
      <c r="V124" s="906"/>
      <c r="W124" s="906"/>
      <c r="Y124" s="23"/>
      <c r="Z124" s="22"/>
    </row>
    <row r="125" spans="2:26" ht="17.25" customHeight="1">
      <c r="B125" s="403"/>
      <c r="C125" s="901" t="s">
        <v>1016</v>
      </c>
      <c r="D125" s="905" t="s">
        <v>1015</v>
      </c>
      <c r="E125" s="892" t="s">
        <v>1014</v>
      </c>
      <c r="F125" s="570"/>
      <c r="G125" s="914"/>
      <c r="H125" s="913">
        <f>ROUND(IF(L125="Summary sheet",O125, IF(L125="Worksheet",P125, IF(L125="Ledger",Q125,G125))),0)</f>
        <v>0</v>
      </c>
      <c r="I125" s="919" t="s">
        <v>1013</v>
      </c>
      <c r="J125" s="912"/>
      <c r="K125" s="918"/>
      <c r="L125" s="911" t="str" cm="1">
        <f t="array" ref="L125">_xlfn.IFS(G125&lt;&gt;0,"Manual", O125&lt;&gt;0,"Summary Sheet",P125&lt;&gt;0,"Worksheet",IFERROR(Q125&lt;&gt;0,0),"Ledger",TRUE,"Manual")</f>
        <v>Manual</v>
      </c>
      <c r="M125" s="910" t="s">
        <v>284</v>
      </c>
      <c r="N125" s="918"/>
      <c r="O125" s="909"/>
      <c r="P125" s="909">
        <f>-SUMIF(SheetNamedRangesNames,"CC5_FrankingAccBal",SheetNamedRangesValues)</f>
        <v>0</v>
      </c>
      <c r="Q125" s="908">
        <f>_xlfn.SINGLE(IF(ISBLANK(R125)=FALSE, R125,     IF(AND(ISBLANK(U125)=FALSE,ISBLANK(V125)=FALSE),SUMIFS(Tx_LedgerReport.TaxonomyBalancesDrCr,Tx_LedgerReport.TaxonomyNames,S125,Tx_LedgerReport.PPs,U125,Tx_LedgerReport.NonDeductibles,V125),         IF(ISBLANK(V125)=FALSE,SUMIFS(Tx_LedgerReport.TaxonomyBalancesDrCr,Tx_LedgerReport.TaxonomyNames,S125,Tx_LedgerReport.NonDeductibles,V125),     IF(ISBLANK(U125)=FALSE,SUMIFS(Tx_LedgerReport.TaxonomyBalancesDrCr,Tx_LedgerReport.TaxonomyNames,S125,Tx_LedgerReport.PPs,U125),            SUMIF(Tx_LedgerReport.TaxonomyNames,S125,Tx_LedgerReport.TaxonomyBalancesDrCr))))))       *       IF(W125=TRUE,-1,1)+T125</f>
        <v>0</v>
      </c>
      <c r="R125" s="907"/>
      <c r="S125" s="906"/>
      <c r="T125" s="906"/>
      <c r="U125" s="906"/>
      <c r="V125" s="906"/>
      <c r="W125" s="906"/>
      <c r="Y125" s="23"/>
      <c r="Z125" s="22"/>
    </row>
    <row r="126" spans="2:26" ht="17.25" customHeight="1">
      <c r="B126" s="403"/>
      <c r="C126" s="901" t="s">
        <v>1012</v>
      </c>
      <c r="D126" s="905" t="s">
        <v>1011</v>
      </c>
      <c r="E126" s="892" t="s">
        <v>1010</v>
      </c>
      <c r="F126" s="570"/>
      <c r="G126" s="243"/>
      <c r="H126" s="963"/>
      <c r="I126" s="919" t="s">
        <v>1009</v>
      </c>
      <c r="J126" s="949"/>
      <c r="K126" s="918"/>
      <c r="L126" s="65"/>
      <c r="M126" s="918"/>
      <c r="N126" s="918"/>
      <c r="Y126" s="23"/>
      <c r="Z126" s="22"/>
    </row>
    <row r="127" spans="2:26" ht="17.25" customHeight="1">
      <c r="B127" s="403"/>
      <c r="C127" s="901" t="s">
        <v>1008</v>
      </c>
      <c r="D127" s="905" t="s">
        <v>1007</v>
      </c>
      <c r="E127" s="892" t="s">
        <v>1006</v>
      </c>
      <c r="F127" s="570"/>
      <c r="G127" s="914"/>
      <c r="H127" s="913">
        <f>ROUND(IF(L127="Summary sheet",O127, IF(L127="Worksheet",P127, IF(L127="Ledger",Q127,G127))),0)</f>
        <v>0</v>
      </c>
      <c r="I127" s="919" t="s">
        <v>1005</v>
      </c>
      <c r="J127" s="912"/>
      <c r="K127" s="918"/>
      <c r="L127" s="911" t="str" cm="1">
        <f t="array" ref="L127">_xlfn.IFS(G127&lt;&gt;0,"Manual", O127&lt;&gt;0,"Summary Sheet",P127&lt;&gt;0,"Worksheet",IFERROR(Q127&lt;&gt;0,0),"Ledger",TRUE,"Manual")</f>
        <v>Manual</v>
      </c>
      <c r="M127" s="910" t="s">
        <v>284</v>
      </c>
      <c r="N127" s="918"/>
      <c r="O127" s="909"/>
      <c r="P127" s="909">
        <f>SUMIF(SheetNamedRangesNames,"CC28_SBEAggTurnover",SheetNamedRangesValues)</f>
        <v>0</v>
      </c>
      <c r="Q127" s="908">
        <f>_xlfn.SINGLE(IF(ISBLANK(R127)=FALSE, R127,     IF(AND(ISBLANK(U127)=FALSE,ISBLANK(V127)=FALSE),SUMIFS(Tx_LedgerReport.TaxonomyBalancesDrCr,Tx_LedgerReport.TaxonomyNames,S127,Tx_LedgerReport.PPs,U127,Tx_LedgerReport.NonDeductibles,V127),         IF(ISBLANK(V127)=FALSE,SUMIFS(Tx_LedgerReport.TaxonomyBalancesDrCr,Tx_LedgerReport.TaxonomyNames,S127,Tx_LedgerReport.NonDeductibles,V127),     IF(ISBLANK(U127)=FALSE,SUMIFS(Tx_LedgerReport.TaxonomyBalancesDrCr,Tx_LedgerReport.TaxonomyNames,S127,Tx_LedgerReport.PPs,U127),            SUMIF(Tx_LedgerReport.TaxonomyNames,S127,Tx_LedgerReport.TaxonomyBalancesDrCr))))))       *       IF(W127=TRUE,-1,1)+T127</f>
        <v>0</v>
      </c>
      <c r="R127" s="907"/>
      <c r="S127" s="906"/>
      <c r="T127" s="906"/>
      <c r="U127" s="906"/>
      <c r="V127" s="906"/>
      <c r="W127" s="906"/>
      <c r="Y127" s="23"/>
      <c r="Z127" s="22"/>
    </row>
    <row r="128" spans="2:26" ht="17.25" customHeight="1">
      <c r="B128" s="403"/>
      <c r="C128" s="901" t="s">
        <v>1004</v>
      </c>
      <c r="D128" s="905" t="s">
        <v>1003</v>
      </c>
      <c r="E128" s="892" t="s">
        <v>1002</v>
      </c>
      <c r="F128" s="570"/>
      <c r="G128" s="243"/>
      <c r="H128" s="914"/>
      <c r="I128" s="919" t="s">
        <v>857</v>
      </c>
      <c r="J128" s="912"/>
      <c r="K128" s="918"/>
      <c r="L128" s="65"/>
      <c r="Y128" s="23"/>
      <c r="Z128" s="22"/>
    </row>
    <row r="129" spans="1:26" ht="17.25" customHeight="1">
      <c r="B129" s="403"/>
      <c r="C129" s="901" t="s">
        <v>1001</v>
      </c>
      <c r="D129" s="905" t="s">
        <v>1000</v>
      </c>
      <c r="E129" s="892" t="s">
        <v>999</v>
      </c>
      <c r="F129" s="570"/>
      <c r="G129" s="243"/>
      <c r="H129" s="962"/>
      <c r="I129" s="919" t="s">
        <v>378</v>
      </c>
      <c r="J129" s="912"/>
      <c r="K129" s="918"/>
      <c r="L129" s="65"/>
      <c r="Y129" s="23"/>
      <c r="Z129" s="22"/>
    </row>
    <row r="130" spans="1:26" ht="17.25" customHeight="1">
      <c r="B130" s="403"/>
      <c r="C130" s="901" t="s">
        <v>998</v>
      </c>
      <c r="D130" s="905" t="s">
        <v>997</v>
      </c>
      <c r="E130" s="892" t="s">
        <v>996</v>
      </c>
      <c r="F130" s="570"/>
      <c r="G130" s="914"/>
      <c r="H130" s="913">
        <f>ROUND(IF(L130="Summary sheet",O130, IF(L130="Worksheet",P130, IF(L130="Ledger",Q130,G130))),0)</f>
        <v>11154</v>
      </c>
      <c r="I130" s="919" t="s">
        <v>882</v>
      </c>
      <c r="J130" s="912"/>
      <c r="K130" s="918"/>
      <c r="L130" s="911" t="str" cm="1">
        <f t="array" ref="L130">_xlfn.IFS(G130&lt;&gt;0,"Manual", O130&lt;&gt;0,"Summary Sheet",P130&lt;&gt;0,"Worksheet",IFERROR(Q130&lt;&gt;0,0),"Ledger",TRUE,"Manual")</f>
        <v>Ledger</v>
      </c>
      <c r="M130" s="910" t="s">
        <v>284</v>
      </c>
      <c r="N130" s="918"/>
      <c r="O130" s="909"/>
      <c r="P130" s="908">
        <f>SUMIF(SheetNamedRangesNames,"N80_Salaries",SheetNamedRangesValues)</f>
        <v>0</v>
      </c>
      <c r="Q130" s="908">
        <f>_xlfn.SINGLE(IF(ISBLANK(R130)=FALSE, R130,     IF(AND(ISBLANK(U130)=FALSE,ISBLANK(V130)=FALSE),SUMIFS(Tx_LedgerReport.TaxonomyBalancesDrCr,Tx_LedgerReport.TaxonomyNames,S130,Tx_LedgerReport.PPs,U130,Tx_LedgerReport.NonDeductibles,V130),         IF(ISBLANK(V130)=FALSE,SUMIFS(Tx_LedgerReport.TaxonomyBalancesDrCr,Tx_LedgerReport.TaxonomyNames,S130,Tx_LedgerReport.NonDeductibles,V130),     IF(ISBLANK(U130)=FALSE,SUMIFS(Tx_LedgerReport.TaxonomyBalancesDrCr,Tx_LedgerReport.TaxonomyNames,S130,Tx_LedgerReport.PPs,U130),            SUMIF(Tx_LedgerReport.TaxonomyNames,S130,Tx_LedgerReport.TaxonomyBalancesDrCr))))))       *       IF(W130=TRUE,-1,1)+T130</f>
        <v>11153.86</v>
      </c>
      <c r="R130" s="907"/>
      <c r="S130" s="906" t="s">
        <v>995</v>
      </c>
      <c r="T130" s="906"/>
      <c r="U130" s="906"/>
      <c r="V130" s="906"/>
      <c r="W130" s="906"/>
      <c r="Y130" s="23"/>
      <c r="Z130" s="22"/>
    </row>
    <row r="131" spans="1:26" ht="17.25" customHeight="1">
      <c r="B131" s="403"/>
      <c r="C131" s="901" t="s">
        <v>994</v>
      </c>
      <c r="D131" s="905" t="s">
        <v>993</v>
      </c>
      <c r="E131" s="892" t="s">
        <v>992</v>
      </c>
      <c r="F131" s="570"/>
      <c r="G131" s="914"/>
      <c r="H131" s="913">
        <f>ROUND(IF(L131="Summary sheet",O131, IF(L131="Worksheet",P131, IF(L131="Ledger",Q131,G131))),0)</f>
        <v>0</v>
      </c>
      <c r="I131" s="919" t="s">
        <v>991</v>
      </c>
      <c r="J131" s="912"/>
      <c r="K131" s="918"/>
      <c r="L131" s="911" t="str" cm="1">
        <f t="array" ref="L131">_xlfn.IFS(G131&lt;&gt;0,"Manual", O131&lt;&gt;0,"Summary Sheet",P131&lt;&gt;0,"Worksheet",IFERROR(Q131&lt;&gt;0,0),"Ledger",TRUE,"Manual")</f>
        <v>Manual</v>
      </c>
      <c r="M131" s="910" t="s">
        <v>284</v>
      </c>
      <c r="O131" s="961"/>
      <c r="P131" s="908">
        <f>SUMIF(SheetNamedRangesNames,"CC30_PayAssocPersons",SheetNamedRangesValues)</f>
        <v>0</v>
      </c>
      <c r="Q131" s="908">
        <f>_xlfn.SINGLE(IF(ISBLANK(R131)=FALSE, R131,     IF(AND(ISBLANK(U131)=FALSE,ISBLANK(V131)=FALSE),SUMIFS(Tx_LedgerReport.TaxonomyBalancesDrCr,Tx_LedgerReport.TaxonomyNames,S131,Tx_LedgerReport.PPs,U131,Tx_LedgerReport.NonDeductibles,V131),         IF(ISBLANK(V131)=FALSE,SUMIFS(Tx_LedgerReport.TaxonomyBalancesDrCr,Tx_LedgerReport.TaxonomyNames,S131,Tx_LedgerReport.NonDeductibles,V131),     IF(ISBLANK(U131)=FALSE,SUMIFS(Tx_LedgerReport.TaxonomyBalancesDrCr,Tx_LedgerReport.TaxonomyNames,S131,Tx_LedgerReport.PPs,U131),            SUMIF(Tx_LedgerReport.TaxonomyNames,S131,Tx_LedgerReport.TaxonomyBalancesDrCr))))))       *       IF(W131=TRUE,-1,1)+T131</f>
        <v>0</v>
      </c>
      <c r="R131" s="907"/>
      <c r="S131" s="906"/>
      <c r="T131" s="906"/>
      <c r="U131" s="906"/>
      <c r="V131" s="906"/>
      <c r="W131" s="906"/>
      <c r="Y131" s="23"/>
      <c r="Z131" s="22"/>
    </row>
    <row r="132" spans="1:26" ht="17.25" customHeight="1">
      <c r="B132" s="403"/>
      <c r="C132" s="901" t="s">
        <v>990</v>
      </c>
      <c r="D132" s="905" t="s">
        <v>989</v>
      </c>
      <c r="E132" s="892" t="s">
        <v>988</v>
      </c>
      <c r="F132" s="570"/>
      <c r="G132" s="243"/>
      <c r="H132" s="914"/>
      <c r="I132" s="919" t="s">
        <v>860</v>
      </c>
      <c r="J132" s="912"/>
      <c r="K132" s="918"/>
      <c r="Y132" s="23"/>
      <c r="Z132" s="22"/>
    </row>
    <row r="133" spans="1:26" ht="17.25" customHeight="1">
      <c r="B133" s="403"/>
      <c r="C133" s="901" t="s">
        <v>987</v>
      </c>
      <c r="D133" s="905" t="s">
        <v>986</v>
      </c>
      <c r="E133" s="892" t="s">
        <v>985</v>
      </c>
      <c r="F133" s="570"/>
      <c r="G133" s="243"/>
      <c r="H133" s="914"/>
      <c r="I133" s="919" t="s">
        <v>984</v>
      </c>
      <c r="J133" s="912"/>
      <c r="K133" s="918"/>
      <c r="Y133" s="23"/>
      <c r="Z133" s="22"/>
    </row>
    <row r="134" spans="1:26" ht="17.25" customHeight="1">
      <c r="B134" s="403"/>
      <c r="C134" s="901" t="s">
        <v>983</v>
      </c>
      <c r="D134" s="905" t="s">
        <v>982</v>
      </c>
      <c r="E134" s="892" t="s">
        <v>981</v>
      </c>
      <c r="F134" s="570"/>
      <c r="G134" s="243"/>
      <c r="H134" s="914"/>
      <c r="I134" s="919" t="s">
        <v>893</v>
      </c>
      <c r="J134" s="912"/>
      <c r="K134" s="918"/>
      <c r="Y134" s="23"/>
      <c r="Z134" s="22"/>
    </row>
    <row r="135" spans="1:26" ht="17.25" customHeight="1">
      <c r="B135" s="403"/>
      <c r="C135" s="901" t="s">
        <v>980</v>
      </c>
      <c r="D135" s="905" t="s">
        <v>979</v>
      </c>
      <c r="E135" s="892" t="s">
        <v>978</v>
      </c>
      <c r="F135" s="570"/>
      <c r="G135" s="243"/>
      <c r="H135" s="914"/>
      <c r="I135" s="919" t="s">
        <v>908</v>
      </c>
      <c r="J135" s="912"/>
      <c r="K135" s="918"/>
      <c r="Y135" s="23"/>
      <c r="Z135" s="22"/>
    </row>
    <row r="136" spans="1:26" ht="17.25" customHeight="1">
      <c r="B136" s="403"/>
      <c r="C136" s="901" t="s">
        <v>977</v>
      </c>
      <c r="D136" s="905" t="s">
        <v>976</v>
      </c>
      <c r="E136" s="892" t="s">
        <v>975</v>
      </c>
      <c r="F136" s="570"/>
      <c r="G136" s="243"/>
      <c r="H136" s="914"/>
      <c r="I136" s="919" t="s">
        <v>904</v>
      </c>
      <c r="J136" s="912"/>
      <c r="K136" s="918"/>
      <c r="Y136" s="23"/>
      <c r="Z136" s="22"/>
    </row>
    <row r="137" spans="1:26" ht="17.25" customHeight="1">
      <c r="B137" s="403"/>
      <c r="C137" s="901" t="s">
        <v>974</v>
      </c>
      <c r="D137" s="905" t="s">
        <v>973</v>
      </c>
      <c r="E137" s="892" t="s">
        <v>972</v>
      </c>
      <c r="F137" s="570"/>
      <c r="G137" s="243"/>
      <c r="H137" s="914"/>
      <c r="I137" s="919" t="s">
        <v>971</v>
      </c>
      <c r="J137" s="912"/>
      <c r="K137" s="918"/>
      <c r="Y137" s="23"/>
      <c r="Z137" s="22"/>
    </row>
    <row r="138" spans="1:26" ht="17.25" customHeight="1">
      <c r="B138" s="403"/>
      <c r="C138" s="901" t="s">
        <v>970</v>
      </c>
      <c r="D138" s="905" t="s">
        <v>969</v>
      </c>
      <c r="E138" s="892" t="s">
        <v>968</v>
      </c>
      <c r="F138" s="570"/>
      <c r="G138" s="243"/>
      <c r="H138" s="914"/>
      <c r="I138" s="919" t="s">
        <v>908</v>
      </c>
      <c r="J138" s="912"/>
      <c r="K138" s="918"/>
      <c r="Y138" s="23"/>
      <c r="Z138" s="22"/>
    </row>
    <row r="139" spans="1:26" ht="17.25" customHeight="1">
      <c r="B139" s="403"/>
      <c r="C139" s="901" t="s">
        <v>967</v>
      </c>
      <c r="D139" s="905" t="s">
        <v>966</v>
      </c>
      <c r="E139" s="892" t="s">
        <v>965</v>
      </c>
      <c r="F139" s="570"/>
      <c r="G139" s="243"/>
      <c r="H139" s="914"/>
      <c r="I139" s="919" t="s">
        <v>822</v>
      </c>
      <c r="J139" s="912"/>
      <c r="K139" s="918"/>
      <c r="Y139" s="23"/>
      <c r="Z139" s="22"/>
    </row>
    <row r="140" spans="1:26" ht="17.25" customHeight="1">
      <c r="B140" s="403"/>
      <c r="C140" s="901"/>
      <c r="D140" s="960"/>
      <c r="E140" s="959"/>
      <c r="F140" s="570"/>
      <c r="G140" s="958"/>
      <c r="H140" s="958"/>
      <c r="I140" s="919"/>
      <c r="J140" s="957"/>
      <c r="K140" s="403"/>
      <c r="L140" s="956"/>
      <c r="M140" s="403"/>
      <c r="N140" s="403"/>
      <c r="R140" s="902"/>
      <c r="Y140" s="901"/>
      <c r="Z140" s="901"/>
    </row>
    <row r="141" spans="1:26" ht="22.5" customHeight="1">
      <c r="A141" s="955" t="str">
        <f>IF(SUBTOTAL(103,A142),"-","+")</f>
        <v>+</v>
      </c>
      <c r="B141" s="954"/>
      <c r="C141" s="937"/>
      <c r="D141" s="935" t="s">
        <v>964</v>
      </c>
      <c r="E141" s="936"/>
      <c r="F141" s="935"/>
      <c r="G141" s="934"/>
      <c r="H141" s="934"/>
      <c r="I141" s="933"/>
      <c r="J141" s="932"/>
      <c r="K141" s="931"/>
      <c r="L141" s="940"/>
      <c r="M141" s="931"/>
      <c r="N141" s="931"/>
      <c r="R141" s="902"/>
      <c r="X141" s="953"/>
      <c r="Y141" s="901"/>
      <c r="Z141" s="901"/>
    </row>
    <row r="142" spans="1:26" ht="7.5" hidden="1" customHeight="1">
      <c r="A142" s="65" t="s">
        <v>58</v>
      </c>
      <c r="D142" s="17"/>
      <c r="E142" s="290"/>
      <c r="F142" s="17"/>
      <c r="G142" s="243"/>
      <c r="H142" s="243"/>
      <c r="I142" s="896"/>
      <c r="J142" s="930"/>
      <c r="R142" s="902"/>
      <c r="Y142" s="901"/>
      <c r="Z142" s="901"/>
    </row>
    <row r="143" spans="1:26" ht="17.25" hidden="1" customHeight="1">
      <c r="D143" s="948" t="s">
        <v>963</v>
      </c>
      <c r="E143" s="892"/>
      <c r="F143" s="17"/>
      <c r="G143" s="243"/>
      <c r="H143" s="243"/>
      <c r="I143" s="896"/>
      <c r="J143" s="930"/>
      <c r="R143" s="902"/>
      <c r="Y143" s="23"/>
      <c r="Z143" s="22"/>
    </row>
    <row r="144" spans="1:26" ht="17.25" hidden="1" customHeight="1">
      <c r="C144" s="133" t="s">
        <v>962</v>
      </c>
      <c r="D144" s="905" t="s">
        <v>961</v>
      </c>
      <c r="E144" s="892" t="s">
        <v>960</v>
      </c>
      <c r="F144" s="17"/>
      <c r="G144" s="917"/>
      <c r="H144" s="914"/>
      <c r="I144" s="919" t="s">
        <v>899</v>
      </c>
      <c r="J144" s="912"/>
      <c r="K144" s="918"/>
      <c r="L144" s="65"/>
      <c r="Y144" s="23"/>
      <c r="Z144" s="22"/>
    </row>
    <row r="145" spans="3:26" ht="17.25" hidden="1" customHeight="1">
      <c r="C145" s="133" t="s">
        <v>959</v>
      </c>
      <c r="D145" s="905" t="s">
        <v>958</v>
      </c>
      <c r="E145" s="892" t="s">
        <v>957</v>
      </c>
      <c r="F145" s="17"/>
      <c r="G145" s="917"/>
      <c r="H145" s="914"/>
      <c r="I145" s="919" t="s">
        <v>893</v>
      </c>
      <c r="J145" s="912"/>
      <c r="K145" s="918"/>
      <c r="L145" s="65"/>
      <c r="Y145" s="23"/>
      <c r="Z145" s="22"/>
    </row>
    <row r="146" spans="3:26" ht="16.5" hidden="1" customHeight="1">
      <c r="C146" s="133" t="s">
        <v>956</v>
      </c>
      <c r="D146" s="905" t="s">
        <v>955</v>
      </c>
      <c r="E146" s="892" t="s">
        <v>954</v>
      </c>
      <c r="F146" s="17"/>
      <c r="G146" s="243"/>
      <c r="H146" s="950"/>
      <c r="I146" s="919" t="s">
        <v>889</v>
      </c>
      <c r="J146" s="949"/>
      <c r="K146" s="918"/>
      <c r="L146" s="946"/>
      <c r="M146" s="918"/>
      <c r="N146" s="918"/>
      <c r="R146" s="902"/>
      <c r="Y146" s="23"/>
      <c r="Z146" s="22"/>
    </row>
    <row r="147" spans="3:26" ht="8.25" hidden="1" customHeight="1">
      <c r="D147" s="905"/>
      <c r="E147" s="892"/>
      <c r="F147" s="17"/>
      <c r="G147" s="952"/>
      <c r="H147" s="243"/>
      <c r="I147" s="919"/>
      <c r="J147" s="951"/>
      <c r="K147" s="918"/>
      <c r="L147" s="946"/>
      <c r="M147" s="918"/>
      <c r="N147" s="918"/>
      <c r="R147" s="902"/>
      <c r="Y147" s="901"/>
      <c r="Z147" s="901"/>
    </row>
    <row r="148" spans="3:26" ht="17.25" hidden="1" customHeight="1">
      <c r="D148" s="948" t="s">
        <v>953</v>
      </c>
      <c r="E148" s="892"/>
      <c r="F148" s="17"/>
      <c r="G148" s="243"/>
      <c r="H148" s="243"/>
      <c r="I148" s="896"/>
      <c r="J148" s="947"/>
      <c r="R148" s="902"/>
      <c r="Y148" s="901"/>
      <c r="Z148" s="901"/>
    </row>
    <row r="149" spans="3:26" ht="17.25" hidden="1" customHeight="1">
      <c r="C149" s="133" t="s">
        <v>952</v>
      </c>
      <c r="D149" s="905" t="s">
        <v>951</v>
      </c>
      <c r="E149" s="892" t="s">
        <v>950</v>
      </c>
      <c r="F149" s="17"/>
      <c r="G149" s="243"/>
      <c r="H149" s="950"/>
      <c r="I149" s="919" t="s">
        <v>882</v>
      </c>
      <c r="J149" s="949"/>
      <c r="K149" s="918"/>
      <c r="L149" s="946"/>
      <c r="M149" s="918"/>
      <c r="N149" s="918"/>
      <c r="R149" s="902"/>
      <c r="Y149" s="23"/>
      <c r="Z149" s="22"/>
    </row>
    <row r="150" spans="3:26" ht="17.25" hidden="1" customHeight="1">
      <c r="C150" s="133" t="s">
        <v>949</v>
      </c>
      <c r="D150" s="905" t="s">
        <v>948</v>
      </c>
      <c r="E150" s="892" t="s">
        <v>947</v>
      </c>
      <c r="F150" s="17"/>
      <c r="G150" s="243"/>
      <c r="H150" s="914"/>
      <c r="I150" s="919" t="s">
        <v>875</v>
      </c>
      <c r="J150" s="912"/>
      <c r="K150" s="918"/>
      <c r="Y150" s="23"/>
      <c r="Z150" s="22"/>
    </row>
    <row r="151" spans="3:26" ht="30" hidden="1" customHeight="1">
      <c r="C151" s="133" t="s">
        <v>946</v>
      </c>
      <c r="D151" s="905" t="s">
        <v>945</v>
      </c>
      <c r="E151" s="892" t="s">
        <v>944</v>
      </c>
      <c r="F151" s="17"/>
      <c r="G151" s="243"/>
      <c r="H151" s="914"/>
      <c r="I151" s="919" t="s">
        <v>868</v>
      </c>
      <c r="J151" s="912"/>
      <c r="K151" s="918"/>
      <c r="Y151" s="23"/>
      <c r="Z151" s="22"/>
    </row>
    <row r="152" spans="3:26" ht="30" hidden="1" customHeight="1">
      <c r="C152" s="133" t="s">
        <v>943</v>
      </c>
      <c r="D152" s="905" t="s">
        <v>942</v>
      </c>
      <c r="E152" s="892" t="s">
        <v>941</v>
      </c>
      <c r="F152" s="17"/>
      <c r="G152" s="243"/>
      <c r="H152" s="914"/>
      <c r="I152" s="919" t="s">
        <v>860</v>
      </c>
      <c r="J152" s="912"/>
      <c r="K152" s="918"/>
      <c r="Y152" s="23"/>
      <c r="Z152" s="22"/>
    </row>
    <row r="153" spans="3:26" ht="17.25" hidden="1" customHeight="1">
      <c r="C153" s="133" t="s">
        <v>940</v>
      </c>
      <c r="D153" s="905" t="s">
        <v>939</v>
      </c>
      <c r="E153" s="892" t="s">
        <v>938</v>
      </c>
      <c r="F153" s="17"/>
      <c r="G153" s="243"/>
      <c r="H153" s="914"/>
      <c r="I153" s="919" t="s">
        <v>857</v>
      </c>
      <c r="J153" s="912"/>
      <c r="K153" s="918"/>
      <c r="Y153" s="23"/>
      <c r="Z153" s="22"/>
    </row>
    <row r="154" spans="3:26" ht="17.25" hidden="1" customHeight="1">
      <c r="C154" s="133" t="s">
        <v>937</v>
      </c>
      <c r="D154" s="905" t="s">
        <v>936</v>
      </c>
      <c r="E154" s="892" t="s">
        <v>935</v>
      </c>
      <c r="F154" s="17"/>
      <c r="G154" s="243"/>
      <c r="H154" s="914"/>
      <c r="I154" s="919" t="s">
        <v>829</v>
      </c>
      <c r="J154" s="912"/>
      <c r="K154" s="918"/>
      <c r="Y154" s="23"/>
      <c r="Z154" s="22"/>
    </row>
    <row r="155" spans="3:26" ht="30" hidden="1" customHeight="1">
      <c r="C155" s="133" t="s">
        <v>934</v>
      </c>
      <c r="D155" s="905" t="s">
        <v>933</v>
      </c>
      <c r="E155" s="892" t="s">
        <v>932</v>
      </c>
      <c r="F155" s="17"/>
      <c r="G155" s="243"/>
      <c r="H155" s="914"/>
      <c r="I155" s="919" t="s">
        <v>378</v>
      </c>
      <c r="J155" s="912"/>
      <c r="K155" s="918"/>
      <c r="Y155" s="23"/>
      <c r="Z155" s="22"/>
    </row>
    <row r="156" spans="3:26" ht="7.5" hidden="1" customHeight="1">
      <c r="D156" s="905"/>
      <c r="E156" s="892"/>
      <c r="F156" s="17"/>
      <c r="G156" s="243"/>
      <c r="H156" s="243"/>
      <c r="I156" s="919"/>
      <c r="J156" s="947"/>
      <c r="R156" s="902"/>
      <c r="Y156" s="901"/>
      <c r="Z156" s="901"/>
    </row>
    <row r="157" spans="3:26" ht="18" hidden="1" customHeight="1">
      <c r="D157" s="948" t="s">
        <v>931</v>
      </c>
      <c r="E157" s="892"/>
      <c r="F157" s="17"/>
      <c r="G157" s="243"/>
      <c r="H157" s="243"/>
      <c r="I157" s="896"/>
      <c r="J157" s="947"/>
      <c r="R157" s="902"/>
      <c r="Y157" s="901"/>
      <c r="Z157" s="901"/>
    </row>
    <row r="158" spans="3:26" ht="30" hidden="1" customHeight="1">
      <c r="C158" s="133" t="s">
        <v>930</v>
      </c>
      <c r="D158" s="905" t="s">
        <v>929</v>
      </c>
      <c r="E158" s="892" t="s">
        <v>928</v>
      </c>
      <c r="F158" s="17"/>
      <c r="G158" s="243"/>
      <c r="H158" s="914"/>
      <c r="I158" s="919" t="s">
        <v>927</v>
      </c>
      <c r="J158" s="912"/>
      <c r="K158" s="918"/>
      <c r="L158" s="946"/>
      <c r="M158" s="918"/>
      <c r="N158" s="918"/>
      <c r="R158" s="902"/>
      <c r="Y158" s="23"/>
      <c r="Z158" s="22"/>
    </row>
    <row r="159" spans="3:26" ht="30" hidden="1" customHeight="1">
      <c r="C159" s="133" t="s">
        <v>926</v>
      </c>
      <c r="D159" s="905" t="s">
        <v>925</v>
      </c>
      <c r="E159" s="892" t="s">
        <v>924</v>
      </c>
      <c r="F159" s="17"/>
      <c r="G159" s="243"/>
      <c r="H159" s="914"/>
      <c r="I159" s="919" t="s">
        <v>825</v>
      </c>
      <c r="J159" s="912"/>
      <c r="K159" s="918"/>
      <c r="L159" s="946"/>
      <c r="M159" s="918"/>
      <c r="N159" s="918"/>
      <c r="R159" s="902"/>
      <c r="Y159" s="23"/>
      <c r="Z159" s="22"/>
    </row>
    <row r="160" spans="3:26" ht="30" hidden="1" customHeight="1">
      <c r="C160" s="133" t="s">
        <v>923</v>
      </c>
      <c r="D160" s="905" t="s">
        <v>922</v>
      </c>
      <c r="E160" s="892" t="s">
        <v>921</v>
      </c>
      <c r="F160" s="17"/>
      <c r="G160" s="243"/>
      <c r="H160" s="914"/>
      <c r="I160" s="919" t="s">
        <v>920</v>
      </c>
      <c r="J160" s="912"/>
      <c r="K160" s="918"/>
      <c r="L160" s="946"/>
      <c r="M160" s="918"/>
      <c r="N160" s="918"/>
      <c r="R160" s="902"/>
      <c r="Y160" s="23"/>
      <c r="Z160" s="22"/>
    </row>
    <row r="161" spans="1:26" ht="17.25" customHeight="1">
      <c r="D161" s="867"/>
      <c r="E161" s="892"/>
      <c r="F161" s="17"/>
      <c r="G161" s="243"/>
      <c r="H161" s="243"/>
      <c r="I161" s="896"/>
      <c r="J161" s="930"/>
      <c r="R161" s="902"/>
      <c r="Y161" s="901"/>
      <c r="Z161" s="901"/>
    </row>
    <row r="162" spans="1:26" ht="22.5" customHeight="1">
      <c r="A162" s="939"/>
      <c r="B162" s="938"/>
      <c r="C162" s="937"/>
      <c r="D162" s="935" t="s">
        <v>919</v>
      </c>
      <c r="E162" s="935"/>
      <c r="F162" s="935"/>
      <c r="G162" s="934"/>
      <c r="H162" s="934"/>
      <c r="I162" s="934"/>
      <c r="J162" s="932"/>
      <c r="K162" s="931"/>
      <c r="L162" s="940"/>
      <c r="M162" s="931"/>
      <c r="N162" s="931"/>
      <c r="R162" s="902"/>
      <c r="Y162" s="901"/>
      <c r="Z162" s="901"/>
    </row>
    <row r="163" spans="1:26" ht="7.5" customHeight="1">
      <c r="A163" s="939"/>
      <c r="B163" s="940"/>
      <c r="C163" s="944"/>
      <c r="D163" s="931"/>
      <c r="E163" s="943"/>
      <c r="F163" s="931"/>
      <c r="G163" s="942"/>
      <c r="H163" s="942"/>
      <c r="I163" s="941"/>
      <c r="J163" s="941"/>
      <c r="K163" s="931"/>
      <c r="L163" s="940"/>
      <c r="M163" s="931"/>
      <c r="N163" s="931"/>
      <c r="R163" s="902"/>
      <c r="Y163" s="901"/>
      <c r="Z163" s="901"/>
    </row>
    <row r="164" spans="1:26" ht="17.25" customHeight="1">
      <c r="C164" s="133" t="s">
        <v>918</v>
      </c>
      <c r="D164" s="905" t="s">
        <v>917</v>
      </c>
      <c r="E164" s="892" t="s">
        <v>916</v>
      </c>
      <c r="F164" s="17"/>
      <c r="G164" s="917"/>
      <c r="H164" s="914"/>
      <c r="I164" s="919" t="s">
        <v>899</v>
      </c>
      <c r="J164" s="912"/>
      <c r="K164" s="918"/>
      <c r="L164" s="65"/>
      <c r="Y164" s="23"/>
      <c r="Z164" s="22"/>
    </row>
    <row r="165" spans="1:26" ht="17.25" customHeight="1">
      <c r="C165" s="133" t="s">
        <v>915</v>
      </c>
      <c r="D165" s="905" t="s">
        <v>914</v>
      </c>
      <c r="E165" s="892" t="s">
        <v>913</v>
      </c>
      <c r="F165" s="17"/>
      <c r="G165" s="917"/>
      <c r="H165" s="914"/>
      <c r="I165" s="919" t="s">
        <v>893</v>
      </c>
      <c r="J165" s="912"/>
      <c r="K165" s="918"/>
      <c r="L165" s="65"/>
      <c r="Y165" s="23"/>
      <c r="Z165" s="22"/>
    </row>
    <row r="166" spans="1:26" ht="17.25" customHeight="1">
      <c r="D166" s="867"/>
      <c r="E166" s="892"/>
      <c r="F166" s="17"/>
      <c r="G166" s="243"/>
      <c r="H166" s="243"/>
      <c r="I166" s="896"/>
      <c r="J166" s="930"/>
      <c r="R166" s="902"/>
      <c r="Y166" s="901"/>
      <c r="Z166" s="901"/>
    </row>
    <row r="167" spans="1:26" ht="22.5" customHeight="1">
      <c r="A167" s="945"/>
      <c r="B167" s="938"/>
      <c r="C167" s="937"/>
      <c r="D167" s="935" t="s">
        <v>912</v>
      </c>
      <c r="E167" s="935"/>
      <c r="F167" s="935"/>
      <c r="G167" s="934"/>
      <c r="H167" s="934"/>
      <c r="I167" s="934"/>
      <c r="J167" s="932"/>
      <c r="K167" s="931"/>
      <c r="L167" s="940"/>
      <c r="M167" s="931"/>
      <c r="N167" s="931"/>
      <c r="R167" s="902"/>
      <c r="Y167" s="901"/>
      <c r="Z167" s="901"/>
    </row>
    <row r="168" spans="1:26" ht="7.5" customHeight="1">
      <c r="A168" s="939" t="s">
        <v>58</v>
      </c>
      <c r="B168" s="940"/>
      <c r="C168" s="944"/>
      <c r="D168" s="931"/>
      <c r="E168" s="943"/>
      <c r="F168" s="931"/>
      <c r="G168" s="942"/>
      <c r="H168" s="942"/>
      <c r="I168" s="941"/>
      <c r="J168" s="941"/>
      <c r="K168" s="931"/>
      <c r="L168" s="940"/>
      <c r="M168" s="931"/>
      <c r="N168" s="931"/>
      <c r="R168" s="902"/>
      <c r="Y168" s="901"/>
      <c r="Z168" s="901"/>
    </row>
    <row r="169" spans="1:26" ht="17.25" customHeight="1">
      <c r="C169" s="133" t="s">
        <v>911</v>
      </c>
      <c r="D169" s="905" t="s">
        <v>910</v>
      </c>
      <c r="E169" s="892" t="s">
        <v>909</v>
      </c>
      <c r="F169" s="17"/>
      <c r="G169" s="914"/>
      <c r="H169" s="913">
        <f>ROUND(IF(L169="Summary sheet",O169, IF(L169="Worksheet",P169, IF(L169="Ledger",Q169,G169))),0)</f>
        <v>0</v>
      </c>
      <c r="I169" s="919" t="s">
        <v>908</v>
      </c>
      <c r="J169" s="912"/>
      <c r="K169" s="918"/>
      <c r="L169" s="911" t="str" cm="1">
        <f t="array" ref="L169">_xlfn.IFS(G169&lt;&gt;0,"Manual", O169&lt;&gt;0,"Summary Sheet",P169&lt;&gt;0,"Worksheet",IFERROR(Q169&lt;&gt;0,0),"Ledger",TRUE,"Manual")</f>
        <v>Manual</v>
      </c>
      <c r="M169" s="910" t="s">
        <v>284</v>
      </c>
      <c r="N169" s="918"/>
      <c r="O169" s="909"/>
      <c r="P169" s="909">
        <f>SUMIF(SheetNamedRangesNames,"CC15_LossesCarryForward",SheetNamedRangesValues)</f>
        <v>0</v>
      </c>
      <c r="Q169" s="908">
        <f>_xlfn.SINGLE(IF(ISBLANK(R169)=FALSE, R169,     IF(AND(ISBLANK(U169)=FALSE,ISBLANK(V169)=FALSE),SUMIFS(Tx_LedgerReport.TaxonomyBalancesDrCr,Tx_LedgerReport.TaxonomyNames,S169,Tx_LedgerReport.PPs,U169,Tx_LedgerReport.NonDeductibles,V169),         IF(ISBLANK(V169)=FALSE,SUMIFS(Tx_LedgerReport.TaxonomyBalancesDrCr,Tx_LedgerReport.TaxonomyNames,S169,Tx_LedgerReport.NonDeductibles,V169),     IF(ISBLANK(U169)=FALSE,SUMIFS(Tx_LedgerReport.TaxonomyBalancesDrCr,Tx_LedgerReport.TaxonomyNames,S169,Tx_LedgerReport.PPs,U169),            SUMIF(Tx_LedgerReport.TaxonomyNames,S169,Tx_LedgerReport.TaxonomyBalancesDrCr))))))       *       IF(W169=TRUE,-1,1)+T169</f>
        <v>0</v>
      </c>
      <c r="R169" s="907"/>
      <c r="S169" s="906"/>
      <c r="T169" s="906"/>
      <c r="U169" s="906"/>
      <c r="V169" s="906"/>
      <c r="W169" s="906"/>
      <c r="Y169" s="23"/>
      <c r="Z169" s="22"/>
    </row>
    <row r="170" spans="1:26" ht="17.25" customHeight="1">
      <c r="C170" s="133" t="s">
        <v>907</v>
      </c>
      <c r="D170" s="905" t="s">
        <v>906</v>
      </c>
      <c r="E170" s="892" t="s">
        <v>905</v>
      </c>
      <c r="F170" s="17"/>
      <c r="G170" s="914"/>
      <c r="H170" s="913">
        <f>ROUND(IF(L170="Summary sheet",O170, IF(L170="Worksheet",P170, IF(L170="Ledger",Q170,G170))),0)</f>
        <v>0</v>
      </c>
      <c r="I170" s="919" t="s">
        <v>904</v>
      </c>
      <c r="J170" s="912"/>
      <c r="K170" s="918"/>
      <c r="L170" s="911" t="str" cm="1">
        <f t="array" ref="L170">_xlfn.IFS(G170&lt;&gt;0,"Manual", O170&lt;&gt;0,"Summary Sheet",P170&lt;&gt;0,"Worksheet",IFERROR(Q170&lt;&gt;0,0),"Ledger",TRUE,"Manual")</f>
        <v>Manual</v>
      </c>
      <c r="M170" s="910" t="s">
        <v>284</v>
      </c>
      <c r="N170" s="918"/>
      <c r="O170" s="909"/>
      <c r="P170" s="909">
        <f>SUMIF(SheetNamedRangesNames,"CC15_CapLossCF",SheetNamedRangesValues)</f>
        <v>0</v>
      </c>
      <c r="Q170" s="908">
        <f>_xlfn.SINGLE(IF(ISBLANK(R170)=FALSE, R170,     IF(AND(ISBLANK(U170)=FALSE,ISBLANK(V170)=FALSE),SUMIFS(Tx_LedgerReport.TaxonomyBalancesDrCr,Tx_LedgerReport.TaxonomyNames,S170,Tx_LedgerReport.PPs,U170,Tx_LedgerReport.NonDeductibles,V170),         IF(ISBLANK(V170)=FALSE,SUMIFS(Tx_LedgerReport.TaxonomyBalancesDrCr,Tx_LedgerReport.TaxonomyNames,S170,Tx_LedgerReport.NonDeductibles,V170),     IF(ISBLANK(U170)=FALSE,SUMIFS(Tx_LedgerReport.TaxonomyBalancesDrCr,Tx_LedgerReport.TaxonomyNames,S170,Tx_LedgerReport.PPs,U170),            SUMIF(Tx_LedgerReport.TaxonomyNames,S170,Tx_LedgerReport.TaxonomyBalancesDrCr))))))       *       IF(W170=TRUE,-1,1)+T170</f>
        <v>0</v>
      </c>
      <c r="R170" s="907"/>
      <c r="S170" s="906"/>
      <c r="T170" s="906"/>
      <c r="U170" s="906"/>
      <c r="V170" s="906"/>
      <c r="W170" s="906"/>
      <c r="Y170" s="23"/>
      <c r="Z170" s="22"/>
    </row>
    <row r="171" spans="1:26" ht="17.25" customHeight="1">
      <c r="D171" s="867"/>
      <c r="E171" s="892"/>
      <c r="F171" s="17"/>
      <c r="G171" s="243"/>
      <c r="H171" s="243"/>
      <c r="I171" s="896"/>
      <c r="J171" s="930"/>
      <c r="R171" s="902"/>
      <c r="Y171" s="901"/>
      <c r="Z171" s="901"/>
    </row>
    <row r="172" spans="1:26" ht="22.5" customHeight="1">
      <c r="A172" s="939"/>
      <c r="B172" s="938"/>
      <c r="C172" s="937"/>
      <c r="D172" s="935" t="s">
        <v>903</v>
      </c>
      <c r="E172" s="936"/>
      <c r="F172" s="935"/>
      <c r="G172" s="934"/>
      <c r="H172" s="934"/>
      <c r="I172" s="933"/>
      <c r="J172" s="932"/>
      <c r="K172" s="931"/>
      <c r="L172" s="1414" t="s">
        <v>902</v>
      </c>
      <c r="M172" s="1415"/>
      <c r="N172" s="931"/>
      <c r="R172" s="902"/>
      <c r="Y172" s="901"/>
      <c r="Z172" s="901"/>
    </row>
    <row r="173" spans="1:26" ht="7.5" customHeight="1">
      <c r="D173" s="867"/>
      <c r="E173" s="892"/>
      <c r="F173" s="17"/>
      <c r="G173" s="243"/>
      <c r="H173" s="243"/>
      <c r="I173" s="896"/>
      <c r="J173" s="930"/>
      <c r="R173" s="902"/>
      <c r="Y173" s="901"/>
      <c r="Z173" s="901"/>
    </row>
    <row r="174" spans="1:26" ht="17.25" customHeight="1">
      <c r="D174" s="905" t="s">
        <v>901</v>
      </c>
      <c r="E174" s="892" t="s">
        <v>900</v>
      </c>
      <c r="F174" s="17"/>
      <c r="G174" s="914"/>
      <c r="H174" s="913">
        <f>ROUND(IF(L174="Tax Rec",O174, IF(L174="Worksheet",P174, IF(L174="Ledger",Q174, G174))),0)</f>
        <v>0</v>
      </c>
      <c r="I174" s="919" t="s">
        <v>899</v>
      </c>
      <c r="J174" s="912"/>
      <c r="K174" s="918"/>
      <c r="L174" s="911" t="str" cm="1">
        <f t="array" ref="L174">_xlfn.IFS(G174&lt;&gt;0,"Manual", O174&lt;&gt;0,"Tax Rec",P174&lt;&gt;0,"Worksheet",IFERROR(Q174&lt;&gt;0,0),"Ledger",TRUE,"Manual")</f>
        <v>Manual</v>
      </c>
      <c r="M174" s="918"/>
      <c r="N174" s="918"/>
      <c r="O174" s="909">
        <f>SUMIF(SheetNamedRangesNames,"Tx_TaxableIncome",SheetNamedRangesValues)</f>
        <v>0</v>
      </c>
      <c r="P174" s="909"/>
      <c r="Q174" s="908">
        <f>_xlfn.SINGLE(IF(ISBLANK(R174)=FALSE, R174,     IF(AND(ISBLANK(U174)=FALSE,ISBLANK(V174)=FALSE),SUMIFS(Tx_LedgerReport.TaxonomyBalancesDrCr,Tx_LedgerReport.TaxonomyNames,S174,Tx_LedgerReport.PPs,U174,Tx_LedgerReport.NonDeductibles,V174),         IF(ISBLANK(V174)=FALSE,SUMIFS(Tx_LedgerReport.TaxonomyBalancesDrCr,Tx_LedgerReport.TaxonomyNames,S174,Tx_LedgerReport.NonDeductibles,V174),     IF(ISBLANK(U174)=FALSE,SUMIFS(Tx_LedgerReport.TaxonomyBalancesDrCr,Tx_LedgerReport.TaxonomyNames,S174,Tx_LedgerReport.PPs,U174),            SUMIF(Tx_LedgerReport.TaxonomyNames,S174,Tx_LedgerReport.TaxonomyBalancesDrCr))))))       *       IF(W174=TRUE,-1,1)+T174</f>
        <v>0</v>
      </c>
      <c r="R174" s="906"/>
      <c r="S174" s="906"/>
      <c r="T174" s="906"/>
      <c r="U174" s="906"/>
      <c r="V174" s="906"/>
      <c r="W174" s="906"/>
      <c r="Y174" s="23"/>
      <c r="Z174" s="22"/>
    </row>
    <row r="175" spans="1:26" ht="17.25" customHeight="1">
      <c r="D175" s="905" t="s">
        <v>898</v>
      </c>
      <c r="E175" s="892" t="s">
        <v>897</v>
      </c>
      <c r="F175" s="17"/>
      <c r="G175" s="914"/>
      <c r="H175" s="913">
        <f>ROUND(IF(L175="Tax Rec",O175, IF(L175="Worksheet",P175, IF(L175="Ledger",Q175, G175))),0)</f>
        <v>0</v>
      </c>
      <c r="I175" s="919" t="s">
        <v>896</v>
      </c>
      <c r="J175" s="912"/>
      <c r="K175" s="918"/>
      <c r="L175" s="911" t="str" cm="1">
        <f t="array" ref="L175">_xlfn.IFS(G175&lt;&gt;0,"Manual", O175&lt;&gt;0,"Tax Rec",P175&lt;&gt;0,"Worksheet",IFERROR(Q175&lt;&gt;0,0),"Ledger",TRUE,"Manual")</f>
        <v>Manual</v>
      </c>
      <c r="M175" s="918"/>
      <c r="N175" s="918"/>
      <c r="O175" s="909">
        <f>SUMIF(SheetNamedRangesNames,"CC20_GrossTax",SheetNamedRangesValues)</f>
        <v>0</v>
      </c>
      <c r="P175" s="909"/>
      <c r="Q175" s="908">
        <f>_xlfn.SINGLE(IF(ISBLANK(R175)=FALSE, R175,     IF(AND(ISBLANK(U175)=FALSE,ISBLANK(V175)=FALSE),SUMIFS(Tx_LedgerReport.TaxonomyBalancesDrCr,Tx_LedgerReport.TaxonomyNames,S175,Tx_LedgerReport.PPs,U175,Tx_LedgerReport.NonDeductibles,V175),         IF(ISBLANK(V175)=FALSE,SUMIFS(Tx_LedgerReport.TaxonomyBalancesDrCr,Tx_LedgerReport.TaxonomyNames,S175,Tx_LedgerReport.NonDeductibles,V175),     IF(ISBLANK(U175)=FALSE,SUMIFS(Tx_LedgerReport.TaxonomyBalancesDrCr,Tx_LedgerReport.TaxonomyNames,S175,Tx_LedgerReport.PPs,U175),            SUMIF(Tx_LedgerReport.TaxonomyNames,S175,Tx_LedgerReport.TaxonomyBalancesDrCr))))))       *       IF(W175=TRUE,-1,1)+T175</f>
        <v>0</v>
      </c>
      <c r="R175" s="906"/>
      <c r="S175" s="906"/>
      <c r="T175" s="906"/>
      <c r="U175" s="906"/>
      <c r="V175" s="906"/>
      <c r="W175" s="906"/>
      <c r="Y175" s="23"/>
      <c r="Z175" s="22"/>
    </row>
    <row r="176" spans="1:26" ht="7.5" customHeight="1">
      <c r="D176" s="929"/>
      <c r="G176" s="917"/>
      <c r="H176" s="917"/>
      <c r="I176" s="916"/>
      <c r="J176" s="915"/>
      <c r="L176" s="65"/>
      <c r="Y176" s="901"/>
      <c r="Z176" s="901"/>
    </row>
    <row r="177" spans="1:26" ht="17.25" customHeight="1">
      <c r="D177" s="905" t="s">
        <v>895</v>
      </c>
      <c r="E177" s="892" t="s">
        <v>894</v>
      </c>
      <c r="F177" s="17"/>
      <c r="G177" s="920"/>
      <c r="H177" s="913">
        <f>H175</f>
        <v>0</v>
      </c>
      <c r="I177" s="919" t="s">
        <v>893</v>
      </c>
      <c r="J177" s="912"/>
      <c r="K177" s="918"/>
      <c r="L177" s="65"/>
      <c r="Y177" s="23"/>
      <c r="Z177" s="22"/>
    </row>
    <row r="178" spans="1:26" ht="17.25" customHeight="1">
      <c r="C178" s="133" t="s">
        <v>892</v>
      </c>
      <c r="D178" s="905" t="s">
        <v>891</v>
      </c>
      <c r="E178" s="892" t="s">
        <v>890</v>
      </c>
      <c r="F178" s="17"/>
      <c r="G178" s="928"/>
      <c r="H178" s="913">
        <f>ROUND(IF(L178="Tax Rec",O178, IF(L178="Worksheet",P178, IF(L178="Ledger",Q178, G178))),0)</f>
        <v>0</v>
      </c>
      <c r="I178" s="927" t="s">
        <v>889</v>
      </c>
      <c r="J178" s="912"/>
      <c r="K178" s="918"/>
      <c r="L178" s="911" t="str" cm="1">
        <f t="array" ref="L178">_xlfn.IFS(G178&lt;&gt;0,"Manual", O178&lt;&gt;0,"Tax Rec",P178&lt;&gt;0,"Worksheet",IFERROR(Q178&lt;&gt;0,0),"Ledger",TRUE,"Manual")</f>
        <v>Manual</v>
      </c>
      <c r="M178" s="918"/>
      <c r="N178" s="918"/>
      <c r="O178" s="909">
        <f>SUMIF(SheetNamedRangesNames,"Tx_NonRefNonCFOffsets",SheetNamedRangesValues)</f>
        <v>0</v>
      </c>
      <c r="P178" s="909"/>
      <c r="Q178" s="908">
        <f>_xlfn.SINGLE(IF(ISBLANK(R178)=FALSE, R178,     IF(AND(ISBLANK(U178)=FALSE,ISBLANK(V178)=FALSE),SUMIFS(Tx_LedgerReport.TaxonomyBalancesDrCr,Tx_LedgerReport.TaxonomyNames,S178,Tx_LedgerReport.PPs,U178,Tx_LedgerReport.NonDeductibles,V178),         IF(ISBLANK(V178)=FALSE,SUMIFS(Tx_LedgerReport.TaxonomyBalancesDrCr,Tx_LedgerReport.TaxonomyNames,S178,Tx_LedgerReport.NonDeductibles,V178),     IF(ISBLANK(U178)=FALSE,SUMIFS(Tx_LedgerReport.TaxonomyBalancesDrCr,Tx_LedgerReport.TaxonomyNames,S178,Tx_LedgerReport.PPs,U178),            SUMIF(Tx_LedgerReport.TaxonomyNames,S178,Tx_LedgerReport.TaxonomyBalancesDrCr))))))       *       IF(W178=TRUE,-1,1)+T178</f>
        <v>0</v>
      </c>
      <c r="R178" s="906"/>
      <c r="S178" s="906"/>
      <c r="T178" s="906"/>
      <c r="U178" s="906"/>
      <c r="V178" s="906"/>
      <c r="W178" s="906"/>
      <c r="Y178" s="23"/>
      <c r="Z178" s="22"/>
    </row>
    <row r="179" spans="1:26" ht="17.25" customHeight="1">
      <c r="D179" s="905" t="s">
        <v>888</v>
      </c>
      <c r="E179" s="892" t="s">
        <v>887</v>
      </c>
      <c r="F179" s="17"/>
      <c r="G179" s="926" t="s">
        <v>865</v>
      </c>
      <c r="H179" s="925">
        <f>H177-H178</f>
        <v>0</v>
      </c>
      <c r="I179" s="919" t="s">
        <v>886</v>
      </c>
      <c r="J179" s="912"/>
      <c r="K179" s="918"/>
      <c r="L179" s="65"/>
      <c r="Y179" s="23"/>
      <c r="Z179" s="22"/>
    </row>
    <row r="180" spans="1:26" ht="17.25" customHeight="1">
      <c r="C180" s="133" t="s">
        <v>885</v>
      </c>
      <c r="D180" s="905" t="s">
        <v>884</v>
      </c>
      <c r="E180" s="892" t="s">
        <v>883</v>
      </c>
      <c r="F180" s="17"/>
      <c r="G180" s="914"/>
      <c r="H180" s="913">
        <f>ROUND(IF(L180="Tax Rec",O180, IF(L180="Worksheet",P180, IF(L180="Ledger",Q180, G180))),0)</f>
        <v>0</v>
      </c>
      <c r="I180" s="919" t="s">
        <v>882</v>
      </c>
      <c r="J180" s="912"/>
      <c r="K180" s="918"/>
      <c r="L180" s="911" t="str" cm="1">
        <f t="array" ref="L180">_xlfn.IFS(G180&lt;&gt;0,"Manual", O180&lt;&gt;0,"Tax Rec",P180&lt;&gt;0,"Worksheet",IFERROR(Q180&lt;&gt;0,0),"Ledger",TRUE,"Manual")</f>
        <v>Manual</v>
      </c>
      <c r="M180" s="918"/>
      <c r="N180" s="918"/>
      <c r="O180" s="909">
        <f>SUMIF(SheetNamedRangesNames,"Tx_NonRefCFOffsets",SheetNamedRangesValues)</f>
        <v>0</v>
      </c>
      <c r="P180" s="909"/>
      <c r="Q180" s="908">
        <f>_xlfn.SINGLE(IF(ISBLANK(R180)=FALSE, R180,     IF(AND(ISBLANK(U180)=FALSE,ISBLANK(V180)=FALSE),SUMIFS(Tx_LedgerReport.TaxonomyBalancesDrCr,Tx_LedgerReport.TaxonomyNames,S180,Tx_LedgerReport.PPs,U180,Tx_LedgerReport.NonDeductibles,V180),         IF(ISBLANK(V180)=FALSE,SUMIFS(Tx_LedgerReport.TaxonomyBalancesDrCr,Tx_LedgerReport.TaxonomyNames,S180,Tx_LedgerReport.NonDeductibles,V180),     IF(ISBLANK(U180)=FALSE,SUMIFS(Tx_LedgerReport.TaxonomyBalancesDrCr,Tx_LedgerReport.TaxonomyNames,S180,Tx_LedgerReport.PPs,U180),            SUMIF(Tx_LedgerReport.TaxonomyNames,S180,Tx_LedgerReport.TaxonomyBalancesDrCr))))))       *       IF(W180=TRUE,-1,1)+T180</f>
        <v>0</v>
      </c>
      <c r="R180" s="906"/>
      <c r="S180" s="906"/>
      <c r="T180" s="906"/>
      <c r="U180" s="906"/>
      <c r="V180" s="906"/>
      <c r="W180" s="906"/>
      <c r="Y180" s="23"/>
      <c r="Z180" s="22"/>
    </row>
    <row r="181" spans="1:26" ht="17.25" customHeight="1">
      <c r="D181" s="905" t="s">
        <v>881</v>
      </c>
      <c r="E181" s="892" t="s">
        <v>880</v>
      </c>
      <c r="F181" s="17"/>
      <c r="G181" s="926" t="s">
        <v>865</v>
      </c>
      <c r="H181" s="925">
        <f>H179-H180</f>
        <v>0</v>
      </c>
      <c r="I181" s="919" t="s">
        <v>879</v>
      </c>
      <c r="J181" s="912"/>
      <c r="K181" s="918"/>
      <c r="L181" s="65"/>
      <c r="Y181" s="23"/>
      <c r="Z181" s="22"/>
    </row>
    <row r="182" spans="1:26" ht="17.25" customHeight="1">
      <c r="C182" s="133" t="s">
        <v>878</v>
      </c>
      <c r="D182" s="905" t="s">
        <v>877</v>
      </c>
      <c r="E182" s="892" t="s">
        <v>876</v>
      </c>
      <c r="F182" s="17"/>
      <c r="G182" s="914"/>
      <c r="H182" s="913">
        <f>ROUND(IF(L182="Tax Rec",O182, IF(L182="Worksheet",P182, IF(L182="Ledger",Q182, G182))),0)</f>
        <v>0</v>
      </c>
      <c r="I182" s="919" t="s">
        <v>875</v>
      </c>
      <c r="J182" s="912"/>
      <c r="K182" s="918"/>
      <c r="L182" s="911" t="str" cm="1">
        <f t="array" ref="L182">_xlfn.IFS(G182&lt;&gt;0,"Manual", O182&lt;&gt;0,"Tax Rec",P182&lt;&gt;0,"Worksheet",IFERROR(Q182&lt;&gt;0,0),"Ledger",TRUE,"Manual")</f>
        <v>Manual</v>
      </c>
      <c r="M182" s="918"/>
      <c r="N182" s="918"/>
      <c r="O182" s="909">
        <f>SUMIF(SheetNamedRangesNames,"Tx_RefundOffset",SheetNamedRangesValues)</f>
        <v>0</v>
      </c>
      <c r="P182" s="909"/>
      <c r="Q182" s="908">
        <f>_xlfn.SINGLE(IF(ISBLANK(R182)=FALSE, R182,     IF(AND(ISBLANK(U182)=FALSE,ISBLANK(V182)=FALSE),SUMIFS(Tx_LedgerReport.TaxonomyBalancesDrCr,Tx_LedgerReport.TaxonomyNames,S182,Tx_LedgerReport.PPs,U182,Tx_LedgerReport.NonDeductibles,V182),         IF(ISBLANK(V182)=FALSE,SUMIFS(Tx_LedgerReport.TaxonomyBalancesDrCr,Tx_LedgerReport.TaxonomyNames,S182,Tx_LedgerReport.NonDeductibles,V182),     IF(ISBLANK(U182)=FALSE,SUMIFS(Tx_LedgerReport.TaxonomyBalancesDrCr,Tx_LedgerReport.TaxonomyNames,S182,Tx_LedgerReport.PPs,U182),            SUMIF(Tx_LedgerReport.TaxonomyNames,S182,Tx_LedgerReport.TaxonomyBalancesDrCr))))))       *       IF(W182=TRUE,-1,1)+T182</f>
        <v>0</v>
      </c>
      <c r="R182" s="906"/>
      <c r="S182" s="906"/>
      <c r="T182" s="906"/>
      <c r="U182" s="906"/>
      <c r="V182" s="906"/>
      <c r="W182" s="906"/>
      <c r="Y182" s="23"/>
      <c r="Z182" s="22"/>
    </row>
    <row r="183" spans="1:26" ht="17.25" customHeight="1">
      <c r="D183" s="905" t="s">
        <v>874</v>
      </c>
      <c r="E183" s="892" t="s">
        <v>873</v>
      </c>
      <c r="F183" s="17"/>
      <c r="G183" s="926" t="s">
        <v>865</v>
      </c>
      <c r="H183" s="925">
        <f>H181-H182</f>
        <v>0</v>
      </c>
      <c r="I183" s="919" t="s">
        <v>872</v>
      </c>
      <c r="J183" s="912"/>
      <c r="K183" s="918"/>
      <c r="L183" s="65"/>
      <c r="Y183" s="23"/>
      <c r="Z183" s="22"/>
    </row>
    <row r="184" spans="1:26" ht="17.25" customHeight="1">
      <c r="C184" s="133" t="s">
        <v>871</v>
      </c>
      <c r="D184" s="905" t="s">
        <v>870</v>
      </c>
      <c r="E184" s="892" t="s">
        <v>869</v>
      </c>
      <c r="F184" s="17"/>
      <c r="G184" s="914"/>
      <c r="H184" s="913">
        <f>ROUND(IF(L184="Tax Rec",O184, IF(L184="Worksheet",P184, IF(L184="Ledger",Q184, G184))),0)</f>
        <v>0</v>
      </c>
      <c r="I184" s="919" t="s">
        <v>868</v>
      </c>
      <c r="J184" s="912"/>
      <c r="K184" s="918"/>
      <c r="L184" s="911" t="str" cm="1">
        <f t="array" ref="L184">_xlfn.IFS(G184&lt;&gt;0,"Manual", O184&lt;&gt;0,"Tax Rec",P184&lt;&gt;0,"Worksheet",IFERROR(Q184&lt;&gt;0,0),"Ledger",TRUE,"Manual")</f>
        <v>Manual</v>
      </c>
      <c r="M184" s="918"/>
      <c r="N184" s="918"/>
      <c r="O184" s="909">
        <f>SUMIF(SheetNamedRangesNames,"Tx_FrankDeficitOffset",SheetNamedRangesValues)</f>
        <v>0</v>
      </c>
      <c r="P184" s="909"/>
      <c r="Q184" s="908">
        <f>_xlfn.SINGLE(IF(ISBLANK(R184)=FALSE, R184,     IF(AND(ISBLANK(U184)=FALSE,ISBLANK(V184)=FALSE),SUMIFS(Tx_LedgerReport.TaxonomyBalancesDrCr,Tx_LedgerReport.TaxonomyNames,S184,Tx_LedgerReport.PPs,U184,Tx_LedgerReport.NonDeductibles,V184),         IF(ISBLANK(V184)=FALSE,SUMIFS(Tx_LedgerReport.TaxonomyBalancesDrCr,Tx_LedgerReport.TaxonomyNames,S184,Tx_LedgerReport.NonDeductibles,V184),     IF(ISBLANK(U184)=FALSE,SUMIFS(Tx_LedgerReport.TaxonomyBalancesDrCr,Tx_LedgerReport.TaxonomyNames,S184,Tx_LedgerReport.PPs,U184),            SUMIF(Tx_LedgerReport.TaxonomyNames,S184,Tx_LedgerReport.TaxonomyBalancesDrCr))))))       *       IF(W184=TRUE,-1,1)+T184</f>
        <v>0</v>
      </c>
      <c r="R184" s="906"/>
      <c r="S184" s="906"/>
      <c r="T184" s="906"/>
      <c r="U184" s="906"/>
      <c r="V184" s="906"/>
      <c r="W184" s="906"/>
      <c r="Y184" s="23"/>
      <c r="Z184" s="22"/>
    </row>
    <row r="185" spans="1:26" ht="17.25" customHeight="1">
      <c r="D185" s="905" t="s">
        <v>867</v>
      </c>
      <c r="E185" s="892" t="s">
        <v>866</v>
      </c>
      <c r="F185" s="17"/>
      <c r="G185" s="926" t="s">
        <v>865</v>
      </c>
      <c r="H185" s="925">
        <f>H183-H184</f>
        <v>0</v>
      </c>
      <c r="I185" s="919" t="s">
        <v>864</v>
      </c>
      <c r="J185" s="912"/>
      <c r="K185" s="918"/>
      <c r="L185" s="65"/>
      <c r="Y185" s="23"/>
      <c r="Z185" s="22"/>
    </row>
    <row r="186" spans="1:26" ht="7.5" customHeight="1">
      <c r="C186" s="65"/>
      <c r="D186" s="65"/>
      <c r="E186" s="721"/>
      <c r="G186" s="917"/>
      <c r="H186" s="917"/>
      <c r="I186" s="916"/>
      <c r="J186" s="915"/>
      <c r="L186" s="65"/>
      <c r="Y186" s="901"/>
      <c r="Z186" s="901"/>
    </row>
    <row r="187" spans="1:26" ht="17.25" customHeight="1">
      <c r="C187" s="133" t="s">
        <v>863</v>
      </c>
      <c r="D187" s="905" t="s">
        <v>862</v>
      </c>
      <c r="E187" s="892" t="s">
        <v>861</v>
      </c>
      <c r="F187" s="17"/>
      <c r="G187" s="914"/>
      <c r="H187" s="913">
        <f>ROUND(IF(L187="Tax Rec",O187, IF(L187="Worksheet",P187, IF(L187="Ledger",Q187, G187))),0)</f>
        <v>0</v>
      </c>
      <c r="I187" s="919" t="s">
        <v>860</v>
      </c>
      <c r="J187" s="912"/>
      <c r="K187" s="918"/>
      <c r="L187" s="911" t="str" cm="1">
        <f t="array" ref="L187">_xlfn.IFS(G187&lt;&gt;0,"Manual", O187&lt;&gt;0,"Tax Rec",P187&lt;&gt;0,"Worksheet",IFERROR(Q187&lt;&gt;0,0),"Ledger",TRUE,"Manual")</f>
        <v>Manual</v>
      </c>
      <c r="M187" s="918"/>
      <c r="N187" s="918"/>
      <c r="O187" s="909">
        <f>SUMIF(SheetNamedRangesNames,"Tx_Sec102AAM",SheetNamedRangesValues)</f>
        <v>0</v>
      </c>
      <c r="P187" s="909"/>
      <c r="Q187" s="908">
        <f>_xlfn.SINGLE(IF(ISBLANK(R187)=FALSE, R187,     IF(AND(ISBLANK(U187)=FALSE,ISBLANK(V187)=FALSE),SUMIFS(Tx_LedgerReport.TaxonomyBalancesDrCr,Tx_LedgerReport.TaxonomyNames,S187,Tx_LedgerReport.PPs,U187,Tx_LedgerReport.NonDeductibles,V187),         IF(ISBLANK(V187)=FALSE,SUMIFS(Tx_LedgerReport.TaxonomyBalancesDrCr,Tx_LedgerReport.TaxonomyNames,S187,Tx_LedgerReport.NonDeductibles,V187),     IF(ISBLANK(U187)=FALSE,SUMIFS(Tx_LedgerReport.TaxonomyBalancesDrCr,Tx_LedgerReport.TaxonomyNames,S187,Tx_LedgerReport.PPs,U187),            SUMIF(Tx_LedgerReport.TaxonomyNames,S187,Tx_LedgerReport.TaxonomyBalancesDrCr))))))       *       IF(W187=TRUE,-1,1)+T187</f>
        <v>0</v>
      </c>
      <c r="R187" s="906"/>
      <c r="S187" s="906"/>
      <c r="T187" s="906"/>
      <c r="U187" s="906"/>
      <c r="V187" s="906"/>
      <c r="W187" s="906"/>
      <c r="Y187" s="23"/>
      <c r="Z187" s="22"/>
    </row>
    <row r="188" spans="1:26" ht="7.5" customHeight="1">
      <c r="C188" s="65"/>
      <c r="D188" s="65"/>
      <c r="E188" s="721"/>
      <c r="G188" s="917"/>
      <c r="H188" s="917"/>
      <c r="I188" s="916"/>
      <c r="J188" s="915"/>
      <c r="L188" s="65"/>
      <c r="Y188" s="901"/>
      <c r="Z188" s="901"/>
    </row>
    <row r="189" spans="1:26" ht="17.25" customHeight="1">
      <c r="A189" s="924" t="str">
        <f>IF(SUBTOTAL(103,A190),"-","+")</f>
        <v>-</v>
      </c>
      <c r="B189" s="923"/>
      <c r="C189" s="922"/>
      <c r="D189" s="921" t="s">
        <v>859</v>
      </c>
      <c r="E189" s="721" t="s">
        <v>858</v>
      </c>
      <c r="F189" s="17"/>
      <c r="G189" s="920"/>
      <c r="H189" s="913">
        <f>SUM(H190:H195)</f>
        <v>0</v>
      </c>
      <c r="I189" s="919" t="s">
        <v>857</v>
      </c>
      <c r="J189" s="912"/>
      <c r="K189" s="918"/>
      <c r="L189" s="65"/>
      <c r="Y189" s="23"/>
      <c r="Z189" s="22"/>
    </row>
    <row r="190" spans="1:26" ht="17.25" customHeight="1">
      <c r="A190" s="65" t="s">
        <v>58</v>
      </c>
      <c r="C190" s="133" t="s">
        <v>856</v>
      </c>
      <c r="D190" s="905" t="s">
        <v>855</v>
      </c>
      <c r="E190" s="892" t="s">
        <v>854</v>
      </c>
      <c r="F190" s="17"/>
      <c r="G190" s="914"/>
      <c r="H190" s="913">
        <f t="shared" ref="H190:H195" si="10">ROUND(IF(L190="Tax Rec",O190, IF(L190="Worksheet",P190, IF(L190="Ledger",Q190, G190))),0)</f>
        <v>0</v>
      </c>
      <c r="I190" s="919" t="s">
        <v>853</v>
      </c>
      <c r="J190" s="912"/>
      <c r="K190" s="918"/>
      <c r="L190" s="911" t="str" cm="1">
        <f t="array" ref="L190">_xlfn.IFS(G190&lt;&gt;0,"Manual", O190&lt;&gt;0,"Tax Rec",P190&lt;&gt;0,"Worksheet",IFERROR(Q190&lt;&gt;0,0),"Ledger",TRUE,"Manual")</f>
        <v>Manual</v>
      </c>
      <c r="M190" s="918"/>
      <c r="N190" s="918"/>
      <c r="O190" s="909">
        <f>SUMIF(SheetNamedRangesNames,"Tx_H2",SheetNamedRangesValues)</f>
        <v>0</v>
      </c>
      <c r="P190" s="909"/>
      <c r="Q190" s="908">
        <f t="shared" ref="Q190:Q195" si="11">_xlfn.SINGLE(IF(ISBLANK(R190)=FALSE, R190,     IF(AND(ISBLANK(U190)=FALSE,ISBLANK(V190)=FALSE),SUMIFS(Tx_LedgerReport.TaxonomyBalancesDrCr,Tx_LedgerReport.TaxonomyNames,S190,Tx_LedgerReport.PPs,U190,Tx_LedgerReport.NonDeductibles,V190),         IF(ISBLANK(V190)=FALSE,SUMIFS(Tx_LedgerReport.TaxonomyBalancesDrCr,Tx_LedgerReport.TaxonomyNames,S190,Tx_LedgerReport.NonDeductibles,V190),     IF(ISBLANK(U190)=FALSE,SUMIFS(Tx_LedgerReport.TaxonomyBalancesDrCr,Tx_LedgerReport.TaxonomyNames,S190,Tx_LedgerReport.PPs,U190),            SUMIF(Tx_LedgerReport.TaxonomyNames,S190,Tx_LedgerReport.TaxonomyBalancesDrCr))))))       *       IF(W190=TRUE,-1,1)+T190</f>
        <v>0</v>
      </c>
      <c r="R190" s="906"/>
      <c r="S190" s="906"/>
      <c r="T190" s="906"/>
      <c r="U190" s="906"/>
      <c r="V190" s="906"/>
      <c r="W190" s="906"/>
      <c r="Y190" s="23"/>
      <c r="Z190" s="22"/>
    </row>
    <row r="191" spans="1:26" ht="17.25" customHeight="1">
      <c r="C191" s="133" t="s">
        <v>852</v>
      </c>
      <c r="D191" s="905" t="s">
        <v>851</v>
      </c>
      <c r="E191" s="892" t="s">
        <v>850</v>
      </c>
      <c r="F191" s="17"/>
      <c r="G191" s="914"/>
      <c r="H191" s="913">
        <f t="shared" si="10"/>
        <v>0</v>
      </c>
      <c r="I191" s="919" t="s">
        <v>849</v>
      </c>
      <c r="J191" s="912"/>
      <c r="K191" s="918"/>
      <c r="L191" s="911" t="str" cm="1">
        <f t="array" ref="L191">_xlfn.IFS(G191&lt;&gt;0,"Manual", O191&lt;&gt;0,"Tax Rec",P191&lt;&gt;0,"Worksheet",IFERROR(Q191&lt;&gt;0,0),"Ledger",TRUE,"Manual")</f>
        <v>Manual</v>
      </c>
      <c r="M191" s="918"/>
      <c r="N191" s="918"/>
      <c r="O191" s="909">
        <f>SUMIF(SheetNamedRangesNames,"Tx_H3",SheetNamedRangesValues)</f>
        <v>0</v>
      </c>
      <c r="P191" s="909"/>
      <c r="Q191" s="908">
        <f t="shared" si="11"/>
        <v>0</v>
      </c>
      <c r="R191" s="906"/>
      <c r="S191" s="906"/>
      <c r="T191" s="906"/>
      <c r="U191" s="906"/>
      <c r="V191" s="906"/>
      <c r="W191" s="906"/>
      <c r="Y191" s="23"/>
      <c r="Z191" s="22"/>
    </row>
    <row r="192" spans="1:26" ht="17.25" customHeight="1">
      <c r="C192" s="133" t="s">
        <v>848</v>
      </c>
      <c r="D192" s="905" t="s">
        <v>847</v>
      </c>
      <c r="E192" s="892" t="s">
        <v>846</v>
      </c>
      <c r="F192" s="17"/>
      <c r="G192" s="914"/>
      <c r="H192" s="913">
        <f t="shared" si="10"/>
        <v>0</v>
      </c>
      <c r="I192" s="919" t="s">
        <v>845</v>
      </c>
      <c r="J192" s="912"/>
      <c r="K192" s="918"/>
      <c r="L192" s="911" t="str" cm="1">
        <f t="array" ref="L192">_xlfn.IFS(G192&lt;&gt;0,"Manual", O192&lt;&gt;0,"Tax Rec",P192&lt;&gt;0,"Worksheet",IFERROR(Q192&lt;&gt;0,0),"Ledger",TRUE,"Manual")</f>
        <v>Manual</v>
      </c>
      <c r="M192" s="918"/>
      <c r="N192" s="918"/>
      <c r="O192" s="909">
        <f>SUMIF(SheetNamedRangesNames,"Tx_H4",SheetNamedRangesValues)</f>
        <v>0</v>
      </c>
      <c r="P192" s="909"/>
      <c r="Q192" s="908">
        <f t="shared" si="11"/>
        <v>0</v>
      </c>
      <c r="R192" s="906"/>
      <c r="S192" s="906"/>
      <c r="T192" s="906"/>
      <c r="U192" s="906"/>
      <c r="V192" s="906"/>
      <c r="W192" s="906"/>
      <c r="Y192" s="23"/>
      <c r="Z192" s="22"/>
    </row>
    <row r="193" spans="3:26" ht="17.25" customHeight="1">
      <c r="C193" s="133" t="s">
        <v>844</v>
      </c>
      <c r="D193" s="905" t="s">
        <v>843</v>
      </c>
      <c r="E193" s="892" t="s">
        <v>842</v>
      </c>
      <c r="F193" s="17"/>
      <c r="G193" s="914"/>
      <c r="H193" s="913">
        <f t="shared" si="10"/>
        <v>0</v>
      </c>
      <c r="I193" s="919" t="s">
        <v>841</v>
      </c>
      <c r="J193" s="912"/>
      <c r="K193" s="918"/>
      <c r="L193" s="911" t="str" cm="1">
        <f t="array" ref="L193">_xlfn.IFS(G193&lt;&gt;0,"Manual", O193&lt;&gt;0,"Tax Rec",P193&lt;&gt;0,"Worksheet",IFERROR(Q193&lt;&gt;0,0),"Ledger",TRUE,"Manual")</f>
        <v>Manual</v>
      </c>
      <c r="M193" s="918"/>
      <c r="N193" s="918"/>
      <c r="O193" s="909">
        <f>SUMIF(SheetNamedRangesNames,"Tx_H5",SheetNamedRangesValues)</f>
        <v>0</v>
      </c>
      <c r="P193" s="909"/>
      <c r="Q193" s="908">
        <f t="shared" si="11"/>
        <v>0</v>
      </c>
      <c r="R193" s="906"/>
      <c r="S193" s="906"/>
      <c r="T193" s="906"/>
      <c r="U193" s="906"/>
      <c r="V193" s="906"/>
      <c r="W193" s="906"/>
      <c r="Y193" s="23"/>
      <c r="Z193" s="22"/>
    </row>
    <row r="194" spans="3:26" ht="17.25" customHeight="1">
      <c r="C194" s="133" t="s">
        <v>840</v>
      </c>
      <c r="D194" s="905" t="s">
        <v>839</v>
      </c>
      <c r="E194" s="892" t="s">
        <v>838</v>
      </c>
      <c r="F194" s="17"/>
      <c r="G194" s="914"/>
      <c r="H194" s="913">
        <f t="shared" si="10"/>
        <v>0</v>
      </c>
      <c r="I194" s="896" t="s">
        <v>837</v>
      </c>
      <c r="J194" s="912"/>
      <c r="L194" s="911" t="str" cm="1">
        <f t="array" ref="L194">_xlfn.IFS(G194&lt;&gt;0,"Manual", O194&lt;&gt;0,"Tax Rec",P194&lt;&gt;0,"Worksheet",IFERROR(Q194&lt;&gt;0,0),"Ledger",TRUE,"Manual")</f>
        <v>Manual</v>
      </c>
      <c r="O194" s="909">
        <f>SUMIF(SheetNamedRangesNames,"Tx_H7",SheetNamedRangesValues)</f>
        <v>0</v>
      </c>
      <c r="P194" s="909"/>
      <c r="Q194" s="908">
        <f t="shared" si="11"/>
        <v>0</v>
      </c>
      <c r="R194" s="906"/>
      <c r="S194" s="906"/>
      <c r="T194" s="906"/>
      <c r="U194" s="906"/>
      <c r="V194" s="906"/>
      <c r="W194" s="906"/>
      <c r="Y194" s="23"/>
      <c r="Z194" s="22"/>
    </row>
    <row r="195" spans="3:26" ht="17.25" customHeight="1">
      <c r="C195" s="133" t="s">
        <v>836</v>
      </c>
      <c r="D195" s="905" t="s">
        <v>835</v>
      </c>
      <c r="E195" s="892" t="s">
        <v>834</v>
      </c>
      <c r="F195" s="17"/>
      <c r="G195" s="914"/>
      <c r="H195" s="913">
        <f t="shared" si="10"/>
        <v>0</v>
      </c>
      <c r="I195" s="896" t="s">
        <v>833</v>
      </c>
      <c r="J195" s="912"/>
      <c r="L195" s="911" t="str" cm="1">
        <f t="array" ref="L195">_xlfn.IFS(G195&lt;&gt;0,"Manual", O195&lt;&gt;0,"Tax Rec",P195&lt;&gt;0,"Worksheet",IFERROR(Q195&lt;&gt;0,0),"Ledger",TRUE,"Manual")</f>
        <v>Manual</v>
      </c>
      <c r="O195" s="909">
        <f>SUMIF(SheetNamedRangesNames,"Tx_H8",SheetNamedRangesValues)</f>
        <v>0</v>
      </c>
      <c r="P195" s="909"/>
      <c r="Q195" s="908">
        <f t="shared" si="11"/>
        <v>0</v>
      </c>
      <c r="R195" s="906"/>
      <c r="S195" s="906"/>
      <c r="T195" s="906"/>
      <c r="U195" s="906"/>
      <c r="V195" s="906"/>
      <c r="W195" s="906"/>
      <c r="Y195" s="23"/>
      <c r="Z195" s="22"/>
    </row>
    <row r="196" spans="3:26" ht="7.5" customHeight="1">
      <c r="C196" s="65"/>
      <c r="D196" s="65"/>
      <c r="E196" s="721"/>
      <c r="G196" s="917"/>
      <c r="H196" s="917"/>
      <c r="I196" s="916"/>
      <c r="J196" s="915"/>
      <c r="L196" s="65"/>
      <c r="Y196" s="901"/>
      <c r="Z196" s="901"/>
    </row>
    <row r="197" spans="3:26" ht="17.25" customHeight="1">
      <c r="C197" s="133" t="s">
        <v>832</v>
      </c>
      <c r="D197" s="905" t="s">
        <v>831</v>
      </c>
      <c r="E197" s="892" t="s">
        <v>830</v>
      </c>
      <c r="F197" s="17"/>
      <c r="G197" s="914"/>
      <c r="H197" s="913">
        <f>ROUND(IF(L197="Tax Rec",O197, IF(L197="Worksheet",P197, IF(L197="Ledger",Q197, G197))),0)</f>
        <v>0</v>
      </c>
      <c r="I197" s="896" t="s">
        <v>829</v>
      </c>
      <c r="J197" s="912"/>
      <c r="L197" s="911" t="str" cm="1">
        <f t="array" ref="L197">_xlfn.IFS(G197&lt;&gt;0,"Manual", O197&lt;&gt;0,"Tax Rec",P197&lt;&gt;0,"Worksheet",IFERROR(Q197&lt;&gt;0,0),"Ledger",TRUE,"Manual")</f>
        <v>Manual</v>
      </c>
      <c r="O197" s="909">
        <f>SUMIF(SheetNamedRangesNames,"CC20_ProvTax4",SheetNamedRangesValues)</f>
        <v>0</v>
      </c>
      <c r="P197" s="909"/>
      <c r="Q197" s="908">
        <f>_xlfn.SINGLE(IF(ISBLANK(R197)=FALSE, R197,     IF(AND(ISBLANK(U197)=FALSE,ISBLANK(V197)=FALSE),SUMIFS(Tx_LedgerReport.TaxonomyBalancesDrCr,Tx_LedgerReport.TaxonomyNames,S197,Tx_LedgerReport.PPs,U197,Tx_LedgerReport.NonDeductibles,V197),         IF(ISBLANK(V197)=FALSE,SUMIFS(Tx_LedgerReport.TaxonomyBalancesDrCr,Tx_LedgerReport.TaxonomyNames,S197,Tx_LedgerReport.NonDeductibles,V197),     IF(ISBLANK(U197)=FALSE,SUMIFS(Tx_LedgerReport.TaxonomyBalancesDrCr,Tx_LedgerReport.TaxonomyNames,S197,Tx_LedgerReport.PPs,U197),            SUMIF(Tx_LedgerReport.TaxonomyNames,S197,Tx_LedgerReport.TaxonomyBalancesDrCr))))))       *       IF(W197=TRUE,-1,1)+T197</f>
        <v>0</v>
      </c>
      <c r="R197" s="906"/>
      <c r="S197" s="906"/>
      <c r="T197" s="906"/>
      <c r="U197" s="906"/>
      <c r="V197" s="906"/>
      <c r="W197" s="906"/>
      <c r="Y197" s="23"/>
      <c r="Z197" s="22"/>
    </row>
    <row r="198" spans="3:26" ht="17.25" customHeight="1">
      <c r="C198" s="133" t="s">
        <v>828</v>
      </c>
      <c r="D198" s="905" t="s">
        <v>827</v>
      </c>
      <c r="E198" s="892" t="s">
        <v>826</v>
      </c>
      <c r="F198" s="17"/>
      <c r="G198" s="914"/>
      <c r="H198" s="913">
        <f>ROUND(IF(L198="Tax Rec",O198, IF(L198="Worksheet",P198, IF(L198="Ledger",Q198, G198))),0)</f>
        <v>0</v>
      </c>
      <c r="I198" s="896" t="s">
        <v>825</v>
      </c>
      <c r="J198" s="912"/>
      <c r="L198" s="911" t="str" cm="1">
        <f t="array" ref="L198">_xlfn.IFS(G198&lt;&gt;0,"Manual", O198&lt;&gt;0,"Tax Rec",P198&lt;&gt;0,"Worksheet",IFERROR(Q198&lt;&gt;0,0),"Ledger",TRUE,"Manual")</f>
        <v>Manual</v>
      </c>
      <c r="M198" s="910" t="s">
        <v>284</v>
      </c>
      <c r="O198" s="909">
        <f>SUMIF(SheetNamedRangesNames,"Tx_PAYGI",SheetNamedRangesValues)</f>
        <v>0</v>
      </c>
      <c r="P198" s="909">
        <f>SUMIF(SheetNamedRangesNames,"H35_PAYGIRaised",SheetNamedRangesValues)</f>
        <v>0</v>
      </c>
      <c r="Q198" s="908">
        <f>_xlfn.SINGLE(IF(ISBLANK(R198)=FALSE, R198,     IF(AND(ISBLANK(U198)=FALSE,ISBLANK(V198)=FALSE),SUMIFS(Tx_LedgerReport.TaxonomyBalancesDrCr,Tx_LedgerReport.TaxonomyNames,S198,Tx_LedgerReport.PPs,U198,Tx_LedgerReport.NonDeductibles,V198),         IF(ISBLANK(V198)=FALSE,SUMIFS(Tx_LedgerReport.TaxonomyBalancesDrCr,Tx_LedgerReport.TaxonomyNames,S198,Tx_LedgerReport.NonDeductibles,V198),     IF(ISBLANK(U198)=FALSE,SUMIFS(Tx_LedgerReport.TaxonomyBalancesDrCr,Tx_LedgerReport.TaxonomyNames,S198,Tx_LedgerReport.PPs,U198),            SUMIF(Tx_LedgerReport.TaxonomyNames,S198,Tx_LedgerReport.TaxonomyBalancesDrCr))))))       *       IF(W198=TRUE,-1,1)+T198</f>
        <v>0</v>
      </c>
      <c r="R198" s="907"/>
      <c r="S198" s="906"/>
      <c r="T198" s="906"/>
      <c r="U198" s="906"/>
      <c r="V198" s="906"/>
      <c r="W198" s="906"/>
      <c r="Y198" s="23"/>
      <c r="Z198" s="22"/>
    </row>
    <row r="199" spans="3:26" ht="7.5" customHeight="1">
      <c r="D199" s="905"/>
      <c r="E199" s="892"/>
      <c r="F199" s="17"/>
      <c r="G199" s="904"/>
      <c r="H199" s="903"/>
      <c r="I199" s="896"/>
      <c r="J199" s="243"/>
      <c r="R199" s="902"/>
      <c r="Y199" s="901"/>
      <c r="Z199" s="901"/>
    </row>
    <row r="200" spans="3:26" s="893" customFormat="1" ht="22.5" customHeight="1">
      <c r="C200" s="268"/>
      <c r="D200" s="900" t="s">
        <v>824</v>
      </c>
      <c r="E200" s="892" t="s">
        <v>823</v>
      </c>
      <c r="F200" s="899"/>
      <c r="G200" s="898"/>
      <c r="H200" s="897">
        <f>IF(H185&lt;0,H187-H189-H197-H198,H185+Tx_CTR.Sec102AAM-H189-Tx_CTR.TaxOffsetRef-Tx_CTR.PAYGI)</f>
        <v>0</v>
      </c>
      <c r="I200" s="896" t="s">
        <v>822</v>
      </c>
      <c r="J200" s="895"/>
      <c r="L200" s="894"/>
      <c r="Y200" s="23"/>
      <c r="Z200" s="22"/>
    </row>
    <row r="201" spans="3:26">
      <c r="D201" s="867"/>
      <c r="E201" s="892"/>
      <c r="F201" s="17"/>
      <c r="G201" s="17"/>
      <c r="H201" s="17"/>
      <c r="J201" s="17"/>
    </row>
    <row r="202" spans="3:26">
      <c r="D202" s="867"/>
      <c r="E202" s="892"/>
      <c r="F202" s="17"/>
      <c r="G202" s="17"/>
      <c r="H202" s="17"/>
      <c r="J202" s="17"/>
    </row>
    <row r="203" spans="3:26">
      <c r="D203" s="867"/>
      <c r="E203" s="892"/>
      <c r="F203" s="17"/>
      <c r="G203" s="17"/>
      <c r="H203" s="17"/>
      <c r="J203" s="17"/>
    </row>
  </sheetData>
  <sheetProtection sheet="1" formatCells="0" formatColumns="0" formatRows="0" insertColumns="0" insertRows="0" insertHyperlinks="0"/>
  <mergeCells count="8">
    <mergeCell ref="Y17:Z17"/>
    <mergeCell ref="L172:M172"/>
    <mergeCell ref="L64:M64"/>
    <mergeCell ref="G17:H17"/>
    <mergeCell ref="D8:J8"/>
    <mergeCell ref="D9:J9"/>
    <mergeCell ref="D10:J10"/>
    <mergeCell ref="D11:J11"/>
  </mergeCells>
  <conditionalFormatting sqref="G179">
    <cfRule type="expression" dxfId="425" priority="28">
      <formula>$H$179&lt;0</formula>
    </cfRule>
  </conditionalFormatting>
  <conditionalFormatting sqref="G181">
    <cfRule type="expression" dxfId="424" priority="26">
      <formula>$H$181&lt;0</formula>
    </cfRule>
  </conditionalFormatting>
  <conditionalFormatting sqref="G183">
    <cfRule type="expression" dxfId="423" priority="24">
      <formula>$H$183&lt;0</formula>
    </cfRule>
  </conditionalFormatting>
  <conditionalFormatting sqref="G185">
    <cfRule type="expression" dxfId="422" priority="22">
      <formula>$H$185&lt;0</formula>
    </cfRule>
  </conditionalFormatting>
  <conditionalFormatting sqref="H179">
    <cfRule type="expression" dxfId="421" priority="29">
      <formula>$H$179&lt;0</formula>
    </cfRule>
  </conditionalFormatting>
  <conditionalFormatting sqref="H181">
    <cfRule type="expression" dxfId="420" priority="27">
      <formula>$H$181&lt;0</formula>
    </cfRule>
  </conditionalFormatting>
  <conditionalFormatting sqref="H183">
    <cfRule type="expression" dxfId="419" priority="25">
      <formula>$H$183&lt;0</formula>
    </cfRule>
  </conditionalFormatting>
  <conditionalFormatting sqref="H185">
    <cfRule type="expression" dxfId="418" priority="23">
      <formula>$H$185&lt;0</formula>
    </cfRule>
  </conditionalFormatting>
  <conditionalFormatting sqref="J13">
    <cfRule type="notContainsBlanks" dxfId="417" priority="1">
      <formula>LEN(TRIM(J13))&gt;0</formula>
    </cfRule>
  </conditionalFormatting>
  <conditionalFormatting sqref="L24:L36">
    <cfRule type="expression" dxfId="416" priority="21">
      <formula>ISERROR((SEARCH("IFS",_xlfn.FORMULATEXT(L24),1)))&lt;&gt;TRUE</formula>
    </cfRule>
  </conditionalFormatting>
  <conditionalFormatting sqref="L42:L58">
    <cfRule type="expression" dxfId="415" priority="20">
      <formula>ISERROR((SEARCH("IFS",_xlfn.FORMULATEXT(L42),1)))&lt;&gt;TRUE</formula>
    </cfRule>
  </conditionalFormatting>
  <conditionalFormatting sqref="L72:L79">
    <cfRule type="expression" dxfId="414" priority="19">
      <formula>ISERROR((SEARCH("IFS",_xlfn.FORMULATEXT(L72),1)))&lt;&gt;TRUE</formula>
    </cfRule>
  </conditionalFormatting>
  <conditionalFormatting sqref="L84:L99">
    <cfRule type="expression" dxfId="413" priority="2">
      <formula>ISERROR((SEARCH("IFS",_xlfn.FORMULATEXT(L84),1)))&lt;&gt;TRUE</formula>
    </cfRule>
  </conditionalFormatting>
  <conditionalFormatting sqref="L110:L112">
    <cfRule type="expression" dxfId="412" priority="18">
      <formula>ISERROR((SEARCH("IFS",_xlfn.FORMULATEXT(L110),1)))&lt;&gt;TRUE</formula>
    </cfRule>
  </conditionalFormatting>
  <conditionalFormatting sqref="L114:L119">
    <cfRule type="expression" dxfId="411" priority="17">
      <formula>ISERROR((SEARCH("IFS",_xlfn.FORMULATEXT(L114),1)))&lt;&gt;TRUE</formula>
    </cfRule>
  </conditionalFormatting>
  <conditionalFormatting sqref="L124:L125">
    <cfRule type="expression" dxfId="410" priority="16">
      <formula>ISERROR((SEARCH("IFS",_xlfn.FORMULATEXT(L124),1)))&lt;&gt;TRUE</formula>
    </cfRule>
  </conditionalFormatting>
  <conditionalFormatting sqref="L127">
    <cfRule type="expression" dxfId="409" priority="15">
      <formula>ISERROR((SEARCH("IFS",_xlfn.FORMULATEXT(L127),1)))&lt;&gt;TRUE</formula>
    </cfRule>
  </conditionalFormatting>
  <conditionalFormatting sqref="L130:L131">
    <cfRule type="expression" dxfId="408" priority="14">
      <formula>ISERROR((SEARCH("IFS",_xlfn.FORMULATEXT(L130),1)))&lt;&gt;TRUE</formula>
    </cfRule>
  </conditionalFormatting>
  <conditionalFormatting sqref="L169:L170">
    <cfRule type="expression" dxfId="407" priority="13">
      <formula>ISERROR((SEARCH("IFS",_xlfn.FORMULATEXT(L169),1)))&lt;&gt;TRUE</formula>
    </cfRule>
  </conditionalFormatting>
  <conditionalFormatting sqref="L174:L175 L178 L180 L182 L184 L187 L190:L195 L197:L198">
    <cfRule type="expression" dxfId="406" priority="4">
      <formula>ISERROR((SEARCH("IFS",_xlfn.FORMULATEXT(L174),1)))&lt;&gt;TRUE</formula>
    </cfRule>
  </conditionalFormatting>
  <dataValidations count="9">
    <dataValidation type="list" allowBlank="1" showInputMessage="1" sqref="L190:L195 L197 L174:L175 L178 L180 L182 L184 L187 L84:L96" xr:uid="{A909094F-969A-4709-BE2D-F882BE4AAF1B}">
      <formula1>"Tax Rec, Manual"</formula1>
    </dataValidation>
    <dataValidation type="list" allowBlank="1" showInputMessage="1" sqref="L198 L72:L79 L97:L99" xr:uid="{487F218A-DEBE-4149-87A8-049A74276F9B}">
      <formula1>"Tax Rec, Worksheet, Manual"</formula1>
    </dataValidation>
    <dataValidation type="list" allowBlank="1" showInputMessage="1" showErrorMessage="1" sqref="H126" xr:uid="{5A4732B6-3BAA-4DED-A83B-AEB771C0C546}">
      <formula1>"A, B, C, D, E, F, G, H, I, J, K, L, M, N, O, P"</formula1>
    </dataValidation>
    <dataValidation type="list" allowBlank="1" showInputMessage="1" showErrorMessage="1" sqref="H113 H149 H146 G147 H68:H69" xr:uid="{366C2540-3EE6-4379-904A-ADEDDB272642}">
      <formula1>"Yes, No"</formula1>
    </dataValidation>
    <dataValidation type="list" allowBlank="1" showInputMessage="1" sqref="L31" xr:uid="{E8BA263D-81BA-4BD8-BC6A-6537E13661D5}">
      <formula1>"Summary sheet, Worksheet, Ledger, Manual"</formula1>
    </dataValidation>
    <dataValidation allowBlank="1" showInputMessage="1" sqref="M24:M36" xr:uid="{72255C41-8796-4434-93A7-21E2F6A62CCF}"/>
    <dataValidation type="list" allowBlank="1" showInputMessage="1" sqref="L26:L28 L32 L30 L36 L47 L45 L43 L110:L112 L117 L114 L130 L54:L56 L169:L170" xr:uid="{F59ADFFC-453D-49BE-BC60-0BDB763F7880}">
      <formula1>"Worksheet, Ledger, Manual"</formula1>
    </dataValidation>
    <dataValidation type="list" allowBlank="1" showInputMessage="1" sqref="L29 L33:L35 L42 L44 L46 L48:L53 L115:L116 L118:L119 L24:L25 L57:L58" xr:uid="{38F12BB9-39B5-40EF-8F8A-EA48BB4AAE36}">
      <formula1>"Ledger, Manual"</formula1>
    </dataValidation>
    <dataValidation type="list" allowBlank="1" showInputMessage="1" sqref="L131 L127 L124:L125" xr:uid="{035E07D0-268A-4D6C-8F01-BDA7CD9D9744}">
      <formula1>"Worksheet, Manual"</formula1>
    </dataValidation>
  </dataValidations>
  <hyperlinks>
    <hyperlink ref="M30" location="'CTR Company Tax Return'!Go_SumRangeDetail_M15_GrossInterestBank" tooltip="Go to 'M15 Interest' worksheet" display="}" xr:uid="{E94B7D8C-3EBA-411F-99E9-96C08FF6EA63}"/>
    <hyperlink ref="M26" location="'CTR Company Tax Return'!Go_SumRangeDetail_M35_SalesThisYr" tooltip="Go to 'M35 Sales &amp; Trading Account' worksheet" display="}" xr:uid="{165F2D94-8C7A-4E0A-9E63-B11E1C70449A}"/>
    <hyperlink ref="M55" location="'CTR Company Tax Return'!Go_SumRangeDetail_TRD1_MVHighestDedAmount" tooltip="Go to 'N45 MV Expenses' worksheet" display="}" xr:uid="{1C793489-6154-4F8B-941E-0588F3BBE7E2}"/>
    <hyperlink ref="M56" location="'CTR Company Tax Return'!Go_SumRangeDetail_N60_RM" tooltip="Go to 'N60 R &amp; M' worksheet" display="}" xr:uid="{9CDBB768-99B7-420C-B86B-69A957E6D96C}"/>
    <hyperlink ref="M130" location="'CTR Company Tax Return'!Go_SumRangeDetail_N80_Salaries" tooltip="Go to 'N80 Wages' worksheet" display="}" xr:uid="{63BED0B0-58D9-4064-B015-5500C4158DDA}"/>
    <hyperlink ref="M43" location="'CTR Company Tax Return'!Go_SumRangeDetail_M35_COGSThisYr" tooltip="Go to 'M35 Sales &amp; Trading' worksheet" display="}" xr:uid="{0C6DB85F-B8F7-47F1-AECE-E376EC10A88F}"/>
    <hyperlink ref="M36" location="'CTR Company Tax Return'!Go_SumRangeDetail_M20_OtherIncome" tooltip="Go to 'M20 Other Income' worksheet" display="}" xr:uid="{7BE13E67-1FF6-4FA1-BEC6-5A31F929212B}"/>
    <hyperlink ref="M31" location="'CTR Company Tax Return'!Go_SumRangeDetail_M26_TotalIncome" tooltip="Go to 'M26 Rental Prop Summary' worksheet" display="}" xr:uid="{A4E58204-736C-4843-857D-0D84FE4BE698}"/>
    <hyperlink ref="M32" location="'CTR Company Tax Return'!Go_SumRangeDetail_M11_TotalDividends" tooltip="Go to 'M11 Dividends' worksheet" display="}" xr:uid="{1B9D87C3-D418-414D-BE33-77A2521BB056}"/>
    <hyperlink ref="M47" location="'CTR Company Tax Return'!Go_SumRangeDetail_H20_OperatingLeases" tooltip="Go to 'H20 Leases' worksheet" display="}" xr:uid="{86EC2466-F6A3-4E52-8DA5-F2BAEEEC55B8}"/>
    <hyperlink ref="M110" location="'CTR Company Tax Return'!Go_SumRangeDetail_M35_OSThisYr" tooltip="Go to 'M35 Sales &amp; Trading Account' worksheet" display="}" xr:uid="{F7E2A398-14D6-435F-80FA-B9E2C2801BBF}"/>
    <hyperlink ref="M125" location="'CTR Company Tax Return'!Go_SumRangeDetail_CC5_FrankingAccBal" tooltip="Go to 'C05 Franking Accounts' worksheet" display="}" xr:uid="{2A5CB6F6-A027-4111-B7FD-1AC3C3268CB6}"/>
    <hyperlink ref="M124" location="'CTR Company Tax Return'!Go_SumRangeDetail_CC5_FrankingAccBal" tooltip="Go to 'C05 Franking Accounts' worksheet" display="}" xr:uid="{CF82525E-5A50-44D4-BE4A-AE91A7C8B7D3}"/>
    <hyperlink ref="M114" location="'CTR Company Tax Return'!Go_SumRangeDetail_F05_TradeDebtors" tooltip="Go to 'F05 Trade Debtors' worksheet" display="}" xr:uid="{F8602DB1-2415-426B-A693-82A6544D6750}"/>
    <hyperlink ref="M117" location="'CTR Company Tax Return'!Go_SumRangeDetail_H05_TradeCreditors" tooltip="Go to 'H05 Trade Creditors' worksheet" display="}" xr:uid="{86B8C397-B01F-44FB-9FF9-A50D037B39C9}"/>
    <hyperlink ref="M127" location="'CTR Company Tax Return'!Go_SumRangeDetail_CC28_SBEAggTurnover" tooltip="Go to 'C28 SBE Aggregated Turnover' worksheet" display="}" xr:uid="{F419399D-56C2-42DD-A00E-3B4F0FDD4451}"/>
    <hyperlink ref="M170" location="'CTR Company Tax Return'!Go_SumRangeDetail_CC15_CapLossCF" tooltip="Go to 'C15 Losses' worksheet" display="}" xr:uid="{47761F4E-1429-4FD5-91F0-05E20826A0AA}"/>
    <hyperlink ref="M131" location="'CTR Company Tax Return'!Go_SumRangeDetail_CC30_PayAssocPersons" tooltip="Go to 'C30 Payments to Associated Persons' worksheet" display="}" xr:uid="{52268AB6-9DE3-4856-8EA3-1B9B6DA40C18}"/>
    <hyperlink ref="M27" location="'CTR Company Tax Return'!Go_SumRangeDetail_M07_CashDistGross_Partnership" tooltip="Go to 'M07 Distributions - Simple' worksheet" display="}" xr:uid="{039F4F2A-FFC6-427F-954F-13EA75DA0103}"/>
    <hyperlink ref="M28" location="'CTR Company Tax Return'!Go_SumRangeDetail_M07_CashDistGross_Trust" tooltip="Go to 'M07 Distributions - Simple' worksheet" display="}" xr:uid="{434FD25E-2D52-466E-AAA1-BB156BCBCF9A}"/>
    <hyperlink ref="M169" location="'CTR Company Tax Return'!Go_SumRangeDetail_CC15_LossesCarryForward" tooltip="Go to 'C15 Losses' worksheet" display="}" xr:uid="{9B99593F-F13A-440E-AB6E-1FD3C9EAB34E}"/>
    <hyperlink ref="A20:J20" location="'CTR Company Tax Return'!Go_RollUp_01" tooltip="Show/Hide Cells" display="'Company Tax Return'!Go_RollUp_01" xr:uid="{DB45FA55-3416-4A0F-8380-71682A0DDC9A}"/>
    <hyperlink ref="A64:J64" location="'CTR Company Tax Return'!Go_RollUp_02" tooltip="Show/Hide Cells" display="'Company Tax Return'!Go_RollUp_02" xr:uid="{2D5DCBBA-893C-4175-961F-2FDFDDE05CCF}"/>
    <hyperlink ref="A106:J106" location="'CTR Company Tax Return'!Go_RollUp_03" tooltip="Show/Hide Cells" display="'Company Tax Return'!Go_RollUp_03" xr:uid="{70B80882-C739-4E49-ABD2-A9061FFDF46F}"/>
    <hyperlink ref="A141:J141" location="'CTR Company Tax Return'!Go_RollUp_04" tooltip="Show/Hide Cells" display="'Company Tax Return'!Go_RollUp_04" xr:uid="{31500E5C-8A6D-4461-833E-041CAC078072}"/>
    <hyperlink ref="A189:D189" location="'CTR Company Tax Return'!Go_RollUp_07" tooltip="Show/Hide" display="'Company Tax Return'!Go_RollUp_07" xr:uid="{728E7CF4-37E9-49A3-8652-F409D80F6763}"/>
    <hyperlink ref="M111" location="'CTR Company Tax Return'!Go_SumRangeDetail_M35_PurchasesThisYr" tooltip="Go to 'M35 Sales Trading Account' worksheet" display="'Company Tax Return'!Go_SumRangeDetail_M35_PurchasesThisYr" xr:uid="{F2EDF318-E61E-448D-9E16-768D51485260}"/>
    <hyperlink ref="M112" location="'CTR Company Tax Return'!Go_SumRangeDetail_M35_CSThisYr" tooltip="Go to 'M35 Sales Trading Account' worksheet" display="}" xr:uid="{60B656DF-222E-47A6-827C-68486C09FD7E}"/>
    <hyperlink ref="M72" location="'CTR Company Tax Return'!Go_SumRangeDetail_TR18_CurrentYrGains" tooltip="Go to 'M03 Capital Gains' worksheet" display="}" xr:uid="{62A61FF1-BEF2-4A33-AC03-E6AE082617F5}"/>
    <hyperlink ref="M97" location="'CTR Company Tax Return'!Go_SumRangeDetail_CC45_SkillsTrainingBoost" tooltip="Go to 'C45 Skills and Training Boost' worksheet" display="}" xr:uid="{437496F9-2B3D-4F58-AD02-40463439A1FC}"/>
    <hyperlink ref="M99" location="'CTR Company Tax Return'!Go_SumRangeDetail_CC15_Losses" tooltip="Go to 'C15 Losses' worksheet" display="}" xr:uid="{6679380C-A878-4891-A571-009ADE969C3D}"/>
    <hyperlink ref="M198" location="'CTR Company Tax Return'!Go_SumRangeDetail_H35_PAYGIRaised" tooltip="Go to 'H35 Provisions - Tax' worksheet" display="}" xr:uid="{F437401A-9B6C-492D-9393-CD0E8DC33B66}"/>
    <hyperlink ref="M45" location="'CTR Company Tax Return'!Go_SumRangeDetail_N75_SuperExpense" tooltip="Go to 'N75 Superannuation' worksheet" display="}" xr:uid="{00ECBD94-C560-49A4-9108-DB17BFF5CD6A}"/>
    <hyperlink ref="M54" location="'CTR Company Tax Return'!Go_SumRangeDetail_G10_AccountingDepreciation" tooltip="Go to 'Fixed Assets Reconciliation' worksheet" display="}" xr:uid="{28A14517-FE56-4468-A906-0903CFC9EE52}"/>
    <hyperlink ref="J3" location="'CTR Company Tax Return'!Go_Index" tooltip="Go to Record" display="Show Record" xr:uid="{C65080EF-8791-4BEB-B724-8F3E772A49A9}"/>
    <hyperlink ref="L172:M172" location="'CTR Company Tax Return'!Go_SumRangeDetail_Tx_TaxableIncome" tooltip="Go to 'C20 Tax Reconciliation' worksheet" display="Go to 'C20 Tax Rec'  }" xr:uid="{9524027C-0B9B-4BA1-A039-89034C1E9A43}"/>
    <hyperlink ref="M98" location="'CTR Company Tax Return'!Go_SumRangeDetail_CC38_EnergyIncentive" tooltip="Go to 'C38 Energy Incentive' worksheet" display="}" xr:uid="{21CAB84B-CC7D-45C0-82CF-00ABA836DE88}"/>
  </hyperlinks>
  <printOptions horizontalCentered="1"/>
  <pageMargins left="0.39370078740157483" right="0.39370078740157483" top="0.39370078740157483" bottom="0.39370078740157483" header="0" footer="0"/>
  <pageSetup paperSize="9" scale="31" orientation="landscape"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E3B66867-4DC2-488C-9F16-235DBAE05112}">
          <xm:f>'CTR Company Tax Return'!Tx_AllRet.ABNNotQuoted</xm:f>
        </x15:webExtension>
        <x15:webExtension appRef="{89C9752A-407F-46AE-8423-79417936AD8F}">
          <xm:f>'CTR Company Tax Return'!Tx_AllRet.AdjustValues</xm:f>
        </x15:webExtension>
        <x15:webExtension appRef="{C162765B-9EEA-4326-911C-E759D52471C8}">
          <xm:f>'CTR Company Tax Return'!Tx_AllRet.AggTurnover</xm:f>
        </x15:webExtension>
        <x15:webExtension appRef="{F8F93BE9-4636-4668-B542-416D0E3D4F4E}">
          <xm:f>'CTR Company Tax Return'!Tx_AllRet.AggTurnoverRange</xm:f>
        </x15:webExtension>
        <x15:webExtension appRef="{DD8836E0-751B-43D7-94D3-C52821F1B581}">
          <xm:f>'CTR Company Tax Return'!Tx_AllRet.AssesBalAdj</xm:f>
        </x15:webExtension>
        <x15:webExtension appRef="{951C0CB6-77B9-4B86-9BD7-03EF5D64DC45}">
          <xm:f>'CTR Company Tax Return'!Tx_AllRet.Assets</xm:f>
        </x15:webExtension>
        <x15:webExtension appRef="{6D3A3F43-B5F4-4D2E-804C-4CB4D0B6E5A6}">
          <xm:f>'CTR Company Tax Return'!Tx_AllRet.AssocPersons</xm:f>
        </x15:webExtension>
        <x15:webExtension appRef="{AE71024A-8689-40A5-91DB-4F565124DA7D}">
          <xm:f>'CTR Company Tax Return'!Tx_AllRet.BadDebt</xm:f>
        </x15:webExtension>
        <x15:webExtension appRef="{4DDA9275-4552-4102-9979-E9B67078EE0C}">
          <xm:f>'CTR Company Tax Return'!Tx_AllRet.CapitalLossesCF</xm:f>
        </x15:webExtension>
        <x15:webExtension appRef="{4B673AAD-E04F-4974-9549-C79C0663977C}">
          <xm:f>'CTR Company Tax Return'!Tx_AllRet.CGTEvent</xm:f>
        </x15:webExtension>
        <x15:webExtension appRef="{36EAED29-A22E-40D7-8963-DB8418540C4C}">
          <xm:f>'CTR Company Tax Return'!Tx_AllRet.CGTExempRollover</xm:f>
        </x15:webExtension>
        <x15:webExtension appRef="{376AC43C-C52B-44AA-A598-ABC0983176C7}">
          <xm:f>'CTR Company Tax Return'!Tx_AllRet.Contractor</xm:f>
        </x15:webExtension>
        <x15:webExtension appRef="{26F422CC-DA3B-4D83-A068-414B06F5589D}">
          <xm:f>'CTR Company Tax Return'!Tx_AllRet.COS</xm:f>
        </x15:webExtension>
        <x15:webExtension appRef="{8E1CE0C4-CD90-43F8-93F4-D62AE2D08615}">
          <xm:f>'CTR Company Tax Return'!Tx_AllRet.CS</xm:f>
        </x15:webExtension>
        <x15:webExtension appRef="{CB21DADD-385C-4B1F-B73A-2B8BD7C3534D}">
          <xm:f>'CTR Company Tax Return'!Tx_AllRet.CurrentAssets</xm:f>
        </x15:webExtension>
        <x15:webExtension appRef="{CDCB2B46-8B63-4511-A900-A7D836D817F8}">
          <xm:f>'CTR Company Tax Return'!Tx_AllRet.CurrentLiab</xm:f>
        </x15:webExtension>
        <x15:webExtension appRef="{F7D6EF90-E825-4C61-BF3C-E60AB0EE13A0}">
          <xm:f>'CTR Company Tax Return'!Tx_AllRet.DedBalAdj</xm:f>
        </x15:webExtension>
        <x15:webExtension appRef="{4DA64FDF-461D-4B31-BA99-553A30DB76EC}">
          <xm:f>'CTR Company Tax Return'!Tx_AllRet.Depreciation</xm:f>
        </x15:webExtension>
        <x15:webExtension appRef="{3B45C2F8-CAE3-4F12-ABB6-D68023A6307E}">
          <xm:f>'CTR Company Tax Return'!Tx_AllRet.EmployeeCont</xm:f>
        </x15:webExtension>
        <x15:webExtension appRef="{E7D10A60-38EA-4EF4-B367-91D1A85569B4}">
          <xm:f>'CTR Company Tax Return'!Tx_AllRet.ExpenseForResWithholding</xm:f>
        </x15:webExtension>
        <x15:webExtension appRef="{DE06A364-5F09-4870-A42E-727F8A3B30D0}">
          <xm:f>'CTR Company Tax Return'!Tx_AllRet.FrankingCredits</xm:f>
        </x15:webExtension>
        <x15:webExtension appRef="{98C6CD2A-DF7F-4C2D-A7EA-20DAD571E6AF}">
          <xm:f>'CTR Company Tax Return'!Tx_AllRet.GovtIndustryPaym</xm:f>
        </x15:webExtension>
        <x15:webExtension appRef="{D0C1A318-341F-4C27-A332-D68E1B727ACF}">
          <xm:f>'CTR Company Tax Return'!Tx_AllRet.IncomeForResWithholding</xm:f>
        </x15:webExtension>
        <x15:webExtension appRef="{9963133F-AF40-47E9-BA84-5BA9DF2068CB}">
          <xm:f>'CTR Company Tax Return'!Tx_AllRet.LandcareDed</xm:f>
        </x15:webExtension>
        <x15:webExtension appRef="{9DD4D3F0-3ABB-4B5C-B5F5-72EEB6AD6E48}">
          <xm:f>'CTR Company Tax Return'!Tx_AllRet.Liab</xm:f>
        </x15:webExtension>
        <x15:webExtension appRef="{4E82F663-696A-47E1-981C-0F22BFA1596E}">
          <xm:f>'CTR Company Tax Return'!Tx_AllRet.MVExp</xm:f>
        </x15:webExtension>
        <x15:webExtension appRef="{C33DE2AD-EC47-4724-963B-C11EFCF34C3F}">
          <xm:f>'CTR Company Tax Return'!Tx_AllRet.NetCapGain</xm:f>
        </x15:webExtension>
        <x15:webExtension appRef="{83CCFBBA-1FCD-40AB-8529-2489310BF5B1}">
          <xm:f>'CTR Company Tax Return'!Tx_AllRet.OS</xm:f>
        </x15:webExtension>
        <x15:webExtension appRef="{5192FBED-B646-45E0-B635-03D746A342C5}">
          <xm:f>'CTR Company Tax Return'!Tx_AllRet.OtherExpenses</xm:f>
        </x15:webExtension>
        <x15:webExtension appRef="{D6FD820A-1469-41B7-B9F0-6975095D4388}">
          <xm:f>'CTR Company Tax Return'!Tx_AllRet.ProjectPoolDed</xm:f>
        </x15:webExtension>
        <x15:webExtension appRef="{CA528EF5-90B8-4E27-9AFA-6BC60141D9D8}">
          <xm:f>'CTR Company Tax Return'!Tx_AllRet.Purchases</xm:f>
        </x15:webExtension>
        <x15:webExtension appRef="{15C73A84-7834-4BCC-BB21-E50FFD76F120}">
          <xm:f>'CTR Company Tax Return'!Tx_AllRet.RecalcEffectLife</xm:f>
        </x15:webExtension>
        <x15:webExtension appRef="{82C6AEB9-BD4E-4015-972F-0935B083F5F7}">
          <xm:f>'CTR Company Tax Return'!Tx_AllRet.RentExp</xm:f>
        </x15:webExtension>
        <x15:webExtension appRef="{32CF2A0D-EF83-4163-870F-5C6FF84E6444}">
          <xm:f>'CTR Company Tax Return'!Tx_AllRet.ReturnYear</xm:f>
        </x15:webExtension>
        <x15:webExtension appRef="{BCC30F8E-9143-42AC-8808-794336C3AB35}">
          <xm:f>'CTR Company Tax Return'!Tx_AllRet.RMExp</xm:f>
        </x15:webExtension>
        <x15:webExtension appRef="{92EA2A86-EE3B-45AB-8BE2-AFB0DBF372DC}">
          <xm:f>'CTR Company Tax Return'!Tx_AllRet.Sales</xm:f>
        </x15:webExtension>
        <x15:webExtension appRef="{0D9C6978-CB74-4321-A91A-5308791450D9}">
          <xm:f>'CTR Company Tax Return'!Tx_AllRet.Sec40880</xm:f>
        </x15:webExtension>
        <x15:webExtension appRef="{F17A6DA5-9A0C-4166-829C-C58C05EA35CA}">
          <xm:f>'CTR Company Tax Return'!Tx_AllRet.SelfAssEffectLife</xm:f>
        </x15:webExtension>
        <x15:webExtension appRef="{31701AE7-9343-4434-8CB7-105B4C15B3AA}">
          <xm:f>'CTR Company Tax Return'!Tx_AllRet.StockElection</xm:f>
        </x15:webExtension>
        <x15:webExtension appRef="{C3690D58-37AA-48D4-9F5F-86C12CC4D229}">
          <xm:f>'CTR Company Tax Return'!Tx_AllRet.SubsYrAcceleratedDepn</xm:f>
        </x15:webExtension>
        <x15:webExtension appRef="{FAD7AA0E-69D8-4077-A16F-B33DE116E2BE}">
          <xm:f>'CTR Company Tax Return'!Tx_AllRet.SuperExp</xm:f>
        </x15:webExtension>
        <x15:webExtension appRef="{9599C057-6304-4495-9E71-A772A1A30DFC}">
          <xm:f>'CTR Company Tax Return'!Tx_AllRet.TaxLossesCF</xm:f>
        </x15:webExtension>
        <x15:webExtension appRef="{6FC6155B-E895-45B2-B0A2-8E1052BCD8A6}">
          <xm:f>'CTR Company Tax Return'!Tx_AllRet.TermValueAssets</xm:f>
        </x15:webExtension>
        <x15:webExtension appRef="{6786D516-FA22-44A0-BAEE-FCEDAB271DA5}">
          <xm:f>'CTR Company Tax Return'!Tx_AllRet.TermValueIntangibles</xm:f>
        </x15:webExtension>
        <x15:webExtension appRef="{425A3E5B-8291-4B1F-9D0C-B6821D5729C0}">
          <xm:f>'CTR Company Tax Return'!Tx_AllRet.TFN</xm:f>
        </x15:webExtension>
        <x15:webExtension appRef="{2B93F125-C2A4-49C0-B9A8-6D85CCEEA985}">
          <xm:f>'CTR Company Tax Return'!Tx_AllRet.TradeCreditors</xm:f>
        </x15:webExtension>
        <x15:webExtension appRef="{BA084CEF-D642-4D04-9313-9A267506B45F}">
          <xm:f>'CTR Company Tax Return'!Tx_AllRet.TradeDebtors</xm:f>
        </x15:webExtension>
        <x15:webExtension appRef="{171FFCA8-F6CD-434E-9FB5-D65792A8420B}">
          <xm:f>'CTR Company Tax Return'!Tx_AllRet.Wages</xm:f>
        </x15:webExtension>
        <x15:webExtension appRef="{0C86E93B-BEF6-40DD-A6E6-25AE3C64BD23}">
          <xm:f>'CTR Company Tax Return'!Tx_CTR.AttForIncomeListed</xm:f>
        </x15:webExtension>
        <x15:webExtension appRef="{CCCDD261-0FB6-488B-84C9-8763779399B4}">
          <xm:f>'CTR Company Tax Return'!Tx_CTR.AttForIncomeTrust</xm:f>
        </x15:webExtension>
        <x15:webExtension appRef="{DA519EA8-E185-47F9-915B-C461B47B8191}">
          <xm:f>'CTR Company Tax Return'!Tx_CTR.AttForIncomeUnlisted</xm:f>
        </x15:webExtension>
        <x15:webExtension appRef="{FEF7B1DC-9080-499F-AF02-1BDB26C10A59}">
          <xm:f>'CTR Company Tax Return'!Tx_CTR.AUSFrankingCreditNZ</xm:f>
        </x15:webExtension>
        <x15:webExtension appRef="{B6FAB017-0257-48A0-A8DA-665A93CE8949}">
          <xm:f>'CTR Company Tax Return'!Tx_CTR.CapWorksDed</xm:f>
        </x15:webExtension>
        <x15:webExtension appRef="{BA425430-84BD-4FE1-B962-8285A5D173DD}">
          <xm:f>'CTR Company Tax Return'!Tx_CTR.CBFrankingAcct</xm:f>
        </x15:webExtension>
        <x15:webExtension appRef="{2548D139-7352-4E36-99F9-3CD389CCB325}">
          <xm:f>'CTR Company Tax Return'!Tx_CTR.CommDebtForgive</xm:f>
        </x15:webExtension>
        <x15:webExtension appRef="{67D4118D-7C1E-4BBF-AB80-06D0D856F839}">
          <xm:f>'CTR Company Tax Return'!Tx_CTR.CreditH2</xm:f>
        </x15:webExtension>
        <x15:webExtension appRef="{97A7693B-8DB5-409B-B657-0029A8384D17}">
          <xm:f>'CTR Company Tax Return'!Tx_CTR.CreditH3</xm:f>
        </x15:webExtension>
        <x15:webExtension appRef="{3EB95067-71F3-4FE6-A8EC-F3FF775534FD}">
          <xm:f>'CTR Company Tax Return'!Tx_CTR.CreditH4</xm:f>
        </x15:webExtension>
        <x15:webExtension appRef="{D72DB9FD-C4C7-436F-B07E-91E19B981DE8}">
          <xm:f>'CTR Company Tax Return'!Tx_CTR.CreditH5</xm:f>
        </x15:webExtension>
        <x15:webExtension appRef="{F5696A7F-CFD3-4E95-A352-2F8F5D6F6ACC}">
          <xm:f>'CTR Company Tax Return'!Tx_CTR.CreditH7</xm:f>
        </x15:webExtension>
        <x15:webExtension appRef="{15E594EA-9620-446D-9B15-32679FF21920}">
          <xm:f>'CTR Company Tax Return'!Tx_CTR.CreditH8</xm:f>
        </x15:webExtension>
        <x15:webExtension appRef="{71F649E4-C544-430C-B311-616ED3044F52}">
          <xm:f>'CTR Company Tax Return'!Tx_CTR.Currency</xm:f>
        </x15:webExtension>
        <x15:webExtension appRef="{91EC5930-5DF4-442E-ACC0-F2F2F2D4121C}">
          <xm:f>'CTR Company Tax Return'!Tx_CTR.CurrTranslationRate</xm:f>
        </x15:webExtension>
        <x15:webExtension appRef="{A05115B7-F79F-4F2A-B13F-27C3265521A2}">
          <xm:f>'CTR Company Tax Return'!Tx_CTR.Debt</xm:f>
        </x15:webExtension>
        <x15:webExtension appRef="{F75200AD-1672-4609-8037-0A1E782C87E9}">
          <xm:f>'CTR Company Tax Return'!Tx_CTR.DepreciationTax</xm:f>
        </x15:webExtension>
        <x15:webExtension appRef="{C6A7D6F4-BD51-480F-A862-B3DBC763A814}">
          <xm:f>'CTR Company Tax Return'!Tx_CTR.DividendIncome</xm:f>
        </x15:webExtension>
        <x15:webExtension appRef="{34B70654-ACFC-4DEA-AA23-B037636236C8}">
          <xm:f>'CTR Company Tax Return'!Tx_CTR.EnergyIncentive</xm:f>
        </x15:webExtension>
        <x15:webExtension appRef="{FBDC0BEF-2BD7-4830-8FA7-543C7051DD49}">
          <xm:f>'CTR Company Tax Return'!Tx_CTR.EnvProtectExp</xm:f>
        </x15:webExtension>
        <x15:webExtension appRef="{1D4A9E8C-42CE-41EA-87F5-46ED07590DBE}">
          <xm:f>'CTR Company Tax Return'!Tx_CTR.ExcessFrankingOffsets</xm:f>
        </x15:webExtension>
        <x15:webExtension appRef="{001DB67F-4808-4C10-9387-B505D900E750}">
          <xm:f>'CTR Company Tax Return'!Tx_CTR.ExemptIncome</xm:f>
        </x15:webExtension>
        <x15:webExtension appRef="{D5F55024-7B51-485C-A934-26AEA776CBB7}">
          <xm:f>'CTR Company Tax Return'!Tx_CTR.ForIncome</xm:f>
        </x15:webExtension>
        <x15:webExtension appRef="{F4021CE5-682B-4551-B372-EEB178036C10}">
          <xm:f>'CTR Company Tax Return'!Tx_CTR.ForIncomeGross</xm:f>
        </x15:webExtension>
        <x15:webExtension appRef="{8C3353C9-4494-4818-8A84-5741F6E3C44E}">
          <xm:f>'CTR Company Tax Return'!Tx_CTR.FrankingDefTaxOffset</xm:f>
        </x15:webExtension>
        <x15:webExtension appRef="{32D7530F-FEE1-42AB-8EDC-674FFC033E9E}">
          <xm:f>'CTR Company Tax Return'!Tx_CTR.ImmWriteOff</xm:f>
        </x15:webExtension>
        <x15:webExtension appRef="{A5A46AB9-9F04-4E94-ABDF-314AF6BD8F08}">
          <xm:f>'CTR Company Tax Return'!Tx_CTR.InterestExpAUS</xm:f>
        </x15:webExtension>
        <x15:webExtension appRef="{08F4542F-F041-4740-9077-FD9BA0BBDF3B}">
          <xm:f>'CTR Company Tax Return'!Tx_CTR.InterestExpOverseas</xm:f>
        </x15:webExtension>
        <x15:webExtension appRef="{700B5EAF-7C61-4A84-8F78-203201153F6C}">
          <xm:f>'CTR Company Tax Return'!Tx_CTR.InterestIncome</xm:f>
        </x15:webExtension>
        <x15:webExtension appRef="{918674AC-58D0-4F44-AC11-97A977829327}">
          <xm:f>'CTR Company Tax Return'!Tx_CTR.LeaseExpAUS</xm:f>
        </x15:webExtension>
        <x15:webExtension appRef="{65C9A689-70DC-4739-93FD-14AD49D6BC2F}">
          <xm:f>'CTR Company Tax Return'!Tx_CTR.LeaseExpOverseas</xm:f>
        </x15:webExtension>
        <x15:webExtension appRef="{4724CC15-AD5F-4C84-A5D9-799F435A328D}">
          <xm:f>'CTR Company Tax Return'!Tx_CTR.LoansToShareholders</xm:f>
        </x15:webExtension>
        <x15:webExtension appRef="{494866EA-FEE7-4330-BA35-2C345D06F274}">
          <xm:f>'CTR Company Tax Return'!Tx_CTR.MiningAssetDepn</xm:f>
        </x15:webExtension>
        <x15:webExtension appRef="{6C6C1284-2E3E-46C2-B54E-ABEFC6D6E6ED}">
          <xm:f>'CTR Company Tax Return'!Tx_CTR.MiningCapExp</xm:f>
        </x15:webExtension>
        <x15:webExtension appRef="{033CC209-0039-40F4-8E0F-2394FBA9EDE0}">
          <xm:f>'CTR Company Tax Return'!Tx_CTR.MiningIntangibleDepn</xm:f>
        </x15:webExtension>
        <x15:webExtension appRef="{C3C87E98-85E0-42A2-9585-98160B0DA66C}">
          <xm:f>'CTR Company Tax Return'!Tx_CTR.MISExp</xm:f>
        </x15:webExtension>
        <x15:webExtension appRef="{5E928CE9-CE2F-4577-ABDF-9B9D056ABC1B}">
          <xm:f>'CTR Company Tax Return'!Tx_CTR.MISIncome</xm:f>
        </x15:webExtension>
        <x15:webExtension appRef="{D1158C01-56EE-4CAF-8A28-0E4BF3751063}">
          <xm:f>'CTR Company Tax Return'!Tx_CTR.NDExp</xm:f>
        </x15:webExtension>
        <x15:webExtension appRef="{3DDEB57E-246B-4634-8079-E69FCFBEAA9E}">
          <xm:f>'CTR Company Tax Return'!Tx_CTR.NonDedExempIncomeExp</xm:f>
        </x15:webExtension>
        <x15:webExtension appRef="{80B6A7A4-43CF-4001-99F6-9ADABCD9EA8A}">
          <xm:f>'CTR Company Tax Return'!Tx_CTR.NonRefCFTaxOffsets</xm:f>
        </x15:webExtension>
        <x15:webExtension appRef="{07C9C1DA-FB3C-4637-A257-0ABE1ACC2D1E}">
          <xm:f>'CTR Company Tax Return'!Tx_CTR.NonRefNonCFTaxOffsets</xm:f>
        </x15:webExtension>
        <x15:webExtension appRef="{2B6F0803-C8A3-4666-AEEC-2031E0306C69}">
          <xm:f>'CTR Company Tax Return'!Tx_CTR.OBFrankingAcct</xm:f>
        </x15:webExtension>
        <x15:webExtension appRef="{972085B3-933E-4C80-9DD2-5E20539199CC}">
          <xm:f>'CTR Company Tax Return'!Tx_CTR.OTherAssIncome</xm:f>
        </x15:webExtension>
        <x15:webExtension appRef="{C946D4C8-4426-4B42-AF82-F46940B2E420}">
          <xm:f>'CTR Company Tax Return'!Tx_CTR.OtherDedExp</xm:f>
        </x15:webExtension>
        <x15:webExtension appRef="{DFCD5BBD-1E9D-4284-A1FE-1BE293416094}">
          <xm:f>'CTR Company Tax Return'!Tx_CTR.OtherIncome</xm:f>
        </x15:webExtension>
        <x15:webExtension appRef="{D9ECB2BB-A7A4-4C0B-AE0A-35D791C66853}">
          <xm:f>'CTR Company Tax Return'!Tx_CTR.OtherIncomeAssIncome</xm:f>
        </x15:webExtension>
        <x15:webExtension appRef="{36691E86-1D57-4DDD-9AF5-ED58D17F6615}">
          <xm:f>'CTR Company Tax Return'!Tx_CTR.PartnershipIncome</xm:f>
        </x15:webExtension>
        <x15:webExtension appRef="{6B03A7DC-B844-49E8-BA98-CEC2D65914CE}">
          <xm:f>'CTR Company Tax Return'!Tx_CTR.PAYGI</xm:f>
        </x15:webExtension>
        <x15:webExtension appRef="{C82695CE-C64D-458B-94C3-7D13E7062B84}">
          <xm:f>'CTR Company Tax Return'!Tx_CTR.RDExpAccounting</xm:f>
        </x15:webExtension>
        <x15:webExtension appRef="{EE2B2843-44A0-4E56-86B5-8A6A4C5F2587}">
          <xm:f>'CTR Company Tax Return'!Tx_CTR.RefTaxOffsets</xm:f>
        </x15:webExtension>
        <x15:webExtension appRef="{2CC70376-FF9D-4EFB-9A05-21F8A032942E}">
          <xm:f>'CTR Company Tax Return'!Tx_CTR.RentIncome</xm:f>
        </x15:webExtension>
        <x15:webExtension appRef="{3A1D44F6-8456-42EC-995B-2A47EFBEEC28}">
          <xm:f>'CTR Company Tax Return'!Tx_CTR.RoyaltyExpAUS</xm:f>
        </x15:webExtension>
        <x15:webExtension appRef="{79EA3667-A873-4908-A147-B299FDABD118}">
          <xm:f>'CTR Company Tax Return'!Tx_CTR.RoyaltyExpOverseas</xm:f>
        </x15:webExtension>
        <x15:webExtension appRef="{9438A651-4151-4982-887B-663182D6D832}">
          <xm:f>'CTR Company Tax Return'!Tx_CTR.Sec102AAM</xm:f>
        </x15:webExtension>
        <x15:webExtension appRef="{83CB8FF8-FB7E-4379-9EDB-2D12A9D94D94}">
          <xm:f>'CTR Company Tax Return'!Tx_CTR.Sec46FA</xm:f>
        </x15:webExtension>
        <x15:webExtension appRef="{7A7D5875-E2EC-42F5-8E9C-DB3AB6B499E6}">
          <xm:f>'CTR Company Tax Return'!Tx_CTR.TaxLosses</xm:f>
        </x15:webExtension>
        <x15:webExtension appRef="{2E6DD655-A0EA-4886-B133-0B60E568A082}">
          <xm:f>'CTR Company Tax Return'!Tx_CTR.TaxLossesTransferIn</xm:f>
        </x15:webExtension>
        <x15:webExtension appRef="{B235B3B6-D0D6-47D2-97A6-A7CBB517A090}">
          <xm:f>'CTR Company Tax Return'!Tx_CTR.TaxOffsetRef</xm:f>
        </x15:webExtension>
        <x15:webExtension appRef="{5D25EBCE-1A5A-4E4C-8451-06810E290390}">
          <xm:f>'CTR Company Tax Return'!Tx_CTR.TOFAExp</xm:f>
        </x15:webExtension>
        <x15:webExtension appRef="{3CF493DE-5751-40D3-8844-0C72D7DCBDE7}">
          <xm:f>'CTR Company Tax Return'!Tx_CTR.TOFAGains</xm:f>
        </x15:webExtension>
        <x15:webExtension appRef="{38D5C3F2-DDDB-4032-8E43-066078E01C86}">
          <xm:f>'CTR Company Tax Return'!Tx_CTR.TOFAGainsFinancialArrang</xm:f>
        </x15:webExtension>
        <x15:webExtension appRef="{A48A45C1-9752-483A-A1FA-ACEF0FC28E52}">
          <xm:f>'CTR Company Tax Return'!Tx_CTR.TOFAIncome</xm:f>
        </x15:webExtension>
        <x15:webExtension appRef="{672D2621-84DE-4EAC-BCE4-7B9113FB9516}">
          <xm:f>'CTR Company Tax Return'!Tx_CTR.TOFALosses</xm:f>
        </x15:webExtension>
        <x15:webExtension appRef="{F6AE0255-11B7-497E-804B-C317CE930321}">
          <xm:f>'CTR Company Tax Return'!Tx_CTR.TrainBoost</xm:f>
        </x15:webExtension>
        <x15:webExtension appRef="{44CBDF81-E2CF-4279-9C5C-3D327763A438}">
          <xm:f>'CTR Company Tax Return'!Tx_CTR.TrustIncome</xm:f>
        </x15:webExtension>
        <x15:webExtension appRef="{3C040319-DF53-4571-AB65-AFF4323D8110}">
          <xm:f>'CTR Company Tax Return'!Tx_CTR.UnrealisedGains</xm:f>
        </x15:webExtension>
        <x15:webExtension appRef="{F52BCBE2-A4A8-4B74-A7C8-37E06DBD6E1D}">
          <xm:f>'CTR Company Tax Return'!Tx_CTR.UnrealisedLosses</xm:f>
        </x15:webExtension>
      </x15:webExtens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5E86F6-F667-4959-B8B9-F029F1C4FCDE}">
  <sheetPr>
    <pageSetUpPr autoPageBreaks="0" fitToPage="1"/>
  </sheetPr>
  <dimension ref="A1:R225"/>
  <sheetViews>
    <sheetView showGridLines="0" topLeftCell="A2" zoomScaleNormal="100" workbookViewId="0">
      <selection activeCell="A2" sqref="A2"/>
    </sheetView>
  </sheetViews>
  <sheetFormatPr defaultRowHeight="15"/>
  <cols>
    <col min="1" max="1" width="4.140625" style="65" customWidth="1"/>
    <col min="2" max="2" width="1.42578125" style="65" customWidth="1"/>
    <col min="3" max="3" width="15.5703125" style="65" customWidth="1"/>
    <col min="4" max="4" width="32.42578125" style="65" customWidth="1"/>
    <col min="5" max="5" width="15.7109375" style="65" customWidth="1"/>
    <col min="6" max="6" width="4.28515625" style="65" customWidth="1"/>
    <col min="7" max="9" width="15.7109375" style="65" customWidth="1"/>
    <col min="10" max="10" width="1.42578125" style="65" customWidth="1"/>
    <col min="11" max="11" width="3.5703125" style="65" customWidth="1"/>
    <col min="12" max="12" width="15.5703125" style="1050" customWidth="1"/>
    <col min="13" max="13" width="15.5703125" style="133" customWidth="1"/>
    <col min="14" max="16384" width="9.140625" style="65"/>
  </cols>
  <sheetData>
    <row r="1" spans="1:18" s="133" customFormat="1" ht="17.25" hidden="1" customHeight="1">
      <c r="G1" s="268" t="s">
        <v>179</v>
      </c>
      <c r="H1" s="133" t="s">
        <v>691</v>
      </c>
      <c r="L1" s="268" t="s">
        <v>37</v>
      </c>
      <c r="M1" s="133" t="str">
        <f>IFERROR(Jurisdiction,"AU")</f>
        <v>AU</v>
      </c>
    </row>
    <row r="2" spans="1:18" ht="7.5" customHeight="1">
      <c r="C2" s="417"/>
      <c r="D2" s="417"/>
      <c r="E2" s="417"/>
      <c r="F2" s="417"/>
      <c r="G2" s="417"/>
    </row>
    <row r="3" spans="1:18" s="17" customFormat="1" ht="24.75" customHeight="1">
      <c r="A3" s="118"/>
      <c r="B3" s="563"/>
      <c r="C3" s="735" t="str">
        <f>_xlfn.XLOOKUP("41d18e58-1c5c-4ccf-9b30-0be03ce31a1e",RecordInfo.SheetId,RecordInfo.RecordTitle)</f>
        <v>Losses</v>
      </c>
      <c r="D3" s="128"/>
      <c r="E3" s="128"/>
      <c r="H3"/>
      <c r="I3" s="737" t="s">
        <v>174</v>
      </c>
      <c r="L3" s="1050"/>
      <c r="M3" s="18"/>
      <c r="O3" s="65"/>
      <c r="Q3" s="65"/>
      <c r="R3" s="65"/>
    </row>
    <row r="4" spans="1:18" s="17" customFormat="1" ht="22.5" customHeight="1" thickBot="1">
      <c r="A4" s="118"/>
      <c r="B4" s="563"/>
      <c r="C4" s="734" t="str">
        <f>_xlfn.TEXTJOIN(" ",1,IFERROR(_xlfn.SINGLE(Cl_Name),"Client Name"),IF(IFERROR(_xlfn.SINGLE(Cl_Code),"")="","","("&amp;_xlfn.SINGLE(Cl_Code)&amp;")"))</f>
        <v>Springrange Holdings Pty Ltd (MuM001)</v>
      </c>
      <c r="D4" s="733"/>
      <c r="E4" s="304"/>
      <c r="F4" s="304"/>
      <c r="G4" s="304"/>
      <c r="H4" s="304"/>
      <c r="I4" s="1077" t="str">
        <f>IF(ISBLANK(Tm_TBAccount),_xlfn.TEXTJOIN("-",1,H6:I6),TEXT(Tm_TBAccount,"0"))</f>
        <v/>
      </c>
      <c r="L4" s="1075"/>
      <c r="M4" s="18"/>
      <c r="Q4" s="65"/>
      <c r="R4" s="65"/>
    </row>
    <row r="5" spans="1:18" s="17" customFormat="1" ht="22.5" customHeight="1">
      <c r="A5" s="118"/>
      <c r="B5" s="563"/>
      <c r="C5" s="1433">
        <f>IFERROR(_xlfn.SINGLE(PeriodEndDate),DATE(1901,1,1))</f>
        <v>45473</v>
      </c>
      <c r="D5" s="1434"/>
      <c r="E5" s="731"/>
      <c r="F5" s="731"/>
      <c r="G5" s="731"/>
      <c r="H5" s="731"/>
      <c r="I5" s="65"/>
      <c r="K5" s="65"/>
      <c r="L5" s="1076"/>
      <c r="M5" s="729"/>
    </row>
    <row r="6" spans="1:18" ht="17.25" hidden="1" customHeight="1">
      <c r="B6" s="708"/>
      <c r="G6" s="727"/>
      <c r="H6" s="727"/>
      <c r="I6" s="727"/>
    </row>
    <row r="7" spans="1:18" s="17" customFormat="1" ht="7.5" customHeight="1">
      <c r="A7" s="118"/>
      <c r="B7" s="726"/>
      <c r="C7" s="117"/>
      <c r="D7" s="117"/>
      <c r="E7" s="117"/>
      <c r="F7" s="117"/>
      <c r="G7" s="90"/>
      <c r="H7" s="90"/>
      <c r="I7" s="90"/>
      <c r="J7" s="90"/>
      <c r="L7" s="1075"/>
      <c r="M7" s="18"/>
    </row>
    <row r="8" spans="1:18" s="17" customFormat="1" ht="7.15" customHeight="1">
      <c r="B8" s="563"/>
      <c r="L8" s="1075"/>
      <c r="M8" s="18"/>
    </row>
    <row r="9" spans="1:18" ht="17.25" customHeight="1">
      <c r="B9" s="563"/>
      <c r="C9" s="1435" t="s">
        <v>1331</v>
      </c>
      <c r="D9" s="1435"/>
      <c r="E9" s="1435"/>
      <c r="F9" s="1435"/>
      <c r="G9" s="1435"/>
      <c r="H9" s="1435"/>
      <c r="I9" s="725"/>
      <c r="J9" s="725"/>
      <c r="K9" s="725"/>
      <c r="L9" s="1074"/>
      <c r="M9" s="1073"/>
      <c r="N9" s="725"/>
    </row>
    <row r="10" spans="1:18" ht="17.25" customHeight="1">
      <c r="C10" s="1436" t="s">
        <v>1330</v>
      </c>
      <c r="D10" s="1436"/>
      <c r="E10" s="1436"/>
      <c r="F10" s="1436"/>
      <c r="G10" s="1436"/>
      <c r="H10" s="1436"/>
      <c r="I10" s="1436"/>
      <c r="J10" s="355"/>
    </row>
    <row r="11" spans="1:18" ht="17.25" customHeight="1">
      <c r="C11" s="1437" t="s">
        <v>1329</v>
      </c>
      <c r="D11" s="1437"/>
      <c r="E11" s="1437"/>
      <c r="F11" s="1437"/>
      <c r="G11" s="1437"/>
      <c r="H11" s="1437"/>
      <c r="I11" s="1437"/>
      <c r="J11" s="1021"/>
    </row>
    <row r="12" spans="1:18" ht="22.5" customHeight="1">
      <c r="C12" s="1072"/>
      <c r="D12" s="1072"/>
      <c r="E12" s="1072"/>
      <c r="F12" s="1072"/>
      <c r="G12" s="1072"/>
      <c r="H12" s="1072"/>
      <c r="I12" s="1072"/>
      <c r="J12" s="1021"/>
    </row>
    <row r="13" spans="1:18" ht="22.5" customHeight="1">
      <c r="A13" s="1070" t="str">
        <f>IF(SUBTOTAL(103,A14),"-","+")</f>
        <v>-</v>
      </c>
      <c r="B13" s="1429" t="s">
        <v>1328</v>
      </c>
      <c r="C13" s="1429"/>
      <c r="D13" s="1429"/>
      <c r="E13" s="709" t="str">
        <f>IF((COUNTA(C18:H26,SingleOB_01)=0),"No Data","Contains Data")</f>
        <v>No Data</v>
      </c>
      <c r="H13" s="355"/>
      <c r="I13" s="355"/>
    </row>
    <row r="14" spans="1:18" ht="7.5" customHeight="1">
      <c r="A14" s="65" t="s">
        <v>58</v>
      </c>
      <c r="B14" s="362"/>
      <c r="C14" s="165"/>
      <c r="D14" s="165"/>
      <c r="E14" s="165"/>
      <c r="F14" s="165"/>
      <c r="G14" s="165"/>
      <c r="H14" s="165"/>
      <c r="I14" s="165"/>
      <c r="J14" s="361"/>
    </row>
    <row r="15" spans="1:18" ht="38.25" customHeight="1">
      <c r="B15" s="148"/>
      <c r="C15" s="406" t="s">
        <v>361</v>
      </c>
      <c r="D15" s="1428" t="s">
        <v>404</v>
      </c>
      <c r="E15" s="1428"/>
      <c r="F15" s="1428"/>
      <c r="G15" s="405" t="s">
        <v>358</v>
      </c>
      <c r="H15" s="405" t="s">
        <v>1323</v>
      </c>
      <c r="I15" s="234" t="s">
        <v>1322</v>
      </c>
      <c r="J15" s="143"/>
      <c r="L15" s="1412" t="s">
        <v>155</v>
      </c>
      <c r="M15" s="1413"/>
    </row>
    <row r="16" spans="1:18" ht="7.5" customHeight="1">
      <c r="B16" s="148"/>
      <c r="C16" s="32"/>
      <c r="D16" s="49"/>
      <c r="E16" s="49"/>
      <c r="F16" s="49"/>
      <c r="G16" s="32"/>
      <c r="H16" s="32"/>
      <c r="I16" s="32"/>
      <c r="J16" s="143"/>
    </row>
    <row r="17" spans="2:13" ht="17.25" customHeight="1">
      <c r="B17" s="148"/>
      <c r="D17" s="1071"/>
      <c r="E17" s="1071"/>
      <c r="F17" s="286"/>
      <c r="H17" s="1069" t="s">
        <v>514</v>
      </c>
      <c r="I17" s="1068"/>
      <c r="J17" s="143"/>
      <c r="L17" s="1054"/>
      <c r="M17" s="1053"/>
    </row>
    <row r="18" spans="2:13" ht="17.25" customHeight="1">
      <c r="B18" s="148"/>
      <c r="C18" s="1067"/>
      <c r="D18" s="1424"/>
      <c r="E18" s="1425"/>
      <c r="F18" s="1426"/>
      <c r="G18" s="207"/>
      <c r="H18" s="207"/>
      <c r="I18" s="221">
        <f t="shared" ref="I18:I26" si="0">G18-H18</f>
        <v>0</v>
      </c>
      <c r="J18" s="143"/>
      <c r="L18" s="1054"/>
      <c r="M18" s="1053"/>
    </row>
    <row r="19" spans="2:13" ht="17.25" customHeight="1">
      <c r="B19" s="148"/>
      <c r="C19" s="1067"/>
      <c r="D19" s="1424"/>
      <c r="E19" s="1425"/>
      <c r="F19" s="1426"/>
      <c r="G19" s="207"/>
      <c r="H19" s="207"/>
      <c r="I19" s="221">
        <f t="shared" si="0"/>
        <v>0</v>
      </c>
      <c r="J19" s="143"/>
      <c r="L19" s="1054"/>
      <c r="M19" s="1053"/>
    </row>
    <row r="20" spans="2:13" ht="17.25" customHeight="1">
      <c r="B20" s="148"/>
      <c r="C20" s="1067"/>
      <c r="D20" s="1424"/>
      <c r="E20" s="1425"/>
      <c r="F20" s="1426"/>
      <c r="G20" s="207"/>
      <c r="H20" s="207"/>
      <c r="I20" s="221">
        <f t="shared" si="0"/>
        <v>0</v>
      </c>
      <c r="J20" s="143"/>
      <c r="L20" s="1054"/>
      <c r="M20" s="1053"/>
    </row>
    <row r="21" spans="2:13" ht="17.25" customHeight="1">
      <c r="B21" s="148"/>
      <c r="C21" s="1067"/>
      <c r="D21" s="1424"/>
      <c r="E21" s="1425"/>
      <c r="F21" s="1426"/>
      <c r="G21" s="207"/>
      <c r="H21" s="207"/>
      <c r="I21" s="221">
        <f t="shared" si="0"/>
        <v>0</v>
      </c>
      <c r="J21" s="143"/>
      <c r="L21" s="1054"/>
      <c r="M21" s="1053"/>
    </row>
    <row r="22" spans="2:13" ht="17.25" customHeight="1">
      <c r="B22" s="148"/>
      <c r="C22" s="1067"/>
      <c r="D22" s="1424"/>
      <c r="E22" s="1425"/>
      <c r="F22" s="1426"/>
      <c r="G22" s="207"/>
      <c r="H22" s="207"/>
      <c r="I22" s="221">
        <f t="shared" si="0"/>
        <v>0</v>
      </c>
      <c r="J22" s="143"/>
      <c r="L22" s="1054"/>
      <c r="M22" s="1053"/>
    </row>
    <row r="23" spans="2:13" ht="17.25" customHeight="1">
      <c r="B23" s="148"/>
      <c r="C23" s="1067"/>
      <c r="D23" s="1424"/>
      <c r="E23" s="1425"/>
      <c r="F23" s="1426"/>
      <c r="G23" s="207"/>
      <c r="H23" s="207"/>
      <c r="I23" s="221">
        <f t="shared" si="0"/>
        <v>0</v>
      </c>
      <c r="J23" s="143"/>
      <c r="L23" s="1054"/>
      <c r="M23" s="1053"/>
    </row>
    <row r="24" spans="2:13" ht="17.25" customHeight="1">
      <c r="B24" s="148"/>
      <c r="C24" s="1067"/>
      <c r="D24" s="1424"/>
      <c r="E24" s="1425"/>
      <c r="F24" s="1426"/>
      <c r="G24" s="207"/>
      <c r="H24" s="207"/>
      <c r="I24" s="221">
        <f t="shared" si="0"/>
        <v>0</v>
      </c>
      <c r="J24" s="143"/>
      <c r="L24" s="1054"/>
      <c r="M24" s="1053"/>
    </row>
    <row r="25" spans="2:13" ht="17.25" customHeight="1">
      <c r="B25" s="148"/>
      <c r="C25" s="1067"/>
      <c r="D25" s="1424"/>
      <c r="E25" s="1425"/>
      <c r="F25" s="1426"/>
      <c r="G25" s="207"/>
      <c r="H25" s="207"/>
      <c r="I25" s="221">
        <f t="shared" si="0"/>
        <v>0</v>
      </c>
      <c r="J25" s="143"/>
      <c r="L25" s="1054"/>
      <c r="M25" s="1053"/>
    </row>
    <row r="26" spans="2:13" ht="17.25" customHeight="1">
      <c r="B26" s="148"/>
      <c r="C26" s="1067"/>
      <c r="D26" s="1424"/>
      <c r="E26" s="1425"/>
      <c r="F26" s="1426"/>
      <c r="G26" s="207"/>
      <c r="H26" s="207"/>
      <c r="I26" s="221">
        <f t="shared" si="0"/>
        <v>0</v>
      </c>
      <c r="J26" s="143"/>
      <c r="L26" s="1054"/>
      <c r="M26" s="1053"/>
    </row>
    <row r="27" spans="2:13" ht="17.25" customHeight="1">
      <c r="B27" s="148"/>
      <c r="C27" s="1066"/>
      <c r="D27" s="1065"/>
      <c r="E27" s="867"/>
      <c r="F27" s="1064"/>
      <c r="G27" s="1063">
        <f>SUM(G17:G26)</f>
        <v>0</v>
      </c>
      <c r="H27" s="1063">
        <f>SUM(H17:H26)</f>
        <v>0</v>
      </c>
      <c r="I27" s="1063">
        <f>SUM(I17:I26)</f>
        <v>0</v>
      </c>
      <c r="J27" s="143"/>
      <c r="L27" s="1062"/>
      <c r="M27" s="1061"/>
    </row>
    <row r="28" spans="2:13" ht="7.5" customHeight="1">
      <c r="B28" s="148"/>
      <c r="J28" s="143"/>
    </row>
    <row r="29" spans="2:13" ht="17.25" customHeight="1">
      <c r="B29" s="148"/>
      <c r="C29" s="1427" t="s">
        <v>1327</v>
      </c>
      <c r="D29" s="1427"/>
      <c r="E29" s="454"/>
      <c r="F29" s="341"/>
      <c r="G29" s="1060">
        <f>G27+SingleOB_01</f>
        <v>0</v>
      </c>
      <c r="J29" s="143"/>
      <c r="L29" s="1054"/>
      <c r="M29" s="1053"/>
    </row>
    <row r="30" spans="2:13" ht="17.25" customHeight="1">
      <c r="B30" s="148"/>
      <c r="C30" s="1427" t="s">
        <v>1326</v>
      </c>
      <c r="D30" s="1427"/>
      <c r="F30" s="1059" t="s">
        <v>284</v>
      </c>
      <c r="G30" s="1058">
        <f>IF(G29="","",H27)</f>
        <v>0</v>
      </c>
      <c r="H30" s="1057" t="str">
        <f>IF(ROUND(G30,0)&gt;ROUND(_xlfn.SINGLE(SUMIF(SheetNamedRangesNames,"CC20_LossesRecouped",SheetNamedRangesValues)),0)," Loss recouped exceeds available income","")</f>
        <v/>
      </c>
      <c r="J30" s="143"/>
      <c r="L30" s="1054"/>
      <c r="M30" s="1053"/>
    </row>
    <row r="31" spans="2:13" ht="17.25" customHeight="1">
      <c r="B31" s="148"/>
      <c r="C31" s="1423" t="s">
        <v>1325</v>
      </c>
      <c r="D31" s="1423"/>
      <c r="E31" s="1056"/>
      <c r="G31" s="1055">
        <f>IF(G29="","",G29-G30)</f>
        <v>0</v>
      </c>
      <c r="H31" s="65" t="str">
        <f>IF(CC15_LossCF=I27,"","Warning - Capital Losses Carried Forward doent match Closing Balance")</f>
        <v/>
      </c>
      <c r="J31" s="143"/>
      <c r="L31" s="1054"/>
      <c r="M31" s="1053"/>
    </row>
    <row r="32" spans="2:13" ht="7.5" customHeight="1">
      <c r="B32" s="276"/>
      <c r="C32" s="1052"/>
      <c r="D32" s="89"/>
      <c r="E32" s="89"/>
      <c r="F32" s="89"/>
      <c r="G32" s="275"/>
      <c r="H32" s="1051"/>
      <c r="I32" s="1051"/>
      <c r="J32" s="274"/>
    </row>
    <row r="33" spans="1:13" ht="22.5" customHeight="1"/>
    <row r="34" spans="1:13" ht="22.5" customHeight="1">
      <c r="A34" s="1070" t="str">
        <f>IF(SUBTOTAL(103,A35),"-","+")</f>
        <v>-</v>
      </c>
      <c r="B34" s="1429" t="s">
        <v>1324</v>
      </c>
      <c r="C34" s="1429"/>
      <c r="D34" s="1429"/>
      <c r="E34" s="709" t="str">
        <f>IF((COUNTA(C39:H47,SingleOB_02)=0),"No Data","Contains Data")</f>
        <v>No Data</v>
      </c>
      <c r="G34" s="355"/>
      <c r="H34" s="355"/>
      <c r="I34" s="355"/>
    </row>
    <row r="35" spans="1:13" ht="7.5" customHeight="1">
      <c r="A35" s="65" t="s">
        <v>58</v>
      </c>
      <c r="B35" s="362"/>
      <c r="C35" s="1430"/>
      <c r="D35" s="1431"/>
      <c r="E35" s="1431"/>
      <c r="F35" s="1431"/>
      <c r="G35" s="1431"/>
      <c r="H35" s="1431"/>
      <c r="I35" s="1431"/>
      <c r="J35" s="361"/>
    </row>
    <row r="36" spans="1:13" ht="38.25" customHeight="1">
      <c r="B36" s="148"/>
      <c r="C36" s="406" t="s">
        <v>361</v>
      </c>
      <c r="D36" s="1428" t="s">
        <v>404</v>
      </c>
      <c r="E36" s="1428"/>
      <c r="F36" s="1428"/>
      <c r="G36" s="405" t="s">
        <v>358</v>
      </c>
      <c r="H36" s="405" t="s">
        <v>1323</v>
      </c>
      <c r="I36" s="234" t="s">
        <v>1322</v>
      </c>
      <c r="J36" s="143"/>
      <c r="L36" s="1432" t="str">
        <f>IF(A13="-","","Notes/Hyperlinks")</f>
        <v/>
      </c>
      <c r="M36" s="1432"/>
    </row>
    <row r="37" spans="1:13" ht="7.5" customHeight="1">
      <c r="B37" s="148"/>
      <c r="C37" s="32"/>
      <c r="D37" s="49"/>
      <c r="E37" s="49"/>
      <c r="F37" s="49"/>
      <c r="G37" s="32"/>
      <c r="H37" s="32"/>
      <c r="I37" s="32"/>
      <c r="J37" s="143"/>
    </row>
    <row r="38" spans="1:13" ht="17.25" customHeight="1">
      <c r="B38" s="148"/>
      <c r="D38" s="1065"/>
      <c r="E38" s="1065"/>
      <c r="H38" s="1069" t="s">
        <v>514</v>
      </c>
      <c r="I38" s="1068"/>
      <c r="J38" s="143"/>
      <c r="L38" s="1054"/>
      <c r="M38" s="1053"/>
    </row>
    <row r="39" spans="1:13" ht="17.25" customHeight="1">
      <c r="B39" s="148"/>
      <c r="C39" s="1067"/>
      <c r="D39" s="1424"/>
      <c r="E39" s="1425"/>
      <c r="F39" s="1426"/>
      <c r="G39" s="207"/>
      <c r="H39" s="207"/>
      <c r="I39" s="221">
        <f t="shared" ref="I39:I47" si="1">G39-H39</f>
        <v>0</v>
      </c>
      <c r="J39" s="143"/>
      <c r="L39" s="1054"/>
      <c r="M39" s="1053"/>
    </row>
    <row r="40" spans="1:13" ht="17.25" customHeight="1">
      <c r="B40" s="148"/>
      <c r="C40" s="1067"/>
      <c r="D40" s="1424"/>
      <c r="E40" s="1425"/>
      <c r="F40" s="1426"/>
      <c r="G40" s="207"/>
      <c r="H40" s="207"/>
      <c r="I40" s="221">
        <f t="shared" si="1"/>
        <v>0</v>
      </c>
      <c r="J40" s="143"/>
      <c r="L40" s="1054"/>
      <c r="M40" s="1053"/>
    </row>
    <row r="41" spans="1:13" ht="17.25" customHeight="1">
      <c r="B41" s="148"/>
      <c r="C41" s="1067"/>
      <c r="D41" s="1424"/>
      <c r="E41" s="1425"/>
      <c r="F41" s="1426"/>
      <c r="G41" s="207"/>
      <c r="H41" s="207"/>
      <c r="I41" s="221">
        <f t="shared" si="1"/>
        <v>0</v>
      </c>
      <c r="J41" s="143"/>
      <c r="L41" s="1054"/>
      <c r="M41" s="1053"/>
    </row>
    <row r="42" spans="1:13" ht="17.25" customHeight="1">
      <c r="B42" s="148"/>
      <c r="C42" s="1067"/>
      <c r="D42" s="1424"/>
      <c r="E42" s="1425"/>
      <c r="F42" s="1426"/>
      <c r="G42" s="207"/>
      <c r="H42" s="207"/>
      <c r="I42" s="221">
        <f t="shared" si="1"/>
        <v>0</v>
      </c>
      <c r="J42" s="143"/>
      <c r="L42" s="1054"/>
      <c r="M42" s="1053"/>
    </row>
    <row r="43" spans="1:13" ht="17.25" customHeight="1">
      <c r="B43" s="148"/>
      <c r="C43" s="1067"/>
      <c r="D43" s="1424"/>
      <c r="E43" s="1425"/>
      <c r="F43" s="1426"/>
      <c r="G43" s="207"/>
      <c r="H43" s="207"/>
      <c r="I43" s="221">
        <f t="shared" si="1"/>
        <v>0</v>
      </c>
      <c r="J43" s="143"/>
      <c r="L43" s="1054"/>
      <c r="M43" s="1053"/>
    </row>
    <row r="44" spans="1:13" ht="17.25" customHeight="1">
      <c r="B44" s="148"/>
      <c r="C44" s="1067"/>
      <c r="D44" s="1424"/>
      <c r="E44" s="1425"/>
      <c r="F44" s="1426"/>
      <c r="G44" s="207"/>
      <c r="H44" s="207"/>
      <c r="I44" s="221">
        <f t="shared" si="1"/>
        <v>0</v>
      </c>
      <c r="J44" s="143"/>
      <c r="L44" s="1054"/>
      <c r="M44" s="1053"/>
    </row>
    <row r="45" spans="1:13" ht="17.25" customHeight="1">
      <c r="B45" s="148"/>
      <c r="C45" s="1067"/>
      <c r="D45" s="1424"/>
      <c r="E45" s="1425"/>
      <c r="F45" s="1426"/>
      <c r="G45" s="207"/>
      <c r="H45" s="207"/>
      <c r="I45" s="221">
        <f t="shared" si="1"/>
        <v>0</v>
      </c>
      <c r="J45" s="143"/>
      <c r="L45" s="1054"/>
      <c r="M45" s="1053"/>
    </row>
    <row r="46" spans="1:13" ht="17.25" customHeight="1">
      <c r="B46" s="148"/>
      <c r="C46" s="1067"/>
      <c r="D46" s="1424"/>
      <c r="E46" s="1425"/>
      <c r="F46" s="1426"/>
      <c r="G46" s="207"/>
      <c r="H46" s="207"/>
      <c r="I46" s="221">
        <f t="shared" si="1"/>
        <v>0</v>
      </c>
      <c r="J46" s="143"/>
      <c r="L46" s="1054"/>
      <c r="M46" s="1053"/>
    </row>
    <row r="47" spans="1:13" ht="17.25" customHeight="1">
      <c r="B47" s="148"/>
      <c r="C47" s="1067"/>
      <c r="D47" s="1424"/>
      <c r="E47" s="1425"/>
      <c r="F47" s="1426"/>
      <c r="G47" s="207"/>
      <c r="H47" s="207"/>
      <c r="I47" s="221">
        <f t="shared" si="1"/>
        <v>0</v>
      </c>
      <c r="J47" s="143"/>
      <c r="L47" s="1054"/>
      <c r="M47" s="1053"/>
    </row>
    <row r="48" spans="1:13" ht="17.25" customHeight="1">
      <c r="B48" s="148"/>
      <c r="C48" s="1066"/>
      <c r="D48" s="1065"/>
      <c r="E48" s="867"/>
      <c r="F48" s="1064"/>
      <c r="G48" s="1063">
        <f>SUM(G38:G47)</f>
        <v>0</v>
      </c>
      <c r="H48" s="1063">
        <f>SUM(H38:H47)</f>
        <v>0</v>
      </c>
      <c r="I48" s="1063">
        <f>SUM(I38:I47)</f>
        <v>0</v>
      </c>
      <c r="J48" s="143"/>
      <c r="L48" s="1062"/>
      <c r="M48" s="1061"/>
    </row>
    <row r="49" spans="2:13" ht="7.5" customHeight="1">
      <c r="B49" s="148"/>
      <c r="J49" s="143"/>
    </row>
    <row r="50" spans="2:13" ht="17.25" customHeight="1">
      <c r="B50" s="148"/>
      <c r="C50" s="1427" t="s">
        <v>1321</v>
      </c>
      <c r="D50" s="1427"/>
      <c r="E50" s="454"/>
      <c r="F50" s="341"/>
      <c r="G50" s="1060">
        <f>G48+SingleOB_02</f>
        <v>0</v>
      </c>
      <c r="J50" s="143"/>
      <c r="L50" s="1054"/>
      <c r="M50" s="1053"/>
    </row>
    <row r="51" spans="2:13" ht="17.25" customHeight="1">
      <c r="B51" s="148"/>
      <c r="C51" s="1427" t="s">
        <v>1320</v>
      </c>
      <c r="D51" s="1427"/>
      <c r="F51" s="1059" t="s">
        <v>284</v>
      </c>
      <c r="G51" s="1058">
        <f>IF(G50="","",H48)</f>
        <v>0</v>
      </c>
      <c r="H51" s="1057" t="str">
        <f>IF(ROUND(G51,0)&gt;ROUND(_xlfn.SINGLE(SUMIF(SheetNamedRangesNames,"CC20_LossesRecouped",SheetNamedRangesValues)),0)," Loss recouped exceeds available income","")</f>
        <v/>
      </c>
      <c r="J51" s="143"/>
      <c r="L51" s="1054"/>
      <c r="M51" s="1053"/>
    </row>
    <row r="52" spans="2:13" ht="17.25" customHeight="1">
      <c r="B52" s="148"/>
      <c r="C52" s="1423" t="s">
        <v>1319</v>
      </c>
      <c r="D52" s="1423"/>
      <c r="E52" s="1056"/>
      <c r="G52" s="1055">
        <f>IF(G50="","",G50-G51)</f>
        <v>0</v>
      </c>
      <c r="H52" s="519" t="str">
        <f>IF(CC15_CapLossCF=I48,"","Warning - Capital Losses Carried Forward doent match Closing Balance")</f>
        <v/>
      </c>
      <c r="J52" s="143"/>
      <c r="L52" s="1054"/>
      <c r="M52" s="1053"/>
    </row>
    <row r="53" spans="2:13" ht="7.5" customHeight="1">
      <c r="B53" s="276"/>
      <c r="C53" s="1052"/>
      <c r="D53" s="89"/>
      <c r="E53" s="89"/>
      <c r="F53" s="89"/>
      <c r="G53" s="275"/>
      <c r="H53" s="1051"/>
      <c r="I53" s="1051"/>
      <c r="J53" s="274"/>
    </row>
    <row r="54" spans="2:13" ht="15.95" customHeight="1"/>
    <row r="55" spans="2:13" ht="15.95" customHeight="1"/>
    <row r="56" spans="2:13" ht="15.95" customHeight="1"/>
    <row r="57" spans="2:13" ht="15.95" customHeight="1"/>
    <row r="58" spans="2:13" ht="15.95" customHeight="1"/>
    <row r="59" spans="2:13" ht="15.95" customHeight="1"/>
    <row r="60" spans="2:13" ht="15.95" customHeight="1"/>
    <row r="61" spans="2:13" ht="15.95" customHeight="1"/>
    <row r="62" spans="2:13" ht="15.95" customHeight="1"/>
    <row r="63" spans="2:13" ht="15.95" customHeight="1"/>
    <row r="64" spans="2:13" ht="15.95" customHeight="1"/>
    <row r="65" ht="15.95" customHeight="1"/>
    <row r="66" ht="15.95" customHeight="1"/>
    <row r="67" ht="15.95" customHeight="1"/>
    <row r="68" ht="15.95" customHeight="1"/>
    <row r="69" ht="15.95" customHeight="1"/>
    <row r="70" ht="15.95" customHeight="1"/>
    <row r="71" ht="15.95" customHeight="1"/>
    <row r="72" ht="15.95" customHeight="1"/>
    <row r="73" ht="15.95" customHeight="1"/>
    <row r="74" ht="15.95" customHeight="1"/>
    <row r="75" ht="15.95" customHeight="1"/>
    <row r="76" ht="15.95" customHeight="1"/>
    <row r="77" ht="15.95" customHeight="1"/>
    <row r="78" ht="15.95" customHeight="1"/>
    <row r="79" ht="15.95" customHeight="1"/>
    <row r="80" ht="15.95" customHeight="1"/>
    <row r="81" ht="15.95" customHeight="1"/>
    <row r="82" ht="15.95" customHeight="1"/>
    <row r="83" ht="15.95" customHeight="1"/>
    <row r="84" ht="15.95" customHeight="1"/>
    <row r="85" ht="15.95" customHeight="1"/>
    <row r="86" ht="15.95" customHeight="1"/>
    <row r="87" ht="15.95" customHeight="1"/>
    <row r="88" ht="15.95" customHeight="1"/>
    <row r="89" ht="15.95" customHeight="1"/>
    <row r="90" ht="15.95" customHeight="1"/>
    <row r="91" ht="15.95" customHeight="1"/>
    <row r="92" ht="15.95" customHeight="1"/>
    <row r="93" ht="15.95" customHeight="1"/>
    <row r="94" ht="15.95" customHeight="1"/>
    <row r="95" ht="15.95" customHeight="1"/>
    <row r="96" ht="15.95" customHeight="1"/>
    <row r="97" ht="15.95" customHeight="1"/>
    <row r="98" ht="15.95" customHeight="1"/>
    <row r="99" ht="15.95" customHeight="1"/>
    <row r="100" ht="15.95" customHeight="1"/>
    <row r="101" ht="15.95" customHeight="1"/>
    <row r="102" ht="15.95" customHeight="1"/>
    <row r="103" ht="15.95" customHeight="1"/>
    <row r="104" ht="15.95" customHeight="1"/>
    <row r="105" ht="15.95" customHeight="1"/>
    <row r="106" ht="15.95" customHeight="1"/>
    <row r="107" ht="15.95" customHeight="1"/>
    <row r="108" ht="15.95" customHeight="1"/>
    <row r="109" ht="15.95" customHeight="1"/>
    <row r="110" ht="15.95" customHeight="1"/>
    <row r="111" ht="15.95" customHeight="1"/>
    <row r="112" ht="15.95" customHeight="1"/>
    <row r="113" ht="15.95" customHeight="1"/>
    <row r="114" ht="15.95" customHeight="1"/>
    <row r="115" ht="15.95" customHeight="1"/>
    <row r="116" ht="15.95" customHeight="1"/>
    <row r="117" ht="15.95" customHeight="1"/>
    <row r="118" ht="15.95" customHeight="1"/>
    <row r="119" ht="15.95" customHeight="1"/>
    <row r="120" ht="15.95" customHeight="1"/>
    <row r="121" ht="15.95" customHeight="1"/>
    <row r="122" ht="15.95" customHeight="1"/>
    <row r="123" ht="15.95" customHeight="1"/>
    <row r="124" ht="15.95" customHeight="1"/>
    <row r="125" ht="15.95" customHeight="1"/>
    <row r="126" ht="15.95" customHeight="1"/>
    <row r="127" ht="15.95" customHeight="1"/>
    <row r="128" ht="15.95" customHeight="1"/>
    <row r="129" ht="15.95" customHeight="1"/>
    <row r="130" ht="15.95" customHeight="1"/>
    <row r="131" ht="15.95" customHeight="1"/>
    <row r="132" ht="15.95" customHeight="1"/>
    <row r="133" ht="15.95" customHeight="1"/>
    <row r="134" ht="15.95" customHeight="1"/>
    <row r="135" ht="15.95" customHeight="1"/>
    <row r="136" ht="15.95" customHeight="1"/>
    <row r="137" ht="15.95" customHeight="1"/>
    <row r="138" ht="15.95" customHeight="1"/>
    <row r="139" ht="15.95" customHeight="1"/>
    <row r="140" ht="15.95" customHeight="1"/>
    <row r="141" ht="15.95" customHeight="1"/>
    <row r="142" ht="15.95" customHeight="1"/>
    <row r="143" ht="15.95" customHeight="1"/>
    <row r="144" ht="15.95" customHeight="1"/>
    <row r="145" ht="15.95" customHeight="1"/>
    <row r="146" ht="15.95" customHeight="1"/>
    <row r="147" ht="15.95" customHeight="1"/>
    <row r="148" ht="15.95" customHeight="1"/>
    <row r="149" ht="15.95" customHeight="1"/>
    <row r="150" ht="15.95" customHeight="1"/>
    <row r="151" ht="15.95" customHeight="1"/>
    <row r="152" ht="15.95" customHeight="1"/>
    <row r="153" ht="15.95" customHeight="1"/>
    <row r="154" ht="15.95" customHeight="1"/>
    <row r="155" ht="15.95" customHeight="1"/>
    <row r="156" ht="15.95" customHeight="1"/>
    <row r="157" ht="15.95" customHeight="1"/>
    <row r="158" ht="15.95" customHeight="1"/>
    <row r="159" ht="15.95" customHeight="1"/>
    <row r="160" ht="15.95" customHeight="1"/>
    <row r="161" ht="15.95" customHeight="1"/>
    <row r="162" ht="15.95" customHeight="1"/>
    <row r="163" ht="15.95" customHeight="1"/>
    <row r="164" ht="15.95" customHeight="1"/>
    <row r="165" ht="15.95" customHeight="1"/>
    <row r="166" ht="15.95" customHeight="1"/>
    <row r="167" ht="15.95" customHeight="1"/>
    <row r="168" ht="15.95" customHeight="1"/>
    <row r="169" ht="15.95" customHeight="1"/>
    <row r="170" ht="15.95" customHeight="1"/>
    <row r="171" ht="15.95" customHeight="1"/>
    <row r="172" ht="15.95" customHeight="1"/>
    <row r="173" ht="15.95" customHeight="1"/>
    <row r="174" ht="15.95" customHeight="1"/>
    <row r="175" ht="15.95" customHeight="1"/>
    <row r="176" ht="15.95" customHeight="1"/>
    <row r="177" ht="15.95" customHeight="1"/>
    <row r="178" ht="15.95" customHeight="1"/>
    <row r="179" ht="15.95" customHeight="1"/>
    <row r="180" ht="15.95" customHeight="1"/>
    <row r="181" ht="15.95" customHeight="1"/>
    <row r="182" ht="15.95" customHeight="1"/>
    <row r="183" ht="15.95" customHeight="1"/>
    <row r="184" ht="15.95" customHeight="1"/>
    <row r="185" ht="15.95" customHeight="1"/>
    <row r="186" ht="15.95" customHeight="1"/>
    <row r="187" ht="15.95" customHeight="1"/>
    <row r="188" ht="15.95" customHeight="1"/>
    <row r="189" ht="15.95" customHeight="1"/>
    <row r="190" ht="15.95" customHeight="1"/>
    <row r="191" ht="15.95" customHeight="1"/>
    <row r="192" ht="15.95" customHeight="1"/>
    <row r="193" ht="15.95" customHeight="1"/>
    <row r="194" ht="15.95" customHeight="1"/>
    <row r="195" ht="15.95" customHeight="1"/>
    <row r="196" ht="15.95" customHeight="1"/>
    <row r="197" ht="15.95" customHeight="1"/>
    <row r="198" ht="15.95" customHeight="1"/>
    <row r="199" ht="15.95" customHeight="1"/>
    <row r="200" ht="15.95" customHeight="1"/>
    <row r="201" ht="15.95" customHeight="1"/>
    <row r="202" ht="15.95" customHeight="1"/>
    <row r="203" ht="15.95" customHeight="1"/>
    <row r="204" ht="15.95" customHeight="1"/>
    <row r="205" ht="15.95" customHeight="1"/>
    <row r="206" ht="15.95" customHeight="1"/>
    <row r="207" ht="15.95" customHeight="1"/>
    <row r="208" ht="15.95" customHeight="1"/>
    <row r="209" ht="15.95" customHeight="1"/>
    <row r="210" ht="15.95" customHeight="1"/>
    <row r="211" ht="15.95" customHeight="1"/>
    <row r="212" ht="15.95" customHeight="1"/>
    <row r="213" ht="15.95" customHeight="1"/>
    <row r="214" ht="15.95" customHeight="1"/>
    <row r="215" ht="15.95" customHeight="1"/>
    <row r="216" ht="15.95" customHeight="1"/>
    <row r="217" ht="15.95" customHeight="1"/>
    <row r="218" ht="15.95" customHeight="1"/>
    <row r="219" ht="15.95" customHeight="1"/>
    <row r="220" ht="15.95" customHeight="1"/>
    <row r="221" ht="15.95" customHeight="1"/>
    <row r="222" ht="15.95" customHeight="1"/>
    <row r="223" ht="15.95" customHeight="1"/>
    <row r="224" ht="15.95" customHeight="1"/>
    <row r="225" ht="15.95" customHeight="1"/>
  </sheetData>
  <sheetProtection sheet="1" formatCells="0" formatColumns="0" formatRows="0" insertColumns="0" insertRows="0" insertHyperlinks="0"/>
  <mergeCells count="35">
    <mergeCell ref="L36:M36"/>
    <mergeCell ref="C5:D5"/>
    <mergeCell ref="C9:H9"/>
    <mergeCell ref="C10:I10"/>
    <mergeCell ref="C11:I11"/>
    <mergeCell ref="D26:F26"/>
    <mergeCell ref="D20:F20"/>
    <mergeCell ref="D21:F21"/>
    <mergeCell ref="B13:D13"/>
    <mergeCell ref="D15:F15"/>
    <mergeCell ref="D25:F25"/>
    <mergeCell ref="L15:M15"/>
    <mergeCell ref="C31:D31"/>
    <mergeCell ref="B34:D34"/>
    <mergeCell ref="C35:I35"/>
    <mergeCell ref="C30:D30"/>
    <mergeCell ref="C29:D29"/>
    <mergeCell ref="D18:F18"/>
    <mergeCell ref="D19:F19"/>
    <mergeCell ref="C52:D52"/>
    <mergeCell ref="D42:F42"/>
    <mergeCell ref="D43:F43"/>
    <mergeCell ref="D41:F41"/>
    <mergeCell ref="D22:F22"/>
    <mergeCell ref="D23:F23"/>
    <mergeCell ref="D24:F24"/>
    <mergeCell ref="C51:D51"/>
    <mergeCell ref="D47:F47"/>
    <mergeCell ref="C50:D50"/>
    <mergeCell ref="D36:F36"/>
    <mergeCell ref="D44:F44"/>
    <mergeCell ref="D45:F45"/>
    <mergeCell ref="D46:F46"/>
    <mergeCell ref="D39:F39"/>
    <mergeCell ref="D40:F40"/>
  </mergeCells>
  <conditionalFormatting sqref="E13">
    <cfRule type="cellIs" dxfId="405" priority="18" operator="equal">
      <formula>"Contains Data"</formula>
    </cfRule>
    <cfRule type="cellIs" dxfId="404" priority="19" operator="equal">
      <formula>"Out of Balance"</formula>
    </cfRule>
    <cfRule type="cellIs" dxfId="403" priority="20" operator="equal">
      <formula>"Reconciled"</formula>
    </cfRule>
  </conditionalFormatting>
  <conditionalFormatting sqref="E34">
    <cfRule type="cellIs" dxfId="402" priority="7" operator="equal">
      <formula>"Contains Data"</formula>
    </cfRule>
    <cfRule type="cellIs" dxfId="401" priority="8" operator="equal">
      <formula>"Out of Balance"</formula>
    </cfRule>
    <cfRule type="cellIs" dxfId="400" priority="9" operator="equal">
      <formula>"Reconciled"</formula>
    </cfRule>
  </conditionalFormatting>
  <hyperlinks>
    <hyperlink ref="F30" location="'C15 Losses'!A1" tooltip="Go to C20 Tax Reconciliation" display="}" xr:uid="{30E0D4BE-8F7D-4EB2-A730-46A6C0639D38}"/>
    <hyperlink ref="I3" location="'J51 GST Rec'!Go_Index" tooltip="Go to Record" display="Show Record" xr:uid="{A14D61EC-DE37-4C2B-87B9-601B98EE1558}"/>
    <hyperlink ref="A13:D13" location="'C15 Losses'!Go_RollUp_03" tooltip="Hide/Show cells" display="Losses!Go_RollUp_03" xr:uid="{E12B0060-1F19-44C2-88D8-E674B0337F69}"/>
    <hyperlink ref="A34:D34" location="'C15 Losses'!Go_RollUp_04" tooltip="Hide/Show cells" display="Losses!Go_RollUp_04" xr:uid="{5B79CD2E-FFE6-4771-84C9-07B1745B875B}"/>
    <hyperlink ref="F51" location="'C15 Losses'!Go_SumRangeDetail_CC20_CapLossRecouped" tooltip="Go to C20 Tax Reconciliation" display="}" xr:uid="{0D610EBF-C9EA-4D96-9AFD-FC5C1B560DA6}"/>
  </hyperlinks>
  <printOptions horizontalCentered="1"/>
  <pageMargins left="0.39370078740157483" right="0.39370078740157483" top="0.39370078740157483" bottom="0.39370078740157483" header="0" footer="0"/>
  <pageSetup paperSize="9" scale="74" orientation="portrait" r:id="rId1"/>
  <headerFooter alignWithMargins="0">
    <oddFooter>&amp;L&amp;F
Copyright © 2003-Present Business Fitness Pty Ltd&amp;R&amp;A &amp;P</oddFooter>
  </headerFooter>
  <customProperties>
    <customPr name="SheetId" r:id="rId2"/>
    <customPr name="SheetName" r:id="rId3"/>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82A19-50FB-4636-BCA6-6E2006384931}">
  <sheetPr>
    <pageSetUpPr autoPageBreaks="0" fitToPage="1"/>
  </sheetPr>
  <dimension ref="A1:AK656"/>
  <sheetViews>
    <sheetView showGridLines="0" topLeftCell="A25" zoomScaleNormal="100" workbookViewId="0">
      <selection activeCell="A2" sqref="A2"/>
    </sheetView>
  </sheetViews>
  <sheetFormatPr defaultRowHeight="15"/>
  <cols>
    <col min="1" max="1" width="4.28515625" style="65" customWidth="1"/>
    <col min="2" max="2" width="1.42578125" style="65" customWidth="1"/>
    <col min="3" max="3" width="12.7109375" style="65" customWidth="1"/>
    <col min="4" max="4" width="33.85546875" style="65" customWidth="1"/>
    <col min="5" max="5" width="15.7109375" style="65" customWidth="1"/>
    <col min="6" max="6" width="4.28515625" style="65" customWidth="1"/>
    <col min="7" max="8" width="15.140625" style="65" hidden="1" customWidth="1"/>
    <col min="9" max="9" width="15.140625" style="65" customWidth="1"/>
    <col min="10" max="12" width="15.7109375" style="65" customWidth="1"/>
    <col min="13" max="13" width="1.42578125" style="65" customWidth="1"/>
    <col min="14" max="15" width="15.7109375" style="65" customWidth="1"/>
    <col min="16" max="16" width="1.42578125" style="65" customWidth="1"/>
    <col min="17" max="18" width="15.7109375" style="65" customWidth="1"/>
    <col min="19" max="19" width="1.42578125" style="65" customWidth="1"/>
    <col min="20" max="20" width="3.7109375" style="65" customWidth="1"/>
    <col min="21" max="22" width="15.7109375" style="147" customWidth="1"/>
    <col min="23" max="23" width="1.42578125" style="65" customWidth="1"/>
    <col min="24" max="24" width="9.140625" style="65"/>
    <col min="25" max="27" width="9.140625" style="65" hidden="1" customWidth="1"/>
    <col min="28" max="16384" width="9.140625" style="65"/>
  </cols>
  <sheetData>
    <row r="1" spans="1:34" ht="17.25" hidden="1" customHeight="1">
      <c r="C1" s="1213" t="s">
        <v>1314</v>
      </c>
      <c r="D1" s="1212" t="s">
        <v>1429</v>
      </c>
      <c r="E1" s="284"/>
      <c r="F1" s="284"/>
      <c r="G1" s="284"/>
      <c r="H1" s="288" t="s">
        <v>179</v>
      </c>
      <c r="I1" s="288" t="s">
        <v>179</v>
      </c>
      <c r="J1" s="1212" t="s">
        <v>1428</v>
      </c>
      <c r="K1" s="288" t="s">
        <v>177</v>
      </c>
      <c r="L1" s="64" t="str">
        <f>IFERROR(Jurisdiction,"AU")</f>
        <v>AU</v>
      </c>
      <c r="M1" s="64"/>
      <c r="N1" s="64"/>
      <c r="O1" s="64"/>
      <c r="P1" s="64"/>
      <c r="Q1" s="64"/>
      <c r="R1" s="64"/>
      <c r="Y1" s="65" t="s">
        <v>176</v>
      </c>
    </row>
    <row r="2" spans="1:34" ht="7.5" customHeight="1">
      <c r="C2" s="282"/>
      <c r="D2" s="282"/>
      <c r="E2" s="135"/>
      <c r="F2" s="135"/>
      <c r="G2" s="135"/>
      <c r="H2" s="134"/>
      <c r="I2" s="134"/>
    </row>
    <row r="3" spans="1:34" ht="24.95" customHeight="1">
      <c r="C3" s="1211" t="s">
        <v>1427</v>
      </c>
      <c r="D3" s="1210"/>
      <c r="K3"/>
      <c r="L3" s="737" t="s">
        <v>174</v>
      </c>
      <c r="U3" s="133"/>
      <c r="V3" s="133"/>
    </row>
    <row r="4" spans="1:34" ht="7.5" customHeight="1">
      <c r="B4" s="282"/>
      <c r="C4" s="282"/>
      <c r="D4" s="282"/>
      <c r="U4" s="133"/>
      <c r="V4" s="133"/>
      <c r="Y4" s="134"/>
    </row>
    <row r="5" spans="1:34" s="17" customFormat="1" ht="22.5" customHeight="1">
      <c r="A5" s="118"/>
      <c r="C5" s="304" t="str">
        <f>_xlfn.TEXTJOIN(" ",1,IFERROR(_xlfn.SINGLE(Cl_Name),"Client Name"),IF(IFERROR(_xlfn.SINGLE(Cl_Code),"")="","","("&amp;_xlfn.SINGLE(Cl_Code)&amp;")"))</f>
        <v>Springrange Holdings Pty Ltd (MuM001)</v>
      </c>
      <c r="D5" s="124"/>
      <c r="K5" s="1209" t="s">
        <v>1374</v>
      </c>
      <c r="L5" s="1209" t="s">
        <v>1426</v>
      </c>
      <c r="M5" s="65"/>
      <c r="N5" s="65"/>
      <c r="O5" s="65"/>
      <c r="P5" s="65"/>
      <c r="Q5" s="65"/>
      <c r="R5" s="65"/>
      <c r="T5" s="119"/>
      <c r="U5" s="64"/>
      <c r="V5" s="64"/>
    </row>
    <row r="6" spans="1:34" s="17" customFormat="1" ht="22.5" customHeight="1">
      <c r="A6" s="118"/>
      <c r="C6" s="302">
        <f>IFERROR(_xlfn.SINGLE(PeriodEndDate),DATE(1901,6,30))</f>
        <v>45473</v>
      </c>
      <c r="D6" s="121"/>
      <c r="K6" s="1208" t="str">
        <f>K253</f>
        <v>Pending</v>
      </c>
      <c r="L6" s="808" t="str">
        <f>Q253</f>
        <v>Pending</v>
      </c>
      <c r="M6" s="363">
        <f>IFERROR(_xlfn.XLOOKUP("8d3fe793-b6c4-4056-bc60-c954db5b2c99",RecordInfo.RecordId,RecordInfo.Tolerances),0)</f>
        <v>0.01</v>
      </c>
      <c r="N6" s="65"/>
      <c r="O6" s="65"/>
      <c r="P6" s="65"/>
      <c r="Q6" s="65"/>
      <c r="R6" s="65"/>
      <c r="U6" s="64"/>
      <c r="V6" s="64"/>
    </row>
    <row r="7" spans="1:34" s="17" customFormat="1" ht="7.5" customHeight="1">
      <c r="B7" s="296"/>
      <c r="C7" s="296"/>
      <c r="D7" s="296"/>
      <c r="E7" s="295"/>
      <c r="F7" s="295"/>
      <c r="G7" s="295"/>
      <c r="H7" s="295"/>
      <c r="I7" s="295"/>
      <c r="J7" s="295"/>
      <c r="K7" s="295"/>
      <c r="L7" s="295"/>
      <c r="M7" s="65"/>
      <c r="N7" s="65"/>
      <c r="O7" s="65"/>
      <c r="P7" s="65"/>
      <c r="Q7" s="65"/>
      <c r="R7" s="65"/>
      <c r="S7" s="292"/>
      <c r="U7" s="64"/>
      <c r="V7" s="64"/>
    </row>
    <row r="8" spans="1:34" s="17" customFormat="1" ht="7.5" customHeight="1">
      <c r="B8" s="294"/>
      <c r="C8" s="294"/>
      <c r="D8" s="294"/>
      <c r="E8" s="292"/>
      <c r="F8" s="292"/>
      <c r="G8" s="292"/>
      <c r="H8" s="292"/>
      <c r="I8" s="292"/>
      <c r="J8" s="292"/>
      <c r="K8" s="292"/>
      <c r="L8" s="292"/>
      <c r="M8" s="292"/>
      <c r="N8" s="292"/>
      <c r="O8" s="292"/>
      <c r="P8" s="292"/>
      <c r="Q8" s="292"/>
      <c r="R8" s="292"/>
      <c r="S8" s="292"/>
      <c r="U8" s="64"/>
      <c r="V8" s="64"/>
    </row>
    <row r="9" spans="1:34" s="17" customFormat="1" ht="17.25" customHeight="1">
      <c r="C9" s="1438" t="s">
        <v>1425</v>
      </c>
      <c r="D9" s="1438"/>
      <c r="E9" s="1438"/>
      <c r="F9" s="1438"/>
      <c r="G9" s="1438"/>
      <c r="H9" s="1438"/>
      <c r="I9" s="1438"/>
      <c r="J9" s="1438"/>
      <c r="K9" s="1438"/>
      <c r="L9" s="1438"/>
      <c r="M9" s="273"/>
      <c r="N9" s="273"/>
      <c r="O9" s="273"/>
      <c r="P9" s="273"/>
      <c r="Q9" s="273"/>
      <c r="R9" s="273"/>
      <c r="S9" s="54"/>
      <c r="U9" s="64"/>
      <c r="V9" s="64"/>
    </row>
    <row r="10" spans="1:34" s="17" customFormat="1" ht="17.25" customHeight="1">
      <c r="C10" s="1447" t="s">
        <v>1424</v>
      </c>
      <c r="D10" s="1447"/>
      <c r="E10" s="1447"/>
      <c r="F10" s="1447"/>
      <c r="G10" s="1447"/>
      <c r="H10" s="1447"/>
      <c r="I10" s="1447"/>
      <c r="J10" s="1447"/>
      <c r="K10" s="1447"/>
      <c r="L10" s="1447"/>
      <c r="M10" s="115"/>
      <c r="N10" s="115"/>
      <c r="O10" s="115"/>
      <c r="P10" s="115"/>
      <c r="Q10" s="115"/>
      <c r="R10" s="115"/>
      <c r="S10" s="387"/>
      <c r="T10" s="762"/>
      <c r="U10" s="64"/>
      <c r="V10" s="64"/>
    </row>
    <row r="11" spans="1:34" s="17" customFormat="1" ht="17.25" customHeight="1">
      <c r="B11" s="289"/>
      <c r="C11" s="1207" t="s">
        <v>1423</v>
      </c>
      <c r="D11" s="98"/>
      <c r="E11" s="1207" t="s">
        <v>1422</v>
      </c>
      <c r="F11" s="98"/>
      <c r="G11" s="98"/>
      <c r="H11" s="98"/>
      <c r="I11" s="98"/>
      <c r="J11" s="98"/>
      <c r="K11" s="98"/>
      <c r="L11" s="98"/>
      <c r="M11" s="98"/>
      <c r="N11" s="98"/>
      <c r="O11" s="98"/>
      <c r="P11" s="98"/>
      <c r="Q11" s="98"/>
      <c r="R11" s="98"/>
      <c r="S11" s="98"/>
      <c r="T11" s="98"/>
      <c r="U11" s="114"/>
      <c r="V11" s="114"/>
      <c r="W11" s="98"/>
      <c r="X11" s="98"/>
      <c r="Y11" s="98"/>
      <c r="Z11" s="98"/>
      <c r="AA11" s="98"/>
      <c r="AB11" s="98"/>
      <c r="AC11" s="98"/>
      <c r="AD11" s="98"/>
      <c r="AE11" s="98"/>
    </row>
    <row r="12" spans="1:34" s="17" customFormat="1" ht="17.25" customHeight="1">
      <c r="B12" s="289"/>
      <c r="C12" s="1207" t="s">
        <v>1421</v>
      </c>
      <c r="D12" s="98"/>
      <c r="E12" s="1207" t="s">
        <v>1420</v>
      </c>
      <c r="F12" s="98"/>
      <c r="G12" s="98"/>
      <c r="H12" s="98"/>
      <c r="I12" s="98"/>
      <c r="J12" s="98"/>
      <c r="K12" s="98"/>
      <c r="L12" s="98"/>
      <c r="M12" s="98"/>
      <c r="N12" s="98"/>
      <c r="O12" s="98"/>
      <c r="P12" s="98"/>
      <c r="Q12" s="98"/>
      <c r="R12" s="98"/>
      <c r="S12" s="98"/>
      <c r="T12" s="98"/>
      <c r="U12" s="114"/>
      <c r="V12" s="114"/>
      <c r="W12" s="98"/>
      <c r="X12" s="98"/>
      <c r="Y12" s="98"/>
      <c r="Z12" s="98"/>
      <c r="AA12" s="98"/>
      <c r="AB12" s="98"/>
      <c r="AC12" s="98"/>
      <c r="AD12" s="98"/>
      <c r="AE12" s="98"/>
    </row>
    <row r="13" spans="1:34" s="17" customFormat="1" ht="17.25" customHeight="1">
      <c r="B13" s="289"/>
      <c r="C13" s="1207" t="s">
        <v>1419</v>
      </c>
      <c r="D13" s="98"/>
      <c r="E13" s="98"/>
      <c r="F13" s="98"/>
      <c r="G13" s="98"/>
      <c r="H13" s="98"/>
      <c r="I13" s="98"/>
      <c r="J13" s="98"/>
      <c r="K13" s="98"/>
      <c r="L13" s="98"/>
      <c r="M13" s="98"/>
      <c r="N13" s="98"/>
      <c r="O13" s="98"/>
      <c r="P13" s="98"/>
      <c r="Q13" s="98"/>
      <c r="R13" s="98"/>
      <c r="S13" s="98"/>
      <c r="T13" s="98"/>
      <c r="U13" s="114"/>
      <c r="V13" s="114"/>
      <c r="W13" s="98"/>
      <c r="X13" s="98"/>
      <c r="Y13" s="98"/>
      <c r="Z13" s="98"/>
      <c r="AA13" s="98"/>
      <c r="AB13" s="98"/>
      <c r="AC13" s="98"/>
      <c r="AD13" s="98"/>
      <c r="AE13" s="98"/>
    </row>
    <row r="14" spans="1:34" ht="22.5" customHeight="1">
      <c r="C14" s="32"/>
      <c r="D14" s="32"/>
      <c r="E14" s="32"/>
      <c r="F14" s="32"/>
      <c r="G14" s="32"/>
      <c r="H14" s="719"/>
      <c r="I14" s="719"/>
      <c r="K14" s="32"/>
      <c r="L14" s="32"/>
      <c r="M14" s="32"/>
      <c r="N14" s="32"/>
      <c r="O14" s="32"/>
      <c r="P14" s="32"/>
      <c r="Q14" s="32"/>
      <c r="R14" s="32"/>
      <c r="S14" s="32"/>
    </row>
    <row r="15" spans="1:34" ht="22.5" customHeight="1">
      <c r="A15" s="61" t="str">
        <f>IF(SUBTOTAL(103,B16),"-","+")</f>
        <v>-</v>
      </c>
      <c r="B15" s="1449" t="s">
        <v>167</v>
      </c>
      <c r="C15" s="1449"/>
      <c r="D15" s="1449"/>
      <c r="E15" s="283"/>
      <c r="F15" s="283"/>
      <c r="G15" s="283"/>
      <c r="H15" s="134"/>
      <c r="I15" s="134"/>
      <c r="J15" s="282"/>
      <c r="K15" s="281"/>
      <c r="L15" s="281"/>
      <c r="M15" s="281"/>
      <c r="N15" s="281"/>
      <c r="O15" s="281"/>
      <c r="P15" s="281"/>
      <c r="Q15" s="281"/>
      <c r="R15" s="281"/>
      <c r="S15" s="283"/>
    </row>
    <row r="16" spans="1:34" s="17" customFormat="1" ht="7.15" customHeight="1">
      <c r="B16" s="52" t="s">
        <v>58</v>
      </c>
      <c r="C16" s="51"/>
      <c r="D16" s="51"/>
      <c r="E16" s="51"/>
      <c r="F16" s="1206"/>
      <c r="G16" s="1196"/>
      <c r="H16" s="719"/>
      <c r="U16" s="64"/>
      <c r="V16" s="64"/>
      <c r="AH16" s="110"/>
    </row>
    <row r="17" spans="1:34" s="17" customFormat="1" ht="22.5" customHeight="1">
      <c r="B17" s="53"/>
      <c r="C17" s="1448" t="s">
        <v>1418</v>
      </c>
      <c r="D17" s="1448"/>
      <c r="E17" s="1205">
        <f>DATE(YEAR(TaxYearEnd)-1,MONTH(TaxYearEnd),DAY(TaxYearEnd)+1)</f>
        <v>45108</v>
      </c>
      <c r="F17" s="1204"/>
      <c r="G17" s="1203"/>
      <c r="H17" s="719"/>
      <c r="S17" s="283"/>
      <c r="U17" s="64"/>
      <c r="V17" s="64"/>
      <c r="AH17" s="110"/>
    </row>
    <row r="18" spans="1:34" s="17" customFormat="1" ht="22.5" customHeight="1">
      <c r="B18" s="53"/>
      <c r="C18" s="1448" t="s">
        <v>166</v>
      </c>
      <c r="D18" s="1448"/>
      <c r="E18" s="1205">
        <f>IFERROR(DATE(_xlfn.SINGLE(Tax_Year),6,30),DATE(IF(MONTH(C6)&gt;6,1,0)+YEAR(C6),6,30))</f>
        <v>45473</v>
      </c>
      <c r="F18" s="1204"/>
      <c r="G18" s="1203"/>
      <c r="H18" s="719"/>
      <c r="U18" s="64"/>
      <c r="V18" s="64"/>
      <c r="AH18" s="110"/>
    </row>
    <row r="19" spans="1:34" s="17" customFormat="1" ht="7.15" customHeight="1">
      <c r="B19" s="40"/>
      <c r="C19" s="107"/>
      <c r="D19" s="107"/>
      <c r="E19" s="107"/>
      <c r="F19" s="1202"/>
      <c r="G19" s="1196"/>
      <c r="H19" s="719"/>
      <c r="U19" s="64"/>
      <c r="V19" s="64"/>
    </row>
    <row r="20" spans="1:34" s="17" customFormat="1" ht="22.5" customHeight="1">
      <c r="G20" s="105"/>
      <c r="H20" s="105"/>
      <c r="I20" s="105"/>
      <c r="T20" s="32"/>
      <c r="U20" s="1150"/>
      <c r="V20" s="1150"/>
    </row>
    <row r="21" spans="1:34" ht="22.5" customHeight="1">
      <c r="A21" s="61" t="str">
        <f>IF(SUBTOTAL(103,A22),"-","+")</f>
        <v>-</v>
      </c>
      <c r="B21" s="1449" t="s">
        <v>1417</v>
      </c>
      <c r="C21" s="1449"/>
      <c r="D21" s="1449"/>
      <c r="E21" s="198" t="str">
        <f>IF(OR(J59&lt;&gt;0,K59&lt;&gt;0,L61&lt;&gt;0),"Contains Data","No Data")</f>
        <v>No Data</v>
      </c>
      <c r="F21" s="1201"/>
      <c r="G21" s="341"/>
      <c r="H21" s="341"/>
      <c r="J21" s="341"/>
      <c r="K21" s="341"/>
      <c r="L21" s="341"/>
      <c r="M21" s="341"/>
      <c r="N21" s="341"/>
      <c r="O21" s="341"/>
      <c r="P21" s="341"/>
      <c r="Q21" s="341"/>
      <c r="R21" s="341"/>
      <c r="S21" s="341"/>
    </row>
    <row r="22" spans="1:34" ht="7.5" customHeight="1">
      <c r="A22" s="65" t="s">
        <v>58</v>
      </c>
      <c r="B22" s="1200"/>
      <c r="C22" s="219"/>
      <c r="D22" s="219"/>
      <c r="E22" s="219"/>
      <c r="F22" s="219"/>
      <c r="G22" s="219"/>
      <c r="H22" s="219"/>
      <c r="I22" s="219"/>
      <c r="J22" s="219"/>
      <c r="K22" s="219"/>
      <c r="L22" s="219"/>
      <c r="M22" s="1199"/>
      <c r="N22" s="1198"/>
      <c r="O22" s="136"/>
      <c r="P22" s="136"/>
      <c r="Q22" s="136"/>
      <c r="R22" s="136"/>
      <c r="T22" s="136"/>
    </row>
    <row r="23" spans="1:34" ht="39" customHeight="1">
      <c r="B23" s="1164"/>
      <c r="C23" s="340" t="s">
        <v>361</v>
      </c>
      <c r="D23" s="1428" t="s">
        <v>1416</v>
      </c>
      <c r="E23" s="1428"/>
      <c r="F23" s="339"/>
      <c r="G23" s="339"/>
      <c r="H23" s="339"/>
      <c r="I23" s="339" t="s">
        <v>1415</v>
      </c>
      <c r="J23" s="339" t="s">
        <v>1414</v>
      </c>
      <c r="K23" s="339" t="s">
        <v>1413</v>
      </c>
      <c r="L23" s="338" t="s">
        <v>77</v>
      </c>
      <c r="M23" s="360"/>
      <c r="N23" s="1196"/>
      <c r="O23" s="32"/>
      <c r="P23" s="32"/>
      <c r="Q23" s="32"/>
      <c r="R23" s="32"/>
      <c r="T23" s="136"/>
      <c r="U23" s="1477" t="s">
        <v>409</v>
      </c>
      <c r="V23" s="1478"/>
    </row>
    <row r="24" spans="1:34" ht="17.25" customHeight="1">
      <c r="B24" s="1164"/>
      <c r="C24" s="32"/>
      <c r="D24" s="32"/>
      <c r="E24" s="32"/>
      <c r="F24" s="32"/>
      <c r="G24" s="32"/>
      <c r="H24" s="32"/>
      <c r="I24" s="32"/>
      <c r="J24" s="32"/>
      <c r="K24" s="32"/>
      <c r="L24" s="32"/>
      <c r="M24" s="1197"/>
      <c r="N24" s="1196"/>
      <c r="O24" s="32"/>
      <c r="P24" s="32"/>
      <c r="Q24" s="32"/>
      <c r="R24" s="32"/>
      <c r="T24" s="136"/>
    </row>
    <row r="25" spans="1:34" ht="17.25" customHeight="1">
      <c r="B25" s="1164"/>
      <c r="C25" s="1195">
        <f>TaxYearStart</f>
        <v>45108</v>
      </c>
      <c r="D25" s="1443" t="s">
        <v>514</v>
      </c>
      <c r="E25" s="1443"/>
      <c r="F25" s="1184"/>
      <c r="I25" s="1187"/>
      <c r="J25" s="149"/>
      <c r="L25" s="1123"/>
      <c r="M25" s="1176"/>
      <c r="N25" s="1175"/>
      <c r="O25" s="1174"/>
      <c r="P25" s="1174"/>
      <c r="Q25" s="1174"/>
      <c r="R25" s="1174"/>
      <c r="T25" s="136"/>
      <c r="U25" s="1108"/>
      <c r="V25" s="1107"/>
    </row>
    <row r="26" spans="1:34" ht="17.25" customHeight="1">
      <c r="B26" s="1164"/>
      <c r="C26" s="1191"/>
      <c r="D26" s="341"/>
      <c r="I26" s="1187"/>
      <c r="J26" s="149"/>
      <c r="K26" s="1174"/>
      <c r="L26" s="1174"/>
      <c r="M26" s="1176"/>
      <c r="N26" s="1175"/>
      <c r="O26" s="1174"/>
      <c r="P26" s="1174"/>
      <c r="Q26" s="1174"/>
      <c r="R26" s="1174"/>
      <c r="T26" s="136"/>
      <c r="U26" s="1194"/>
      <c r="V26" s="1194"/>
    </row>
    <row r="27" spans="1:34" ht="17.25" customHeight="1">
      <c r="B27" s="204"/>
      <c r="C27" s="1440" t="s">
        <v>1412</v>
      </c>
      <c r="D27" s="1440"/>
      <c r="E27" s="1189"/>
      <c r="F27" s="1188"/>
      <c r="G27" s="1187" t="s">
        <v>1392</v>
      </c>
      <c r="H27" s="1187" t="s">
        <v>1411</v>
      </c>
      <c r="M27" s="360"/>
      <c r="N27" s="278"/>
    </row>
    <row r="28" spans="1:34" ht="17.25" customHeight="1">
      <c r="B28" s="1164"/>
      <c r="C28" s="1181"/>
      <c r="D28" s="1458" t="s">
        <v>1410</v>
      </c>
      <c r="E28" s="1459"/>
      <c r="F28" s="1185" t="s">
        <v>284</v>
      </c>
      <c r="G28" s="1184" t="s">
        <v>1409</v>
      </c>
      <c r="H28" s="1152">
        <f>IFERROR(SUMIF(SheetNamedRangesNames,"H35_TaxPrevYr",SheetNamedRangesValues),0)</f>
        <v>0</v>
      </c>
      <c r="I28" s="1123"/>
      <c r="J28" s="1159">
        <f>MAX(IF(ISBLANK(I28),IF(OR(AND(C28&gt;=_xlfn.SINGLE(SUMIF(SheetNamedRangesNames,"TaxYearStart",SheetNamedRangesValues)),C28&lt;=_xlfn.SINGLE(SUMIF(SheetNamedRangesNames,"TaxYearEnd",SheetNamedRangesValues))),C28=""),IF(_xlfn.SINGLE(SUMIF(SheetNamedRangesNames,"H35_TaxPrevYr",SheetNamedRangesValues))&gt;0,SUMIF(SheetNamedRangesNames,"H35_TaxPrevYr",SheetNamedRangesValues),0)),I28),0)</f>
        <v>0</v>
      </c>
      <c r="K28" s="1159">
        <f>-MIN(IF(ISBLANK(I28),IF(OR(AND(C28&gt;=_xlfn.SINGLE(SUMIF(SheetNamedRangesNames,"TaxYearStart",SheetNamedRangesValues)),C28&lt;=_xlfn.SINGLE(SUMIF(SheetNamedRangesNames,"TaxYearEnd",SheetNamedRangesValues))),C28=""),IF(_xlfn.SINGLE(SUMIF(SheetNamedRangesNames,"H35_TaxPrevYr",SheetNamedRangesValues))&lt;0,SUMIF(SheetNamedRangesNames,"H35_TaxPrevYr",SheetNamedRangesValues),0)),I28),0)</f>
        <v>0</v>
      </c>
      <c r="L28" s="1159">
        <f>(L25-J28+K28)</f>
        <v>0</v>
      </c>
      <c r="M28" s="1176"/>
      <c r="N28" s="1158"/>
      <c r="O28" s="1157"/>
      <c r="P28" s="1157"/>
      <c r="Q28" s="1157"/>
      <c r="R28" s="1157"/>
      <c r="T28" s="136"/>
      <c r="U28" s="1108"/>
      <c r="V28" s="1107"/>
    </row>
    <row r="29" spans="1:34" ht="17.25" customHeight="1">
      <c r="B29" s="1164"/>
      <c r="C29" s="1181"/>
      <c r="D29" s="1458" t="s">
        <v>1408</v>
      </c>
      <c r="E29" s="1459"/>
      <c r="F29" s="1185" t="s">
        <v>284</v>
      </c>
      <c r="G29" s="1184" t="s">
        <v>1407</v>
      </c>
      <c r="H29" s="1152">
        <f>IFERROR(SUMIF(SheetNamedRangesNames,"H35_PrevInstPaidCr",SheetNamedRangesValues),0)</f>
        <v>0</v>
      </c>
      <c r="I29" s="1123"/>
      <c r="J29" s="1159">
        <f>MAX(IF(ISBLANK(I29),IF(OR(AND(C29&gt;=_xlfn.SINGLE(SUMIF(SheetNamedRangesNames,"TaxYearStart",SheetNamedRangesValues)),C29&lt;=_xlfn.SINGLE(SUMIF(SheetNamedRangesNames,"TaxYearEnd",SheetNamedRangesValues))),C29=""),SUMIF(SheetNamedRangesNames,"H35_MarPrevYrBASCr",SheetNamedRangesValues),0),I29),0)</f>
        <v>0</v>
      </c>
      <c r="K29" s="1159">
        <f>-MIN(IF(ISBLANK(I29),IF(OR(AND(C29&gt;=_xlfn.SINGLE(SUMIF(SheetNamedRangesNames,"TaxYearStart",SheetNamedRangesValues)),C29&lt;=_xlfn.SINGLE(SUMIF(SheetNamedRangesNames,"TaxYearEnd",SheetNamedRangesValues))),C29=""),-_xlfn.SINGLE(SUMIF(SheetNamedRangesNames,"H35_MarPrevYrBASDr",SheetNamedRangesValues)),0),I29),0)</f>
        <v>0</v>
      </c>
      <c r="L29" s="1159">
        <f>(L28-J29+K29)</f>
        <v>0</v>
      </c>
      <c r="M29" s="1176"/>
      <c r="N29" s="1158"/>
      <c r="O29" s="1157"/>
      <c r="P29" s="1157"/>
      <c r="Q29" s="1157"/>
      <c r="R29" s="1157"/>
      <c r="T29" s="136"/>
      <c r="U29" s="1108"/>
      <c r="V29" s="1107"/>
    </row>
    <row r="30" spans="1:34" ht="17.25" customHeight="1">
      <c r="B30" s="1164"/>
      <c r="C30" s="1181"/>
      <c r="D30" s="1193" t="s">
        <v>1406</v>
      </c>
      <c r="E30" s="1192"/>
      <c r="F30" s="1185" t="s">
        <v>284</v>
      </c>
      <c r="G30" s="1184"/>
      <c r="H30" s="1152"/>
      <c r="I30" s="1123"/>
      <c r="J30" s="1159">
        <f>MAX(IF(ISBLANK(I30),IF(OR(AND(C30&gt;=_xlfn.SINGLE(SUMIF(SheetNamedRangesNames,"TaxYearStart",SheetNamedRangesValues)),C30&lt;=_xlfn.SINGLE(SUMIF(SheetNamedRangesNames,"TaxYearEnd",SheetNamedRangesValues))),C30=""),_xlfn.SINGLE(SUMIF(SheetNamedRangesNames,"H35_JunPrevYrBASCr",SheetNamedRangesValues)),0),I30),0)</f>
        <v>0</v>
      </c>
      <c r="K30" s="1159">
        <f>-MIN(IF(ISBLANK(I30),IF(OR(AND(C30&gt;=_xlfn.SINGLE(SUMIF(SheetNamedRangesNames,"TaxYearStart",SheetNamedRangesValues)),C30&lt;=_xlfn.SINGLE(SUMIF(SheetNamedRangesNames,"TaxYearEnd",SheetNamedRangesValues))),C30=""),-SUMIF(SheetNamedRangesNames,"H35_JunPrevYrBASDr",SheetNamedRangesValues),0),I30),0)</f>
        <v>0</v>
      </c>
      <c r="L30" s="1159">
        <f>(L29-J30+K30)</f>
        <v>0</v>
      </c>
      <c r="M30" s="1176"/>
      <c r="N30" s="1158"/>
      <c r="O30" s="1157"/>
      <c r="P30" s="1157"/>
      <c r="Q30" s="1157"/>
      <c r="R30" s="1157"/>
      <c r="T30" s="136"/>
      <c r="U30" s="1108"/>
      <c r="V30" s="1107"/>
    </row>
    <row r="31" spans="1:34" ht="17.25" customHeight="1">
      <c r="B31" s="1164"/>
      <c r="C31" s="1181"/>
      <c r="D31" s="1441" t="s">
        <v>283</v>
      </c>
      <c r="E31" s="1442"/>
      <c r="F31" s="1184"/>
      <c r="G31" s="1184"/>
      <c r="H31" s="1184"/>
      <c r="I31" s="1184"/>
      <c r="J31" s="1123"/>
      <c r="K31" s="1123"/>
      <c r="L31" s="1159">
        <f>(L30-J31+K31)</f>
        <v>0</v>
      </c>
      <c r="M31" s="1176"/>
      <c r="N31" s="1158"/>
      <c r="O31" s="1157"/>
      <c r="P31" s="1157"/>
      <c r="Q31" s="1157"/>
      <c r="R31" s="1157"/>
      <c r="T31" s="136"/>
      <c r="U31" s="1108"/>
      <c r="V31" s="1107"/>
    </row>
    <row r="32" spans="1:34" ht="17.25" customHeight="1">
      <c r="B32" s="1164"/>
      <c r="C32" s="1181"/>
      <c r="D32" s="1441"/>
      <c r="E32" s="1442"/>
      <c r="F32" s="1184"/>
      <c r="G32" s="1184"/>
      <c r="H32" s="1184"/>
      <c r="I32" s="1184"/>
      <c r="J32" s="1123"/>
      <c r="K32" s="1123"/>
      <c r="L32" s="1159">
        <f>(L31-J32+K32)</f>
        <v>0</v>
      </c>
      <c r="M32" s="1176"/>
      <c r="N32" s="1158"/>
      <c r="O32" s="1157"/>
      <c r="P32" s="1157"/>
      <c r="Q32" s="1157"/>
      <c r="R32" s="1157"/>
      <c r="T32" s="136"/>
      <c r="U32" s="1108"/>
      <c r="V32" s="1107"/>
    </row>
    <row r="33" spans="2:22" ht="17.25" customHeight="1">
      <c r="B33" s="1164"/>
      <c r="C33" s="1181"/>
      <c r="D33" s="1441"/>
      <c r="E33" s="1442"/>
      <c r="F33" s="1184"/>
      <c r="G33" s="1184"/>
      <c r="H33" s="1184"/>
      <c r="I33" s="1184"/>
      <c r="J33" s="1123"/>
      <c r="K33" s="1123"/>
      <c r="L33" s="1159">
        <f>(L32-J33+K33)</f>
        <v>0</v>
      </c>
      <c r="M33" s="1176"/>
      <c r="N33" s="1158"/>
      <c r="O33" s="1157"/>
      <c r="P33" s="1157"/>
      <c r="Q33" s="1157"/>
      <c r="R33" s="1157"/>
      <c r="T33" s="136"/>
      <c r="U33" s="1108"/>
      <c r="V33" s="1107"/>
    </row>
    <row r="34" spans="2:22" ht="17.25" customHeight="1">
      <c r="B34" s="1164"/>
      <c r="C34" s="1191"/>
      <c r="D34" s="341"/>
      <c r="I34" s="1187"/>
      <c r="J34" s="149"/>
      <c r="K34" s="1174"/>
      <c r="L34" s="1174"/>
      <c r="M34" s="1176"/>
      <c r="N34" s="1175"/>
      <c r="O34" s="1174"/>
      <c r="P34" s="1174"/>
      <c r="Q34" s="1174"/>
      <c r="R34" s="1174"/>
      <c r="T34" s="136"/>
      <c r="U34" s="1190"/>
      <c r="V34" s="1190"/>
    </row>
    <row r="35" spans="2:22" ht="17.25" customHeight="1">
      <c r="B35" s="204"/>
      <c r="C35" s="1440" t="s">
        <v>1405</v>
      </c>
      <c r="D35" s="1440"/>
      <c r="E35" s="1189"/>
      <c r="F35" s="1188"/>
      <c r="G35" s="1187" t="s">
        <v>1392</v>
      </c>
      <c r="H35" s="1187" t="s">
        <v>1391</v>
      </c>
      <c r="M35" s="360"/>
      <c r="N35" s="278"/>
    </row>
    <row r="36" spans="2:22" ht="17.25" customHeight="1">
      <c r="B36" s="1164"/>
      <c r="C36" s="1181"/>
      <c r="D36" s="1193" t="s">
        <v>1404</v>
      </c>
      <c r="E36" s="1192"/>
      <c r="F36" s="1185" t="s">
        <v>284</v>
      </c>
      <c r="G36" s="1184"/>
      <c r="H36" s="1152"/>
      <c r="I36" s="1123"/>
      <c r="J36" s="1159">
        <f>MAX(IF(ISBLANK(I36),IF(OR(AND(C36&gt;=_xlfn.SINGLE(SUMIF(SheetNamedRangesNames,"TaxYearStart",SheetNamedRangesValues)),C36&lt;=_xlfn.SINGLE(SUMIF(SheetNamedRangesNames,"TaxYearEnd",SheetNamedRangesValues))),C36=""),SUMIF(SheetNamedRangesNames,"H35_JulBASCr",SheetNamedRangesValues),0),I36),0)</f>
        <v>0</v>
      </c>
      <c r="K36" s="1159">
        <f>-MIN(IF(ISBLANK(I36),IF(OR(AND(C36&gt;=_xlfn.SINGLE(SUMIF(SheetNamedRangesNames,"TaxYearStart",SheetNamedRangesValues)),C36&lt;=_xlfn.SINGLE(SUMIF(SheetNamedRangesNames,"TaxYearEnd",SheetNamedRangesValues))),C36=""),-_xlfn.SINGLE(SUMIF(SheetNamedRangesNames,"H35_JulBASDr",SheetNamedRangesValues)),0),I36),0)</f>
        <v>0</v>
      </c>
      <c r="L36" s="1159">
        <f>(L33-J36+K36)</f>
        <v>0</v>
      </c>
      <c r="M36" s="1176"/>
      <c r="N36" s="1158"/>
      <c r="O36" s="1157"/>
      <c r="P36" s="1157"/>
      <c r="Q36" s="1157"/>
      <c r="R36" s="1157"/>
      <c r="T36" s="136"/>
      <c r="U36" s="1108"/>
      <c r="V36" s="1107"/>
    </row>
    <row r="37" spans="2:22" ht="17.25" customHeight="1">
      <c r="B37" s="1164"/>
      <c r="C37" s="1181"/>
      <c r="D37" s="1193" t="s">
        <v>1403</v>
      </c>
      <c r="E37" s="1192"/>
      <c r="F37" s="1185" t="s">
        <v>284</v>
      </c>
      <c r="G37" s="1184"/>
      <c r="H37" s="1152"/>
      <c r="I37" s="1123"/>
      <c r="J37" s="1159">
        <f>MAX(IF(ISBLANK(I37),IF(OR(AND(C37&gt;=_xlfn.SINGLE(SUMIF(SheetNamedRangesNames,"TaxYearStart",SheetNamedRangesValues)),C37&lt;=_xlfn.SINGLE(SUMIF(SheetNamedRangesNames,"TaxYearEnd",SheetNamedRangesValues))),C37=""),SUMIF(SheetNamedRangesNames,"H35_AugBASCr",SheetNamedRangesValues),0),I37),0)</f>
        <v>0</v>
      </c>
      <c r="K37" s="1159">
        <f>-MIN(IF(ISBLANK(I37),IF(OR(AND(C37&gt;=_xlfn.SINGLE(SUMIF(SheetNamedRangesNames,"TaxYearStart",SheetNamedRangesValues)),C37&lt;=_xlfn.SINGLE(SUMIF(SheetNamedRangesNames,"TaxYearEnd",SheetNamedRangesValues))),C37=""),-_xlfn.SINGLE(SUMIF(SheetNamedRangesNames,"H35_AugBASDr",SheetNamedRangesValues)),0),I37),0)</f>
        <v>0</v>
      </c>
      <c r="L37" s="1159">
        <f t="shared" ref="L37:L49" si="0">(L36-J37+K37)</f>
        <v>0</v>
      </c>
      <c r="M37" s="1176"/>
      <c r="N37" s="1158"/>
      <c r="O37" s="1157"/>
      <c r="P37" s="1157"/>
      <c r="Q37" s="1157"/>
      <c r="R37" s="1157"/>
      <c r="T37" s="136"/>
      <c r="U37" s="1108"/>
      <c r="V37" s="1107"/>
    </row>
    <row r="38" spans="2:22" ht="17.25" customHeight="1">
      <c r="B38" s="1164"/>
      <c r="C38" s="1181"/>
      <c r="D38" s="1193" t="s">
        <v>1402</v>
      </c>
      <c r="E38" s="1192"/>
      <c r="F38" s="1185" t="s">
        <v>284</v>
      </c>
      <c r="G38" s="1184"/>
      <c r="H38" s="1152"/>
      <c r="I38" s="1123"/>
      <c r="J38" s="1159">
        <f>MAX(IF(ISBLANK(I38),IF(OR(AND(C38&gt;=_xlfn.SINGLE(SUMIF(SheetNamedRangesNames,"TaxYearStart",SheetNamedRangesValues)),C38&lt;=_xlfn.SINGLE(SUMIF(SheetNamedRangesNames,"TaxYearEnd",SheetNamedRangesValues))),C38=""),SUMIF(SheetNamedRangesNames,"H35_SepBASCr",SheetNamedRangesValues),0),I38),0)</f>
        <v>0</v>
      </c>
      <c r="K38" s="1159">
        <f>-MIN(IF(ISBLANK(I38),IF(OR(AND(C38&gt;=_xlfn.SINGLE(SUMIF(SheetNamedRangesNames,"TaxYearStart",SheetNamedRangesValues)),C38&lt;=_xlfn.SINGLE(SUMIF(SheetNamedRangesNames,"TaxYearEnd",SheetNamedRangesValues))),C38=""),-_xlfn.SINGLE(SUMIF(SheetNamedRangesNames,"H35_SepBASDr",SheetNamedRangesValues)),0),I38),0)</f>
        <v>0</v>
      </c>
      <c r="L38" s="1159">
        <f t="shared" si="0"/>
        <v>0</v>
      </c>
      <c r="M38" s="1176"/>
      <c r="N38" s="1158"/>
      <c r="O38" s="1157"/>
      <c r="P38" s="1157"/>
      <c r="Q38" s="1157"/>
      <c r="R38" s="1157"/>
      <c r="T38" s="136"/>
      <c r="U38" s="1108"/>
      <c r="V38" s="1107"/>
    </row>
    <row r="39" spans="2:22" ht="17.25" customHeight="1">
      <c r="B39" s="1164"/>
      <c r="C39" s="1181"/>
      <c r="D39" s="1193" t="s">
        <v>1401</v>
      </c>
      <c r="E39" s="1192"/>
      <c r="F39" s="1185" t="s">
        <v>284</v>
      </c>
      <c r="G39" s="1184"/>
      <c r="H39" s="1152"/>
      <c r="I39" s="1123"/>
      <c r="J39" s="1159">
        <f>MAX(IF(ISBLANK(I39),IF(OR(AND(C39&gt;=_xlfn.SINGLE(SUMIF(SheetNamedRangesNames,"TaxYearStart",SheetNamedRangesValues)),C39&lt;=_xlfn.SINGLE(SUMIF(SheetNamedRangesNames,"TaxYearEnd",SheetNamedRangesValues))),C39=""),SUMIF(SheetNamedRangesNames,"H35_OctBASCr",SheetNamedRangesValues),0),I39),0)</f>
        <v>0</v>
      </c>
      <c r="K39" s="1159">
        <f>-MIN(IF(ISBLANK(I39),IF(OR(AND(C39&gt;=_xlfn.SINGLE(SUMIF(SheetNamedRangesNames,"TaxYearStart",SheetNamedRangesValues)),C39&lt;=_xlfn.SINGLE(SUMIF(SheetNamedRangesNames,"TaxYearEnd",SheetNamedRangesValues))),C39=""),-_xlfn.SINGLE(SUMIF(SheetNamedRangesNames,"H35_OctBASDr",SheetNamedRangesValues)),0),I39),0)</f>
        <v>0</v>
      </c>
      <c r="L39" s="1159">
        <f t="shared" si="0"/>
        <v>0</v>
      </c>
      <c r="M39" s="1176"/>
      <c r="N39" s="1158"/>
      <c r="O39" s="1157"/>
      <c r="P39" s="1157"/>
      <c r="Q39" s="1157"/>
      <c r="R39" s="1157"/>
      <c r="T39" s="136"/>
      <c r="U39" s="1108"/>
      <c r="V39" s="1107"/>
    </row>
    <row r="40" spans="2:22" ht="17.25" customHeight="1">
      <c r="B40" s="1164"/>
      <c r="C40" s="1181"/>
      <c r="D40" s="1193" t="s">
        <v>1400</v>
      </c>
      <c r="E40" s="1192"/>
      <c r="F40" s="1185" t="s">
        <v>284</v>
      </c>
      <c r="G40" s="1184"/>
      <c r="H40" s="1152"/>
      <c r="I40" s="1123"/>
      <c r="J40" s="1159">
        <f>MAX(IF(ISBLANK(I40),IF(OR(AND(C40&gt;=_xlfn.SINGLE(SUMIF(SheetNamedRangesNames,"TaxYearStart",SheetNamedRangesValues)),C40&lt;=_xlfn.SINGLE(SUMIF(SheetNamedRangesNames,"TaxYearEnd",SheetNamedRangesValues))),C40=""),SUMIF(SheetNamedRangesNames,"H35_NovBASCr",SheetNamedRangesValues),0),I40),0)</f>
        <v>0</v>
      </c>
      <c r="K40" s="1159">
        <f>-MIN(IF(ISBLANK(I40),IF(OR(AND(C40&gt;=_xlfn.SINGLE(SUMIF(SheetNamedRangesNames,"TaxYearStart",SheetNamedRangesValues)),C40&lt;=_xlfn.SINGLE(SUMIF(SheetNamedRangesNames,"TaxYearEnd",SheetNamedRangesValues))),C40=""),-_xlfn.SINGLE(SUMIF(SheetNamedRangesNames,"H35_NovBASDr",SheetNamedRangesValues)),0),I40),0)</f>
        <v>0</v>
      </c>
      <c r="L40" s="1159">
        <f t="shared" si="0"/>
        <v>0</v>
      </c>
      <c r="M40" s="1176"/>
      <c r="N40" s="1158"/>
      <c r="O40" s="1157"/>
      <c r="P40" s="1157"/>
      <c r="Q40" s="1157"/>
      <c r="R40" s="1157"/>
      <c r="T40" s="136"/>
      <c r="U40" s="1108"/>
      <c r="V40" s="1107"/>
    </row>
    <row r="41" spans="2:22" ht="17.25" customHeight="1">
      <c r="B41" s="1164"/>
      <c r="C41" s="1181"/>
      <c r="D41" s="1193" t="s">
        <v>1399</v>
      </c>
      <c r="E41" s="1192"/>
      <c r="F41" s="1185" t="s">
        <v>284</v>
      </c>
      <c r="G41" s="1184"/>
      <c r="H41" s="1152"/>
      <c r="I41" s="1123"/>
      <c r="J41" s="1159">
        <f>MAX(IF(ISBLANK(I41),IF(OR(AND(C41&gt;=_xlfn.SINGLE(SUMIF(SheetNamedRangesNames,"TaxYearStart",SheetNamedRangesValues)),C41&lt;=_xlfn.SINGLE(SUMIF(SheetNamedRangesNames,"TaxYearEnd",SheetNamedRangesValues))),C41=""),SUMIF(SheetNamedRangesNames,"H35_DecBASCr",SheetNamedRangesValues),0),I41),0)</f>
        <v>0</v>
      </c>
      <c r="K41" s="1159">
        <f>-MIN(IF(ISBLANK(I41),IF(OR(AND(C41&gt;=_xlfn.SINGLE(SUMIF(SheetNamedRangesNames,"TaxYearStart",SheetNamedRangesValues)),C41&lt;=_xlfn.SINGLE(SUMIF(SheetNamedRangesNames,"TaxYearEnd",SheetNamedRangesValues))),C41=""),-_xlfn.SINGLE(SUMIF(SheetNamedRangesNames,"H35_DecBASDr",SheetNamedRangesValues)),0),I41),0)</f>
        <v>0</v>
      </c>
      <c r="L41" s="1159">
        <f t="shared" si="0"/>
        <v>0</v>
      </c>
      <c r="M41" s="1176"/>
      <c r="N41" s="1158"/>
      <c r="O41" s="1157"/>
      <c r="P41" s="1157"/>
      <c r="Q41" s="1157"/>
      <c r="R41" s="1157"/>
      <c r="T41" s="136"/>
      <c r="U41" s="1108"/>
      <c r="V41" s="1107"/>
    </row>
    <row r="42" spans="2:22" ht="17.25" customHeight="1">
      <c r="B42" s="1164"/>
      <c r="C42" s="1181"/>
      <c r="D42" s="1193" t="s">
        <v>1398</v>
      </c>
      <c r="E42" s="1192"/>
      <c r="F42" s="1185" t="s">
        <v>284</v>
      </c>
      <c r="G42" s="1184"/>
      <c r="H42" s="1152"/>
      <c r="I42" s="1123"/>
      <c r="J42" s="1159">
        <f>MAX(IF(ISBLANK(I42),IF(OR(AND(C42&gt;=_xlfn.SINGLE(SUMIF(SheetNamedRangesNames,"TaxYearStart",SheetNamedRangesValues)),C42&lt;=_xlfn.SINGLE(SUMIF(SheetNamedRangesNames,"TaxYearEnd",SheetNamedRangesValues))),C42=""),SUMIF(SheetNamedRangesNames,"H35_JanBASCr",SheetNamedRangesValues),0),I42),0)</f>
        <v>0</v>
      </c>
      <c r="K42" s="1159">
        <f>-MIN(IF(ISBLANK(I42),IF(OR(AND(C42&gt;=_xlfn.SINGLE(SUMIF(SheetNamedRangesNames,"TaxYearStart",SheetNamedRangesValues)),C42&lt;=_xlfn.SINGLE(SUMIF(SheetNamedRangesNames,"TaxYearEnd",SheetNamedRangesValues))),C42=""),-_xlfn.SINGLE(SUMIF(SheetNamedRangesNames,"H35_JanBASDr",SheetNamedRangesValues)),0),I42),0)</f>
        <v>0</v>
      </c>
      <c r="L42" s="1159">
        <f t="shared" si="0"/>
        <v>0</v>
      </c>
      <c r="M42" s="1176"/>
      <c r="N42" s="1158"/>
      <c r="O42" s="1157"/>
      <c r="P42" s="1157"/>
      <c r="Q42" s="1157"/>
      <c r="R42" s="1157"/>
      <c r="T42" s="136"/>
      <c r="U42" s="1108"/>
      <c r="V42" s="1107"/>
    </row>
    <row r="43" spans="2:22" ht="17.25" customHeight="1">
      <c r="B43" s="1164"/>
      <c r="C43" s="1181"/>
      <c r="D43" s="1193" t="s">
        <v>1397</v>
      </c>
      <c r="E43" s="1192"/>
      <c r="F43" s="1185" t="s">
        <v>284</v>
      </c>
      <c r="G43" s="1184"/>
      <c r="H43" s="1152"/>
      <c r="I43" s="1123"/>
      <c r="J43" s="1159">
        <f>MAX(IF(ISBLANK(I43),IF(OR(AND(C43&gt;=_xlfn.SINGLE(SUMIF(SheetNamedRangesNames,"TaxYearStart",SheetNamedRangesValues)),C43&lt;=_xlfn.SINGLE(SUMIF(SheetNamedRangesNames,"TaxYearEnd",SheetNamedRangesValues))),C43=""),SUMIF(SheetNamedRangesNames,"H35_FebBASCr",SheetNamedRangesValues),0),I43),0)</f>
        <v>0</v>
      </c>
      <c r="K43" s="1159">
        <f>-MIN(IF(ISBLANK(I43),IF(OR(AND(C43&gt;=_xlfn.SINGLE(SUMIF(SheetNamedRangesNames,"TaxYearStart",SheetNamedRangesValues)),C43&lt;=_xlfn.SINGLE(SUMIF(SheetNamedRangesNames,"TaxYearEnd",SheetNamedRangesValues))),C43=""),-_xlfn.SINGLE(SUMIF(SheetNamedRangesNames,"H35_FebBASDr",SheetNamedRangesValues)),0),I43),0)</f>
        <v>0</v>
      </c>
      <c r="L43" s="1159">
        <f t="shared" si="0"/>
        <v>0</v>
      </c>
      <c r="M43" s="1176"/>
      <c r="N43" s="1158"/>
      <c r="O43" s="1157"/>
      <c r="P43" s="1157"/>
      <c r="Q43" s="1157"/>
      <c r="R43" s="1157"/>
      <c r="T43" s="136"/>
      <c r="U43" s="1108"/>
      <c r="V43" s="1107"/>
    </row>
    <row r="44" spans="2:22" ht="17.25" customHeight="1">
      <c r="B44" s="1164"/>
      <c r="C44" s="1181"/>
      <c r="D44" s="1193" t="s">
        <v>1396</v>
      </c>
      <c r="E44" s="1192"/>
      <c r="F44" s="1185" t="s">
        <v>284</v>
      </c>
      <c r="G44" s="1184"/>
      <c r="H44" s="1152"/>
      <c r="I44" s="1123"/>
      <c r="J44" s="1159">
        <f>MAX(IF(ISBLANK(I44),IF(OR(AND(C44&gt;=_xlfn.SINGLE(SUMIF(SheetNamedRangesNames,"TaxYearStart",SheetNamedRangesValues)),C44&lt;=_xlfn.SINGLE(SUMIF(SheetNamedRangesNames,"TaxYearEnd",SheetNamedRangesValues))),C44=""),SUMIF(SheetNamedRangesNames,"H35_MarBASCr",SheetNamedRangesValues),0),I44),0)</f>
        <v>0</v>
      </c>
      <c r="K44" s="1159">
        <f>-MIN(IF(ISBLANK(I44),IF(OR(AND(C44&gt;=_xlfn.SINGLE(SUMIF(SheetNamedRangesNames,"TaxYearStart",SheetNamedRangesValues)),C44&lt;=_xlfn.SINGLE(SUMIF(SheetNamedRangesNames,"TaxYearEnd",SheetNamedRangesValues))),C44=""),-_xlfn.SINGLE(SUMIF(SheetNamedRangesNames,"H35_MarBASDr",SheetNamedRangesValues)),0),I44),0)</f>
        <v>0</v>
      </c>
      <c r="L44" s="1159">
        <f t="shared" si="0"/>
        <v>0</v>
      </c>
      <c r="M44" s="1176"/>
      <c r="N44" s="1158"/>
      <c r="O44" s="1157"/>
      <c r="P44" s="1157"/>
      <c r="Q44" s="1157"/>
      <c r="R44" s="1157"/>
      <c r="T44" s="136"/>
      <c r="U44" s="1108"/>
      <c r="V44" s="1107"/>
    </row>
    <row r="45" spans="2:22" ht="17.25" customHeight="1">
      <c r="B45" s="1164"/>
      <c r="C45" s="1181"/>
      <c r="D45" s="1193" t="s">
        <v>1395</v>
      </c>
      <c r="E45" s="1192"/>
      <c r="F45" s="1185" t="s">
        <v>284</v>
      </c>
      <c r="G45" s="1184"/>
      <c r="H45" s="1152"/>
      <c r="I45" s="1123"/>
      <c r="J45" s="1159">
        <f>MAX(IF(ISBLANK(I45),IF(OR(AND(C45&gt;=_xlfn.SINGLE(SUMIF(SheetNamedRangesNames,"TaxYearStart",SheetNamedRangesValues)),C45&lt;=_xlfn.SINGLE(SUMIF(SheetNamedRangesNames,"TaxYearEnd",SheetNamedRangesValues))),C45=""),SUMIF(SheetNamedRangesNames,"H35_AprBASCr",SheetNamedRangesValues),0),I45),0)</f>
        <v>0</v>
      </c>
      <c r="K45" s="1159">
        <f>-MIN(IF(ISBLANK(I45),IF(OR(AND(C45&gt;=_xlfn.SINGLE(SUMIF(SheetNamedRangesNames,"TaxYearStart",SheetNamedRangesValues)),C45&lt;=_xlfn.SINGLE(SUMIF(SheetNamedRangesNames,"TaxYearEnd",SheetNamedRangesValues))),C45=""),-_xlfn.SINGLE(SUMIF(SheetNamedRangesNames,"H35_AprBASDr",SheetNamedRangesValues)),0),I45),0)</f>
        <v>0</v>
      </c>
      <c r="L45" s="1159">
        <f t="shared" si="0"/>
        <v>0</v>
      </c>
      <c r="M45" s="1176"/>
      <c r="N45" s="1158"/>
      <c r="O45" s="1157"/>
      <c r="P45" s="1157"/>
      <c r="Q45" s="1157"/>
      <c r="R45" s="1157"/>
      <c r="T45" s="136"/>
      <c r="U45" s="1108"/>
      <c r="V45" s="1107"/>
    </row>
    <row r="46" spans="2:22" ht="17.25" customHeight="1">
      <c r="B46" s="1164"/>
      <c r="C46" s="1181"/>
      <c r="D46" s="1193" t="s">
        <v>1394</v>
      </c>
      <c r="E46" s="1192"/>
      <c r="F46" s="1185" t="s">
        <v>284</v>
      </c>
      <c r="G46" s="1184"/>
      <c r="H46" s="1152"/>
      <c r="I46" s="1123"/>
      <c r="J46" s="1159">
        <f>MAX(IF(ISBLANK(I46),IF(OR(AND(C46&gt;=_xlfn.SINGLE(SUMIF(SheetNamedRangesNames,"TaxYearStart",SheetNamedRangesValues)),C46&lt;=_xlfn.SINGLE(SUMIF(SheetNamedRangesNames,"TaxYearEnd",SheetNamedRangesValues))),C46=""),SUMIF(SheetNamedRangesNames,"H35_MayBASCr",SheetNamedRangesValues),0),I46),0)</f>
        <v>0</v>
      </c>
      <c r="K46" s="1159">
        <f>-MIN(IF(ISBLANK(I46),IF(OR(AND(C46&gt;=_xlfn.SINGLE(SUMIF(SheetNamedRangesNames,"TaxYearStart",SheetNamedRangesValues)),C46&lt;=_xlfn.SINGLE(SUMIF(SheetNamedRangesNames,"TaxYearEnd",SheetNamedRangesValues))),C46=""),-_xlfn.SINGLE(SUMIF(SheetNamedRangesNames,"H35_MayBASDr",SheetNamedRangesValues)),0),I46),0)</f>
        <v>0</v>
      </c>
      <c r="L46" s="1159">
        <f t="shared" si="0"/>
        <v>0</v>
      </c>
      <c r="M46" s="1176"/>
      <c r="N46" s="1158"/>
      <c r="O46" s="1157"/>
      <c r="P46" s="1157"/>
      <c r="Q46" s="1157"/>
      <c r="R46" s="1157"/>
      <c r="T46" s="136"/>
      <c r="U46" s="1108"/>
      <c r="V46" s="1107"/>
    </row>
    <row r="47" spans="2:22" ht="17.25" customHeight="1">
      <c r="B47" s="1164"/>
      <c r="C47" s="1181"/>
      <c r="D47" s="1441" t="s">
        <v>283</v>
      </c>
      <c r="E47" s="1442"/>
      <c r="F47" s="1184"/>
      <c r="G47" s="1184"/>
      <c r="H47" s="1184"/>
      <c r="I47" s="1187"/>
      <c r="J47" s="1123"/>
      <c r="K47" s="1123"/>
      <c r="L47" s="1159">
        <f t="shared" si="0"/>
        <v>0</v>
      </c>
      <c r="M47" s="1176"/>
      <c r="N47" s="1158"/>
      <c r="O47" s="1157"/>
      <c r="P47" s="1157"/>
      <c r="Q47" s="1157"/>
      <c r="R47" s="1157"/>
      <c r="T47" s="136"/>
      <c r="U47" s="1108"/>
      <c r="V47" s="1107"/>
    </row>
    <row r="48" spans="2:22" ht="17.25" customHeight="1">
      <c r="B48" s="1164"/>
      <c r="C48" s="1181"/>
      <c r="D48" s="1441"/>
      <c r="E48" s="1442"/>
      <c r="F48" s="1184"/>
      <c r="G48" s="1184"/>
      <c r="H48" s="1184"/>
      <c r="I48" s="1187"/>
      <c r="J48" s="1123"/>
      <c r="K48" s="1123"/>
      <c r="L48" s="1159">
        <f t="shared" si="0"/>
        <v>0</v>
      </c>
      <c r="M48" s="1176"/>
      <c r="N48" s="1158"/>
      <c r="O48" s="1157"/>
      <c r="P48" s="1157"/>
      <c r="Q48" s="1157"/>
      <c r="R48" s="1157"/>
      <c r="T48" s="136"/>
      <c r="U48" s="1108"/>
      <c r="V48" s="1107"/>
    </row>
    <row r="49" spans="2:22" ht="17.25" customHeight="1">
      <c r="B49" s="1164"/>
      <c r="C49" s="1181"/>
      <c r="D49" s="1441"/>
      <c r="E49" s="1442"/>
      <c r="F49" s="1184"/>
      <c r="G49" s="1184"/>
      <c r="H49" s="1184"/>
      <c r="I49" s="1187"/>
      <c r="J49" s="1123"/>
      <c r="K49" s="1123"/>
      <c r="L49" s="1159">
        <f t="shared" si="0"/>
        <v>0</v>
      </c>
      <c r="M49" s="1176"/>
      <c r="N49" s="1158"/>
      <c r="O49" s="1157"/>
      <c r="P49" s="1157"/>
      <c r="Q49" s="1157"/>
      <c r="R49" s="1157"/>
      <c r="T49" s="136"/>
      <c r="U49" s="1108"/>
      <c r="V49" s="1107"/>
    </row>
    <row r="50" spans="2:22" ht="17.25" customHeight="1">
      <c r="B50" s="1164"/>
      <c r="C50" s="1191"/>
      <c r="D50" s="341"/>
      <c r="I50" s="1187"/>
      <c r="J50" s="149"/>
      <c r="K50" s="1174"/>
      <c r="L50" s="1174"/>
      <c r="M50" s="1176"/>
      <c r="N50" s="1175"/>
      <c r="O50" s="1174"/>
      <c r="P50" s="1174"/>
      <c r="Q50" s="1174"/>
      <c r="R50" s="1174"/>
      <c r="T50" s="136"/>
      <c r="U50" s="1190"/>
      <c r="V50" s="1190"/>
    </row>
    <row r="51" spans="2:22" ht="17.25" customHeight="1">
      <c r="B51" s="204"/>
      <c r="C51" s="1440" t="s">
        <v>1393</v>
      </c>
      <c r="D51" s="1440"/>
      <c r="E51" s="1189"/>
      <c r="F51" s="1188"/>
      <c r="G51" s="1187" t="s">
        <v>1392</v>
      </c>
      <c r="H51" s="1187" t="s">
        <v>1391</v>
      </c>
      <c r="M51" s="360"/>
      <c r="N51" s="278"/>
    </row>
    <row r="52" spans="2:22" ht="17.25" customHeight="1">
      <c r="B52" s="1164"/>
      <c r="C52" s="1181"/>
      <c r="D52" s="1443" t="s">
        <v>1390</v>
      </c>
      <c r="E52" s="1443"/>
      <c r="F52" s="1185" t="s">
        <v>284</v>
      </c>
      <c r="G52" s="1184"/>
      <c r="H52" s="1186">
        <f>L248-IF(Dividends_SelectedMethod="Worksheet",SUMIF(SheetNamedRangesNames,"K04_OutstandingFC",SheetNamedRangesValues),R248)</f>
        <v>0</v>
      </c>
      <c r="I52" s="1123"/>
      <c r="J52" s="1159">
        <f>IF(AND(ISBLANK(C52)&lt;&gt;TRUE,OR(C52&lt;TaxYearStart,C52&gt;TaxYearEnd)),0,MAX(IF(ISBLANK(I52),H52,I52),0))</f>
        <v>0</v>
      </c>
      <c r="K52" s="1182"/>
      <c r="L52" s="1159">
        <f>(L49-J52+K52)</f>
        <v>0</v>
      </c>
      <c r="M52" s="1176"/>
      <c r="N52" s="1158"/>
      <c r="O52" s="1157"/>
      <c r="P52" s="1157"/>
      <c r="Q52" s="1157"/>
      <c r="R52" s="1157"/>
      <c r="T52" s="136"/>
      <c r="U52" s="1108"/>
      <c r="V52" s="1107"/>
    </row>
    <row r="53" spans="2:22" ht="30" customHeight="1">
      <c r="B53" s="1164"/>
      <c r="C53" s="1181"/>
      <c r="D53" s="1443" t="s">
        <v>1389</v>
      </c>
      <c r="E53" s="1443"/>
      <c r="F53" s="1185" t="s">
        <v>284</v>
      </c>
      <c r="G53" s="1184" t="s">
        <v>1388</v>
      </c>
      <c r="H53" s="1152">
        <f>-IFERROR(SUMIF(SheetNamedRangesNames,"M10_FrankingCredits",SheetNamedRangesValues),0)</f>
        <v>0</v>
      </c>
      <c r="I53" s="1123"/>
      <c r="J53" s="1182"/>
      <c r="K53" s="1159">
        <f>IF(AND(ISBLANK(C53)&lt;&gt;TRUE,OR(C53&lt;TaxYearStart,C53&gt;TaxYearEnd)),0,-MIN(IF(ISBLANK(I53),H53,I53),0))</f>
        <v>0</v>
      </c>
      <c r="L53" s="1159">
        <f t="shared" ref="L53:L58" si="1">(L52-J53+K53)</f>
        <v>0</v>
      </c>
      <c r="M53" s="1176"/>
      <c r="N53" s="1158"/>
      <c r="O53" s="1157"/>
      <c r="P53" s="1157"/>
      <c r="Q53" s="1157"/>
      <c r="R53" s="1157"/>
      <c r="T53" s="136"/>
      <c r="U53" s="1108"/>
      <c r="V53" s="1107"/>
    </row>
    <row r="54" spans="2:22" ht="17.25" customHeight="1">
      <c r="B54" s="1164"/>
      <c r="C54" s="1181"/>
      <c r="D54" s="1443" t="s">
        <v>1387</v>
      </c>
      <c r="E54" s="1443"/>
      <c r="F54" s="1185" t="s">
        <v>284</v>
      </c>
      <c r="G54" s="1184"/>
      <c r="H54" s="1183">
        <f>SUM(H66:H68)</f>
        <v>0</v>
      </c>
      <c r="I54" s="1123"/>
      <c r="J54" s="1182"/>
      <c r="K54" s="1159">
        <f>IF(AND(ISBLANK(C54)&lt;&gt;TRUE,OR(C54&lt;TaxYearStart,C54&gt;TaxYearEnd)),0,-MIN(IF(ISBLANK(I54),H54,I54),0))</f>
        <v>0</v>
      </c>
      <c r="L54" s="1159">
        <f t="shared" si="1"/>
        <v>0</v>
      </c>
      <c r="M54" s="1176"/>
      <c r="N54" s="1158"/>
      <c r="O54" s="1157"/>
      <c r="P54" s="1157"/>
      <c r="Q54" s="1157"/>
      <c r="R54" s="1157"/>
      <c r="T54" s="136"/>
      <c r="U54" s="1108"/>
      <c r="V54" s="1107"/>
    </row>
    <row r="55" spans="2:22" ht="30" customHeight="1">
      <c r="B55" s="1164"/>
      <c r="C55" s="1181"/>
      <c r="D55" s="1479" t="s">
        <v>1386</v>
      </c>
      <c r="E55" s="1480"/>
      <c r="F55" s="1185" t="s">
        <v>284</v>
      </c>
      <c r="G55" s="1184"/>
      <c r="H55" s="1183">
        <f>SUM(H70:H71)</f>
        <v>0</v>
      </c>
      <c r="I55" s="1123"/>
      <c r="J55" s="1182"/>
      <c r="K55" s="1159">
        <f>IF(AND(ISBLANK(C55)&lt;&gt;TRUE,OR(C55&lt;TaxYearStart,C55&gt;TaxYearEnd)),0,-MIN(IF(ISBLANK(I55),H55,I55),0))</f>
        <v>0</v>
      </c>
      <c r="L55" s="1159">
        <f t="shared" si="1"/>
        <v>0</v>
      </c>
      <c r="M55" s="1176"/>
      <c r="N55" s="1158"/>
      <c r="O55" s="1157"/>
      <c r="P55" s="1157"/>
      <c r="Q55" s="1157"/>
      <c r="R55" s="1157"/>
      <c r="T55" s="136"/>
      <c r="U55" s="1108"/>
      <c r="V55" s="1107"/>
    </row>
    <row r="56" spans="2:22" ht="17.25" customHeight="1">
      <c r="B56" s="1164"/>
      <c r="C56" s="1181"/>
      <c r="D56" s="1441" t="s">
        <v>283</v>
      </c>
      <c r="E56" s="1442"/>
      <c r="F56" s="1177"/>
      <c r="G56" s="1177"/>
      <c r="H56" s="1177"/>
      <c r="I56" s="1177"/>
      <c r="J56" s="1123"/>
      <c r="K56" s="1123"/>
      <c r="L56" s="1159">
        <f t="shared" si="1"/>
        <v>0</v>
      </c>
      <c r="M56" s="1176"/>
      <c r="N56" s="1158"/>
      <c r="O56" s="1157"/>
      <c r="P56" s="1157"/>
      <c r="Q56" s="1157"/>
      <c r="R56" s="1157"/>
      <c r="T56" s="136"/>
      <c r="U56" s="1108"/>
      <c r="V56" s="1107"/>
    </row>
    <row r="57" spans="2:22" ht="17.25" customHeight="1">
      <c r="B57" s="1164"/>
      <c r="C57" s="1181"/>
      <c r="D57" s="1441"/>
      <c r="E57" s="1442"/>
      <c r="F57" s="1177"/>
      <c r="G57" s="1177"/>
      <c r="H57" s="1177"/>
      <c r="I57" s="1177"/>
      <c r="J57" s="1123"/>
      <c r="K57" s="1123"/>
      <c r="L57" s="1159">
        <f t="shared" si="1"/>
        <v>0</v>
      </c>
      <c r="M57" s="1176"/>
      <c r="N57" s="1158"/>
      <c r="O57" s="1157"/>
      <c r="P57" s="1157"/>
      <c r="Q57" s="1157"/>
      <c r="R57" s="1157"/>
      <c r="T57" s="136"/>
      <c r="U57" s="1108"/>
      <c r="V57" s="1107"/>
    </row>
    <row r="58" spans="2:22" ht="17.25" customHeight="1">
      <c r="B58" s="1164"/>
      <c r="C58" s="1181"/>
      <c r="D58" s="1441"/>
      <c r="E58" s="1442"/>
      <c r="F58" s="1177"/>
      <c r="G58" s="1177"/>
      <c r="H58" s="1177"/>
      <c r="I58" s="1177"/>
      <c r="J58" s="1123"/>
      <c r="K58" s="1123"/>
      <c r="L58" s="1159">
        <f t="shared" si="1"/>
        <v>0</v>
      </c>
      <c r="M58" s="1176"/>
      <c r="N58" s="1158"/>
      <c r="O58" s="1157"/>
      <c r="P58" s="1157"/>
      <c r="Q58" s="1157"/>
      <c r="R58" s="1157"/>
      <c r="T58" s="136"/>
      <c r="U58" s="1108"/>
      <c r="V58" s="1107"/>
    </row>
    <row r="59" spans="2:22" ht="17.25" customHeight="1">
      <c r="B59" s="1164"/>
      <c r="C59" s="1180" t="s">
        <v>1385</v>
      </c>
      <c r="D59" s="701"/>
      <c r="E59" s="701"/>
      <c r="F59" s="1177"/>
      <c r="G59" s="1177"/>
      <c r="H59" s="1177"/>
      <c r="I59" s="1177"/>
      <c r="J59" s="1179">
        <f>SUM(J27:J58)</f>
        <v>0</v>
      </c>
      <c r="K59" s="1179">
        <f>SUM(K27:K58)</f>
        <v>0</v>
      </c>
      <c r="L59" s="1174"/>
      <c r="M59" s="1176"/>
      <c r="N59" s="1175"/>
      <c r="O59" s="1174"/>
      <c r="P59" s="1174"/>
      <c r="Q59" s="1174"/>
      <c r="R59" s="1174"/>
      <c r="T59" s="136"/>
      <c r="U59" s="441"/>
      <c r="V59" s="441"/>
    </row>
    <row r="60" spans="2:22" ht="7.5" customHeight="1">
      <c r="B60" s="1164"/>
      <c r="C60" s="1178"/>
      <c r="D60" s="701"/>
      <c r="E60" s="701"/>
      <c r="F60" s="1177"/>
      <c r="G60" s="1177"/>
      <c r="H60" s="1177"/>
      <c r="I60" s="1177"/>
      <c r="J60" s="1174"/>
      <c r="K60" s="1174"/>
      <c r="L60" s="1174"/>
      <c r="M60" s="1176"/>
      <c r="N60" s="1175"/>
      <c r="O60" s="1174"/>
      <c r="P60" s="1174"/>
      <c r="Q60" s="1174"/>
      <c r="R60" s="1174"/>
      <c r="T60" s="136"/>
      <c r="U60" s="441"/>
      <c r="V60" s="441"/>
    </row>
    <row r="61" spans="2:22" ht="22.5" customHeight="1">
      <c r="B61" s="1164"/>
      <c r="C61" s="1173" t="s">
        <v>546</v>
      </c>
      <c r="D61" s="1172"/>
      <c r="E61" s="1171"/>
      <c r="F61" s="1171"/>
      <c r="G61" s="1171"/>
      <c r="H61" s="1171"/>
      <c r="I61" s="1171"/>
      <c r="J61" s="1171"/>
      <c r="K61" s="1171"/>
      <c r="L61" s="1170">
        <f>SingleOB-J59+K59</f>
        <v>0</v>
      </c>
      <c r="M61" s="360"/>
      <c r="N61" s="1169"/>
      <c r="O61" s="1168"/>
      <c r="P61" s="1168"/>
      <c r="Q61" s="1168"/>
      <c r="R61" s="1168"/>
      <c r="T61" s="136"/>
      <c r="U61" s="1108"/>
      <c r="V61" s="1107"/>
    </row>
    <row r="62" spans="2:22" ht="22.5" customHeight="1">
      <c r="B62" s="1164"/>
      <c r="C62" s="1163"/>
      <c r="D62" s="453"/>
      <c r="E62" s="1162"/>
      <c r="F62" s="1162"/>
      <c r="G62" s="1162"/>
      <c r="H62" s="1162"/>
      <c r="I62" s="1162"/>
      <c r="J62" s="1162"/>
      <c r="K62" s="1166"/>
      <c r="L62" s="1166"/>
      <c r="M62" s="360"/>
      <c r="N62" s="1167"/>
      <c r="O62" s="1166"/>
      <c r="P62" s="1166"/>
      <c r="Q62" s="1166"/>
      <c r="R62" s="1166"/>
      <c r="T62" s="136"/>
      <c r="U62" s="482"/>
      <c r="V62" s="482"/>
    </row>
    <row r="63" spans="2:22" ht="45" customHeight="1">
      <c r="B63" s="1164"/>
      <c r="C63" s="1163"/>
      <c r="D63" s="453"/>
      <c r="E63" s="1162"/>
      <c r="F63" s="1162"/>
      <c r="I63" s="282"/>
      <c r="J63" s="1162" t="s">
        <v>1384</v>
      </c>
      <c r="K63" s="1162" t="s">
        <v>1383</v>
      </c>
      <c r="L63" s="1162" t="s">
        <v>1382</v>
      </c>
      <c r="M63" s="360"/>
      <c r="N63" s="1165"/>
      <c r="O63" s="1162"/>
      <c r="P63" s="1162"/>
      <c r="Q63" s="1162"/>
      <c r="R63" s="1162"/>
      <c r="T63" s="136"/>
      <c r="U63" s="1111"/>
      <c r="V63" s="1111"/>
    </row>
    <row r="64" spans="2:22" ht="22.5" customHeight="1">
      <c r="B64" s="1164"/>
      <c r="C64" s="1163"/>
      <c r="D64" s="453"/>
      <c r="E64" s="1162"/>
      <c r="F64" s="1162"/>
      <c r="J64" s="1161">
        <f>IFERROR(IF($L$61&lt;=0,0,IF(E262="Yes",$L$61*((1-ImputationRate)/ImputationRate),$L$61*((1-ImputationRate)/ImputationRate))),"-")</f>
        <v>0</v>
      </c>
      <c r="K64" s="1160"/>
      <c r="L64" s="1159">
        <f>MIN(J64:K64)</f>
        <v>0</v>
      </c>
      <c r="M64" s="360"/>
      <c r="N64" s="1158"/>
      <c r="O64" s="1157"/>
      <c r="P64" s="1157"/>
      <c r="Q64" s="1157"/>
      <c r="R64" s="1157"/>
      <c r="T64" s="136"/>
      <c r="U64" s="1108"/>
      <c r="V64" s="1107"/>
    </row>
    <row r="65" spans="1:25" ht="7.5" customHeight="1">
      <c r="B65" s="1156"/>
      <c r="C65" s="1155"/>
      <c r="D65" s="1155"/>
      <c r="E65" s="1155"/>
      <c r="F65" s="1155"/>
      <c r="G65" s="1155"/>
      <c r="H65" s="1155"/>
      <c r="I65" s="1155"/>
      <c r="J65" s="1155"/>
      <c r="K65" s="1155"/>
      <c r="L65" s="1155"/>
      <c r="M65" s="1154"/>
      <c r="N65" s="1153"/>
      <c r="O65" s="149"/>
      <c r="P65" s="149"/>
      <c r="Q65" s="149"/>
      <c r="R65" s="149"/>
      <c r="T65" s="136"/>
    </row>
    <row r="66" spans="1:25" ht="17.25" hidden="1" customHeight="1">
      <c r="C66" s="65" t="s">
        <v>1381</v>
      </c>
      <c r="G66" s="65" t="s">
        <v>1380</v>
      </c>
      <c r="H66" s="1152">
        <f>-IFERROR(SUMIF(SheetNamedRangesNames,"M5_FrankingCredits",SheetNamedRangesValues),0)</f>
        <v>0</v>
      </c>
    </row>
    <row r="67" spans="1:25" ht="17.25" hidden="1" customHeight="1">
      <c r="G67" s="65" t="s">
        <v>1379</v>
      </c>
      <c r="H67" s="1152">
        <f>-IFERROR(SUMIF(SheetNamedRangesNames,"M5_NZFrankingCredits",SheetNamedRangesValues),0)</f>
        <v>0</v>
      </c>
    </row>
    <row r="68" spans="1:25" ht="17.25" hidden="1" customHeight="1">
      <c r="G68" s="65" t="s">
        <v>1378</v>
      </c>
      <c r="H68" s="1152">
        <f>-IFERROR(SUMIF(SheetNamedRangesNames,"M5a_FrankingCredits",SheetNamedRangesValues),0)</f>
        <v>0</v>
      </c>
    </row>
    <row r="69" spans="1:25" ht="22.5" customHeight="1">
      <c r="H69" s="1152"/>
    </row>
    <row r="70" spans="1:25" ht="17.25" hidden="1" customHeight="1">
      <c r="C70" s="65" t="s">
        <v>1377</v>
      </c>
      <c r="G70" s="65" t="s">
        <v>1376</v>
      </c>
      <c r="H70" s="1152">
        <f>-IFERROR(SUMIF(SheetNamedRangesNames,"CC20_TFNWithheld",SheetNamedRangesValues),0)</f>
        <v>0</v>
      </c>
    </row>
    <row r="71" spans="1:25" ht="17.25" hidden="1" customHeight="1">
      <c r="G71" s="65" t="s">
        <v>1375</v>
      </c>
      <c r="H71" s="1152">
        <f>-IFERROR(SUMIF(SheetNamedRangesNames,"CC20_TFNWithheldTrusts",SheetNamedRangesValues),0)</f>
        <v>0</v>
      </c>
    </row>
    <row r="72" spans="1:25" ht="17.25" hidden="1" customHeight="1"/>
    <row r="73" spans="1:25" ht="17.25" hidden="1" customHeight="1">
      <c r="K73" s="1151">
        <f>IF(L61&lt;0,L61,0)</f>
        <v>0</v>
      </c>
    </row>
    <row r="74" spans="1:25" ht="22.5" customHeight="1">
      <c r="A74" s="594" t="str">
        <f>IF(SUBTOTAL(103,A75),"-","+")</f>
        <v>-</v>
      </c>
      <c r="B74" s="1444" t="s">
        <v>1374</v>
      </c>
      <c r="C74" s="1445"/>
      <c r="D74" s="1446"/>
      <c r="E74" s="198" t="str">
        <f>IF(AND(K248&gt;0,K253="Pending"),"Contains Data","No Data")</f>
        <v>No Data</v>
      </c>
      <c r="K74" s="355"/>
      <c r="L74" s="355"/>
      <c r="M74" s="355"/>
      <c r="N74" s="355"/>
      <c r="O74" s="355"/>
      <c r="P74" s="355"/>
      <c r="Q74" s="355"/>
      <c r="R74" s="355"/>
      <c r="S74" s="355"/>
      <c r="V74" s="1150"/>
    </row>
    <row r="75" spans="1:25" ht="7.5" customHeight="1">
      <c r="A75" s="65" t="s">
        <v>58</v>
      </c>
      <c r="B75" s="362"/>
      <c r="C75" s="165"/>
      <c r="D75" s="165"/>
      <c r="E75" s="165"/>
      <c r="F75" s="165"/>
      <c r="G75" s="165"/>
      <c r="H75" s="165"/>
      <c r="I75" s="165"/>
      <c r="J75" s="165"/>
      <c r="K75" s="165"/>
      <c r="L75" s="165"/>
      <c r="M75" s="165"/>
      <c r="N75" s="165"/>
      <c r="O75" s="165"/>
      <c r="P75" s="165"/>
      <c r="Q75" s="165"/>
      <c r="R75" s="165"/>
      <c r="S75" s="520"/>
      <c r="V75" s="65"/>
    </row>
    <row r="76" spans="1:25" ht="22.5" customHeight="1">
      <c r="B76" s="278"/>
      <c r="C76" s="1461" t="s">
        <v>1373</v>
      </c>
      <c r="D76" s="1461"/>
      <c r="E76" s="1461"/>
      <c r="F76" s="1461"/>
      <c r="G76" s="1461"/>
      <c r="H76" s="1461"/>
      <c r="I76" s="1461"/>
      <c r="J76" s="1461"/>
      <c r="K76" s="1461"/>
      <c r="L76" s="1461"/>
      <c r="M76" s="633"/>
      <c r="P76" s="633"/>
      <c r="S76" s="1102"/>
      <c r="U76" s="32"/>
      <c r="V76" s="32"/>
      <c r="W76" s="32"/>
      <c r="X76" s="32"/>
      <c r="Y76" s="32"/>
    </row>
    <row r="77" spans="1:25" ht="17.25" customHeight="1">
      <c r="B77" s="278"/>
      <c r="C77" s="804" t="s">
        <v>1372</v>
      </c>
      <c r="D77" s="633"/>
      <c r="E77" s="633"/>
      <c r="F77" s="633"/>
      <c r="G77" s="633"/>
      <c r="H77" s="633"/>
      <c r="I77" s="633"/>
      <c r="J77" s="633"/>
      <c r="K77" s="633"/>
      <c r="L77" s="633"/>
      <c r="M77" s="633"/>
      <c r="N77" s="633"/>
      <c r="O77" s="633"/>
      <c r="P77" s="633"/>
      <c r="Q77" s="633"/>
      <c r="R77" s="633"/>
      <c r="S77" s="1102"/>
      <c r="U77" s="32"/>
      <c r="V77" s="65"/>
    </row>
    <row r="78" spans="1:25" ht="17.25" customHeight="1">
      <c r="B78" s="278"/>
      <c r="C78" s="804" t="s">
        <v>1371</v>
      </c>
      <c r="D78" s="633"/>
      <c r="E78" s="633"/>
      <c r="F78" s="633"/>
      <c r="G78" s="633"/>
      <c r="H78" s="633"/>
      <c r="I78" s="633"/>
      <c r="J78" s="633"/>
      <c r="K78" s="633"/>
      <c r="L78" s="633"/>
      <c r="M78" s="633"/>
      <c r="N78" s="633"/>
      <c r="O78" s="633"/>
      <c r="P78" s="633"/>
      <c r="Q78" s="633"/>
      <c r="R78" s="633"/>
      <c r="S78" s="1102"/>
      <c r="U78" s="32"/>
      <c r="V78" s="65"/>
    </row>
    <row r="79" spans="1:25" ht="30" customHeight="1">
      <c r="B79" s="278"/>
      <c r="C79" s="1476" t="s">
        <v>1370</v>
      </c>
      <c r="D79" s="1476"/>
      <c r="E79" s="1476"/>
      <c r="F79" s="1476"/>
      <c r="G79" s="1476"/>
      <c r="H79" s="1476"/>
      <c r="I79" s="1476"/>
      <c r="J79" s="1476"/>
      <c r="K79" s="1476"/>
      <c r="L79" s="1476"/>
      <c r="M79" s="1476"/>
      <c r="N79" s="1476"/>
      <c r="O79" s="1476"/>
      <c r="P79" s="633"/>
      <c r="Q79" s="1474" t="s">
        <v>1369</v>
      </c>
      <c r="R79" s="1475"/>
      <c r="S79" s="1102"/>
      <c r="U79" s="32"/>
      <c r="V79" s="65"/>
    </row>
    <row r="80" spans="1:25" ht="17.25" customHeight="1">
      <c r="B80" s="278"/>
      <c r="C80" s="804"/>
      <c r="D80" s="633"/>
      <c r="E80" s="633"/>
      <c r="F80" s="633"/>
      <c r="G80" s="633"/>
      <c r="H80" s="633"/>
      <c r="I80" s="633"/>
      <c r="J80" s="633"/>
      <c r="K80" s="633"/>
      <c r="L80" s="633"/>
      <c r="M80" s="633"/>
      <c r="N80" s="633"/>
      <c r="O80" s="633"/>
      <c r="P80" s="633"/>
      <c r="Q80" s="633"/>
      <c r="R80" s="633"/>
      <c r="S80" s="1102"/>
      <c r="U80" s="32"/>
      <c r="V80" s="65"/>
    </row>
    <row r="81" spans="2:33" ht="22.5" customHeight="1">
      <c r="B81" s="278"/>
      <c r="C81" s="225" t="s">
        <v>1368</v>
      </c>
      <c r="D81" s="1149" t="s">
        <v>1367</v>
      </c>
      <c r="E81" s="1148" t="s">
        <v>1366</v>
      </c>
      <c r="F81" s="633"/>
      <c r="G81" s="633"/>
      <c r="H81" s="633"/>
      <c r="I81" s="633"/>
      <c r="J81" s="633"/>
      <c r="K81" s="633"/>
      <c r="L81" s="633"/>
      <c r="M81" s="633"/>
      <c r="N81" s="633"/>
      <c r="O81" s="633"/>
      <c r="P81" s="1147" t="s">
        <v>1365</v>
      </c>
      <c r="Q81" s="1456" t="s">
        <v>1364</v>
      </c>
      <c r="R81" s="1457"/>
      <c r="S81" s="1102"/>
      <c r="U81" s="32"/>
      <c r="V81" s="17"/>
    </row>
    <row r="82" spans="2:33" ht="7.5" customHeight="1">
      <c r="B82" s="278"/>
      <c r="S82" s="143"/>
      <c r="V82" s="65"/>
    </row>
    <row r="83" spans="2:33" s="17" customFormat="1" ht="17.25" hidden="1" customHeight="1">
      <c r="B83" s="106"/>
      <c r="C83" s="288"/>
      <c r="D83" s="1146"/>
      <c r="E83" s="363"/>
      <c r="F83" s="1142"/>
      <c r="G83" s="1142"/>
      <c r="H83" s="1141"/>
      <c r="I83" s="1145" t="s">
        <v>1363</v>
      </c>
      <c r="J83" s="1145" t="s">
        <v>1362</v>
      </c>
      <c r="K83" s="1145" t="s">
        <v>1361</v>
      </c>
      <c r="L83" s="1145" t="s">
        <v>1154</v>
      </c>
      <c r="M83" s="1144"/>
      <c r="N83" s="1143" t="s">
        <v>1361</v>
      </c>
      <c r="O83" s="1143" t="s">
        <v>1154</v>
      </c>
      <c r="P83" s="1143"/>
      <c r="Q83" s="1143" t="s">
        <v>1361</v>
      </c>
      <c r="R83" s="1143" t="s">
        <v>1154</v>
      </c>
      <c r="S83" s="1087"/>
      <c r="U83" s="64"/>
      <c r="Y83" s="17" t="b">
        <v>1</v>
      </c>
      <c r="AG83" s="110"/>
    </row>
    <row r="84" spans="2:33" s="17" customFormat="1" ht="22.5" customHeight="1">
      <c r="B84" s="106"/>
      <c r="C84" s="1450" t="s">
        <v>1360</v>
      </c>
      <c r="D84" s="1451"/>
      <c r="E84" s="1452"/>
      <c r="F84" s="1142"/>
      <c r="G84" s="1142"/>
      <c r="H84" s="1141"/>
      <c r="I84" s="1450" t="s">
        <v>1359</v>
      </c>
      <c r="J84" s="1451"/>
      <c r="K84" s="1451"/>
      <c r="L84" s="1452"/>
      <c r="M84" s="1140"/>
      <c r="N84" s="1469" t="s">
        <v>1358</v>
      </c>
      <c r="O84" s="1470"/>
      <c r="P84" s="1140"/>
      <c r="Q84" s="1469" t="s">
        <v>1357</v>
      </c>
      <c r="R84" s="1470"/>
      <c r="S84" s="1087"/>
      <c r="U84" s="64"/>
      <c r="V84" s="1139"/>
      <c r="Z84" s="1481" t="s">
        <v>1356</v>
      </c>
      <c r="AA84" s="1481"/>
      <c r="AG84" s="110"/>
    </row>
    <row r="85" spans="2:33" ht="22.5" customHeight="1">
      <c r="B85" s="278"/>
      <c r="C85" s="1453"/>
      <c r="D85" s="1454"/>
      <c r="E85" s="1455"/>
      <c r="F85" s="32"/>
      <c r="I85" s="1138" t="s">
        <v>1355</v>
      </c>
      <c r="J85" s="1137" t="s">
        <v>1354</v>
      </c>
      <c r="K85" s="1137" t="s">
        <v>151</v>
      </c>
      <c r="L85" s="1136" t="s">
        <v>1353</v>
      </c>
      <c r="M85" s="32"/>
      <c r="N85" s="765" t="s">
        <v>151</v>
      </c>
      <c r="O85" s="764" t="s">
        <v>1353</v>
      </c>
      <c r="P85" s="32"/>
      <c r="Q85" s="765" t="s">
        <v>151</v>
      </c>
      <c r="R85" s="764" t="s">
        <v>1353</v>
      </c>
      <c r="S85" s="1135"/>
      <c r="U85" s="1125"/>
      <c r="V85" s="65"/>
      <c r="Z85" s="1481"/>
      <c r="AA85" s="1481"/>
    </row>
    <row r="86" spans="2:33" ht="7.5" customHeight="1">
      <c r="B86" s="278"/>
      <c r="D86" s="32"/>
      <c r="E86" s="32"/>
      <c r="F86" s="32"/>
      <c r="I86" s="32"/>
      <c r="J86" s="32"/>
      <c r="K86" s="32"/>
      <c r="L86" s="32"/>
      <c r="M86" s="32"/>
      <c r="N86" s="32"/>
      <c r="O86" s="32"/>
      <c r="P86" s="32"/>
      <c r="Q86" s="32"/>
      <c r="R86" s="32"/>
      <c r="S86" s="143"/>
      <c r="U86" s="1125"/>
      <c r="V86" s="65"/>
    </row>
    <row r="87" spans="2:33" ht="17.25" hidden="1" customHeight="1">
      <c r="B87" s="278"/>
      <c r="C87" s="1134" cm="1">
        <f t="array" aca="1" ref="C87" ca="1">IFERROR(_xlfn.UNIQUE(_xlfn._xlws.FILTER(INDIRECT("HNSW_Summary!$A:$A"), (INDIRECT("HNSW_Summary!$A:$A")&lt;&gt;"Name")*(ISNUMBER(SEARCH("*K04",INDIRECT("HNSW_Summary!$B:$B")))))),0)</f>
        <v>0</v>
      </c>
      <c r="D87" s="1133"/>
      <c r="E87" s="1132"/>
      <c r="F87" s="1131"/>
      <c r="I87" s="1124">
        <f t="shared" ref="I87:L106" ca="1" si="2">IFERROR(SUMIF(OFFSET(INDIRECT("HNSW_Summary!$A:$A"),0,MATCH("SumCriteria",INDIRECT("HNSW_Summary!$1:$1"),0)-1),$C87&amp;"_"&amp;$J$283,OFFSET(INDIRECT("HNSW_Summary!$A:$A"),0,MATCH(I$83,INDIRECT("HNSW_Summary!$1:$1"),0)-1)),0)</f>
        <v>0</v>
      </c>
      <c r="J87" s="1124">
        <f t="shared" ca="1" si="2"/>
        <v>0</v>
      </c>
      <c r="K87" s="1124">
        <f t="shared" ca="1" si="2"/>
        <v>0</v>
      </c>
      <c r="L87" s="1124">
        <f t="shared" ca="1" si="2"/>
        <v>0</v>
      </c>
      <c r="M87" s="32"/>
      <c r="N87" s="1124">
        <f t="shared" ref="N87:O106" ca="1" si="3">IFERROR(SUMIFS(OFFSET(INDIRECT("HNSW_Summary!$A:$A"),0,MATCH(N$83,INDIRECT("HNSW_Summary!$1:$1"),0)-1),  INDIRECT("HNSW_Summary!$A:$A"),$C87,  INDIRECT("HNSW_Summary!$B:$B"),"*K04*",  OFFSET(INDIRECT("HNSW_Summary!$A:$A"),0,MATCH("Outstanding",INDIRECT("HNSW_Summary!$1:$1"),0)-1),FALSE),0)</f>
        <v>0</v>
      </c>
      <c r="O87" s="1124">
        <f t="shared" ca="1" si="3"/>
        <v>0</v>
      </c>
      <c r="P87" s="32"/>
      <c r="Q87" s="1124">
        <f t="shared" ref="Q87:R106" ca="1" si="4">IFERROR(SUMIFS(OFFSET(INDIRECT("HNSW_Summary!$A:$A"),0,MATCH(Q$83,INDIRECT("HNSW_Summary!$1:$1"),0)-1),  INDIRECT("HNSW_Summary!$A:$A"),$C87,  INDIRECT("HNSW_Summary!$B:$B"),"*K04*",  OFFSET(INDIRECT("HNSW_Summary!$A:$A"),0,MATCH("Outstanding",INDIRECT("HNSW_Summary!$1:$1"),0)-1),TRUE),0)</f>
        <v>0</v>
      </c>
      <c r="R87" s="1124">
        <f t="shared" ca="1" si="4"/>
        <v>0</v>
      </c>
      <c r="S87" s="143"/>
      <c r="U87" s="436"/>
      <c r="V87" s="1115"/>
      <c r="Y87" s="1122" t="b">
        <f>IF(Dividends_SelectedMethod="Worksheet",FALSE,TRUE)</f>
        <v>1</v>
      </c>
      <c r="Z87" s="1122" t="b">
        <f t="shared" ref="Z87:Z118" ca="1" si="5">IF(C87&lt;&gt;0,TRUE,FALSE)</f>
        <v>0</v>
      </c>
      <c r="AA87" s="1122" t="str">
        <f t="shared" ref="AA87:AA118" ca="1" si="6">IF(AND(C87&lt;&gt;0,C87&lt;&gt;""),1,"")</f>
        <v/>
      </c>
    </row>
    <row r="88" spans="2:33" ht="17.25" hidden="1" customHeight="1">
      <c r="B88" s="278"/>
      <c r="C88" s="1128"/>
      <c r="D88" s="1127"/>
      <c r="E88" s="1126"/>
      <c r="F88" s="1131"/>
      <c r="I88" s="1124">
        <f t="shared" ca="1" si="2"/>
        <v>0</v>
      </c>
      <c r="J88" s="1124">
        <f t="shared" ca="1" si="2"/>
        <v>0</v>
      </c>
      <c r="K88" s="1124">
        <f t="shared" ca="1" si="2"/>
        <v>0</v>
      </c>
      <c r="L88" s="1124">
        <f t="shared" ca="1" si="2"/>
        <v>0</v>
      </c>
      <c r="M88" s="32"/>
      <c r="N88" s="1124">
        <f t="shared" ca="1" si="3"/>
        <v>0</v>
      </c>
      <c r="O88" s="1124">
        <f t="shared" ca="1" si="3"/>
        <v>0</v>
      </c>
      <c r="P88" s="32"/>
      <c r="Q88" s="1124">
        <f t="shared" ca="1" si="4"/>
        <v>0</v>
      </c>
      <c r="R88" s="1124">
        <f t="shared" ca="1" si="4"/>
        <v>0</v>
      </c>
      <c r="S88" s="143"/>
      <c r="U88" s="436"/>
      <c r="V88" s="1115"/>
      <c r="Y88" s="1122" t="b">
        <f t="shared" ref="Y88:Y119" si="7">IF(AND(C88&lt;&gt;"",C88&lt;&gt;0,Dividends_SelectedMethod="Worksheet"),FALSE,TRUE)</f>
        <v>1</v>
      </c>
      <c r="Z88" s="1122" t="b">
        <f t="shared" si="5"/>
        <v>0</v>
      </c>
      <c r="AA88" s="1122" t="str">
        <f t="shared" si="6"/>
        <v/>
      </c>
    </row>
    <row r="89" spans="2:33" ht="17.25" hidden="1" customHeight="1">
      <c r="B89" s="278"/>
      <c r="C89" s="1128"/>
      <c r="D89" s="1127"/>
      <c r="E89" s="1126"/>
      <c r="F89" s="1131"/>
      <c r="I89" s="1124">
        <f t="shared" ca="1" si="2"/>
        <v>0</v>
      </c>
      <c r="J89" s="1124">
        <f t="shared" ca="1" si="2"/>
        <v>0</v>
      </c>
      <c r="K89" s="1124">
        <f t="shared" ca="1" si="2"/>
        <v>0</v>
      </c>
      <c r="L89" s="1124">
        <f t="shared" ca="1" si="2"/>
        <v>0</v>
      </c>
      <c r="M89" s="32"/>
      <c r="N89" s="1124">
        <f t="shared" ca="1" si="3"/>
        <v>0</v>
      </c>
      <c r="O89" s="1124">
        <f t="shared" ca="1" si="3"/>
        <v>0</v>
      </c>
      <c r="P89" s="32"/>
      <c r="Q89" s="1124">
        <f t="shared" ca="1" si="4"/>
        <v>0</v>
      </c>
      <c r="R89" s="1124">
        <f t="shared" ca="1" si="4"/>
        <v>0</v>
      </c>
      <c r="S89" s="143"/>
      <c r="U89" s="436"/>
      <c r="V89" s="1115"/>
      <c r="Y89" s="1122" t="b">
        <f t="shared" si="7"/>
        <v>1</v>
      </c>
      <c r="Z89" s="1122" t="b">
        <f t="shared" si="5"/>
        <v>0</v>
      </c>
      <c r="AA89" s="1122" t="str">
        <f t="shared" si="6"/>
        <v/>
      </c>
    </row>
    <row r="90" spans="2:33" ht="17.25" hidden="1" customHeight="1">
      <c r="B90" s="278"/>
      <c r="C90" s="1128"/>
      <c r="D90" s="1127"/>
      <c r="E90" s="1126"/>
      <c r="F90" s="1131"/>
      <c r="I90" s="1124">
        <f t="shared" ca="1" si="2"/>
        <v>0</v>
      </c>
      <c r="J90" s="1124">
        <f t="shared" ca="1" si="2"/>
        <v>0</v>
      </c>
      <c r="K90" s="1124">
        <f t="shared" ca="1" si="2"/>
        <v>0</v>
      </c>
      <c r="L90" s="1124">
        <f t="shared" ca="1" si="2"/>
        <v>0</v>
      </c>
      <c r="M90" s="32"/>
      <c r="N90" s="1124">
        <f t="shared" ca="1" si="3"/>
        <v>0</v>
      </c>
      <c r="O90" s="1124">
        <f t="shared" ca="1" si="3"/>
        <v>0</v>
      </c>
      <c r="P90" s="32"/>
      <c r="Q90" s="1124">
        <f t="shared" ca="1" si="4"/>
        <v>0</v>
      </c>
      <c r="R90" s="1124">
        <f t="shared" ca="1" si="4"/>
        <v>0</v>
      </c>
      <c r="S90" s="143"/>
      <c r="U90" s="436"/>
      <c r="V90" s="1115"/>
      <c r="Y90" s="1122" t="b">
        <f t="shared" si="7"/>
        <v>1</v>
      </c>
      <c r="Z90" s="1122" t="b">
        <f t="shared" si="5"/>
        <v>0</v>
      </c>
      <c r="AA90" s="1122" t="str">
        <f t="shared" si="6"/>
        <v/>
      </c>
    </row>
    <row r="91" spans="2:33" ht="17.25" hidden="1" customHeight="1">
      <c r="B91" s="278"/>
      <c r="C91" s="1128"/>
      <c r="D91" s="1127"/>
      <c r="E91" s="1126"/>
      <c r="F91" s="1131"/>
      <c r="I91" s="1124">
        <f t="shared" ca="1" si="2"/>
        <v>0</v>
      </c>
      <c r="J91" s="1124">
        <f t="shared" ca="1" si="2"/>
        <v>0</v>
      </c>
      <c r="K91" s="1124">
        <f t="shared" ca="1" si="2"/>
        <v>0</v>
      </c>
      <c r="L91" s="1124">
        <f t="shared" ca="1" si="2"/>
        <v>0</v>
      </c>
      <c r="M91" s="32"/>
      <c r="N91" s="1124">
        <f t="shared" ca="1" si="3"/>
        <v>0</v>
      </c>
      <c r="O91" s="1124">
        <f t="shared" ca="1" si="3"/>
        <v>0</v>
      </c>
      <c r="P91" s="32"/>
      <c r="Q91" s="1124">
        <f t="shared" ca="1" si="4"/>
        <v>0</v>
      </c>
      <c r="R91" s="1124">
        <f t="shared" ca="1" si="4"/>
        <v>0</v>
      </c>
      <c r="S91" s="143"/>
      <c r="U91" s="436"/>
      <c r="V91" s="1115"/>
      <c r="Y91" s="1122" t="b">
        <f t="shared" si="7"/>
        <v>1</v>
      </c>
      <c r="Z91" s="1122" t="b">
        <f t="shared" si="5"/>
        <v>0</v>
      </c>
      <c r="AA91" s="1122" t="str">
        <f t="shared" si="6"/>
        <v/>
      </c>
    </row>
    <row r="92" spans="2:33" ht="17.25" hidden="1" customHeight="1">
      <c r="B92" s="278"/>
      <c r="C92" s="1128"/>
      <c r="D92" s="1127"/>
      <c r="E92" s="1126"/>
      <c r="F92" s="1131"/>
      <c r="I92" s="1124">
        <f t="shared" ca="1" si="2"/>
        <v>0</v>
      </c>
      <c r="J92" s="1124">
        <f t="shared" ca="1" si="2"/>
        <v>0</v>
      </c>
      <c r="K92" s="1124">
        <f t="shared" ca="1" si="2"/>
        <v>0</v>
      </c>
      <c r="L92" s="1124">
        <f t="shared" ca="1" si="2"/>
        <v>0</v>
      </c>
      <c r="M92" s="32"/>
      <c r="N92" s="1124">
        <f t="shared" ca="1" si="3"/>
        <v>0</v>
      </c>
      <c r="O92" s="1124">
        <f t="shared" ca="1" si="3"/>
        <v>0</v>
      </c>
      <c r="P92" s="32"/>
      <c r="Q92" s="1124">
        <f t="shared" ca="1" si="4"/>
        <v>0</v>
      </c>
      <c r="R92" s="1124">
        <f t="shared" ca="1" si="4"/>
        <v>0</v>
      </c>
      <c r="S92" s="143"/>
      <c r="U92" s="436"/>
      <c r="V92" s="1115"/>
      <c r="Y92" s="1122" t="b">
        <f t="shared" si="7"/>
        <v>1</v>
      </c>
      <c r="Z92" s="1122" t="b">
        <f t="shared" si="5"/>
        <v>0</v>
      </c>
      <c r="AA92" s="1122" t="str">
        <f t="shared" si="6"/>
        <v/>
      </c>
    </row>
    <row r="93" spans="2:33" ht="17.25" hidden="1" customHeight="1">
      <c r="B93" s="278"/>
      <c r="C93" s="1128"/>
      <c r="D93" s="1127"/>
      <c r="E93" s="1126"/>
      <c r="F93" s="1131"/>
      <c r="I93" s="1124">
        <f t="shared" ca="1" si="2"/>
        <v>0</v>
      </c>
      <c r="J93" s="1124">
        <f t="shared" ca="1" si="2"/>
        <v>0</v>
      </c>
      <c r="K93" s="1124">
        <f t="shared" ca="1" si="2"/>
        <v>0</v>
      </c>
      <c r="L93" s="1124">
        <f t="shared" ca="1" si="2"/>
        <v>0</v>
      </c>
      <c r="M93" s="32"/>
      <c r="N93" s="1124">
        <f t="shared" ca="1" si="3"/>
        <v>0</v>
      </c>
      <c r="O93" s="1124">
        <f t="shared" ca="1" si="3"/>
        <v>0</v>
      </c>
      <c r="P93" s="32"/>
      <c r="Q93" s="1124">
        <f t="shared" ca="1" si="4"/>
        <v>0</v>
      </c>
      <c r="R93" s="1124">
        <f t="shared" ca="1" si="4"/>
        <v>0</v>
      </c>
      <c r="S93" s="143"/>
      <c r="U93" s="436"/>
      <c r="V93" s="1115"/>
      <c r="Y93" s="1122" t="b">
        <f t="shared" si="7"/>
        <v>1</v>
      </c>
      <c r="Z93" s="1122" t="b">
        <f t="shared" si="5"/>
        <v>0</v>
      </c>
      <c r="AA93" s="1122" t="str">
        <f t="shared" si="6"/>
        <v/>
      </c>
    </row>
    <row r="94" spans="2:33" ht="17.25" hidden="1" customHeight="1">
      <c r="B94" s="278"/>
      <c r="C94" s="1128"/>
      <c r="D94" s="1127"/>
      <c r="E94" s="1126"/>
      <c r="F94" s="1131"/>
      <c r="I94" s="1124">
        <f t="shared" ca="1" si="2"/>
        <v>0</v>
      </c>
      <c r="J94" s="1124">
        <f t="shared" ca="1" si="2"/>
        <v>0</v>
      </c>
      <c r="K94" s="1124">
        <f t="shared" ca="1" si="2"/>
        <v>0</v>
      </c>
      <c r="L94" s="1124">
        <f t="shared" ca="1" si="2"/>
        <v>0</v>
      </c>
      <c r="M94" s="32"/>
      <c r="N94" s="1124">
        <f t="shared" ca="1" si="3"/>
        <v>0</v>
      </c>
      <c r="O94" s="1124">
        <f t="shared" ca="1" si="3"/>
        <v>0</v>
      </c>
      <c r="P94" s="32"/>
      <c r="Q94" s="1124">
        <f t="shared" ca="1" si="4"/>
        <v>0</v>
      </c>
      <c r="R94" s="1124">
        <f t="shared" ca="1" si="4"/>
        <v>0</v>
      </c>
      <c r="S94" s="143"/>
      <c r="U94" s="436"/>
      <c r="V94" s="1115"/>
      <c r="Y94" s="1122" t="b">
        <f t="shared" si="7"/>
        <v>1</v>
      </c>
      <c r="Z94" s="1122" t="b">
        <f t="shared" si="5"/>
        <v>0</v>
      </c>
      <c r="AA94" s="1122" t="str">
        <f t="shared" si="6"/>
        <v/>
      </c>
    </row>
    <row r="95" spans="2:33" ht="17.25" hidden="1" customHeight="1">
      <c r="B95" s="278"/>
      <c r="C95" s="1128"/>
      <c r="D95" s="1130"/>
      <c r="E95" s="1129"/>
      <c r="F95" s="1131"/>
      <c r="I95" s="1124">
        <f t="shared" ca="1" si="2"/>
        <v>0</v>
      </c>
      <c r="J95" s="1124">
        <f t="shared" ca="1" si="2"/>
        <v>0</v>
      </c>
      <c r="K95" s="1124">
        <f t="shared" ca="1" si="2"/>
        <v>0</v>
      </c>
      <c r="L95" s="1124">
        <f t="shared" ca="1" si="2"/>
        <v>0</v>
      </c>
      <c r="M95" s="32"/>
      <c r="N95" s="1124">
        <f t="shared" ca="1" si="3"/>
        <v>0</v>
      </c>
      <c r="O95" s="1124">
        <f t="shared" ca="1" si="3"/>
        <v>0</v>
      </c>
      <c r="P95" s="32"/>
      <c r="Q95" s="1124">
        <f t="shared" ca="1" si="4"/>
        <v>0</v>
      </c>
      <c r="R95" s="1124">
        <f t="shared" ca="1" si="4"/>
        <v>0</v>
      </c>
      <c r="S95" s="143"/>
      <c r="U95" s="436"/>
      <c r="V95" s="1115"/>
      <c r="Y95" s="1122" t="b">
        <f t="shared" si="7"/>
        <v>1</v>
      </c>
      <c r="Z95" s="1122" t="b">
        <f t="shared" si="5"/>
        <v>0</v>
      </c>
      <c r="AA95" s="1122" t="str">
        <f t="shared" si="6"/>
        <v/>
      </c>
    </row>
    <row r="96" spans="2:33" ht="17.25" hidden="1" customHeight="1">
      <c r="B96" s="278"/>
      <c r="C96" s="1128"/>
      <c r="D96" s="1130"/>
      <c r="E96" s="1129"/>
      <c r="F96" s="1131"/>
      <c r="I96" s="1124">
        <f t="shared" ca="1" si="2"/>
        <v>0</v>
      </c>
      <c r="J96" s="1124">
        <f t="shared" ca="1" si="2"/>
        <v>0</v>
      </c>
      <c r="K96" s="1124">
        <f t="shared" ca="1" si="2"/>
        <v>0</v>
      </c>
      <c r="L96" s="1124">
        <f t="shared" ca="1" si="2"/>
        <v>0</v>
      </c>
      <c r="M96" s="32"/>
      <c r="N96" s="1124">
        <f t="shared" ca="1" si="3"/>
        <v>0</v>
      </c>
      <c r="O96" s="1124">
        <f t="shared" ca="1" si="3"/>
        <v>0</v>
      </c>
      <c r="P96" s="32"/>
      <c r="Q96" s="1124">
        <f t="shared" ca="1" si="4"/>
        <v>0</v>
      </c>
      <c r="R96" s="1124">
        <f t="shared" ca="1" si="4"/>
        <v>0</v>
      </c>
      <c r="S96" s="143"/>
      <c r="U96" s="436"/>
      <c r="V96" s="1115"/>
      <c r="Y96" s="1122" t="b">
        <f t="shared" si="7"/>
        <v>1</v>
      </c>
      <c r="Z96" s="1122" t="b">
        <f t="shared" si="5"/>
        <v>0</v>
      </c>
      <c r="AA96" s="1122" t="str">
        <f t="shared" si="6"/>
        <v/>
      </c>
    </row>
    <row r="97" spans="2:27" ht="17.25" hidden="1" customHeight="1">
      <c r="B97" s="278"/>
      <c r="C97" s="1128"/>
      <c r="D97" s="1130"/>
      <c r="E97" s="1129"/>
      <c r="F97" s="1131"/>
      <c r="I97" s="1124">
        <f t="shared" ca="1" si="2"/>
        <v>0</v>
      </c>
      <c r="J97" s="1124">
        <f t="shared" ca="1" si="2"/>
        <v>0</v>
      </c>
      <c r="K97" s="1124">
        <f t="shared" ca="1" si="2"/>
        <v>0</v>
      </c>
      <c r="L97" s="1124">
        <f t="shared" ca="1" si="2"/>
        <v>0</v>
      </c>
      <c r="M97" s="32"/>
      <c r="N97" s="1124">
        <f t="shared" ca="1" si="3"/>
        <v>0</v>
      </c>
      <c r="O97" s="1124">
        <f t="shared" ca="1" si="3"/>
        <v>0</v>
      </c>
      <c r="P97" s="32"/>
      <c r="Q97" s="1124">
        <f t="shared" ca="1" si="4"/>
        <v>0</v>
      </c>
      <c r="R97" s="1124">
        <f t="shared" ca="1" si="4"/>
        <v>0</v>
      </c>
      <c r="S97" s="143"/>
      <c r="U97" s="436"/>
      <c r="V97" s="1115"/>
      <c r="Y97" s="1122" t="b">
        <f t="shared" si="7"/>
        <v>1</v>
      </c>
      <c r="Z97" s="1122" t="b">
        <f t="shared" si="5"/>
        <v>0</v>
      </c>
      <c r="AA97" s="1122" t="str">
        <f t="shared" si="6"/>
        <v/>
      </c>
    </row>
    <row r="98" spans="2:27" ht="17.25" hidden="1" customHeight="1">
      <c r="B98" s="278"/>
      <c r="C98" s="1128"/>
      <c r="D98" s="1130"/>
      <c r="E98" s="1129"/>
      <c r="F98" s="1131"/>
      <c r="I98" s="1124">
        <f t="shared" ca="1" si="2"/>
        <v>0</v>
      </c>
      <c r="J98" s="1124">
        <f t="shared" ca="1" si="2"/>
        <v>0</v>
      </c>
      <c r="K98" s="1124">
        <f t="shared" ca="1" si="2"/>
        <v>0</v>
      </c>
      <c r="L98" s="1124">
        <f t="shared" ca="1" si="2"/>
        <v>0</v>
      </c>
      <c r="M98" s="32"/>
      <c r="N98" s="1124">
        <f t="shared" ca="1" si="3"/>
        <v>0</v>
      </c>
      <c r="O98" s="1124">
        <f t="shared" ca="1" si="3"/>
        <v>0</v>
      </c>
      <c r="P98" s="32"/>
      <c r="Q98" s="1124">
        <f t="shared" ca="1" si="4"/>
        <v>0</v>
      </c>
      <c r="R98" s="1124">
        <f t="shared" ca="1" si="4"/>
        <v>0</v>
      </c>
      <c r="S98" s="143"/>
      <c r="U98" s="436"/>
      <c r="V98" s="1115"/>
      <c r="Y98" s="1122" t="b">
        <f t="shared" si="7"/>
        <v>1</v>
      </c>
      <c r="Z98" s="1122" t="b">
        <f t="shared" si="5"/>
        <v>0</v>
      </c>
      <c r="AA98" s="1122" t="str">
        <f t="shared" si="6"/>
        <v/>
      </c>
    </row>
    <row r="99" spans="2:27" ht="17.25" hidden="1" customHeight="1">
      <c r="B99" s="278"/>
      <c r="C99" s="1128"/>
      <c r="D99" s="1130"/>
      <c r="E99" s="1129"/>
      <c r="F99" s="1131"/>
      <c r="I99" s="1124">
        <f t="shared" ca="1" si="2"/>
        <v>0</v>
      </c>
      <c r="J99" s="1124">
        <f t="shared" ca="1" si="2"/>
        <v>0</v>
      </c>
      <c r="K99" s="1124">
        <f t="shared" ca="1" si="2"/>
        <v>0</v>
      </c>
      <c r="L99" s="1124">
        <f t="shared" ca="1" si="2"/>
        <v>0</v>
      </c>
      <c r="M99" s="32"/>
      <c r="N99" s="1124">
        <f t="shared" ca="1" si="3"/>
        <v>0</v>
      </c>
      <c r="O99" s="1124">
        <f t="shared" ca="1" si="3"/>
        <v>0</v>
      </c>
      <c r="P99" s="32"/>
      <c r="Q99" s="1124">
        <f t="shared" ca="1" si="4"/>
        <v>0</v>
      </c>
      <c r="R99" s="1124">
        <f t="shared" ca="1" si="4"/>
        <v>0</v>
      </c>
      <c r="S99" s="143"/>
      <c r="U99" s="436"/>
      <c r="V99" s="1115"/>
      <c r="Y99" s="1122" t="b">
        <f t="shared" si="7"/>
        <v>1</v>
      </c>
      <c r="Z99" s="1122" t="b">
        <f t="shared" si="5"/>
        <v>0</v>
      </c>
      <c r="AA99" s="1122" t="str">
        <f t="shared" si="6"/>
        <v/>
      </c>
    </row>
    <row r="100" spans="2:27" ht="17.25" hidden="1" customHeight="1">
      <c r="B100" s="278"/>
      <c r="C100" s="1128"/>
      <c r="D100" s="1130"/>
      <c r="E100" s="1129"/>
      <c r="F100" s="1131"/>
      <c r="I100" s="1124">
        <f t="shared" ca="1" si="2"/>
        <v>0</v>
      </c>
      <c r="J100" s="1124">
        <f t="shared" ca="1" si="2"/>
        <v>0</v>
      </c>
      <c r="K100" s="1124">
        <f t="shared" ca="1" si="2"/>
        <v>0</v>
      </c>
      <c r="L100" s="1124">
        <f t="shared" ca="1" si="2"/>
        <v>0</v>
      </c>
      <c r="M100" s="32"/>
      <c r="N100" s="1124">
        <f t="shared" ca="1" si="3"/>
        <v>0</v>
      </c>
      <c r="O100" s="1124">
        <f t="shared" ca="1" si="3"/>
        <v>0</v>
      </c>
      <c r="P100" s="32"/>
      <c r="Q100" s="1124">
        <f t="shared" ca="1" si="4"/>
        <v>0</v>
      </c>
      <c r="R100" s="1124">
        <f t="shared" ca="1" si="4"/>
        <v>0</v>
      </c>
      <c r="S100" s="143"/>
      <c r="U100" s="436"/>
      <c r="V100" s="1115"/>
      <c r="Y100" s="1122" t="b">
        <f t="shared" si="7"/>
        <v>1</v>
      </c>
      <c r="Z100" s="1122" t="b">
        <f t="shared" si="5"/>
        <v>0</v>
      </c>
      <c r="AA100" s="1122" t="str">
        <f t="shared" si="6"/>
        <v/>
      </c>
    </row>
    <row r="101" spans="2:27" ht="17.25" hidden="1" customHeight="1">
      <c r="B101" s="278"/>
      <c r="C101" s="1128"/>
      <c r="D101" s="1130"/>
      <c r="E101" s="1129"/>
      <c r="F101" s="1131"/>
      <c r="I101" s="1124">
        <f t="shared" ca="1" si="2"/>
        <v>0</v>
      </c>
      <c r="J101" s="1124">
        <f t="shared" ca="1" si="2"/>
        <v>0</v>
      </c>
      <c r="K101" s="1124">
        <f t="shared" ca="1" si="2"/>
        <v>0</v>
      </c>
      <c r="L101" s="1124">
        <f t="shared" ca="1" si="2"/>
        <v>0</v>
      </c>
      <c r="M101" s="32"/>
      <c r="N101" s="1124">
        <f t="shared" ca="1" si="3"/>
        <v>0</v>
      </c>
      <c r="O101" s="1124">
        <f t="shared" ca="1" si="3"/>
        <v>0</v>
      </c>
      <c r="P101" s="32"/>
      <c r="Q101" s="1124">
        <f t="shared" ca="1" si="4"/>
        <v>0</v>
      </c>
      <c r="R101" s="1124">
        <f t="shared" ca="1" si="4"/>
        <v>0</v>
      </c>
      <c r="S101" s="143"/>
      <c r="U101" s="436"/>
      <c r="V101" s="1115"/>
      <c r="Y101" s="1122" t="b">
        <f t="shared" si="7"/>
        <v>1</v>
      </c>
      <c r="Z101" s="1122" t="b">
        <f t="shared" si="5"/>
        <v>0</v>
      </c>
      <c r="AA101" s="1122" t="str">
        <f t="shared" si="6"/>
        <v/>
      </c>
    </row>
    <row r="102" spans="2:27" ht="17.25" hidden="1" customHeight="1">
      <c r="B102" s="278"/>
      <c r="C102" s="1128"/>
      <c r="D102" s="1130"/>
      <c r="E102" s="1129"/>
      <c r="F102" s="1131"/>
      <c r="I102" s="1124">
        <f t="shared" ca="1" si="2"/>
        <v>0</v>
      </c>
      <c r="J102" s="1124">
        <f t="shared" ca="1" si="2"/>
        <v>0</v>
      </c>
      <c r="K102" s="1124">
        <f t="shared" ca="1" si="2"/>
        <v>0</v>
      </c>
      <c r="L102" s="1124">
        <f t="shared" ca="1" si="2"/>
        <v>0</v>
      </c>
      <c r="M102" s="32"/>
      <c r="N102" s="1124">
        <f t="shared" ca="1" si="3"/>
        <v>0</v>
      </c>
      <c r="O102" s="1124">
        <f t="shared" ca="1" si="3"/>
        <v>0</v>
      </c>
      <c r="P102" s="32"/>
      <c r="Q102" s="1124">
        <f t="shared" ca="1" si="4"/>
        <v>0</v>
      </c>
      <c r="R102" s="1124">
        <f t="shared" ca="1" si="4"/>
        <v>0</v>
      </c>
      <c r="S102" s="143"/>
      <c r="U102" s="436"/>
      <c r="V102" s="1115"/>
      <c r="Y102" s="1122" t="b">
        <f t="shared" si="7"/>
        <v>1</v>
      </c>
      <c r="Z102" s="1122" t="b">
        <f t="shared" si="5"/>
        <v>0</v>
      </c>
      <c r="AA102" s="1122" t="str">
        <f t="shared" si="6"/>
        <v/>
      </c>
    </row>
    <row r="103" spans="2:27" ht="17.25" hidden="1" customHeight="1">
      <c r="B103" s="278"/>
      <c r="C103" s="1128"/>
      <c r="D103" s="1130"/>
      <c r="E103" s="1129"/>
      <c r="F103" s="1131"/>
      <c r="I103" s="1124">
        <f t="shared" ca="1" si="2"/>
        <v>0</v>
      </c>
      <c r="J103" s="1124">
        <f t="shared" ca="1" si="2"/>
        <v>0</v>
      </c>
      <c r="K103" s="1124">
        <f t="shared" ca="1" si="2"/>
        <v>0</v>
      </c>
      <c r="L103" s="1124">
        <f t="shared" ca="1" si="2"/>
        <v>0</v>
      </c>
      <c r="M103" s="32"/>
      <c r="N103" s="1124">
        <f t="shared" ca="1" si="3"/>
        <v>0</v>
      </c>
      <c r="O103" s="1124">
        <f t="shared" ca="1" si="3"/>
        <v>0</v>
      </c>
      <c r="P103" s="32"/>
      <c r="Q103" s="1124">
        <f t="shared" ca="1" si="4"/>
        <v>0</v>
      </c>
      <c r="R103" s="1124">
        <f t="shared" ca="1" si="4"/>
        <v>0</v>
      </c>
      <c r="S103" s="143"/>
      <c r="U103" s="436"/>
      <c r="V103" s="1115"/>
      <c r="Y103" s="1122" t="b">
        <f t="shared" si="7"/>
        <v>1</v>
      </c>
      <c r="Z103" s="1122" t="b">
        <f t="shared" si="5"/>
        <v>0</v>
      </c>
      <c r="AA103" s="1122" t="str">
        <f t="shared" si="6"/>
        <v/>
      </c>
    </row>
    <row r="104" spans="2:27" ht="17.25" hidden="1" customHeight="1">
      <c r="B104" s="278"/>
      <c r="C104" s="1128"/>
      <c r="D104" s="1130"/>
      <c r="E104" s="1129"/>
      <c r="F104" s="1131"/>
      <c r="I104" s="1124">
        <f t="shared" ca="1" si="2"/>
        <v>0</v>
      </c>
      <c r="J104" s="1124">
        <f t="shared" ca="1" si="2"/>
        <v>0</v>
      </c>
      <c r="K104" s="1124">
        <f t="shared" ca="1" si="2"/>
        <v>0</v>
      </c>
      <c r="L104" s="1124">
        <f t="shared" ca="1" si="2"/>
        <v>0</v>
      </c>
      <c r="M104" s="32"/>
      <c r="N104" s="1124">
        <f t="shared" ca="1" si="3"/>
        <v>0</v>
      </c>
      <c r="O104" s="1124">
        <f t="shared" ca="1" si="3"/>
        <v>0</v>
      </c>
      <c r="P104" s="32"/>
      <c r="Q104" s="1124">
        <f t="shared" ca="1" si="4"/>
        <v>0</v>
      </c>
      <c r="R104" s="1124">
        <f t="shared" ca="1" si="4"/>
        <v>0</v>
      </c>
      <c r="S104" s="143"/>
      <c r="U104" s="436"/>
      <c r="V104" s="1115"/>
      <c r="Y104" s="1122" t="b">
        <f t="shared" si="7"/>
        <v>1</v>
      </c>
      <c r="Z104" s="1122" t="b">
        <f t="shared" si="5"/>
        <v>0</v>
      </c>
      <c r="AA104" s="1122" t="str">
        <f t="shared" si="6"/>
        <v/>
      </c>
    </row>
    <row r="105" spans="2:27" ht="17.25" hidden="1" customHeight="1">
      <c r="B105" s="278"/>
      <c r="C105" s="1128"/>
      <c r="D105" s="1130"/>
      <c r="E105" s="1129"/>
      <c r="F105" s="1131"/>
      <c r="I105" s="1124">
        <f t="shared" ca="1" si="2"/>
        <v>0</v>
      </c>
      <c r="J105" s="1124">
        <f t="shared" ca="1" si="2"/>
        <v>0</v>
      </c>
      <c r="K105" s="1124">
        <f t="shared" ca="1" si="2"/>
        <v>0</v>
      </c>
      <c r="L105" s="1124">
        <f t="shared" ca="1" si="2"/>
        <v>0</v>
      </c>
      <c r="M105" s="32"/>
      <c r="N105" s="1124">
        <f t="shared" ca="1" si="3"/>
        <v>0</v>
      </c>
      <c r="O105" s="1124">
        <f t="shared" ca="1" si="3"/>
        <v>0</v>
      </c>
      <c r="P105" s="32"/>
      <c r="Q105" s="1124">
        <f t="shared" ca="1" si="4"/>
        <v>0</v>
      </c>
      <c r="R105" s="1124">
        <f t="shared" ca="1" si="4"/>
        <v>0</v>
      </c>
      <c r="S105" s="143"/>
      <c r="U105" s="436"/>
      <c r="V105" s="1115"/>
      <c r="Y105" s="1122" t="b">
        <f t="shared" si="7"/>
        <v>1</v>
      </c>
      <c r="Z105" s="1122" t="b">
        <f t="shared" si="5"/>
        <v>0</v>
      </c>
      <c r="AA105" s="1122" t="str">
        <f t="shared" si="6"/>
        <v/>
      </c>
    </row>
    <row r="106" spans="2:27" ht="17.25" hidden="1" customHeight="1">
      <c r="B106" s="278"/>
      <c r="C106" s="1128"/>
      <c r="D106" s="1130"/>
      <c r="E106" s="1129"/>
      <c r="F106" s="1131"/>
      <c r="I106" s="1124">
        <f t="shared" ca="1" si="2"/>
        <v>0</v>
      </c>
      <c r="J106" s="1124">
        <f t="shared" ca="1" si="2"/>
        <v>0</v>
      </c>
      <c r="K106" s="1124">
        <f t="shared" ca="1" si="2"/>
        <v>0</v>
      </c>
      <c r="L106" s="1124">
        <f t="shared" ca="1" si="2"/>
        <v>0</v>
      </c>
      <c r="M106" s="32"/>
      <c r="N106" s="1124">
        <f t="shared" ca="1" si="3"/>
        <v>0</v>
      </c>
      <c r="O106" s="1124">
        <f t="shared" ca="1" si="3"/>
        <v>0</v>
      </c>
      <c r="P106" s="32"/>
      <c r="Q106" s="1124">
        <f t="shared" ca="1" si="4"/>
        <v>0</v>
      </c>
      <c r="R106" s="1124">
        <f t="shared" ca="1" si="4"/>
        <v>0</v>
      </c>
      <c r="S106" s="143"/>
      <c r="U106" s="436"/>
      <c r="V106" s="1115"/>
      <c r="Y106" s="1122" t="b">
        <f t="shared" si="7"/>
        <v>1</v>
      </c>
      <c r="Z106" s="1122" t="b">
        <f t="shared" si="5"/>
        <v>0</v>
      </c>
      <c r="AA106" s="1122" t="str">
        <f t="shared" si="6"/>
        <v/>
      </c>
    </row>
    <row r="107" spans="2:27" ht="17.25" hidden="1" customHeight="1">
      <c r="B107" s="278"/>
      <c r="C107" s="1128"/>
      <c r="D107" s="1130"/>
      <c r="E107" s="1129"/>
      <c r="F107" s="1131"/>
      <c r="I107" s="1124">
        <f t="shared" ref="I107:L126" ca="1" si="8">IFERROR(SUMIF(OFFSET(INDIRECT("HNSW_Summary!$A:$A"),0,MATCH("SumCriteria",INDIRECT("HNSW_Summary!$1:$1"),0)-1),$C107&amp;"_"&amp;$J$283,OFFSET(INDIRECT("HNSW_Summary!$A:$A"),0,MATCH(I$83,INDIRECT("HNSW_Summary!$1:$1"),0)-1)),0)</f>
        <v>0</v>
      </c>
      <c r="J107" s="1124">
        <f t="shared" ca="1" si="8"/>
        <v>0</v>
      </c>
      <c r="K107" s="1124">
        <f t="shared" ca="1" si="8"/>
        <v>0</v>
      </c>
      <c r="L107" s="1124">
        <f t="shared" ca="1" si="8"/>
        <v>0</v>
      </c>
      <c r="M107" s="32"/>
      <c r="N107" s="1124">
        <f t="shared" ref="N107:O126" ca="1" si="9">IFERROR(SUMIFS(OFFSET(INDIRECT("HNSW_Summary!$A:$A"),0,MATCH(N$83,INDIRECT("HNSW_Summary!$1:$1"),0)-1),  INDIRECT("HNSW_Summary!$A:$A"),$C107,  INDIRECT("HNSW_Summary!$B:$B"),"*K04*",  OFFSET(INDIRECT("HNSW_Summary!$A:$A"),0,MATCH("Outstanding",INDIRECT("HNSW_Summary!$1:$1"),0)-1),FALSE),0)</f>
        <v>0</v>
      </c>
      <c r="O107" s="1124">
        <f t="shared" ca="1" si="9"/>
        <v>0</v>
      </c>
      <c r="P107" s="32"/>
      <c r="Q107" s="1124">
        <f t="shared" ref="Q107:R126" ca="1" si="10">IFERROR(SUMIFS(OFFSET(INDIRECT("HNSW_Summary!$A:$A"),0,MATCH(Q$83,INDIRECT("HNSW_Summary!$1:$1"),0)-1),  INDIRECT("HNSW_Summary!$A:$A"),$C107,  INDIRECT("HNSW_Summary!$B:$B"),"*K04*",  OFFSET(INDIRECT("HNSW_Summary!$A:$A"),0,MATCH("Outstanding",INDIRECT("HNSW_Summary!$1:$1"),0)-1),TRUE),0)</f>
        <v>0</v>
      </c>
      <c r="R107" s="1124">
        <f t="shared" ca="1" si="10"/>
        <v>0</v>
      </c>
      <c r="S107" s="143"/>
      <c r="U107" s="436"/>
      <c r="V107" s="1115"/>
      <c r="Y107" s="1122" t="b">
        <f t="shared" si="7"/>
        <v>1</v>
      </c>
      <c r="Z107" s="1122" t="b">
        <f t="shared" si="5"/>
        <v>0</v>
      </c>
      <c r="AA107" s="1122" t="str">
        <f t="shared" si="6"/>
        <v/>
      </c>
    </row>
    <row r="108" spans="2:27" ht="17.25" hidden="1" customHeight="1">
      <c r="B108" s="278"/>
      <c r="C108" s="1128"/>
      <c r="D108" s="1130"/>
      <c r="E108" s="1129"/>
      <c r="F108" s="1131"/>
      <c r="I108" s="1124">
        <f t="shared" ca="1" si="8"/>
        <v>0</v>
      </c>
      <c r="J108" s="1124">
        <f t="shared" ca="1" si="8"/>
        <v>0</v>
      </c>
      <c r="K108" s="1124">
        <f t="shared" ca="1" si="8"/>
        <v>0</v>
      </c>
      <c r="L108" s="1124">
        <f t="shared" ca="1" si="8"/>
        <v>0</v>
      </c>
      <c r="M108" s="32"/>
      <c r="N108" s="1124">
        <f t="shared" ca="1" si="9"/>
        <v>0</v>
      </c>
      <c r="O108" s="1124">
        <f t="shared" ca="1" si="9"/>
        <v>0</v>
      </c>
      <c r="P108" s="32"/>
      <c r="Q108" s="1124">
        <f t="shared" ca="1" si="10"/>
        <v>0</v>
      </c>
      <c r="R108" s="1124">
        <f t="shared" ca="1" si="10"/>
        <v>0</v>
      </c>
      <c r="S108" s="143"/>
      <c r="U108" s="436"/>
      <c r="V108" s="1115"/>
      <c r="Y108" s="1122" t="b">
        <f t="shared" si="7"/>
        <v>1</v>
      </c>
      <c r="Z108" s="1122" t="b">
        <f t="shared" si="5"/>
        <v>0</v>
      </c>
      <c r="AA108" s="1122" t="str">
        <f t="shared" si="6"/>
        <v/>
      </c>
    </row>
    <row r="109" spans="2:27" ht="17.25" hidden="1" customHeight="1">
      <c r="B109" s="278"/>
      <c r="C109" s="1128"/>
      <c r="D109" s="1130"/>
      <c r="E109" s="1129"/>
      <c r="F109" s="1131"/>
      <c r="I109" s="1124">
        <f t="shared" ca="1" si="8"/>
        <v>0</v>
      </c>
      <c r="J109" s="1124">
        <f t="shared" ca="1" si="8"/>
        <v>0</v>
      </c>
      <c r="K109" s="1124">
        <f t="shared" ca="1" si="8"/>
        <v>0</v>
      </c>
      <c r="L109" s="1124">
        <f t="shared" ca="1" si="8"/>
        <v>0</v>
      </c>
      <c r="M109" s="32"/>
      <c r="N109" s="1124">
        <f t="shared" ca="1" si="9"/>
        <v>0</v>
      </c>
      <c r="O109" s="1124">
        <f t="shared" ca="1" si="9"/>
        <v>0</v>
      </c>
      <c r="P109" s="32"/>
      <c r="Q109" s="1124">
        <f t="shared" ca="1" si="10"/>
        <v>0</v>
      </c>
      <c r="R109" s="1124">
        <f t="shared" ca="1" si="10"/>
        <v>0</v>
      </c>
      <c r="S109" s="143"/>
      <c r="U109" s="436"/>
      <c r="V109" s="1115"/>
      <c r="Y109" s="1122" t="b">
        <f t="shared" si="7"/>
        <v>1</v>
      </c>
      <c r="Z109" s="1122" t="b">
        <f t="shared" si="5"/>
        <v>0</v>
      </c>
      <c r="AA109" s="1122" t="str">
        <f t="shared" si="6"/>
        <v/>
      </c>
    </row>
    <row r="110" spans="2:27" ht="17.25" hidden="1" customHeight="1">
      <c r="B110" s="278"/>
      <c r="C110" s="1128"/>
      <c r="D110" s="1130"/>
      <c r="E110" s="1129"/>
      <c r="F110" s="1131"/>
      <c r="I110" s="1124">
        <f t="shared" ca="1" si="8"/>
        <v>0</v>
      </c>
      <c r="J110" s="1124">
        <f t="shared" ca="1" si="8"/>
        <v>0</v>
      </c>
      <c r="K110" s="1124">
        <f t="shared" ca="1" si="8"/>
        <v>0</v>
      </c>
      <c r="L110" s="1124">
        <f t="shared" ca="1" si="8"/>
        <v>0</v>
      </c>
      <c r="M110" s="32"/>
      <c r="N110" s="1124">
        <f t="shared" ca="1" si="9"/>
        <v>0</v>
      </c>
      <c r="O110" s="1124">
        <f t="shared" ca="1" si="9"/>
        <v>0</v>
      </c>
      <c r="P110" s="32"/>
      <c r="Q110" s="1124">
        <f t="shared" ca="1" si="10"/>
        <v>0</v>
      </c>
      <c r="R110" s="1124">
        <f t="shared" ca="1" si="10"/>
        <v>0</v>
      </c>
      <c r="S110" s="143"/>
      <c r="U110" s="436"/>
      <c r="V110" s="1115"/>
      <c r="Y110" s="1122" t="b">
        <f t="shared" si="7"/>
        <v>1</v>
      </c>
      <c r="Z110" s="1122" t="b">
        <f t="shared" si="5"/>
        <v>0</v>
      </c>
      <c r="AA110" s="1122" t="str">
        <f t="shared" si="6"/>
        <v/>
      </c>
    </row>
    <row r="111" spans="2:27" ht="17.25" hidden="1" customHeight="1">
      <c r="B111" s="278"/>
      <c r="C111" s="1128"/>
      <c r="D111" s="1130"/>
      <c r="E111" s="1129"/>
      <c r="F111" s="1131"/>
      <c r="I111" s="1124">
        <f t="shared" ca="1" si="8"/>
        <v>0</v>
      </c>
      <c r="J111" s="1124">
        <f t="shared" ca="1" si="8"/>
        <v>0</v>
      </c>
      <c r="K111" s="1124">
        <f t="shared" ca="1" si="8"/>
        <v>0</v>
      </c>
      <c r="L111" s="1124">
        <f t="shared" ca="1" si="8"/>
        <v>0</v>
      </c>
      <c r="M111" s="32"/>
      <c r="N111" s="1124">
        <f t="shared" ca="1" si="9"/>
        <v>0</v>
      </c>
      <c r="O111" s="1124">
        <f t="shared" ca="1" si="9"/>
        <v>0</v>
      </c>
      <c r="P111" s="32"/>
      <c r="Q111" s="1124">
        <f t="shared" ca="1" si="10"/>
        <v>0</v>
      </c>
      <c r="R111" s="1124">
        <f t="shared" ca="1" si="10"/>
        <v>0</v>
      </c>
      <c r="S111" s="143"/>
      <c r="U111" s="436"/>
      <c r="V111" s="1115"/>
      <c r="Y111" s="1122" t="b">
        <f t="shared" si="7"/>
        <v>1</v>
      </c>
      <c r="Z111" s="1122" t="b">
        <f t="shared" si="5"/>
        <v>0</v>
      </c>
      <c r="AA111" s="1122" t="str">
        <f t="shared" si="6"/>
        <v/>
      </c>
    </row>
    <row r="112" spans="2:27" ht="17.25" hidden="1" customHeight="1">
      <c r="B112" s="278"/>
      <c r="C112" s="1128"/>
      <c r="D112" s="1130"/>
      <c r="E112" s="1129"/>
      <c r="F112" s="1131"/>
      <c r="I112" s="1124">
        <f t="shared" ca="1" si="8"/>
        <v>0</v>
      </c>
      <c r="J112" s="1124">
        <f t="shared" ca="1" si="8"/>
        <v>0</v>
      </c>
      <c r="K112" s="1124">
        <f t="shared" ca="1" si="8"/>
        <v>0</v>
      </c>
      <c r="L112" s="1124">
        <f t="shared" ca="1" si="8"/>
        <v>0</v>
      </c>
      <c r="M112" s="32"/>
      <c r="N112" s="1124">
        <f t="shared" ca="1" si="9"/>
        <v>0</v>
      </c>
      <c r="O112" s="1124">
        <f t="shared" ca="1" si="9"/>
        <v>0</v>
      </c>
      <c r="P112" s="32"/>
      <c r="Q112" s="1124">
        <f t="shared" ca="1" si="10"/>
        <v>0</v>
      </c>
      <c r="R112" s="1124">
        <f t="shared" ca="1" si="10"/>
        <v>0</v>
      </c>
      <c r="S112" s="143"/>
      <c r="U112" s="436"/>
      <c r="V112" s="1115"/>
      <c r="Y112" s="1122" t="b">
        <f t="shared" si="7"/>
        <v>1</v>
      </c>
      <c r="Z112" s="1122" t="b">
        <f t="shared" si="5"/>
        <v>0</v>
      </c>
      <c r="AA112" s="1122" t="str">
        <f t="shared" si="6"/>
        <v/>
      </c>
    </row>
    <row r="113" spans="2:27" ht="17.25" hidden="1" customHeight="1">
      <c r="B113" s="278"/>
      <c r="C113" s="1128"/>
      <c r="D113" s="1130"/>
      <c r="E113" s="1129"/>
      <c r="F113" s="1131"/>
      <c r="I113" s="1124">
        <f t="shared" ca="1" si="8"/>
        <v>0</v>
      </c>
      <c r="J113" s="1124">
        <f t="shared" ca="1" si="8"/>
        <v>0</v>
      </c>
      <c r="K113" s="1124">
        <f t="shared" ca="1" si="8"/>
        <v>0</v>
      </c>
      <c r="L113" s="1124">
        <f t="shared" ca="1" si="8"/>
        <v>0</v>
      </c>
      <c r="M113" s="32"/>
      <c r="N113" s="1124">
        <f t="shared" ca="1" si="9"/>
        <v>0</v>
      </c>
      <c r="O113" s="1124">
        <f t="shared" ca="1" si="9"/>
        <v>0</v>
      </c>
      <c r="P113" s="32"/>
      <c r="Q113" s="1124">
        <f t="shared" ca="1" si="10"/>
        <v>0</v>
      </c>
      <c r="R113" s="1124">
        <f t="shared" ca="1" si="10"/>
        <v>0</v>
      </c>
      <c r="S113" s="143"/>
      <c r="U113" s="436"/>
      <c r="V113" s="1115"/>
      <c r="Y113" s="1122" t="b">
        <f t="shared" si="7"/>
        <v>1</v>
      </c>
      <c r="Z113" s="1122" t="b">
        <f t="shared" si="5"/>
        <v>0</v>
      </c>
      <c r="AA113" s="1122" t="str">
        <f t="shared" si="6"/>
        <v/>
      </c>
    </row>
    <row r="114" spans="2:27" ht="17.25" hidden="1" customHeight="1">
      <c r="B114" s="278"/>
      <c r="C114" s="1128"/>
      <c r="D114" s="1130"/>
      <c r="E114" s="1129"/>
      <c r="F114" s="1131"/>
      <c r="I114" s="1124">
        <f t="shared" ca="1" si="8"/>
        <v>0</v>
      </c>
      <c r="J114" s="1124">
        <f t="shared" ca="1" si="8"/>
        <v>0</v>
      </c>
      <c r="K114" s="1124">
        <f t="shared" ca="1" si="8"/>
        <v>0</v>
      </c>
      <c r="L114" s="1124">
        <f t="shared" ca="1" si="8"/>
        <v>0</v>
      </c>
      <c r="M114" s="32"/>
      <c r="N114" s="1124">
        <f t="shared" ca="1" si="9"/>
        <v>0</v>
      </c>
      <c r="O114" s="1124">
        <f t="shared" ca="1" si="9"/>
        <v>0</v>
      </c>
      <c r="P114" s="32"/>
      <c r="Q114" s="1124">
        <f t="shared" ca="1" si="10"/>
        <v>0</v>
      </c>
      <c r="R114" s="1124">
        <f t="shared" ca="1" si="10"/>
        <v>0</v>
      </c>
      <c r="S114" s="143"/>
      <c r="U114" s="436"/>
      <c r="V114" s="1115"/>
      <c r="Y114" s="1122" t="b">
        <f t="shared" si="7"/>
        <v>1</v>
      </c>
      <c r="Z114" s="1122" t="b">
        <f t="shared" si="5"/>
        <v>0</v>
      </c>
      <c r="AA114" s="1122" t="str">
        <f t="shared" si="6"/>
        <v/>
      </c>
    </row>
    <row r="115" spans="2:27" ht="17.25" hidden="1" customHeight="1">
      <c r="B115" s="278"/>
      <c r="C115" s="1128"/>
      <c r="D115" s="1130"/>
      <c r="E115" s="1129"/>
      <c r="F115" s="1131"/>
      <c r="I115" s="1124">
        <f t="shared" ca="1" si="8"/>
        <v>0</v>
      </c>
      <c r="J115" s="1124">
        <f t="shared" ca="1" si="8"/>
        <v>0</v>
      </c>
      <c r="K115" s="1124">
        <f t="shared" ca="1" si="8"/>
        <v>0</v>
      </c>
      <c r="L115" s="1124">
        <f t="shared" ca="1" si="8"/>
        <v>0</v>
      </c>
      <c r="M115" s="32"/>
      <c r="N115" s="1124">
        <f t="shared" ca="1" si="9"/>
        <v>0</v>
      </c>
      <c r="O115" s="1124">
        <f t="shared" ca="1" si="9"/>
        <v>0</v>
      </c>
      <c r="P115" s="32"/>
      <c r="Q115" s="1124">
        <f t="shared" ca="1" si="10"/>
        <v>0</v>
      </c>
      <c r="R115" s="1124">
        <f t="shared" ca="1" si="10"/>
        <v>0</v>
      </c>
      <c r="S115" s="143"/>
      <c r="U115" s="436"/>
      <c r="V115" s="1115"/>
      <c r="Y115" s="1122" t="b">
        <f t="shared" si="7"/>
        <v>1</v>
      </c>
      <c r="Z115" s="1122" t="b">
        <f t="shared" si="5"/>
        <v>0</v>
      </c>
      <c r="AA115" s="1122" t="str">
        <f t="shared" si="6"/>
        <v/>
      </c>
    </row>
    <row r="116" spans="2:27" ht="17.25" hidden="1" customHeight="1">
      <c r="B116" s="278"/>
      <c r="C116" s="1128"/>
      <c r="D116" s="1130"/>
      <c r="E116" s="1129"/>
      <c r="F116" s="1131"/>
      <c r="I116" s="1124">
        <f t="shared" ca="1" si="8"/>
        <v>0</v>
      </c>
      <c r="J116" s="1124">
        <f t="shared" ca="1" si="8"/>
        <v>0</v>
      </c>
      <c r="K116" s="1124">
        <f t="shared" ca="1" si="8"/>
        <v>0</v>
      </c>
      <c r="L116" s="1124">
        <f t="shared" ca="1" si="8"/>
        <v>0</v>
      </c>
      <c r="M116" s="32"/>
      <c r="N116" s="1124">
        <f t="shared" ca="1" si="9"/>
        <v>0</v>
      </c>
      <c r="O116" s="1124">
        <f t="shared" ca="1" si="9"/>
        <v>0</v>
      </c>
      <c r="P116" s="32"/>
      <c r="Q116" s="1124">
        <f t="shared" ca="1" si="10"/>
        <v>0</v>
      </c>
      <c r="R116" s="1124">
        <f t="shared" ca="1" si="10"/>
        <v>0</v>
      </c>
      <c r="S116" s="143"/>
      <c r="U116" s="436"/>
      <c r="V116" s="1115"/>
      <c r="Y116" s="1122" t="b">
        <f t="shared" si="7"/>
        <v>1</v>
      </c>
      <c r="Z116" s="1122" t="b">
        <f t="shared" si="5"/>
        <v>0</v>
      </c>
      <c r="AA116" s="1122" t="str">
        <f t="shared" si="6"/>
        <v/>
      </c>
    </row>
    <row r="117" spans="2:27" ht="17.25" hidden="1" customHeight="1">
      <c r="B117" s="278"/>
      <c r="C117" s="1128"/>
      <c r="D117" s="1130"/>
      <c r="E117" s="1129"/>
      <c r="F117" s="1131"/>
      <c r="I117" s="1124">
        <f t="shared" ca="1" si="8"/>
        <v>0</v>
      </c>
      <c r="J117" s="1124">
        <f t="shared" ca="1" si="8"/>
        <v>0</v>
      </c>
      <c r="K117" s="1124">
        <f t="shared" ca="1" si="8"/>
        <v>0</v>
      </c>
      <c r="L117" s="1124">
        <f t="shared" ca="1" si="8"/>
        <v>0</v>
      </c>
      <c r="M117" s="32"/>
      <c r="N117" s="1124">
        <f t="shared" ca="1" si="9"/>
        <v>0</v>
      </c>
      <c r="O117" s="1124">
        <f t="shared" ca="1" si="9"/>
        <v>0</v>
      </c>
      <c r="P117" s="32"/>
      <c r="Q117" s="1124">
        <f t="shared" ca="1" si="10"/>
        <v>0</v>
      </c>
      <c r="R117" s="1124">
        <f t="shared" ca="1" si="10"/>
        <v>0</v>
      </c>
      <c r="S117" s="143"/>
      <c r="U117" s="436"/>
      <c r="V117" s="1115"/>
      <c r="Y117" s="1122" t="b">
        <f t="shared" si="7"/>
        <v>1</v>
      </c>
      <c r="Z117" s="1122" t="b">
        <f t="shared" si="5"/>
        <v>0</v>
      </c>
      <c r="AA117" s="1122" t="str">
        <f t="shared" si="6"/>
        <v/>
      </c>
    </row>
    <row r="118" spans="2:27" ht="17.25" hidden="1" customHeight="1">
      <c r="B118" s="278"/>
      <c r="C118" s="1128"/>
      <c r="D118" s="1130"/>
      <c r="E118" s="1129"/>
      <c r="F118" s="1131"/>
      <c r="I118" s="1124">
        <f t="shared" ca="1" si="8"/>
        <v>0</v>
      </c>
      <c r="J118" s="1124">
        <f t="shared" ca="1" si="8"/>
        <v>0</v>
      </c>
      <c r="K118" s="1124">
        <f t="shared" ca="1" si="8"/>
        <v>0</v>
      </c>
      <c r="L118" s="1124">
        <f t="shared" ca="1" si="8"/>
        <v>0</v>
      </c>
      <c r="M118" s="32"/>
      <c r="N118" s="1124">
        <f t="shared" ca="1" si="9"/>
        <v>0</v>
      </c>
      <c r="O118" s="1124">
        <f t="shared" ca="1" si="9"/>
        <v>0</v>
      </c>
      <c r="P118" s="32"/>
      <c r="Q118" s="1124">
        <f t="shared" ca="1" si="10"/>
        <v>0</v>
      </c>
      <c r="R118" s="1124">
        <f t="shared" ca="1" si="10"/>
        <v>0</v>
      </c>
      <c r="S118" s="143"/>
      <c r="U118" s="436"/>
      <c r="V118" s="1115"/>
      <c r="Y118" s="1122" t="b">
        <f t="shared" si="7"/>
        <v>1</v>
      </c>
      <c r="Z118" s="1122" t="b">
        <f t="shared" si="5"/>
        <v>0</v>
      </c>
      <c r="AA118" s="1122" t="str">
        <f t="shared" si="6"/>
        <v/>
      </c>
    </row>
    <row r="119" spans="2:27" ht="17.25" hidden="1" customHeight="1">
      <c r="B119" s="278"/>
      <c r="C119" s="1128"/>
      <c r="D119" s="1130"/>
      <c r="E119" s="1129"/>
      <c r="F119" s="1131"/>
      <c r="I119" s="1124">
        <f t="shared" ca="1" si="8"/>
        <v>0</v>
      </c>
      <c r="J119" s="1124">
        <f t="shared" ca="1" si="8"/>
        <v>0</v>
      </c>
      <c r="K119" s="1124">
        <f t="shared" ca="1" si="8"/>
        <v>0</v>
      </c>
      <c r="L119" s="1124">
        <f t="shared" ca="1" si="8"/>
        <v>0</v>
      </c>
      <c r="M119" s="32"/>
      <c r="N119" s="1124">
        <f t="shared" ca="1" si="9"/>
        <v>0</v>
      </c>
      <c r="O119" s="1124">
        <f t="shared" ca="1" si="9"/>
        <v>0</v>
      </c>
      <c r="P119" s="32"/>
      <c r="Q119" s="1124">
        <f t="shared" ca="1" si="10"/>
        <v>0</v>
      </c>
      <c r="R119" s="1124">
        <f t="shared" ca="1" si="10"/>
        <v>0</v>
      </c>
      <c r="S119" s="143"/>
      <c r="U119" s="436"/>
      <c r="V119" s="1115"/>
      <c r="Y119" s="1122" t="b">
        <f t="shared" si="7"/>
        <v>1</v>
      </c>
      <c r="Z119" s="1122" t="b">
        <f t="shared" ref="Z119:Z150" si="11">IF(C119&lt;&gt;0,TRUE,FALSE)</f>
        <v>0</v>
      </c>
      <c r="AA119" s="1122" t="str">
        <f t="shared" ref="AA119:AA150" si="12">IF(AND(C119&lt;&gt;0,C119&lt;&gt;""),1,"")</f>
        <v/>
      </c>
    </row>
    <row r="120" spans="2:27" ht="17.25" hidden="1" customHeight="1">
      <c r="B120" s="278"/>
      <c r="C120" s="1128"/>
      <c r="D120" s="1130"/>
      <c r="E120" s="1129"/>
      <c r="F120" s="1131"/>
      <c r="I120" s="1124">
        <f t="shared" ca="1" si="8"/>
        <v>0</v>
      </c>
      <c r="J120" s="1124">
        <f t="shared" ca="1" si="8"/>
        <v>0</v>
      </c>
      <c r="K120" s="1124">
        <f t="shared" ca="1" si="8"/>
        <v>0</v>
      </c>
      <c r="L120" s="1124">
        <f t="shared" ca="1" si="8"/>
        <v>0</v>
      </c>
      <c r="M120" s="32"/>
      <c r="N120" s="1124">
        <f t="shared" ca="1" si="9"/>
        <v>0</v>
      </c>
      <c r="O120" s="1124">
        <f t="shared" ca="1" si="9"/>
        <v>0</v>
      </c>
      <c r="P120" s="32"/>
      <c r="Q120" s="1124">
        <f t="shared" ca="1" si="10"/>
        <v>0</v>
      </c>
      <c r="R120" s="1124">
        <f t="shared" ca="1" si="10"/>
        <v>0</v>
      </c>
      <c r="S120" s="143"/>
      <c r="U120" s="436"/>
      <c r="V120" s="1115"/>
      <c r="Y120" s="1122" t="b">
        <f t="shared" ref="Y120:Y151" si="13">IF(AND(C120&lt;&gt;"",C120&lt;&gt;0,Dividends_SelectedMethod="Worksheet"),FALSE,TRUE)</f>
        <v>1</v>
      </c>
      <c r="Z120" s="1122" t="b">
        <f t="shared" si="11"/>
        <v>0</v>
      </c>
      <c r="AA120" s="1122" t="str">
        <f t="shared" si="12"/>
        <v/>
      </c>
    </row>
    <row r="121" spans="2:27" ht="17.25" hidden="1" customHeight="1">
      <c r="B121" s="278"/>
      <c r="C121" s="1128"/>
      <c r="D121" s="1130"/>
      <c r="E121" s="1129"/>
      <c r="F121" s="1131"/>
      <c r="I121" s="1124">
        <f t="shared" ca="1" si="8"/>
        <v>0</v>
      </c>
      <c r="J121" s="1124">
        <f t="shared" ca="1" si="8"/>
        <v>0</v>
      </c>
      <c r="K121" s="1124">
        <f t="shared" ca="1" si="8"/>
        <v>0</v>
      </c>
      <c r="L121" s="1124">
        <f t="shared" ca="1" si="8"/>
        <v>0</v>
      </c>
      <c r="M121" s="32"/>
      <c r="N121" s="1124">
        <f t="shared" ca="1" si="9"/>
        <v>0</v>
      </c>
      <c r="O121" s="1124">
        <f t="shared" ca="1" si="9"/>
        <v>0</v>
      </c>
      <c r="P121" s="32"/>
      <c r="Q121" s="1124">
        <f t="shared" ca="1" si="10"/>
        <v>0</v>
      </c>
      <c r="R121" s="1124">
        <f t="shared" ca="1" si="10"/>
        <v>0</v>
      </c>
      <c r="S121" s="143"/>
      <c r="U121" s="436"/>
      <c r="V121" s="1115"/>
      <c r="Y121" s="1122" t="b">
        <f t="shared" si="13"/>
        <v>1</v>
      </c>
      <c r="Z121" s="1122" t="b">
        <f t="shared" si="11"/>
        <v>0</v>
      </c>
      <c r="AA121" s="1122" t="str">
        <f t="shared" si="12"/>
        <v/>
      </c>
    </row>
    <row r="122" spans="2:27" ht="17.25" hidden="1" customHeight="1">
      <c r="B122" s="278"/>
      <c r="C122" s="1128"/>
      <c r="D122" s="1130"/>
      <c r="E122" s="1129"/>
      <c r="F122" s="1131"/>
      <c r="I122" s="1124">
        <f t="shared" ca="1" si="8"/>
        <v>0</v>
      </c>
      <c r="J122" s="1124">
        <f t="shared" ca="1" si="8"/>
        <v>0</v>
      </c>
      <c r="K122" s="1124">
        <f t="shared" ca="1" si="8"/>
        <v>0</v>
      </c>
      <c r="L122" s="1124">
        <f t="shared" ca="1" si="8"/>
        <v>0</v>
      </c>
      <c r="M122" s="32"/>
      <c r="N122" s="1124">
        <f t="shared" ca="1" si="9"/>
        <v>0</v>
      </c>
      <c r="O122" s="1124">
        <f t="shared" ca="1" si="9"/>
        <v>0</v>
      </c>
      <c r="P122" s="32"/>
      <c r="Q122" s="1124">
        <f t="shared" ca="1" si="10"/>
        <v>0</v>
      </c>
      <c r="R122" s="1124">
        <f t="shared" ca="1" si="10"/>
        <v>0</v>
      </c>
      <c r="S122" s="143"/>
      <c r="U122" s="436"/>
      <c r="V122" s="1115"/>
      <c r="Y122" s="1122" t="b">
        <f t="shared" si="13"/>
        <v>1</v>
      </c>
      <c r="Z122" s="1122" t="b">
        <f t="shared" si="11"/>
        <v>0</v>
      </c>
      <c r="AA122" s="1122" t="str">
        <f t="shared" si="12"/>
        <v/>
      </c>
    </row>
    <row r="123" spans="2:27" ht="17.25" hidden="1" customHeight="1">
      <c r="B123" s="278"/>
      <c r="C123" s="1128"/>
      <c r="D123" s="1130"/>
      <c r="E123" s="1129"/>
      <c r="F123" s="1131"/>
      <c r="I123" s="1124">
        <f t="shared" ca="1" si="8"/>
        <v>0</v>
      </c>
      <c r="J123" s="1124">
        <f t="shared" ca="1" si="8"/>
        <v>0</v>
      </c>
      <c r="K123" s="1124">
        <f t="shared" ca="1" si="8"/>
        <v>0</v>
      </c>
      <c r="L123" s="1124">
        <f t="shared" ca="1" si="8"/>
        <v>0</v>
      </c>
      <c r="M123" s="32"/>
      <c r="N123" s="1124">
        <f t="shared" ca="1" si="9"/>
        <v>0</v>
      </c>
      <c r="O123" s="1124">
        <f t="shared" ca="1" si="9"/>
        <v>0</v>
      </c>
      <c r="P123" s="32"/>
      <c r="Q123" s="1124">
        <f t="shared" ca="1" si="10"/>
        <v>0</v>
      </c>
      <c r="R123" s="1124">
        <f t="shared" ca="1" si="10"/>
        <v>0</v>
      </c>
      <c r="S123" s="143"/>
      <c r="U123" s="436"/>
      <c r="V123" s="1115"/>
      <c r="Y123" s="1122" t="b">
        <f t="shared" si="13"/>
        <v>1</v>
      </c>
      <c r="Z123" s="1122" t="b">
        <f t="shared" si="11"/>
        <v>0</v>
      </c>
      <c r="AA123" s="1122" t="str">
        <f t="shared" si="12"/>
        <v/>
      </c>
    </row>
    <row r="124" spans="2:27" ht="17.25" hidden="1" customHeight="1">
      <c r="B124" s="278"/>
      <c r="C124" s="1128"/>
      <c r="D124" s="1130"/>
      <c r="E124" s="1129"/>
      <c r="F124" s="1131"/>
      <c r="I124" s="1124">
        <f t="shared" ca="1" si="8"/>
        <v>0</v>
      </c>
      <c r="J124" s="1124">
        <f t="shared" ca="1" si="8"/>
        <v>0</v>
      </c>
      <c r="K124" s="1124">
        <f t="shared" ca="1" si="8"/>
        <v>0</v>
      </c>
      <c r="L124" s="1124">
        <f t="shared" ca="1" si="8"/>
        <v>0</v>
      </c>
      <c r="M124" s="32"/>
      <c r="N124" s="1124">
        <f t="shared" ca="1" si="9"/>
        <v>0</v>
      </c>
      <c r="O124" s="1124">
        <f t="shared" ca="1" si="9"/>
        <v>0</v>
      </c>
      <c r="P124" s="32"/>
      <c r="Q124" s="1124">
        <f t="shared" ca="1" si="10"/>
        <v>0</v>
      </c>
      <c r="R124" s="1124">
        <f t="shared" ca="1" si="10"/>
        <v>0</v>
      </c>
      <c r="S124" s="143"/>
      <c r="U124" s="436"/>
      <c r="V124" s="1115"/>
      <c r="Y124" s="1122" t="b">
        <f t="shared" si="13"/>
        <v>1</v>
      </c>
      <c r="Z124" s="1122" t="b">
        <f t="shared" si="11"/>
        <v>0</v>
      </c>
      <c r="AA124" s="1122" t="str">
        <f t="shared" si="12"/>
        <v/>
      </c>
    </row>
    <row r="125" spans="2:27" ht="17.25" hidden="1" customHeight="1">
      <c r="B125" s="278"/>
      <c r="C125" s="1128"/>
      <c r="D125" s="1130"/>
      <c r="E125" s="1129"/>
      <c r="F125" s="1131"/>
      <c r="I125" s="1124">
        <f t="shared" ca="1" si="8"/>
        <v>0</v>
      </c>
      <c r="J125" s="1124">
        <f t="shared" ca="1" si="8"/>
        <v>0</v>
      </c>
      <c r="K125" s="1124">
        <f t="shared" ca="1" si="8"/>
        <v>0</v>
      </c>
      <c r="L125" s="1124">
        <f t="shared" ca="1" si="8"/>
        <v>0</v>
      </c>
      <c r="M125" s="32"/>
      <c r="N125" s="1124">
        <f t="shared" ca="1" si="9"/>
        <v>0</v>
      </c>
      <c r="O125" s="1124">
        <f t="shared" ca="1" si="9"/>
        <v>0</v>
      </c>
      <c r="P125" s="32"/>
      <c r="Q125" s="1124">
        <f t="shared" ca="1" si="10"/>
        <v>0</v>
      </c>
      <c r="R125" s="1124">
        <f t="shared" ca="1" si="10"/>
        <v>0</v>
      </c>
      <c r="S125" s="143"/>
      <c r="U125" s="436"/>
      <c r="V125" s="1115"/>
      <c r="Y125" s="1122" t="b">
        <f t="shared" si="13"/>
        <v>1</v>
      </c>
      <c r="Z125" s="1122" t="b">
        <f t="shared" si="11"/>
        <v>0</v>
      </c>
      <c r="AA125" s="1122" t="str">
        <f t="shared" si="12"/>
        <v/>
      </c>
    </row>
    <row r="126" spans="2:27" ht="17.25" hidden="1" customHeight="1">
      <c r="B126" s="278"/>
      <c r="C126" s="1128"/>
      <c r="D126" s="1130"/>
      <c r="E126" s="1129"/>
      <c r="F126" s="1131"/>
      <c r="I126" s="1124">
        <f t="shared" ca="1" si="8"/>
        <v>0</v>
      </c>
      <c r="J126" s="1124">
        <f t="shared" ca="1" si="8"/>
        <v>0</v>
      </c>
      <c r="K126" s="1124">
        <f t="shared" ca="1" si="8"/>
        <v>0</v>
      </c>
      <c r="L126" s="1124">
        <f t="shared" ca="1" si="8"/>
        <v>0</v>
      </c>
      <c r="M126" s="32"/>
      <c r="N126" s="1124">
        <f t="shared" ca="1" si="9"/>
        <v>0</v>
      </c>
      <c r="O126" s="1124">
        <f t="shared" ca="1" si="9"/>
        <v>0</v>
      </c>
      <c r="P126" s="32"/>
      <c r="Q126" s="1124">
        <f t="shared" ca="1" si="10"/>
        <v>0</v>
      </c>
      <c r="R126" s="1124">
        <f t="shared" ca="1" si="10"/>
        <v>0</v>
      </c>
      <c r="S126" s="143"/>
      <c r="U126" s="436"/>
      <c r="V126" s="1115"/>
      <c r="Y126" s="1122" t="b">
        <f t="shared" si="13"/>
        <v>1</v>
      </c>
      <c r="Z126" s="1122" t="b">
        <f t="shared" si="11"/>
        <v>0</v>
      </c>
      <c r="AA126" s="1122" t="str">
        <f t="shared" si="12"/>
        <v/>
      </c>
    </row>
    <row r="127" spans="2:27" ht="17.25" hidden="1" customHeight="1">
      <c r="B127" s="278"/>
      <c r="C127" s="1128"/>
      <c r="D127" s="1127"/>
      <c r="E127" s="1126"/>
      <c r="F127" s="1131"/>
      <c r="I127" s="1124">
        <f t="shared" ref="I127:L146" ca="1" si="14">IFERROR(SUMIF(OFFSET(INDIRECT("HNSW_Summary!$A:$A"),0,MATCH("SumCriteria",INDIRECT("HNSW_Summary!$1:$1"),0)-1),$C127&amp;"_"&amp;$J$283,OFFSET(INDIRECT("HNSW_Summary!$A:$A"),0,MATCH(I$83,INDIRECT("HNSW_Summary!$1:$1"),0)-1)),0)</f>
        <v>0</v>
      </c>
      <c r="J127" s="1124">
        <f t="shared" ca="1" si="14"/>
        <v>0</v>
      </c>
      <c r="K127" s="1124">
        <f t="shared" ca="1" si="14"/>
        <v>0</v>
      </c>
      <c r="L127" s="1124">
        <f t="shared" ca="1" si="14"/>
        <v>0</v>
      </c>
      <c r="M127" s="32"/>
      <c r="N127" s="1124">
        <f t="shared" ref="N127:O146" ca="1" si="15">IFERROR(SUMIFS(OFFSET(INDIRECT("HNSW_Summary!$A:$A"),0,MATCH(N$83,INDIRECT("HNSW_Summary!$1:$1"),0)-1),  INDIRECT("HNSW_Summary!$A:$A"),$C127,  INDIRECT("HNSW_Summary!$B:$B"),"*K04*",  OFFSET(INDIRECT("HNSW_Summary!$A:$A"),0,MATCH("Outstanding",INDIRECT("HNSW_Summary!$1:$1"),0)-1),FALSE),0)</f>
        <v>0</v>
      </c>
      <c r="O127" s="1124">
        <f t="shared" ca="1" si="15"/>
        <v>0</v>
      </c>
      <c r="P127" s="32"/>
      <c r="Q127" s="1124">
        <f t="shared" ref="Q127:R146" ca="1" si="16">IFERROR(SUMIFS(OFFSET(INDIRECT("HNSW_Summary!$A:$A"),0,MATCH(Q$83,INDIRECT("HNSW_Summary!$1:$1"),0)-1),  INDIRECT("HNSW_Summary!$A:$A"),$C127,  INDIRECT("HNSW_Summary!$B:$B"),"*K04*",  OFFSET(INDIRECT("HNSW_Summary!$A:$A"),0,MATCH("Outstanding",INDIRECT("HNSW_Summary!$1:$1"),0)-1),TRUE),0)</f>
        <v>0</v>
      </c>
      <c r="R127" s="1124">
        <f t="shared" ca="1" si="16"/>
        <v>0</v>
      </c>
      <c r="S127" s="143"/>
      <c r="U127" s="436"/>
      <c r="V127" s="1115"/>
      <c r="Y127" s="1122" t="b">
        <f t="shared" si="13"/>
        <v>1</v>
      </c>
      <c r="Z127" s="1122" t="b">
        <f t="shared" si="11"/>
        <v>0</v>
      </c>
      <c r="AA127" s="1122" t="str">
        <f t="shared" si="12"/>
        <v/>
      </c>
    </row>
    <row r="128" spans="2:27" ht="17.25" hidden="1" customHeight="1">
      <c r="B128" s="278"/>
      <c r="C128" s="1128"/>
      <c r="D128" s="1127"/>
      <c r="E128" s="1126"/>
      <c r="F128" s="1131"/>
      <c r="I128" s="1124">
        <f t="shared" ca="1" si="14"/>
        <v>0</v>
      </c>
      <c r="J128" s="1124">
        <f t="shared" ca="1" si="14"/>
        <v>0</v>
      </c>
      <c r="K128" s="1124">
        <f t="shared" ca="1" si="14"/>
        <v>0</v>
      </c>
      <c r="L128" s="1124">
        <f t="shared" ca="1" si="14"/>
        <v>0</v>
      </c>
      <c r="M128" s="32"/>
      <c r="N128" s="1124">
        <f t="shared" ca="1" si="15"/>
        <v>0</v>
      </c>
      <c r="O128" s="1124">
        <f t="shared" ca="1" si="15"/>
        <v>0</v>
      </c>
      <c r="P128" s="32"/>
      <c r="Q128" s="1124">
        <f t="shared" ca="1" si="16"/>
        <v>0</v>
      </c>
      <c r="R128" s="1124">
        <f t="shared" ca="1" si="16"/>
        <v>0</v>
      </c>
      <c r="S128" s="143"/>
      <c r="U128" s="436"/>
      <c r="V128" s="1115"/>
      <c r="Y128" s="1122" t="b">
        <f t="shared" si="13"/>
        <v>1</v>
      </c>
      <c r="Z128" s="1122" t="b">
        <f t="shared" si="11"/>
        <v>0</v>
      </c>
      <c r="AA128" s="1122" t="str">
        <f t="shared" si="12"/>
        <v/>
      </c>
    </row>
    <row r="129" spans="2:27" ht="17.25" hidden="1" customHeight="1">
      <c r="B129" s="278"/>
      <c r="C129" s="1128"/>
      <c r="D129" s="1127"/>
      <c r="E129" s="1126"/>
      <c r="F129" s="17"/>
      <c r="I129" s="1124">
        <f t="shared" ca="1" si="14"/>
        <v>0</v>
      </c>
      <c r="J129" s="1124">
        <f t="shared" ca="1" si="14"/>
        <v>0</v>
      </c>
      <c r="K129" s="1124">
        <f t="shared" ca="1" si="14"/>
        <v>0</v>
      </c>
      <c r="L129" s="1124">
        <f t="shared" ca="1" si="14"/>
        <v>0</v>
      </c>
      <c r="M129" s="32"/>
      <c r="N129" s="1124">
        <f t="shared" ca="1" si="15"/>
        <v>0</v>
      </c>
      <c r="O129" s="1124">
        <f t="shared" ca="1" si="15"/>
        <v>0</v>
      </c>
      <c r="P129" s="32"/>
      <c r="Q129" s="1124">
        <f t="shared" ca="1" si="16"/>
        <v>0</v>
      </c>
      <c r="R129" s="1124">
        <f t="shared" ca="1" si="16"/>
        <v>0</v>
      </c>
      <c r="S129" s="143"/>
      <c r="U129" s="436"/>
      <c r="V129" s="1115"/>
      <c r="Y129" s="1122" t="b">
        <f t="shared" si="13"/>
        <v>1</v>
      </c>
      <c r="Z129" s="1122" t="b">
        <f t="shared" si="11"/>
        <v>0</v>
      </c>
      <c r="AA129" s="1122" t="str">
        <f t="shared" si="12"/>
        <v/>
      </c>
    </row>
    <row r="130" spans="2:27" ht="17.25" hidden="1" customHeight="1">
      <c r="B130" s="278"/>
      <c r="C130" s="1128"/>
      <c r="D130" s="1127"/>
      <c r="E130" s="1126"/>
      <c r="F130" s="17"/>
      <c r="I130" s="1124">
        <f t="shared" ca="1" si="14"/>
        <v>0</v>
      </c>
      <c r="J130" s="1124">
        <f t="shared" ca="1" si="14"/>
        <v>0</v>
      </c>
      <c r="K130" s="1124">
        <f t="shared" ca="1" si="14"/>
        <v>0</v>
      </c>
      <c r="L130" s="1124">
        <f t="shared" ca="1" si="14"/>
        <v>0</v>
      </c>
      <c r="M130" s="32"/>
      <c r="N130" s="1124">
        <f t="shared" ca="1" si="15"/>
        <v>0</v>
      </c>
      <c r="O130" s="1124">
        <f t="shared" ca="1" si="15"/>
        <v>0</v>
      </c>
      <c r="P130" s="32"/>
      <c r="Q130" s="1124">
        <f t="shared" ca="1" si="16"/>
        <v>0</v>
      </c>
      <c r="R130" s="1124">
        <f t="shared" ca="1" si="16"/>
        <v>0</v>
      </c>
      <c r="S130" s="143"/>
      <c r="U130" s="436"/>
      <c r="V130" s="1115"/>
      <c r="Y130" s="1122" t="b">
        <f t="shared" si="13"/>
        <v>1</v>
      </c>
      <c r="Z130" s="1122" t="b">
        <f t="shared" si="11"/>
        <v>0</v>
      </c>
      <c r="AA130" s="1122" t="str">
        <f t="shared" si="12"/>
        <v/>
      </c>
    </row>
    <row r="131" spans="2:27" ht="17.25" hidden="1" customHeight="1">
      <c r="B131" s="278"/>
      <c r="C131" s="1128"/>
      <c r="D131" s="1127"/>
      <c r="E131" s="1126"/>
      <c r="F131" s="17"/>
      <c r="I131" s="1124">
        <f t="shared" ca="1" si="14"/>
        <v>0</v>
      </c>
      <c r="J131" s="1124">
        <f t="shared" ca="1" si="14"/>
        <v>0</v>
      </c>
      <c r="K131" s="1124">
        <f t="shared" ca="1" si="14"/>
        <v>0</v>
      </c>
      <c r="L131" s="1124">
        <f t="shared" ca="1" si="14"/>
        <v>0</v>
      </c>
      <c r="M131" s="32"/>
      <c r="N131" s="1124">
        <f t="shared" ca="1" si="15"/>
        <v>0</v>
      </c>
      <c r="O131" s="1124">
        <f t="shared" ca="1" si="15"/>
        <v>0</v>
      </c>
      <c r="P131" s="32"/>
      <c r="Q131" s="1124">
        <f t="shared" ca="1" si="16"/>
        <v>0</v>
      </c>
      <c r="R131" s="1124">
        <f t="shared" ca="1" si="16"/>
        <v>0</v>
      </c>
      <c r="S131" s="143"/>
      <c r="U131" s="436"/>
      <c r="V131" s="1115"/>
      <c r="Y131" s="1122" t="b">
        <f t="shared" si="13"/>
        <v>1</v>
      </c>
      <c r="Z131" s="1122" t="b">
        <f t="shared" si="11"/>
        <v>0</v>
      </c>
      <c r="AA131" s="1122" t="str">
        <f t="shared" si="12"/>
        <v/>
      </c>
    </row>
    <row r="132" spans="2:27" ht="17.25" hidden="1" customHeight="1">
      <c r="B132" s="278"/>
      <c r="C132" s="1128"/>
      <c r="D132" s="1127"/>
      <c r="E132" s="1126"/>
      <c r="F132" s="17"/>
      <c r="I132" s="1124">
        <f t="shared" ca="1" si="14"/>
        <v>0</v>
      </c>
      <c r="J132" s="1124">
        <f t="shared" ca="1" si="14"/>
        <v>0</v>
      </c>
      <c r="K132" s="1124">
        <f t="shared" ca="1" si="14"/>
        <v>0</v>
      </c>
      <c r="L132" s="1124">
        <f t="shared" ca="1" si="14"/>
        <v>0</v>
      </c>
      <c r="M132" s="32"/>
      <c r="N132" s="1124">
        <f t="shared" ca="1" si="15"/>
        <v>0</v>
      </c>
      <c r="O132" s="1124">
        <f t="shared" ca="1" si="15"/>
        <v>0</v>
      </c>
      <c r="P132" s="32"/>
      <c r="Q132" s="1124">
        <f t="shared" ca="1" si="16"/>
        <v>0</v>
      </c>
      <c r="R132" s="1124">
        <f t="shared" ca="1" si="16"/>
        <v>0</v>
      </c>
      <c r="S132" s="143"/>
      <c r="U132" s="436"/>
      <c r="V132" s="1115"/>
      <c r="Y132" s="1122" t="b">
        <f t="shared" si="13"/>
        <v>1</v>
      </c>
      <c r="Z132" s="1122" t="b">
        <f t="shared" si="11"/>
        <v>0</v>
      </c>
      <c r="AA132" s="1122" t="str">
        <f t="shared" si="12"/>
        <v/>
      </c>
    </row>
    <row r="133" spans="2:27" ht="17.25" hidden="1" customHeight="1">
      <c r="B133" s="278"/>
      <c r="C133" s="1128"/>
      <c r="D133" s="1130"/>
      <c r="E133" s="1129"/>
      <c r="F133" s="17"/>
      <c r="I133" s="1124">
        <f t="shared" ca="1" si="14"/>
        <v>0</v>
      </c>
      <c r="J133" s="1124">
        <f t="shared" ca="1" si="14"/>
        <v>0</v>
      </c>
      <c r="K133" s="1124">
        <f t="shared" ca="1" si="14"/>
        <v>0</v>
      </c>
      <c r="L133" s="1124">
        <f t="shared" ca="1" si="14"/>
        <v>0</v>
      </c>
      <c r="M133" s="32"/>
      <c r="N133" s="1124">
        <f t="shared" ca="1" si="15"/>
        <v>0</v>
      </c>
      <c r="O133" s="1124">
        <f t="shared" ca="1" si="15"/>
        <v>0</v>
      </c>
      <c r="P133" s="32"/>
      <c r="Q133" s="1124">
        <f t="shared" ca="1" si="16"/>
        <v>0</v>
      </c>
      <c r="R133" s="1124">
        <f t="shared" ca="1" si="16"/>
        <v>0</v>
      </c>
      <c r="S133" s="143"/>
      <c r="U133" s="436"/>
      <c r="V133" s="1115"/>
      <c r="Y133" s="1122" t="b">
        <f t="shared" si="13"/>
        <v>1</v>
      </c>
      <c r="Z133" s="1122" t="b">
        <f t="shared" si="11"/>
        <v>0</v>
      </c>
      <c r="AA133" s="1122" t="str">
        <f t="shared" si="12"/>
        <v/>
      </c>
    </row>
    <row r="134" spans="2:27" ht="17.25" hidden="1" customHeight="1">
      <c r="B134" s="278"/>
      <c r="C134" s="1128"/>
      <c r="D134" s="1130"/>
      <c r="E134" s="1129"/>
      <c r="F134" s="17"/>
      <c r="I134" s="1124">
        <f t="shared" ca="1" si="14"/>
        <v>0</v>
      </c>
      <c r="J134" s="1124">
        <f t="shared" ca="1" si="14"/>
        <v>0</v>
      </c>
      <c r="K134" s="1124">
        <f t="shared" ca="1" si="14"/>
        <v>0</v>
      </c>
      <c r="L134" s="1124">
        <f t="shared" ca="1" si="14"/>
        <v>0</v>
      </c>
      <c r="M134" s="32"/>
      <c r="N134" s="1124">
        <f t="shared" ca="1" si="15"/>
        <v>0</v>
      </c>
      <c r="O134" s="1124">
        <f t="shared" ca="1" si="15"/>
        <v>0</v>
      </c>
      <c r="P134" s="32"/>
      <c r="Q134" s="1124">
        <f t="shared" ca="1" si="16"/>
        <v>0</v>
      </c>
      <c r="R134" s="1124">
        <f t="shared" ca="1" si="16"/>
        <v>0</v>
      </c>
      <c r="S134" s="143"/>
      <c r="U134" s="436"/>
      <c r="V134" s="1115"/>
      <c r="Y134" s="1122" t="b">
        <f t="shared" si="13"/>
        <v>1</v>
      </c>
      <c r="Z134" s="1122" t="b">
        <f t="shared" si="11"/>
        <v>0</v>
      </c>
      <c r="AA134" s="1122" t="str">
        <f t="shared" si="12"/>
        <v/>
      </c>
    </row>
    <row r="135" spans="2:27" ht="17.25" hidden="1" customHeight="1">
      <c r="B135" s="278"/>
      <c r="C135" s="1128"/>
      <c r="D135" s="1130"/>
      <c r="E135" s="1129"/>
      <c r="F135" s="17"/>
      <c r="I135" s="1124">
        <f t="shared" ca="1" si="14"/>
        <v>0</v>
      </c>
      <c r="J135" s="1124">
        <f t="shared" ca="1" si="14"/>
        <v>0</v>
      </c>
      <c r="K135" s="1124">
        <f t="shared" ca="1" si="14"/>
        <v>0</v>
      </c>
      <c r="L135" s="1124">
        <f t="shared" ca="1" si="14"/>
        <v>0</v>
      </c>
      <c r="M135" s="32"/>
      <c r="N135" s="1124">
        <f t="shared" ca="1" si="15"/>
        <v>0</v>
      </c>
      <c r="O135" s="1124">
        <f t="shared" ca="1" si="15"/>
        <v>0</v>
      </c>
      <c r="P135" s="32"/>
      <c r="Q135" s="1124">
        <f t="shared" ca="1" si="16"/>
        <v>0</v>
      </c>
      <c r="R135" s="1124">
        <f t="shared" ca="1" si="16"/>
        <v>0</v>
      </c>
      <c r="S135" s="143"/>
      <c r="U135" s="436"/>
      <c r="V135" s="1115"/>
      <c r="Y135" s="1122" t="b">
        <f t="shared" si="13"/>
        <v>1</v>
      </c>
      <c r="Z135" s="1122" t="b">
        <f t="shared" si="11"/>
        <v>0</v>
      </c>
      <c r="AA135" s="1122" t="str">
        <f t="shared" si="12"/>
        <v/>
      </c>
    </row>
    <row r="136" spans="2:27" ht="17.25" hidden="1" customHeight="1">
      <c r="B136" s="278"/>
      <c r="C136" s="1128"/>
      <c r="D136" s="1130"/>
      <c r="E136" s="1129"/>
      <c r="F136" s="17"/>
      <c r="I136" s="1124">
        <f t="shared" ca="1" si="14"/>
        <v>0</v>
      </c>
      <c r="J136" s="1124">
        <f t="shared" ca="1" si="14"/>
        <v>0</v>
      </c>
      <c r="K136" s="1124">
        <f t="shared" ca="1" si="14"/>
        <v>0</v>
      </c>
      <c r="L136" s="1124">
        <f t="shared" ca="1" si="14"/>
        <v>0</v>
      </c>
      <c r="M136" s="32"/>
      <c r="N136" s="1124">
        <f t="shared" ca="1" si="15"/>
        <v>0</v>
      </c>
      <c r="O136" s="1124">
        <f t="shared" ca="1" si="15"/>
        <v>0</v>
      </c>
      <c r="P136" s="32"/>
      <c r="Q136" s="1124">
        <f t="shared" ca="1" si="16"/>
        <v>0</v>
      </c>
      <c r="R136" s="1124">
        <f t="shared" ca="1" si="16"/>
        <v>0</v>
      </c>
      <c r="S136" s="143"/>
      <c r="U136" s="436"/>
      <c r="V136" s="1115"/>
      <c r="Y136" s="1122" t="b">
        <f t="shared" si="13"/>
        <v>1</v>
      </c>
      <c r="Z136" s="1122" t="b">
        <f t="shared" si="11"/>
        <v>0</v>
      </c>
      <c r="AA136" s="1122" t="str">
        <f t="shared" si="12"/>
        <v/>
      </c>
    </row>
    <row r="137" spans="2:27" ht="17.25" hidden="1" customHeight="1">
      <c r="B137" s="278"/>
      <c r="C137" s="1128"/>
      <c r="D137" s="1130"/>
      <c r="E137" s="1129"/>
      <c r="F137" s="17"/>
      <c r="I137" s="1124">
        <f t="shared" ca="1" si="14"/>
        <v>0</v>
      </c>
      <c r="J137" s="1124">
        <f t="shared" ca="1" si="14"/>
        <v>0</v>
      </c>
      <c r="K137" s="1124">
        <f t="shared" ca="1" si="14"/>
        <v>0</v>
      </c>
      <c r="L137" s="1124">
        <f t="shared" ca="1" si="14"/>
        <v>0</v>
      </c>
      <c r="M137" s="32"/>
      <c r="N137" s="1124">
        <f t="shared" ca="1" si="15"/>
        <v>0</v>
      </c>
      <c r="O137" s="1124">
        <f t="shared" ca="1" si="15"/>
        <v>0</v>
      </c>
      <c r="P137" s="32"/>
      <c r="Q137" s="1124">
        <f t="shared" ca="1" si="16"/>
        <v>0</v>
      </c>
      <c r="R137" s="1124">
        <f t="shared" ca="1" si="16"/>
        <v>0</v>
      </c>
      <c r="S137" s="143"/>
      <c r="U137" s="436"/>
      <c r="V137" s="1115"/>
      <c r="Y137" s="1122" t="b">
        <f t="shared" si="13"/>
        <v>1</v>
      </c>
      <c r="Z137" s="1122" t="b">
        <f t="shared" si="11"/>
        <v>0</v>
      </c>
      <c r="AA137" s="1122" t="str">
        <f t="shared" si="12"/>
        <v/>
      </c>
    </row>
    <row r="138" spans="2:27" ht="17.25" hidden="1" customHeight="1">
      <c r="B138" s="278"/>
      <c r="C138" s="1128"/>
      <c r="D138" s="1130"/>
      <c r="E138" s="1129"/>
      <c r="F138" s="17"/>
      <c r="I138" s="1124">
        <f t="shared" ca="1" si="14"/>
        <v>0</v>
      </c>
      <c r="J138" s="1124">
        <f t="shared" ca="1" si="14"/>
        <v>0</v>
      </c>
      <c r="K138" s="1124">
        <f t="shared" ca="1" si="14"/>
        <v>0</v>
      </c>
      <c r="L138" s="1124">
        <f t="shared" ca="1" si="14"/>
        <v>0</v>
      </c>
      <c r="M138" s="32"/>
      <c r="N138" s="1124">
        <f t="shared" ca="1" si="15"/>
        <v>0</v>
      </c>
      <c r="O138" s="1124">
        <f t="shared" ca="1" si="15"/>
        <v>0</v>
      </c>
      <c r="P138" s="32"/>
      <c r="Q138" s="1124">
        <f t="shared" ca="1" si="16"/>
        <v>0</v>
      </c>
      <c r="R138" s="1124">
        <f t="shared" ca="1" si="16"/>
        <v>0</v>
      </c>
      <c r="S138" s="143"/>
      <c r="U138" s="436"/>
      <c r="V138" s="1115"/>
      <c r="Y138" s="1122" t="b">
        <f t="shared" si="13"/>
        <v>1</v>
      </c>
      <c r="Z138" s="1122" t="b">
        <f t="shared" si="11"/>
        <v>0</v>
      </c>
      <c r="AA138" s="1122" t="str">
        <f t="shared" si="12"/>
        <v/>
      </c>
    </row>
    <row r="139" spans="2:27" ht="17.25" hidden="1" customHeight="1">
      <c r="B139" s="278"/>
      <c r="C139" s="1128"/>
      <c r="D139" s="1130"/>
      <c r="E139" s="1129"/>
      <c r="F139" s="17"/>
      <c r="I139" s="1124">
        <f t="shared" ca="1" si="14"/>
        <v>0</v>
      </c>
      <c r="J139" s="1124">
        <f t="shared" ca="1" si="14"/>
        <v>0</v>
      </c>
      <c r="K139" s="1124">
        <f t="shared" ca="1" si="14"/>
        <v>0</v>
      </c>
      <c r="L139" s="1124">
        <f t="shared" ca="1" si="14"/>
        <v>0</v>
      </c>
      <c r="M139" s="32"/>
      <c r="N139" s="1124">
        <f t="shared" ca="1" si="15"/>
        <v>0</v>
      </c>
      <c r="O139" s="1124">
        <f t="shared" ca="1" si="15"/>
        <v>0</v>
      </c>
      <c r="P139" s="32"/>
      <c r="Q139" s="1124">
        <f t="shared" ca="1" si="16"/>
        <v>0</v>
      </c>
      <c r="R139" s="1124">
        <f t="shared" ca="1" si="16"/>
        <v>0</v>
      </c>
      <c r="S139" s="143"/>
      <c r="U139" s="436"/>
      <c r="V139" s="1115"/>
      <c r="Y139" s="1122" t="b">
        <f t="shared" si="13"/>
        <v>1</v>
      </c>
      <c r="Z139" s="1122" t="b">
        <f t="shared" si="11"/>
        <v>0</v>
      </c>
      <c r="AA139" s="1122" t="str">
        <f t="shared" si="12"/>
        <v/>
      </c>
    </row>
    <row r="140" spans="2:27" ht="17.25" hidden="1" customHeight="1">
      <c r="B140" s="278"/>
      <c r="C140" s="1128"/>
      <c r="D140" s="1130"/>
      <c r="E140" s="1129"/>
      <c r="F140" s="17"/>
      <c r="I140" s="1124">
        <f t="shared" ca="1" si="14"/>
        <v>0</v>
      </c>
      <c r="J140" s="1124">
        <f t="shared" ca="1" si="14"/>
        <v>0</v>
      </c>
      <c r="K140" s="1124">
        <f t="shared" ca="1" si="14"/>
        <v>0</v>
      </c>
      <c r="L140" s="1124">
        <f t="shared" ca="1" si="14"/>
        <v>0</v>
      </c>
      <c r="M140" s="32"/>
      <c r="N140" s="1124">
        <f t="shared" ca="1" si="15"/>
        <v>0</v>
      </c>
      <c r="O140" s="1124">
        <f t="shared" ca="1" si="15"/>
        <v>0</v>
      </c>
      <c r="P140" s="32"/>
      <c r="Q140" s="1124">
        <f t="shared" ca="1" si="16"/>
        <v>0</v>
      </c>
      <c r="R140" s="1124">
        <f t="shared" ca="1" si="16"/>
        <v>0</v>
      </c>
      <c r="S140" s="143"/>
      <c r="U140" s="436"/>
      <c r="V140" s="1115"/>
      <c r="Y140" s="1122" t="b">
        <f t="shared" si="13"/>
        <v>1</v>
      </c>
      <c r="Z140" s="1122" t="b">
        <f t="shared" si="11"/>
        <v>0</v>
      </c>
      <c r="AA140" s="1122" t="str">
        <f t="shared" si="12"/>
        <v/>
      </c>
    </row>
    <row r="141" spans="2:27" ht="17.25" hidden="1" customHeight="1">
      <c r="B141" s="278"/>
      <c r="C141" s="1128"/>
      <c r="D141" s="1130"/>
      <c r="E141" s="1129"/>
      <c r="F141" s="17"/>
      <c r="I141" s="1124">
        <f t="shared" ca="1" si="14"/>
        <v>0</v>
      </c>
      <c r="J141" s="1124">
        <f t="shared" ca="1" si="14"/>
        <v>0</v>
      </c>
      <c r="K141" s="1124">
        <f t="shared" ca="1" si="14"/>
        <v>0</v>
      </c>
      <c r="L141" s="1124">
        <f t="shared" ca="1" si="14"/>
        <v>0</v>
      </c>
      <c r="M141" s="32"/>
      <c r="N141" s="1124">
        <f t="shared" ca="1" si="15"/>
        <v>0</v>
      </c>
      <c r="O141" s="1124">
        <f t="shared" ca="1" si="15"/>
        <v>0</v>
      </c>
      <c r="P141" s="32"/>
      <c r="Q141" s="1124">
        <f t="shared" ca="1" si="16"/>
        <v>0</v>
      </c>
      <c r="R141" s="1124">
        <f t="shared" ca="1" si="16"/>
        <v>0</v>
      </c>
      <c r="S141" s="143"/>
      <c r="U141" s="436"/>
      <c r="V141" s="1115"/>
      <c r="Y141" s="1122" t="b">
        <f t="shared" si="13"/>
        <v>1</v>
      </c>
      <c r="Z141" s="1122" t="b">
        <f t="shared" si="11"/>
        <v>0</v>
      </c>
      <c r="AA141" s="1122" t="str">
        <f t="shared" si="12"/>
        <v/>
      </c>
    </row>
    <row r="142" spans="2:27" ht="17.25" hidden="1" customHeight="1">
      <c r="B142" s="278"/>
      <c r="C142" s="1128"/>
      <c r="D142" s="1130"/>
      <c r="E142" s="1129"/>
      <c r="F142" s="17"/>
      <c r="I142" s="1124">
        <f t="shared" ca="1" si="14"/>
        <v>0</v>
      </c>
      <c r="J142" s="1124">
        <f t="shared" ca="1" si="14"/>
        <v>0</v>
      </c>
      <c r="K142" s="1124">
        <f t="shared" ca="1" si="14"/>
        <v>0</v>
      </c>
      <c r="L142" s="1124">
        <f t="shared" ca="1" si="14"/>
        <v>0</v>
      </c>
      <c r="M142" s="32"/>
      <c r="N142" s="1124">
        <f t="shared" ca="1" si="15"/>
        <v>0</v>
      </c>
      <c r="O142" s="1124">
        <f t="shared" ca="1" si="15"/>
        <v>0</v>
      </c>
      <c r="P142" s="32"/>
      <c r="Q142" s="1124">
        <f t="shared" ca="1" si="16"/>
        <v>0</v>
      </c>
      <c r="R142" s="1124">
        <f t="shared" ca="1" si="16"/>
        <v>0</v>
      </c>
      <c r="S142" s="143"/>
      <c r="U142" s="436"/>
      <c r="V142" s="1115"/>
      <c r="Y142" s="1122" t="b">
        <f t="shared" si="13"/>
        <v>1</v>
      </c>
      <c r="Z142" s="1122" t="b">
        <f t="shared" si="11"/>
        <v>0</v>
      </c>
      <c r="AA142" s="1122" t="str">
        <f t="shared" si="12"/>
        <v/>
      </c>
    </row>
    <row r="143" spans="2:27" ht="17.25" hidden="1" customHeight="1">
      <c r="B143" s="278"/>
      <c r="C143" s="1128"/>
      <c r="D143" s="1130"/>
      <c r="E143" s="1129"/>
      <c r="F143" s="17"/>
      <c r="I143" s="1124">
        <f t="shared" ca="1" si="14"/>
        <v>0</v>
      </c>
      <c r="J143" s="1124">
        <f t="shared" ca="1" si="14"/>
        <v>0</v>
      </c>
      <c r="K143" s="1124">
        <f t="shared" ca="1" si="14"/>
        <v>0</v>
      </c>
      <c r="L143" s="1124">
        <f t="shared" ca="1" si="14"/>
        <v>0</v>
      </c>
      <c r="M143" s="32"/>
      <c r="N143" s="1124">
        <f t="shared" ca="1" si="15"/>
        <v>0</v>
      </c>
      <c r="O143" s="1124">
        <f t="shared" ca="1" si="15"/>
        <v>0</v>
      </c>
      <c r="P143" s="32"/>
      <c r="Q143" s="1124">
        <f t="shared" ca="1" si="16"/>
        <v>0</v>
      </c>
      <c r="R143" s="1124">
        <f t="shared" ca="1" si="16"/>
        <v>0</v>
      </c>
      <c r="S143" s="143"/>
      <c r="U143" s="436"/>
      <c r="V143" s="1115"/>
      <c r="Y143" s="1122" t="b">
        <f t="shared" si="13"/>
        <v>1</v>
      </c>
      <c r="Z143" s="1122" t="b">
        <f t="shared" si="11"/>
        <v>0</v>
      </c>
      <c r="AA143" s="1122" t="str">
        <f t="shared" si="12"/>
        <v/>
      </c>
    </row>
    <row r="144" spans="2:27" ht="17.25" hidden="1" customHeight="1">
      <c r="B144" s="278"/>
      <c r="C144" s="1128"/>
      <c r="D144" s="1130"/>
      <c r="E144" s="1129"/>
      <c r="F144" s="17"/>
      <c r="I144" s="1124">
        <f t="shared" ca="1" si="14"/>
        <v>0</v>
      </c>
      <c r="J144" s="1124">
        <f t="shared" ca="1" si="14"/>
        <v>0</v>
      </c>
      <c r="K144" s="1124">
        <f t="shared" ca="1" si="14"/>
        <v>0</v>
      </c>
      <c r="L144" s="1124">
        <f t="shared" ca="1" si="14"/>
        <v>0</v>
      </c>
      <c r="M144" s="32"/>
      <c r="N144" s="1124">
        <f t="shared" ca="1" si="15"/>
        <v>0</v>
      </c>
      <c r="O144" s="1124">
        <f t="shared" ca="1" si="15"/>
        <v>0</v>
      </c>
      <c r="P144" s="32"/>
      <c r="Q144" s="1124">
        <f t="shared" ca="1" si="16"/>
        <v>0</v>
      </c>
      <c r="R144" s="1124">
        <f t="shared" ca="1" si="16"/>
        <v>0</v>
      </c>
      <c r="S144" s="143"/>
      <c r="U144" s="436"/>
      <c r="V144" s="1115"/>
      <c r="Y144" s="1122" t="b">
        <f t="shared" si="13"/>
        <v>1</v>
      </c>
      <c r="Z144" s="1122" t="b">
        <f t="shared" si="11"/>
        <v>0</v>
      </c>
      <c r="AA144" s="1122" t="str">
        <f t="shared" si="12"/>
        <v/>
      </c>
    </row>
    <row r="145" spans="2:27" ht="17.25" hidden="1" customHeight="1">
      <c r="B145" s="278"/>
      <c r="C145" s="1128"/>
      <c r="D145" s="1130"/>
      <c r="E145" s="1129"/>
      <c r="F145" s="17"/>
      <c r="I145" s="1124">
        <f t="shared" ca="1" si="14"/>
        <v>0</v>
      </c>
      <c r="J145" s="1124">
        <f t="shared" ca="1" si="14"/>
        <v>0</v>
      </c>
      <c r="K145" s="1124">
        <f t="shared" ca="1" si="14"/>
        <v>0</v>
      </c>
      <c r="L145" s="1124">
        <f t="shared" ca="1" si="14"/>
        <v>0</v>
      </c>
      <c r="M145" s="32"/>
      <c r="N145" s="1124">
        <f t="shared" ca="1" si="15"/>
        <v>0</v>
      </c>
      <c r="O145" s="1124">
        <f t="shared" ca="1" si="15"/>
        <v>0</v>
      </c>
      <c r="P145" s="32"/>
      <c r="Q145" s="1124">
        <f t="shared" ca="1" si="16"/>
        <v>0</v>
      </c>
      <c r="R145" s="1124">
        <f t="shared" ca="1" si="16"/>
        <v>0</v>
      </c>
      <c r="S145" s="143"/>
      <c r="U145" s="436"/>
      <c r="V145" s="1115"/>
      <c r="Y145" s="1122" t="b">
        <f t="shared" si="13"/>
        <v>1</v>
      </c>
      <c r="Z145" s="1122" t="b">
        <f t="shared" si="11"/>
        <v>0</v>
      </c>
      <c r="AA145" s="1122" t="str">
        <f t="shared" si="12"/>
        <v/>
      </c>
    </row>
    <row r="146" spans="2:27" ht="17.25" hidden="1" customHeight="1">
      <c r="B146" s="278"/>
      <c r="C146" s="1128"/>
      <c r="D146" s="1130"/>
      <c r="E146" s="1129"/>
      <c r="F146" s="17"/>
      <c r="I146" s="1124">
        <f t="shared" ca="1" si="14"/>
        <v>0</v>
      </c>
      <c r="J146" s="1124">
        <f t="shared" ca="1" si="14"/>
        <v>0</v>
      </c>
      <c r="K146" s="1124">
        <f t="shared" ca="1" si="14"/>
        <v>0</v>
      </c>
      <c r="L146" s="1124">
        <f t="shared" ca="1" si="14"/>
        <v>0</v>
      </c>
      <c r="M146" s="32"/>
      <c r="N146" s="1124">
        <f t="shared" ca="1" si="15"/>
        <v>0</v>
      </c>
      <c r="O146" s="1124">
        <f t="shared" ca="1" si="15"/>
        <v>0</v>
      </c>
      <c r="P146" s="32"/>
      <c r="Q146" s="1124">
        <f t="shared" ca="1" si="16"/>
        <v>0</v>
      </c>
      <c r="R146" s="1124">
        <f t="shared" ca="1" si="16"/>
        <v>0</v>
      </c>
      <c r="S146" s="143"/>
      <c r="U146" s="436"/>
      <c r="V146" s="1115"/>
      <c r="Y146" s="1122" t="b">
        <f t="shared" si="13"/>
        <v>1</v>
      </c>
      <c r="Z146" s="1122" t="b">
        <f t="shared" si="11"/>
        <v>0</v>
      </c>
      <c r="AA146" s="1122" t="str">
        <f t="shared" si="12"/>
        <v/>
      </c>
    </row>
    <row r="147" spans="2:27" ht="17.25" hidden="1" customHeight="1">
      <c r="B147" s="278"/>
      <c r="C147" s="1128"/>
      <c r="D147" s="1130"/>
      <c r="E147" s="1129"/>
      <c r="F147" s="17"/>
      <c r="I147" s="1124">
        <f t="shared" ref="I147:L166" ca="1" si="17">IFERROR(SUMIF(OFFSET(INDIRECT("HNSW_Summary!$A:$A"),0,MATCH("SumCriteria",INDIRECT("HNSW_Summary!$1:$1"),0)-1),$C147&amp;"_"&amp;$J$283,OFFSET(INDIRECT("HNSW_Summary!$A:$A"),0,MATCH(I$83,INDIRECT("HNSW_Summary!$1:$1"),0)-1)),0)</f>
        <v>0</v>
      </c>
      <c r="J147" s="1124">
        <f t="shared" ca="1" si="17"/>
        <v>0</v>
      </c>
      <c r="K147" s="1124">
        <f t="shared" ca="1" si="17"/>
        <v>0</v>
      </c>
      <c r="L147" s="1124">
        <f t="shared" ca="1" si="17"/>
        <v>0</v>
      </c>
      <c r="M147" s="32"/>
      <c r="N147" s="1124">
        <f t="shared" ref="N147:O166" ca="1" si="18">IFERROR(SUMIFS(OFFSET(INDIRECT("HNSW_Summary!$A:$A"),0,MATCH(N$83,INDIRECT("HNSW_Summary!$1:$1"),0)-1),  INDIRECT("HNSW_Summary!$A:$A"),$C147,  INDIRECT("HNSW_Summary!$B:$B"),"*K04*",  OFFSET(INDIRECT("HNSW_Summary!$A:$A"),0,MATCH("Outstanding",INDIRECT("HNSW_Summary!$1:$1"),0)-1),FALSE),0)</f>
        <v>0</v>
      </c>
      <c r="O147" s="1124">
        <f t="shared" ca="1" si="18"/>
        <v>0</v>
      </c>
      <c r="P147" s="32"/>
      <c r="Q147" s="1124">
        <f t="shared" ref="Q147:R166" ca="1" si="19">IFERROR(SUMIFS(OFFSET(INDIRECT("HNSW_Summary!$A:$A"),0,MATCH(Q$83,INDIRECT("HNSW_Summary!$1:$1"),0)-1),  INDIRECT("HNSW_Summary!$A:$A"),$C147,  INDIRECT("HNSW_Summary!$B:$B"),"*K04*",  OFFSET(INDIRECT("HNSW_Summary!$A:$A"),0,MATCH("Outstanding",INDIRECT("HNSW_Summary!$1:$1"),0)-1),TRUE),0)</f>
        <v>0</v>
      </c>
      <c r="R147" s="1124">
        <f t="shared" ca="1" si="19"/>
        <v>0</v>
      </c>
      <c r="S147" s="143"/>
      <c r="U147" s="436"/>
      <c r="V147" s="1115"/>
      <c r="Y147" s="1122" t="b">
        <f t="shared" si="13"/>
        <v>1</v>
      </c>
      <c r="Z147" s="1122" t="b">
        <f t="shared" si="11"/>
        <v>0</v>
      </c>
      <c r="AA147" s="1122" t="str">
        <f t="shared" si="12"/>
        <v/>
      </c>
    </row>
    <row r="148" spans="2:27" ht="17.25" hidden="1" customHeight="1">
      <c r="B148" s="278"/>
      <c r="C148" s="1128"/>
      <c r="D148" s="1130"/>
      <c r="E148" s="1129"/>
      <c r="F148" s="17"/>
      <c r="I148" s="1124">
        <f t="shared" ca="1" si="17"/>
        <v>0</v>
      </c>
      <c r="J148" s="1124">
        <f t="shared" ca="1" si="17"/>
        <v>0</v>
      </c>
      <c r="K148" s="1124">
        <f t="shared" ca="1" si="17"/>
        <v>0</v>
      </c>
      <c r="L148" s="1124">
        <f t="shared" ca="1" si="17"/>
        <v>0</v>
      </c>
      <c r="M148" s="32"/>
      <c r="N148" s="1124">
        <f t="shared" ca="1" si="18"/>
        <v>0</v>
      </c>
      <c r="O148" s="1124">
        <f t="shared" ca="1" si="18"/>
        <v>0</v>
      </c>
      <c r="P148" s="32"/>
      <c r="Q148" s="1124">
        <f t="shared" ca="1" si="19"/>
        <v>0</v>
      </c>
      <c r="R148" s="1124">
        <f t="shared" ca="1" si="19"/>
        <v>0</v>
      </c>
      <c r="S148" s="143"/>
      <c r="U148" s="436"/>
      <c r="V148" s="1115"/>
      <c r="Y148" s="1122" t="b">
        <f t="shared" si="13"/>
        <v>1</v>
      </c>
      <c r="Z148" s="1122" t="b">
        <f t="shared" si="11"/>
        <v>0</v>
      </c>
      <c r="AA148" s="1122" t="str">
        <f t="shared" si="12"/>
        <v/>
      </c>
    </row>
    <row r="149" spans="2:27" ht="17.25" hidden="1" customHeight="1">
      <c r="B149" s="278"/>
      <c r="C149" s="1128"/>
      <c r="D149" s="1130"/>
      <c r="E149" s="1129"/>
      <c r="F149" s="17"/>
      <c r="I149" s="1124">
        <f t="shared" ca="1" si="17"/>
        <v>0</v>
      </c>
      <c r="J149" s="1124">
        <f t="shared" ca="1" si="17"/>
        <v>0</v>
      </c>
      <c r="K149" s="1124">
        <f t="shared" ca="1" si="17"/>
        <v>0</v>
      </c>
      <c r="L149" s="1124">
        <f t="shared" ca="1" si="17"/>
        <v>0</v>
      </c>
      <c r="M149" s="32"/>
      <c r="N149" s="1124">
        <f t="shared" ca="1" si="18"/>
        <v>0</v>
      </c>
      <c r="O149" s="1124">
        <f t="shared" ca="1" si="18"/>
        <v>0</v>
      </c>
      <c r="P149" s="32"/>
      <c r="Q149" s="1124">
        <f t="shared" ca="1" si="19"/>
        <v>0</v>
      </c>
      <c r="R149" s="1124">
        <f t="shared" ca="1" si="19"/>
        <v>0</v>
      </c>
      <c r="S149" s="143"/>
      <c r="U149" s="436"/>
      <c r="V149" s="1115"/>
      <c r="Y149" s="1122" t="b">
        <f t="shared" si="13"/>
        <v>1</v>
      </c>
      <c r="Z149" s="1122" t="b">
        <f t="shared" si="11"/>
        <v>0</v>
      </c>
      <c r="AA149" s="1122" t="str">
        <f t="shared" si="12"/>
        <v/>
      </c>
    </row>
    <row r="150" spans="2:27" ht="17.25" hidden="1" customHeight="1">
      <c r="B150" s="278"/>
      <c r="C150" s="1128"/>
      <c r="D150" s="1130"/>
      <c r="E150" s="1129"/>
      <c r="F150" s="17"/>
      <c r="I150" s="1124">
        <f t="shared" ca="1" si="17"/>
        <v>0</v>
      </c>
      <c r="J150" s="1124">
        <f t="shared" ca="1" si="17"/>
        <v>0</v>
      </c>
      <c r="K150" s="1124">
        <f t="shared" ca="1" si="17"/>
        <v>0</v>
      </c>
      <c r="L150" s="1124">
        <f t="shared" ca="1" si="17"/>
        <v>0</v>
      </c>
      <c r="M150" s="32"/>
      <c r="N150" s="1124">
        <f t="shared" ca="1" si="18"/>
        <v>0</v>
      </c>
      <c r="O150" s="1124">
        <f t="shared" ca="1" si="18"/>
        <v>0</v>
      </c>
      <c r="P150" s="32"/>
      <c r="Q150" s="1124">
        <f t="shared" ca="1" si="19"/>
        <v>0</v>
      </c>
      <c r="R150" s="1124">
        <f t="shared" ca="1" si="19"/>
        <v>0</v>
      </c>
      <c r="S150" s="143"/>
      <c r="U150" s="436"/>
      <c r="V150" s="1115"/>
      <c r="Y150" s="1122" t="b">
        <f t="shared" si="13"/>
        <v>1</v>
      </c>
      <c r="Z150" s="1122" t="b">
        <f t="shared" si="11"/>
        <v>0</v>
      </c>
      <c r="AA150" s="1122" t="str">
        <f t="shared" si="12"/>
        <v/>
      </c>
    </row>
    <row r="151" spans="2:27" ht="17.25" hidden="1" customHeight="1">
      <c r="B151" s="278"/>
      <c r="C151" s="1128"/>
      <c r="D151" s="1130"/>
      <c r="E151" s="1129"/>
      <c r="F151" s="17"/>
      <c r="I151" s="1124">
        <f t="shared" ca="1" si="17"/>
        <v>0</v>
      </c>
      <c r="J151" s="1124">
        <f t="shared" ca="1" si="17"/>
        <v>0</v>
      </c>
      <c r="K151" s="1124">
        <f t="shared" ca="1" si="17"/>
        <v>0</v>
      </c>
      <c r="L151" s="1124">
        <f t="shared" ca="1" si="17"/>
        <v>0</v>
      </c>
      <c r="M151" s="32"/>
      <c r="N151" s="1124">
        <f t="shared" ca="1" si="18"/>
        <v>0</v>
      </c>
      <c r="O151" s="1124">
        <f t="shared" ca="1" si="18"/>
        <v>0</v>
      </c>
      <c r="P151" s="32"/>
      <c r="Q151" s="1124">
        <f t="shared" ca="1" si="19"/>
        <v>0</v>
      </c>
      <c r="R151" s="1124">
        <f t="shared" ca="1" si="19"/>
        <v>0</v>
      </c>
      <c r="S151" s="143"/>
      <c r="U151" s="436"/>
      <c r="V151" s="1115"/>
      <c r="Y151" s="1122" t="b">
        <f t="shared" si="13"/>
        <v>1</v>
      </c>
      <c r="Z151" s="1122" t="b">
        <f t="shared" ref="Z151:Z182" si="20">IF(C151&lt;&gt;0,TRUE,FALSE)</f>
        <v>0</v>
      </c>
      <c r="AA151" s="1122" t="str">
        <f t="shared" ref="AA151:AA182" si="21">IF(AND(C151&lt;&gt;0,C151&lt;&gt;""),1,"")</f>
        <v/>
      </c>
    </row>
    <row r="152" spans="2:27" ht="17.25" hidden="1" customHeight="1">
      <c r="B152" s="278"/>
      <c r="C152" s="1128"/>
      <c r="D152" s="1130"/>
      <c r="E152" s="1129"/>
      <c r="F152" s="17"/>
      <c r="I152" s="1124">
        <f t="shared" ca="1" si="17"/>
        <v>0</v>
      </c>
      <c r="J152" s="1124">
        <f t="shared" ca="1" si="17"/>
        <v>0</v>
      </c>
      <c r="K152" s="1124">
        <f t="shared" ca="1" si="17"/>
        <v>0</v>
      </c>
      <c r="L152" s="1124">
        <f t="shared" ca="1" si="17"/>
        <v>0</v>
      </c>
      <c r="M152" s="32"/>
      <c r="N152" s="1124">
        <f t="shared" ca="1" si="18"/>
        <v>0</v>
      </c>
      <c r="O152" s="1124">
        <f t="shared" ca="1" si="18"/>
        <v>0</v>
      </c>
      <c r="P152" s="32"/>
      <c r="Q152" s="1124">
        <f t="shared" ca="1" si="19"/>
        <v>0</v>
      </c>
      <c r="R152" s="1124">
        <f t="shared" ca="1" si="19"/>
        <v>0</v>
      </c>
      <c r="S152" s="143"/>
      <c r="U152" s="436"/>
      <c r="V152" s="1115"/>
      <c r="Y152" s="1122" t="b">
        <f t="shared" ref="Y152:Y183" si="22">IF(AND(C152&lt;&gt;"",C152&lt;&gt;0,Dividends_SelectedMethod="Worksheet"),FALSE,TRUE)</f>
        <v>1</v>
      </c>
      <c r="Z152" s="1122" t="b">
        <f t="shared" si="20"/>
        <v>0</v>
      </c>
      <c r="AA152" s="1122" t="str">
        <f t="shared" si="21"/>
        <v/>
      </c>
    </row>
    <row r="153" spans="2:27" ht="17.25" hidden="1" customHeight="1">
      <c r="B153" s="278"/>
      <c r="C153" s="1128"/>
      <c r="D153" s="1130"/>
      <c r="E153" s="1129"/>
      <c r="F153" s="17"/>
      <c r="I153" s="1124">
        <f t="shared" ca="1" si="17"/>
        <v>0</v>
      </c>
      <c r="J153" s="1124">
        <f t="shared" ca="1" si="17"/>
        <v>0</v>
      </c>
      <c r="K153" s="1124">
        <f t="shared" ca="1" si="17"/>
        <v>0</v>
      </c>
      <c r="L153" s="1124">
        <f t="shared" ca="1" si="17"/>
        <v>0</v>
      </c>
      <c r="M153" s="32"/>
      <c r="N153" s="1124">
        <f t="shared" ca="1" si="18"/>
        <v>0</v>
      </c>
      <c r="O153" s="1124">
        <f t="shared" ca="1" si="18"/>
        <v>0</v>
      </c>
      <c r="P153" s="32"/>
      <c r="Q153" s="1124">
        <f t="shared" ca="1" si="19"/>
        <v>0</v>
      </c>
      <c r="R153" s="1124">
        <f t="shared" ca="1" si="19"/>
        <v>0</v>
      </c>
      <c r="S153" s="143"/>
      <c r="U153" s="436"/>
      <c r="V153" s="1115"/>
      <c r="Y153" s="1122" t="b">
        <f t="shared" si="22"/>
        <v>1</v>
      </c>
      <c r="Z153" s="1122" t="b">
        <f t="shared" si="20"/>
        <v>0</v>
      </c>
      <c r="AA153" s="1122" t="str">
        <f t="shared" si="21"/>
        <v/>
      </c>
    </row>
    <row r="154" spans="2:27" ht="17.25" hidden="1" customHeight="1">
      <c r="B154" s="278"/>
      <c r="C154" s="1128"/>
      <c r="D154" s="1130"/>
      <c r="E154" s="1129"/>
      <c r="F154" s="17"/>
      <c r="I154" s="1124">
        <f t="shared" ca="1" si="17"/>
        <v>0</v>
      </c>
      <c r="J154" s="1124">
        <f t="shared" ca="1" si="17"/>
        <v>0</v>
      </c>
      <c r="K154" s="1124">
        <f t="shared" ca="1" si="17"/>
        <v>0</v>
      </c>
      <c r="L154" s="1124">
        <f t="shared" ca="1" si="17"/>
        <v>0</v>
      </c>
      <c r="M154" s="32"/>
      <c r="N154" s="1124">
        <f t="shared" ca="1" si="18"/>
        <v>0</v>
      </c>
      <c r="O154" s="1124">
        <f t="shared" ca="1" si="18"/>
        <v>0</v>
      </c>
      <c r="P154" s="32"/>
      <c r="Q154" s="1124">
        <f t="shared" ca="1" si="19"/>
        <v>0</v>
      </c>
      <c r="R154" s="1124">
        <f t="shared" ca="1" si="19"/>
        <v>0</v>
      </c>
      <c r="S154" s="143"/>
      <c r="U154" s="436"/>
      <c r="V154" s="1115"/>
      <c r="Y154" s="1122" t="b">
        <f t="shared" si="22"/>
        <v>1</v>
      </c>
      <c r="Z154" s="1122" t="b">
        <f t="shared" si="20"/>
        <v>0</v>
      </c>
      <c r="AA154" s="1122" t="str">
        <f t="shared" si="21"/>
        <v/>
      </c>
    </row>
    <row r="155" spans="2:27" ht="17.25" hidden="1" customHeight="1">
      <c r="B155" s="278"/>
      <c r="C155" s="1128"/>
      <c r="D155" s="1130"/>
      <c r="E155" s="1129"/>
      <c r="F155" s="17"/>
      <c r="I155" s="1124">
        <f t="shared" ca="1" si="17"/>
        <v>0</v>
      </c>
      <c r="J155" s="1124">
        <f t="shared" ca="1" si="17"/>
        <v>0</v>
      </c>
      <c r="K155" s="1124">
        <f t="shared" ca="1" si="17"/>
        <v>0</v>
      </c>
      <c r="L155" s="1124">
        <f t="shared" ca="1" si="17"/>
        <v>0</v>
      </c>
      <c r="M155" s="32"/>
      <c r="N155" s="1124">
        <f t="shared" ca="1" si="18"/>
        <v>0</v>
      </c>
      <c r="O155" s="1124">
        <f t="shared" ca="1" si="18"/>
        <v>0</v>
      </c>
      <c r="P155" s="32"/>
      <c r="Q155" s="1124">
        <f t="shared" ca="1" si="19"/>
        <v>0</v>
      </c>
      <c r="R155" s="1124">
        <f t="shared" ca="1" si="19"/>
        <v>0</v>
      </c>
      <c r="S155" s="143"/>
      <c r="U155" s="436"/>
      <c r="V155" s="1115"/>
      <c r="Y155" s="1122" t="b">
        <f t="shared" si="22"/>
        <v>1</v>
      </c>
      <c r="Z155" s="1122" t="b">
        <f t="shared" si="20"/>
        <v>0</v>
      </c>
      <c r="AA155" s="1122" t="str">
        <f t="shared" si="21"/>
        <v/>
      </c>
    </row>
    <row r="156" spans="2:27" ht="17.25" hidden="1" customHeight="1">
      <c r="B156" s="278"/>
      <c r="C156" s="1128"/>
      <c r="D156" s="1130"/>
      <c r="E156" s="1129"/>
      <c r="F156" s="17"/>
      <c r="I156" s="1124">
        <f t="shared" ca="1" si="17"/>
        <v>0</v>
      </c>
      <c r="J156" s="1124">
        <f t="shared" ca="1" si="17"/>
        <v>0</v>
      </c>
      <c r="K156" s="1124">
        <f t="shared" ca="1" si="17"/>
        <v>0</v>
      </c>
      <c r="L156" s="1124">
        <f t="shared" ca="1" si="17"/>
        <v>0</v>
      </c>
      <c r="M156" s="32"/>
      <c r="N156" s="1124">
        <f t="shared" ca="1" si="18"/>
        <v>0</v>
      </c>
      <c r="O156" s="1124">
        <f t="shared" ca="1" si="18"/>
        <v>0</v>
      </c>
      <c r="P156" s="32"/>
      <c r="Q156" s="1124">
        <f t="shared" ca="1" si="19"/>
        <v>0</v>
      </c>
      <c r="R156" s="1124">
        <f t="shared" ca="1" si="19"/>
        <v>0</v>
      </c>
      <c r="S156" s="143"/>
      <c r="U156" s="436"/>
      <c r="V156" s="1115"/>
      <c r="Y156" s="1122" t="b">
        <f t="shared" si="22"/>
        <v>1</v>
      </c>
      <c r="Z156" s="1122" t="b">
        <f t="shared" si="20"/>
        <v>0</v>
      </c>
      <c r="AA156" s="1122" t="str">
        <f t="shared" si="21"/>
        <v/>
      </c>
    </row>
    <row r="157" spans="2:27" ht="17.25" hidden="1" customHeight="1">
      <c r="B157" s="278"/>
      <c r="C157" s="1128"/>
      <c r="D157" s="1130"/>
      <c r="E157" s="1129"/>
      <c r="F157" s="17"/>
      <c r="I157" s="1124">
        <f t="shared" ca="1" si="17"/>
        <v>0</v>
      </c>
      <c r="J157" s="1124">
        <f t="shared" ca="1" si="17"/>
        <v>0</v>
      </c>
      <c r="K157" s="1124">
        <f t="shared" ca="1" si="17"/>
        <v>0</v>
      </c>
      <c r="L157" s="1124">
        <f t="shared" ca="1" si="17"/>
        <v>0</v>
      </c>
      <c r="M157" s="32"/>
      <c r="N157" s="1124">
        <f t="shared" ca="1" si="18"/>
        <v>0</v>
      </c>
      <c r="O157" s="1124">
        <f t="shared" ca="1" si="18"/>
        <v>0</v>
      </c>
      <c r="P157" s="32"/>
      <c r="Q157" s="1124">
        <f t="shared" ca="1" si="19"/>
        <v>0</v>
      </c>
      <c r="R157" s="1124">
        <f t="shared" ca="1" si="19"/>
        <v>0</v>
      </c>
      <c r="S157" s="143"/>
      <c r="U157" s="436"/>
      <c r="V157" s="1115"/>
      <c r="Y157" s="1122" t="b">
        <f t="shared" si="22"/>
        <v>1</v>
      </c>
      <c r="Z157" s="1122" t="b">
        <f t="shared" si="20"/>
        <v>0</v>
      </c>
      <c r="AA157" s="1122" t="str">
        <f t="shared" si="21"/>
        <v/>
      </c>
    </row>
    <row r="158" spans="2:27" ht="17.25" hidden="1" customHeight="1">
      <c r="B158" s="278"/>
      <c r="C158" s="1128"/>
      <c r="D158" s="1130"/>
      <c r="E158" s="1129"/>
      <c r="F158" s="17"/>
      <c r="I158" s="1124">
        <f t="shared" ca="1" si="17"/>
        <v>0</v>
      </c>
      <c r="J158" s="1124">
        <f t="shared" ca="1" si="17"/>
        <v>0</v>
      </c>
      <c r="K158" s="1124">
        <f t="shared" ca="1" si="17"/>
        <v>0</v>
      </c>
      <c r="L158" s="1124">
        <f t="shared" ca="1" si="17"/>
        <v>0</v>
      </c>
      <c r="M158" s="32"/>
      <c r="N158" s="1124">
        <f t="shared" ca="1" si="18"/>
        <v>0</v>
      </c>
      <c r="O158" s="1124">
        <f t="shared" ca="1" si="18"/>
        <v>0</v>
      </c>
      <c r="P158" s="32"/>
      <c r="Q158" s="1124">
        <f t="shared" ca="1" si="19"/>
        <v>0</v>
      </c>
      <c r="R158" s="1124">
        <f t="shared" ca="1" si="19"/>
        <v>0</v>
      </c>
      <c r="S158" s="143"/>
      <c r="U158" s="436"/>
      <c r="V158" s="1115"/>
      <c r="Y158" s="1122" t="b">
        <f t="shared" si="22"/>
        <v>1</v>
      </c>
      <c r="Z158" s="1122" t="b">
        <f t="shared" si="20"/>
        <v>0</v>
      </c>
      <c r="AA158" s="1122" t="str">
        <f t="shared" si="21"/>
        <v/>
      </c>
    </row>
    <row r="159" spans="2:27" ht="17.25" hidden="1" customHeight="1">
      <c r="B159" s="278"/>
      <c r="C159" s="1128"/>
      <c r="D159" s="1130"/>
      <c r="E159" s="1129"/>
      <c r="F159" s="17"/>
      <c r="I159" s="1124">
        <f t="shared" ca="1" si="17"/>
        <v>0</v>
      </c>
      <c r="J159" s="1124">
        <f t="shared" ca="1" si="17"/>
        <v>0</v>
      </c>
      <c r="K159" s="1124">
        <f t="shared" ca="1" si="17"/>
        <v>0</v>
      </c>
      <c r="L159" s="1124">
        <f t="shared" ca="1" si="17"/>
        <v>0</v>
      </c>
      <c r="M159" s="32"/>
      <c r="N159" s="1124">
        <f t="shared" ca="1" si="18"/>
        <v>0</v>
      </c>
      <c r="O159" s="1124">
        <f t="shared" ca="1" si="18"/>
        <v>0</v>
      </c>
      <c r="P159" s="32"/>
      <c r="Q159" s="1124">
        <f t="shared" ca="1" si="19"/>
        <v>0</v>
      </c>
      <c r="R159" s="1124">
        <f t="shared" ca="1" si="19"/>
        <v>0</v>
      </c>
      <c r="S159" s="143"/>
      <c r="U159" s="436"/>
      <c r="V159" s="1115"/>
      <c r="Y159" s="1122" t="b">
        <f t="shared" si="22"/>
        <v>1</v>
      </c>
      <c r="Z159" s="1122" t="b">
        <f t="shared" si="20"/>
        <v>0</v>
      </c>
      <c r="AA159" s="1122" t="str">
        <f t="shared" si="21"/>
        <v/>
      </c>
    </row>
    <row r="160" spans="2:27" ht="17.25" hidden="1" customHeight="1">
      <c r="B160" s="278"/>
      <c r="C160" s="1128"/>
      <c r="D160" s="1130"/>
      <c r="E160" s="1129"/>
      <c r="F160" s="17"/>
      <c r="I160" s="1124">
        <f t="shared" ca="1" si="17"/>
        <v>0</v>
      </c>
      <c r="J160" s="1124">
        <f t="shared" ca="1" si="17"/>
        <v>0</v>
      </c>
      <c r="K160" s="1124">
        <f t="shared" ca="1" si="17"/>
        <v>0</v>
      </c>
      <c r="L160" s="1124">
        <f t="shared" ca="1" si="17"/>
        <v>0</v>
      </c>
      <c r="M160" s="32"/>
      <c r="N160" s="1124">
        <f t="shared" ca="1" si="18"/>
        <v>0</v>
      </c>
      <c r="O160" s="1124">
        <f t="shared" ca="1" si="18"/>
        <v>0</v>
      </c>
      <c r="P160" s="32"/>
      <c r="Q160" s="1124">
        <f t="shared" ca="1" si="19"/>
        <v>0</v>
      </c>
      <c r="R160" s="1124">
        <f t="shared" ca="1" si="19"/>
        <v>0</v>
      </c>
      <c r="S160" s="143"/>
      <c r="U160" s="436"/>
      <c r="V160" s="1115"/>
      <c r="Y160" s="1122" t="b">
        <f t="shared" si="22"/>
        <v>1</v>
      </c>
      <c r="Z160" s="1122" t="b">
        <f t="shared" si="20"/>
        <v>0</v>
      </c>
      <c r="AA160" s="1122" t="str">
        <f t="shared" si="21"/>
        <v/>
      </c>
    </row>
    <row r="161" spans="2:27" ht="17.25" hidden="1" customHeight="1">
      <c r="B161" s="278"/>
      <c r="C161" s="1128"/>
      <c r="D161" s="1130"/>
      <c r="E161" s="1129"/>
      <c r="F161" s="17"/>
      <c r="I161" s="1124">
        <f t="shared" ca="1" si="17"/>
        <v>0</v>
      </c>
      <c r="J161" s="1124">
        <f t="shared" ca="1" si="17"/>
        <v>0</v>
      </c>
      <c r="K161" s="1124">
        <f t="shared" ca="1" si="17"/>
        <v>0</v>
      </c>
      <c r="L161" s="1124">
        <f t="shared" ca="1" si="17"/>
        <v>0</v>
      </c>
      <c r="M161" s="32"/>
      <c r="N161" s="1124">
        <f t="shared" ca="1" si="18"/>
        <v>0</v>
      </c>
      <c r="O161" s="1124">
        <f t="shared" ca="1" si="18"/>
        <v>0</v>
      </c>
      <c r="P161" s="32"/>
      <c r="Q161" s="1124">
        <f t="shared" ca="1" si="19"/>
        <v>0</v>
      </c>
      <c r="R161" s="1124">
        <f t="shared" ca="1" si="19"/>
        <v>0</v>
      </c>
      <c r="S161" s="143"/>
      <c r="U161" s="436"/>
      <c r="V161" s="1115"/>
      <c r="Y161" s="1122" t="b">
        <f t="shared" si="22"/>
        <v>1</v>
      </c>
      <c r="Z161" s="1122" t="b">
        <f t="shared" si="20"/>
        <v>0</v>
      </c>
      <c r="AA161" s="1122" t="str">
        <f t="shared" si="21"/>
        <v/>
      </c>
    </row>
    <row r="162" spans="2:27" ht="17.25" hidden="1" customHeight="1">
      <c r="B162" s="278"/>
      <c r="C162" s="1128"/>
      <c r="D162" s="1130"/>
      <c r="E162" s="1129"/>
      <c r="F162" s="17"/>
      <c r="I162" s="1124">
        <f t="shared" ca="1" si="17"/>
        <v>0</v>
      </c>
      <c r="J162" s="1124">
        <f t="shared" ca="1" si="17"/>
        <v>0</v>
      </c>
      <c r="K162" s="1124">
        <f t="shared" ca="1" si="17"/>
        <v>0</v>
      </c>
      <c r="L162" s="1124">
        <f t="shared" ca="1" si="17"/>
        <v>0</v>
      </c>
      <c r="M162" s="32"/>
      <c r="N162" s="1124">
        <f t="shared" ca="1" si="18"/>
        <v>0</v>
      </c>
      <c r="O162" s="1124">
        <f t="shared" ca="1" si="18"/>
        <v>0</v>
      </c>
      <c r="P162" s="32"/>
      <c r="Q162" s="1124">
        <f t="shared" ca="1" si="19"/>
        <v>0</v>
      </c>
      <c r="R162" s="1124">
        <f t="shared" ca="1" si="19"/>
        <v>0</v>
      </c>
      <c r="S162" s="143"/>
      <c r="U162" s="436"/>
      <c r="V162" s="1115"/>
      <c r="Y162" s="1122" t="b">
        <f t="shared" si="22"/>
        <v>1</v>
      </c>
      <c r="Z162" s="1122" t="b">
        <f t="shared" si="20"/>
        <v>0</v>
      </c>
      <c r="AA162" s="1122" t="str">
        <f t="shared" si="21"/>
        <v/>
      </c>
    </row>
    <row r="163" spans="2:27" ht="17.25" hidden="1" customHeight="1">
      <c r="B163" s="278"/>
      <c r="C163" s="1128"/>
      <c r="D163" s="1130"/>
      <c r="E163" s="1129"/>
      <c r="F163" s="17"/>
      <c r="I163" s="1124">
        <f t="shared" ca="1" si="17"/>
        <v>0</v>
      </c>
      <c r="J163" s="1124">
        <f t="shared" ca="1" si="17"/>
        <v>0</v>
      </c>
      <c r="K163" s="1124">
        <f t="shared" ca="1" si="17"/>
        <v>0</v>
      </c>
      <c r="L163" s="1124">
        <f t="shared" ca="1" si="17"/>
        <v>0</v>
      </c>
      <c r="M163" s="32"/>
      <c r="N163" s="1124">
        <f t="shared" ca="1" si="18"/>
        <v>0</v>
      </c>
      <c r="O163" s="1124">
        <f t="shared" ca="1" si="18"/>
        <v>0</v>
      </c>
      <c r="P163" s="32"/>
      <c r="Q163" s="1124">
        <f t="shared" ca="1" si="19"/>
        <v>0</v>
      </c>
      <c r="R163" s="1124">
        <f t="shared" ca="1" si="19"/>
        <v>0</v>
      </c>
      <c r="S163" s="143"/>
      <c r="U163" s="436"/>
      <c r="V163" s="1115"/>
      <c r="Y163" s="1122" t="b">
        <f t="shared" si="22"/>
        <v>1</v>
      </c>
      <c r="Z163" s="1122" t="b">
        <f t="shared" si="20"/>
        <v>0</v>
      </c>
      <c r="AA163" s="1122" t="str">
        <f t="shared" si="21"/>
        <v/>
      </c>
    </row>
    <row r="164" spans="2:27" ht="17.25" hidden="1" customHeight="1">
      <c r="B164" s="278"/>
      <c r="C164" s="1128"/>
      <c r="D164" s="1130"/>
      <c r="E164" s="1129"/>
      <c r="F164" s="17"/>
      <c r="I164" s="1124">
        <f t="shared" ca="1" si="17"/>
        <v>0</v>
      </c>
      <c r="J164" s="1124">
        <f t="shared" ca="1" si="17"/>
        <v>0</v>
      </c>
      <c r="K164" s="1124">
        <f t="shared" ca="1" si="17"/>
        <v>0</v>
      </c>
      <c r="L164" s="1124">
        <f t="shared" ca="1" si="17"/>
        <v>0</v>
      </c>
      <c r="M164" s="32"/>
      <c r="N164" s="1124">
        <f t="shared" ca="1" si="18"/>
        <v>0</v>
      </c>
      <c r="O164" s="1124">
        <f t="shared" ca="1" si="18"/>
        <v>0</v>
      </c>
      <c r="P164" s="32"/>
      <c r="Q164" s="1124">
        <f t="shared" ca="1" si="19"/>
        <v>0</v>
      </c>
      <c r="R164" s="1124">
        <f t="shared" ca="1" si="19"/>
        <v>0</v>
      </c>
      <c r="S164" s="143"/>
      <c r="U164" s="436"/>
      <c r="V164" s="1115"/>
      <c r="Y164" s="1122" t="b">
        <f t="shared" si="22"/>
        <v>1</v>
      </c>
      <c r="Z164" s="1122" t="b">
        <f t="shared" si="20"/>
        <v>0</v>
      </c>
      <c r="AA164" s="1122" t="str">
        <f t="shared" si="21"/>
        <v/>
      </c>
    </row>
    <row r="165" spans="2:27" ht="17.25" hidden="1" customHeight="1">
      <c r="B165" s="278"/>
      <c r="C165" s="1128"/>
      <c r="D165" s="1130"/>
      <c r="E165" s="1129"/>
      <c r="F165" s="17"/>
      <c r="I165" s="1124">
        <f t="shared" ca="1" si="17"/>
        <v>0</v>
      </c>
      <c r="J165" s="1124">
        <f t="shared" ca="1" si="17"/>
        <v>0</v>
      </c>
      <c r="K165" s="1124">
        <f t="shared" ca="1" si="17"/>
        <v>0</v>
      </c>
      <c r="L165" s="1124">
        <f t="shared" ca="1" si="17"/>
        <v>0</v>
      </c>
      <c r="M165" s="32"/>
      <c r="N165" s="1124">
        <f t="shared" ca="1" si="18"/>
        <v>0</v>
      </c>
      <c r="O165" s="1124">
        <f t="shared" ca="1" si="18"/>
        <v>0</v>
      </c>
      <c r="P165" s="32"/>
      <c r="Q165" s="1124">
        <f t="shared" ca="1" si="19"/>
        <v>0</v>
      </c>
      <c r="R165" s="1124">
        <f t="shared" ca="1" si="19"/>
        <v>0</v>
      </c>
      <c r="S165" s="143"/>
      <c r="U165" s="436"/>
      <c r="V165" s="1115"/>
      <c r="Y165" s="1122" t="b">
        <f t="shared" si="22"/>
        <v>1</v>
      </c>
      <c r="Z165" s="1122" t="b">
        <f t="shared" si="20"/>
        <v>0</v>
      </c>
      <c r="AA165" s="1122" t="str">
        <f t="shared" si="21"/>
        <v/>
      </c>
    </row>
    <row r="166" spans="2:27" ht="17.25" hidden="1" customHeight="1">
      <c r="B166" s="278"/>
      <c r="C166" s="1128"/>
      <c r="D166" s="1130"/>
      <c r="E166" s="1129"/>
      <c r="F166" s="17"/>
      <c r="I166" s="1124">
        <f t="shared" ca="1" si="17"/>
        <v>0</v>
      </c>
      <c r="J166" s="1124">
        <f t="shared" ca="1" si="17"/>
        <v>0</v>
      </c>
      <c r="K166" s="1124">
        <f t="shared" ca="1" si="17"/>
        <v>0</v>
      </c>
      <c r="L166" s="1124">
        <f t="shared" ca="1" si="17"/>
        <v>0</v>
      </c>
      <c r="M166" s="32"/>
      <c r="N166" s="1124">
        <f t="shared" ca="1" si="18"/>
        <v>0</v>
      </c>
      <c r="O166" s="1124">
        <f t="shared" ca="1" si="18"/>
        <v>0</v>
      </c>
      <c r="P166" s="32"/>
      <c r="Q166" s="1124">
        <f t="shared" ca="1" si="19"/>
        <v>0</v>
      </c>
      <c r="R166" s="1124">
        <f t="shared" ca="1" si="19"/>
        <v>0</v>
      </c>
      <c r="S166" s="143"/>
      <c r="U166" s="436"/>
      <c r="V166" s="1115"/>
      <c r="Y166" s="1122" t="b">
        <f t="shared" si="22"/>
        <v>1</v>
      </c>
      <c r="Z166" s="1122" t="b">
        <f t="shared" si="20"/>
        <v>0</v>
      </c>
      <c r="AA166" s="1122" t="str">
        <f t="shared" si="21"/>
        <v/>
      </c>
    </row>
    <row r="167" spans="2:27" ht="17.25" hidden="1" customHeight="1">
      <c r="B167" s="278"/>
      <c r="C167" s="1128"/>
      <c r="D167" s="1130"/>
      <c r="E167" s="1129"/>
      <c r="F167" s="17"/>
      <c r="I167" s="1124">
        <f t="shared" ref="I167:L186" ca="1" si="23">IFERROR(SUMIF(OFFSET(INDIRECT("HNSW_Summary!$A:$A"),0,MATCH("SumCriteria",INDIRECT("HNSW_Summary!$1:$1"),0)-1),$C167&amp;"_"&amp;$J$283,OFFSET(INDIRECT("HNSW_Summary!$A:$A"),0,MATCH(I$83,INDIRECT("HNSW_Summary!$1:$1"),0)-1)),0)</f>
        <v>0</v>
      </c>
      <c r="J167" s="1124">
        <f t="shared" ca="1" si="23"/>
        <v>0</v>
      </c>
      <c r="K167" s="1124">
        <f t="shared" ca="1" si="23"/>
        <v>0</v>
      </c>
      <c r="L167" s="1124">
        <f t="shared" ca="1" si="23"/>
        <v>0</v>
      </c>
      <c r="M167" s="32"/>
      <c r="N167" s="1124">
        <f t="shared" ref="N167:O186" ca="1" si="24">IFERROR(SUMIFS(OFFSET(INDIRECT("HNSW_Summary!$A:$A"),0,MATCH(N$83,INDIRECT("HNSW_Summary!$1:$1"),0)-1),  INDIRECT("HNSW_Summary!$A:$A"),$C167,  INDIRECT("HNSW_Summary!$B:$B"),"*K04*",  OFFSET(INDIRECT("HNSW_Summary!$A:$A"),0,MATCH("Outstanding",INDIRECT("HNSW_Summary!$1:$1"),0)-1),FALSE),0)</f>
        <v>0</v>
      </c>
      <c r="O167" s="1124">
        <f t="shared" ca="1" si="24"/>
        <v>0</v>
      </c>
      <c r="P167" s="32"/>
      <c r="Q167" s="1124">
        <f t="shared" ref="Q167:R186" ca="1" si="25">IFERROR(SUMIFS(OFFSET(INDIRECT("HNSW_Summary!$A:$A"),0,MATCH(Q$83,INDIRECT("HNSW_Summary!$1:$1"),0)-1),  INDIRECT("HNSW_Summary!$A:$A"),$C167,  INDIRECT("HNSW_Summary!$B:$B"),"*K04*",  OFFSET(INDIRECT("HNSW_Summary!$A:$A"),0,MATCH("Outstanding",INDIRECT("HNSW_Summary!$1:$1"),0)-1),TRUE),0)</f>
        <v>0</v>
      </c>
      <c r="R167" s="1124">
        <f t="shared" ca="1" si="25"/>
        <v>0</v>
      </c>
      <c r="S167" s="143"/>
      <c r="U167" s="436"/>
      <c r="V167" s="1115"/>
      <c r="Y167" s="1122" t="b">
        <f t="shared" si="22"/>
        <v>1</v>
      </c>
      <c r="Z167" s="1122" t="b">
        <f t="shared" si="20"/>
        <v>0</v>
      </c>
      <c r="AA167" s="1122" t="str">
        <f t="shared" si="21"/>
        <v/>
      </c>
    </row>
    <row r="168" spans="2:27" ht="17.25" hidden="1" customHeight="1">
      <c r="B168" s="278"/>
      <c r="C168" s="1128"/>
      <c r="D168" s="1130"/>
      <c r="E168" s="1129"/>
      <c r="F168" s="17"/>
      <c r="I168" s="1124">
        <f t="shared" ca="1" si="23"/>
        <v>0</v>
      </c>
      <c r="J168" s="1124">
        <f t="shared" ca="1" si="23"/>
        <v>0</v>
      </c>
      <c r="K168" s="1124">
        <f t="shared" ca="1" si="23"/>
        <v>0</v>
      </c>
      <c r="L168" s="1124">
        <f t="shared" ca="1" si="23"/>
        <v>0</v>
      </c>
      <c r="M168" s="32"/>
      <c r="N168" s="1124">
        <f t="shared" ca="1" si="24"/>
        <v>0</v>
      </c>
      <c r="O168" s="1124">
        <f t="shared" ca="1" si="24"/>
        <v>0</v>
      </c>
      <c r="P168" s="32"/>
      <c r="Q168" s="1124">
        <f t="shared" ca="1" si="25"/>
        <v>0</v>
      </c>
      <c r="R168" s="1124">
        <f t="shared" ca="1" si="25"/>
        <v>0</v>
      </c>
      <c r="S168" s="143"/>
      <c r="U168" s="436"/>
      <c r="V168" s="1115"/>
      <c r="Y168" s="1122" t="b">
        <f t="shared" si="22"/>
        <v>1</v>
      </c>
      <c r="Z168" s="1122" t="b">
        <f t="shared" si="20"/>
        <v>0</v>
      </c>
      <c r="AA168" s="1122" t="str">
        <f t="shared" si="21"/>
        <v/>
      </c>
    </row>
    <row r="169" spans="2:27" ht="17.25" hidden="1" customHeight="1">
      <c r="B169" s="278"/>
      <c r="C169" s="1128"/>
      <c r="D169" s="1130"/>
      <c r="E169" s="1129"/>
      <c r="F169" s="17"/>
      <c r="I169" s="1124">
        <f t="shared" ca="1" si="23"/>
        <v>0</v>
      </c>
      <c r="J169" s="1124">
        <f t="shared" ca="1" si="23"/>
        <v>0</v>
      </c>
      <c r="K169" s="1124">
        <f t="shared" ca="1" si="23"/>
        <v>0</v>
      </c>
      <c r="L169" s="1124">
        <f t="shared" ca="1" si="23"/>
        <v>0</v>
      </c>
      <c r="M169" s="32"/>
      <c r="N169" s="1124">
        <f t="shared" ca="1" si="24"/>
        <v>0</v>
      </c>
      <c r="O169" s="1124">
        <f t="shared" ca="1" si="24"/>
        <v>0</v>
      </c>
      <c r="P169" s="32"/>
      <c r="Q169" s="1124">
        <f t="shared" ca="1" si="25"/>
        <v>0</v>
      </c>
      <c r="R169" s="1124">
        <f t="shared" ca="1" si="25"/>
        <v>0</v>
      </c>
      <c r="S169" s="143"/>
      <c r="U169" s="436"/>
      <c r="V169" s="1115"/>
      <c r="Y169" s="1122" t="b">
        <f t="shared" si="22"/>
        <v>1</v>
      </c>
      <c r="Z169" s="1122" t="b">
        <f t="shared" si="20"/>
        <v>0</v>
      </c>
      <c r="AA169" s="1122" t="str">
        <f t="shared" si="21"/>
        <v/>
      </c>
    </row>
    <row r="170" spans="2:27" ht="17.25" hidden="1" customHeight="1">
      <c r="B170" s="278"/>
      <c r="C170" s="1128"/>
      <c r="D170" s="1130"/>
      <c r="E170" s="1129"/>
      <c r="F170" s="17"/>
      <c r="I170" s="1124">
        <f t="shared" ca="1" si="23"/>
        <v>0</v>
      </c>
      <c r="J170" s="1124">
        <f t="shared" ca="1" si="23"/>
        <v>0</v>
      </c>
      <c r="K170" s="1124">
        <f t="shared" ca="1" si="23"/>
        <v>0</v>
      </c>
      <c r="L170" s="1124">
        <f t="shared" ca="1" si="23"/>
        <v>0</v>
      </c>
      <c r="M170" s="32"/>
      <c r="N170" s="1124">
        <f t="shared" ca="1" si="24"/>
        <v>0</v>
      </c>
      <c r="O170" s="1124">
        <f t="shared" ca="1" si="24"/>
        <v>0</v>
      </c>
      <c r="P170" s="32"/>
      <c r="Q170" s="1124">
        <f t="shared" ca="1" si="25"/>
        <v>0</v>
      </c>
      <c r="R170" s="1124">
        <f t="shared" ca="1" si="25"/>
        <v>0</v>
      </c>
      <c r="S170" s="143"/>
      <c r="U170" s="436"/>
      <c r="V170" s="1115"/>
      <c r="Y170" s="1122" t="b">
        <f t="shared" si="22"/>
        <v>1</v>
      </c>
      <c r="Z170" s="1122" t="b">
        <f t="shared" si="20"/>
        <v>0</v>
      </c>
      <c r="AA170" s="1122" t="str">
        <f t="shared" si="21"/>
        <v/>
      </c>
    </row>
    <row r="171" spans="2:27" ht="17.25" hidden="1" customHeight="1">
      <c r="B171" s="278"/>
      <c r="C171" s="1128"/>
      <c r="D171" s="1130"/>
      <c r="E171" s="1129"/>
      <c r="F171" s="17"/>
      <c r="I171" s="1124">
        <f t="shared" ca="1" si="23"/>
        <v>0</v>
      </c>
      <c r="J171" s="1124">
        <f t="shared" ca="1" si="23"/>
        <v>0</v>
      </c>
      <c r="K171" s="1124">
        <f t="shared" ca="1" si="23"/>
        <v>0</v>
      </c>
      <c r="L171" s="1124">
        <f t="shared" ca="1" si="23"/>
        <v>0</v>
      </c>
      <c r="M171" s="32"/>
      <c r="N171" s="1124">
        <f t="shared" ca="1" si="24"/>
        <v>0</v>
      </c>
      <c r="O171" s="1124">
        <f t="shared" ca="1" si="24"/>
        <v>0</v>
      </c>
      <c r="P171" s="32"/>
      <c r="Q171" s="1124">
        <f t="shared" ca="1" si="25"/>
        <v>0</v>
      </c>
      <c r="R171" s="1124">
        <f t="shared" ca="1" si="25"/>
        <v>0</v>
      </c>
      <c r="S171" s="143"/>
      <c r="U171" s="436"/>
      <c r="V171" s="1115"/>
      <c r="Y171" s="1122" t="b">
        <f t="shared" si="22"/>
        <v>1</v>
      </c>
      <c r="Z171" s="1122" t="b">
        <f t="shared" si="20"/>
        <v>0</v>
      </c>
      <c r="AA171" s="1122" t="str">
        <f t="shared" si="21"/>
        <v/>
      </c>
    </row>
    <row r="172" spans="2:27" ht="17.25" hidden="1" customHeight="1">
      <c r="B172" s="278"/>
      <c r="C172" s="1128"/>
      <c r="D172" s="1130"/>
      <c r="E172" s="1129"/>
      <c r="F172" s="17"/>
      <c r="I172" s="1124">
        <f t="shared" ca="1" si="23"/>
        <v>0</v>
      </c>
      <c r="J172" s="1124">
        <f t="shared" ca="1" si="23"/>
        <v>0</v>
      </c>
      <c r="K172" s="1124">
        <f t="shared" ca="1" si="23"/>
        <v>0</v>
      </c>
      <c r="L172" s="1124">
        <f t="shared" ca="1" si="23"/>
        <v>0</v>
      </c>
      <c r="M172" s="32"/>
      <c r="N172" s="1124">
        <f t="shared" ca="1" si="24"/>
        <v>0</v>
      </c>
      <c r="O172" s="1124">
        <f t="shared" ca="1" si="24"/>
        <v>0</v>
      </c>
      <c r="P172" s="32"/>
      <c r="Q172" s="1124">
        <f t="shared" ca="1" si="25"/>
        <v>0</v>
      </c>
      <c r="R172" s="1124">
        <f t="shared" ca="1" si="25"/>
        <v>0</v>
      </c>
      <c r="S172" s="143"/>
      <c r="U172" s="436"/>
      <c r="V172" s="1115"/>
      <c r="Y172" s="1122" t="b">
        <f t="shared" si="22"/>
        <v>1</v>
      </c>
      <c r="Z172" s="1122" t="b">
        <f t="shared" si="20"/>
        <v>0</v>
      </c>
      <c r="AA172" s="1122" t="str">
        <f t="shared" si="21"/>
        <v/>
      </c>
    </row>
    <row r="173" spans="2:27" ht="17.25" hidden="1" customHeight="1">
      <c r="B173" s="278"/>
      <c r="C173" s="1128"/>
      <c r="D173" s="1130"/>
      <c r="E173" s="1129"/>
      <c r="F173" s="17"/>
      <c r="I173" s="1124">
        <f t="shared" ca="1" si="23"/>
        <v>0</v>
      </c>
      <c r="J173" s="1124">
        <f t="shared" ca="1" si="23"/>
        <v>0</v>
      </c>
      <c r="K173" s="1124">
        <f t="shared" ca="1" si="23"/>
        <v>0</v>
      </c>
      <c r="L173" s="1124">
        <f t="shared" ca="1" si="23"/>
        <v>0</v>
      </c>
      <c r="M173" s="32"/>
      <c r="N173" s="1124">
        <f t="shared" ca="1" si="24"/>
        <v>0</v>
      </c>
      <c r="O173" s="1124">
        <f t="shared" ca="1" si="24"/>
        <v>0</v>
      </c>
      <c r="P173" s="32"/>
      <c r="Q173" s="1124">
        <f t="shared" ca="1" si="25"/>
        <v>0</v>
      </c>
      <c r="R173" s="1124">
        <f t="shared" ca="1" si="25"/>
        <v>0</v>
      </c>
      <c r="S173" s="143"/>
      <c r="U173" s="436"/>
      <c r="V173" s="1115"/>
      <c r="Y173" s="1122" t="b">
        <f t="shared" si="22"/>
        <v>1</v>
      </c>
      <c r="Z173" s="1122" t="b">
        <f t="shared" si="20"/>
        <v>0</v>
      </c>
      <c r="AA173" s="1122" t="str">
        <f t="shared" si="21"/>
        <v/>
      </c>
    </row>
    <row r="174" spans="2:27" ht="17.25" hidden="1" customHeight="1">
      <c r="B174" s="278"/>
      <c r="C174" s="1128"/>
      <c r="D174" s="1130"/>
      <c r="E174" s="1129"/>
      <c r="F174" s="17"/>
      <c r="I174" s="1124">
        <f t="shared" ca="1" si="23"/>
        <v>0</v>
      </c>
      <c r="J174" s="1124">
        <f t="shared" ca="1" si="23"/>
        <v>0</v>
      </c>
      <c r="K174" s="1124">
        <f t="shared" ca="1" si="23"/>
        <v>0</v>
      </c>
      <c r="L174" s="1124">
        <f t="shared" ca="1" si="23"/>
        <v>0</v>
      </c>
      <c r="M174" s="32"/>
      <c r="N174" s="1124">
        <f t="shared" ca="1" si="24"/>
        <v>0</v>
      </c>
      <c r="O174" s="1124">
        <f t="shared" ca="1" si="24"/>
        <v>0</v>
      </c>
      <c r="P174" s="32"/>
      <c r="Q174" s="1124">
        <f t="shared" ca="1" si="25"/>
        <v>0</v>
      </c>
      <c r="R174" s="1124">
        <f t="shared" ca="1" si="25"/>
        <v>0</v>
      </c>
      <c r="S174" s="143"/>
      <c r="U174" s="436"/>
      <c r="V174" s="1115"/>
      <c r="Y174" s="1122" t="b">
        <f t="shared" si="22"/>
        <v>1</v>
      </c>
      <c r="Z174" s="1122" t="b">
        <f t="shared" si="20"/>
        <v>0</v>
      </c>
      <c r="AA174" s="1122" t="str">
        <f t="shared" si="21"/>
        <v/>
      </c>
    </row>
    <row r="175" spans="2:27" ht="17.25" hidden="1" customHeight="1">
      <c r="B175" s="278"/>
      <c r="C175" s="1128"/>
      <c r="D175" s="1130"/>
      <c r="E175" s="1129"/>
      <c r="F175" s="17"/>
      <c r="I175" s="1124">
        <f t="shared" ca="1" si="23"/>
        <v>0</v>
      </c>
      <c r="J175" s="1124">
        <f t="shared" ca="1" si="23"/>
        <v>0</v>
      </c>
      <c r="K175" s="1124">
        <f t="shared" ca="1" si="23"/>
        <v>0</v>
      </c>
      <c r="L175" s="1124">
        <f t="shared" ca="1" si="23"/>
        <v>0</v>
      </c>
      <c r="M175" s="32"/>
      <c r="N175" s="1124">
        <f t="shared" ca="1" si="24"/>
        <v>0</v>
      </c>
      <c r="O175" s="1124">
        <f t="shared" ca="1" si="24"/>
        <v>0</v>
      </c>
      <c r="P175" s="32"/>
      <c r="Q175" s="1124">
        <f t="shared" ca="1" si="25"/>
        <v>0</v>
      </c>
      <c r="R175" s="1124">
        <f t="shared" ca="1" si="25"/>
        <v>0</v>
      </c>
      <c r="S175" s="143"/>
      <c r="U175" s="436"/>
      <c r="V175" s="1115"/>
      <c r="Y175" s="1122" t="b">
        <f t="shared" si="22"/>
        <v>1</v>
      </c>
      <c r="Z175" s="1122" t="b">
        <f t="shared" si="20"/>
        <v>0</v>
      </c>
      <c r="AA175" s="1122" t="str">
        <f t="shared" si="21"/>
        <v/>
      </c>
    </row>
    <row r="176" spans="2:27" ht="17.25" hidden="1" customHeight="1">
      <c r="B176" s="278"/>
      <c r="C176" s="1128"/>
      <c r="D176" s="1130"/>
      <c r="E176" s="1129"/>
      <c r="F176" s="17"/>
      <c r="I176" s="1124">
        <f t="shared" ca="1" si="23"/>
        <v>0</v>
      </c>
      <c r="J176" s="1124">
        <f t="shared" ca="1" si="23"/>
        <v>0</v>
      </c>
      <c r="K176" s="1124">
        <f t="shared" ca="1" si="23"/>
        <v>0</v>
      </c>
      <c r="L176" s="1124">
        <f t="shared" ca="1" si="23"/>
        <v>0</v>
      </c>
      <c r="M176" s="32"/>
      <c r="N176" s="1124">
        <f t="shared" ca="1" si="24"/>
        <v>0</v>
      </c>
      <c r="O176" s="1124">
        <f t="shared" ca="1" si="24"/>
        <v>0</v>
      </c>
      <c r="P176" s="32"/>
      <c r="Q176" s="1124">
        <f t="shared" ca="1" si="25"/>
        <v>0</v>
      </c>
      <c r="R176" s="1124">
        <f t="shared" ca="1" si="25"/>
        <v>0</v>
      </c>
      <c r="S176" s="143"/>
      <c r="U176" s="436"/>
      <c r="V176" s="1115"/>
      <c r="Y176" s="1122" t="b">
        <f t="shared" si="22"/>
        <v>1</v>
      </c>
      <c r="Z176" s="1122" t="b">
        <f t="shared" si="20"/>
        <v>0</v>
      </c>
      <c r="AA176" s="1122" t="str">
        <f t="shared" si="21"/>
        <v/>
      </c>
    </row>
    <row r="177" spans="2:27" ht="17.25" hidden="1" customHeight="1">
      <c r="B177" s="278"/>
      <c r="C177" s="1128"/>
      <c r="D177" s="1130"/>
      <c r="E177" s="1129"/>
      <c r="F177" s="17"/>
      <c r="I177" s="1124">
        <f t="shared" ca="1" si="23"/>
        <v>0</v>
      </c>
      <c r="J177" s="1124">
        <f t="shared" ca="1" si="23"/>
        <v>0</v>
      </c>
      <c r="K177" s="1124">
        <f t="shared" ca="1" si="23"/>
        <v>0</v>
      </c>
      <c r="L177" s="1124">
        <f t="shared" ca="1" si="23"/>
        <v>0</v>
      </c>
      <c r="M177" s="32"/>
      <c r="N177" s="1124">
        <f t="shared" ca="1" si="24"/>
        <v>0</v>
      </c>
      <c r="O177" s="1124">
        <f t="shared" ca="1" si="24"/>
        <v>0</v>
      </c>
      <c r="P177" s="32"/>
      <c r="Q177" s="1124">
        <f t="shared" ca="1" si="25"/>
        <v>0</v>
      </c>
      <c r="R177" s="1124">
        <f t="shared" ca="1" si="25"/>
        <v>0</v>
      </c>
      <c r="S177" s="143"/>
      <c r="U177" s="436"/>
      <c r="V177" s="1115"/>
      <c r="Y177" s="1122" t="b">
        <f t="shared" si="22"/>
        <v>1</v>
      </c>
      <c r="Z177" s="1122" t="b">
        <f t="shared" si="20"/>
        <v>0</v>
      </c>
      <c r="AA177" s="1122" t="str">
        <f t="shared" si="21"/>
        <v/>
      </c>
    </row>
    <row r="178" spans="2:27" ht="17.25" hidden="1" customHeight="1">
      <c r="B178" s="278"/>
      <c r="C178" s="1128"/>
      <c r="D178" s="1130"/>
      <c r="E178" s="1129"/>
      <c r="F178" s="17"/>
      <c r="I178" s="1124">
        <f t="shared" ca="1" si="23"/>
        <v>0</v>
      </c>
      <c r="J178" s="1124">
        <f t="shared" ca="1" si="23"/>
        <v>0</v>
      </c>
      <c r="K178" s="1124">
        <f t="shared" ca="1" si="23"/>
        <v>0</v>
      </c>
      <c r="L178" s="1124">
        <f t="shared" ca="1" si="23"/>
        <v>0</v>
      </c>
      <c r="M178" s="32"/>
      <c r="N178" s="1124">
        <f t="shared" ca="1" si="24"/>
        <v>0</v>
      </c>
      <c r="O178" s="1124">
        <f t="shared" ca="1" si="24"/>
        <v>0</v>
      </c>
      <c r="P178" s="32"/>
      <c r="Q178" s="1124">
        <f t="shared" ca="1" si="25"/>
        <v>0</v>
      </c>
      <c r="R178" s="1124">
        <f t="shared" ca="1" si="25"/>
        <v>0</v>
      </c>
      <c r="S178" s="143"/>
      <c r="U178" s="436"/>
      <c r="V178" s="1115"/>
      <c r="Y178" s="1122" t="b">
        <f t="shared" si="22"/>
        <v>1</v>
      </c>
      <c r="Z178" s="1122" t="b">
        <f t="shared" si="20"/>
        <v>0</v>
      </c>
      <c r="AA178" s="1122" t="str">
        <f t="shared" si="21"/>
        <v/>
      </c>
    </row>
    <row r="179" spans="2:27" ht="17.25" hidden="1" customHeight="1">
      <c r="B179" s="278"/>
      <c r="C179" s="1128"/>
      <c r="D179" s="1130"/>
      <c r="E179" s="1129"/>
      <c r="F179" s="17"/>
      <c r="I179" s="1124">
        <f t="shared" ca="1" si="23"/>
        <v>0</v>
      </c>
      <c r="J179" s="1124">
        <f t="shared" ca="1" si="23"/>
        <v>0</v>
      </c>
      <c r="K179" s="1124">
        <f t="shared" ca="1" si="23"/>
        <v>0</v>
      </c>
      <c r="L179" s="1124">
        <f t="shared" ca="1" si="23"/>
        <v>0</v>
      </c>
      <c r="M179" s="32"/>
      <c r="N179" s="1124">
        <f t="shared" ca="1" si="24"/>
        <v>0</v>
      </c>
      <c r="O179" s="1124">
        <f t="shared" ca="1" si="24"/>
        <v>0</v>
      </c>
      <c r="P179" s="32"/>
      <c r="Q179" s="1124">
        <f t="shared" ca="1" si="25"/>
        <v>0</v>
      </c>
      <c r="R179" s="1124">
        <f t="shared" ca="1" si="25"/>
        <v>0</v>
      </c>
      <c r="S179" s="143"/>
      <c r="U179" s="436"/>
      <c r="V179" s="1115"/>
      <c r="Y179" s="1122" t="b">
        <f t="shared" si="22"/>
        <v>1</v>
      </c>
      <c r="Z179" s="1122" t="b">
        <f t="shared" si="20"/>
        <v>0</v>
      </c>
      <c r="AA179" s="1122" t="str">
        <f t="shared" si="21"/>
        <v/>
      </c>
    </row>
    <row r="180" spans="2:27" ht="17.25" hidden="1" customHeight="1">
      <c r="B180" s="278"/>
      <c r="C180" s="1128"/>
      <c r="D180" s="1130"/>
      <c r="E180" s="1129"/>
      <c r="F180" s="17"/>
      <c r="I180" s="1124">
        <f t="shared" ca="1" si="23"/>
        <v>0</v>
      </c>
      <c r="J180" s="1124">
        <f t="shared" ca="1" si="23"/>
        <v>0</v>
      </c>
      <c r="K180" s="1124">
        <f t="shared" ca="1" si="23"/>
        <v>0</v>
      </c>
      <c r="L180" s="1124">
        <f t="shared" ca="1" si="23"/>
        <v>0</v>
      </c>
      <c r="M180" s="32"/>
      <c r="N180" s="1124">
        <f t="shared" ca="1" si="24"/>
        <v>0</v>
      </c>
      <c r="O180" s="1124">
        <f t="shared" ca="1" si="24"/>
        <v>0</v>
      </c>
      <c r="P180" s="32"/>
      <c r="Q180" s="1124">
        <f t="shared" ca="1" si="25"/>
        <v>0</v>
      </c>
      <c r="R180" s="1124">
        <f t="shared" ca="1" si="25"/>
        <v>0</v>
      </c>
      <c r="S180" s="143"/>
      <c r="U180" s="436"/>
      <c r="V180" s="1115"/>
      <c r="Y180" s="1122" t="b">
        <f t="shared" si="22"/>
        <v>1</v>
      </c>
      <c r="Z180" s="1122" t="b">
        <f t="shared" si="20"/>
        <v>0</v>
      </c>
      <c r="AA180" s="1122" t="str">
        <f t="shared" si="21"/>
        <v/>
      </c>
    </row>
    <row r="181" spans="2:27" ht="17.25" hidden="1" customHeight="1">
      <c r="B181" s="278"/>
      <c r="C181" s="1128"/>
      <c r="D181" s="1130"/>
      <c r="E181" s="1129"/>
      <c r="F181" s="17"/>
      <c r="I181" s="1124">
        <f t="shared" ca="1" si="23"/>
        <v>0</v>
      </c>
      <c r="J181" s="1124">
        <f t="shared" ca="1" si="23"/>
        <v>0</v>
      </c>
      <c r="K181" s="1124">
        <f t="shared" ca="1" si="23"/>
        <v>0</v>
      </c>
      <c r="L181" s="1124">
        <f t="shared" ca="1" si="23"/>
        <v>0</v>
      </c>
      <c r="M181" s="32"/>
      <c r="N181" s="1124">
        <f t="shared" ca="1" si="24"/>
        <v>0</v>
      </c>
      <c r="O181" s="1124">
        <f t="shared" ca="1" si="24"/>
        <v>0</v>
      </c>
      <c r="P181" s="32"/>
      <c r="Q181" s="1124">
        <f t="shared" ca="1" si="25"/>
        <v>0</v>
      </c>
      <c r="R181" s="1124">
        <f t="shared" ca="1" si="25"/>
        <v>0</v>
      </c>
      <c r="S181" s="143"/>
      <c r="U181" s="436"/>
      <c r="V181" s="1115"/>
      <c r="Y181" s="1122" t="b">
        <f t="shared" si="22"/>
        <v>1</v>
      </c>
      <c r="Z181" s="1122" t="b">
        <f t="shared" si="20"/>
        <v>0</v>
      </c>
      <c r="AA181" s="1122" t="str">
        <f t="shared" si="21"/>
        <v/>
      </c>
    </row>
    <row r="182" spans="2:27" ht="17.25" hidden="1" customHeight="1">
      <c r="B182" s="278"/>
      <c r="C182" s="1128"/>
      <c r="D182" s="1130"/>
      <c r="E182" s="1129"/>
      <c r="F182" s="17"/>
      <c r="I182" s="1124">
        <f t="shared" ca="1" si="23"/>
        <v>0</v>
      </c>
      <c r="J182" s="1124">
        <f t="shared" ca="1" si="23"/>
        <v>0</v>
      </c>
      <c r="K182" s="1124">
        <f t="shared" ca="1" si="23"/>
        <v>0</v>
      </c>
      <c r="L182" s="1124">
        <f t="shared" ca="1" si="23"/>
        <v>0</v>
      </c>
      <c r="M182" s="32"/>
      <c r="N182" s="1124">
        <f t="shared" ca="1" si="24"/>
        <v>0</v>
      </c>
      <c r="O182" s="1124">
        <f t="shared" ca="1" si="24"/>
        <v>0</v>
      </c>
      <c r="P182" s="32"/>
      <c r="Q182" s="1124">
        <f t="shared" ca="1" si="25"/>
        <v>0</v>
      </c>
      <c r="R182" s="1124">
        <f t="shared" ca="1" si="25"/>
        <v>0</v>
      </c>
      <c r="S182" s="143"/>
      <c r="U182" s="436"/>
      <c r="V182" s="1115"/>
      <c r="Y182" s="1122" t="b">
        <f t="shared" si="22"/>
        <v>1</v>
      </c>
      <c r="Z182" s="1122" t="b">
        <f t="shared" si="20"/>
        <v>0</v>
      </c>
      <c r="AA182" s="1122" t="str">
        <f t="shared" si="21"/>
        <v/>
      </c>
    </row>
    <row r="183" spans="2:27" ht="17.25" hidden="1" customHeight="1">
      <c r="B183" s="278"/>
      <c r="C183" s="1128"/>
      <c r="D183" s="1130"/>
      <c r="E183" s="1129"/>
      <c r="F183" s="17"/>
      <c r="I183" s="1124">
        <f t="shared" ca="1" si="23"/>
        <v>0</v>
      </c>
      <c r="J183" s="1124">
        <f t="shared" ca="1" si="23"/>
        <v>0</v>
      </c>
      <c r="K183" s="1124">
        <f t="shared" ca="1" si="23"/>
        <v>0</v>
      </c>
      <c r="L183" s="1124">
        <f t="shared" ca="1" si="23"/>
        <v>0</v>
      </c>
      <c r="M183" s="32"/>
      <c r="N183" s="1124">
        <f t="shared" ca="1" si="24"/>
        <v>0</v>
      </c>
      <c r="O183" s="1124">
        <f t="shared" ca="1" si="24"/>
        <v>0</v>
      </c>
      <c r="P183" s="32"/>
      <c r="Q183" s="1124">
        <f t="shared" ca="1" si="25"/>
        <v>0</v>
      </c>
      <c r="R183" s="1124">
        <f t="shared" ca="1" si="25"/>
        <v>0</v>
      </c>
      <c r="S183" s="143"/>
      <c r="U183" s="436"/>
      <c r="V183" s="1115"/>
      <c r="Y183" s="1122" t="b">
        <f t="shared" si="22"/>
        <v>1</v>
      </c>
      <c r="Z183" s="1122" t="b">
        <f t="shared" ref="Z183:Z214" si="26">IF(C183&lt;&gt;0,TRUE,FALSE)</f>
        <v>0</v>
      </c>
      <c r="AA183" s="1122" t="str">
        <f t="shared" ref="AA183:AA214" si="27">IF(AND(C183&lt;&gt;0,C183&lt;&gt;""),1,"")</f>
        <v/>
      </c>
    </row>
    <row r="184" spans="2:27" ht="17.25" hidden="1" customHeight="1">
      <c r="B184" s="278"/>
      <c r="C184" s="1128"/>
      <c r="D184" s="1130"/>
      <c r="E184" s="1129"/>
      <c r="F184" s="17"/>
      <c r="I184" s="1124">
        <f t="shared" ca="1" si="23"/>
        <v>0</v>
      </c>
      <c r="J184" s="1124">
        <f t="shared" ca="1" si="23"/>
        <v>0</v>
      </c>
      <c r="K184" s="1124">
        <f t="shared" ca="1" si="23"/>
        <v>0</v>
      </c>
      <c r="L184" s="1124">
        <f t="shared" ca="1" si="23"/>
        <v>0</v>
      </c>
      <c r="M184" s="32"/>
      <c r="N184" s="1124">
        <f t="shared" ca="1" si="24"/>
        <v>0</v>
      </c>
      <c r="O184" s="1124">
        <f t="shared" ca="1" si="24"/>
        <v>0</v>
      </c>
      <c r="P184" s="32"/>
      <c r="Q184" s="1124">
        <f t="shared" ca="1" si="25"/>
        <v>0</v>
      </c>
      <c r="R184" s="1124">
        <f t="shared" ca="1" si="25"/>
        <v>0</v>
      </c>
      <c r="S184" s="143"/>
      <c r="U184" s="436"/>
      <c r="V184" s="1115"/>
      <c r="Y184" s="1122" t="b">
        <f t="shared" ref="Y184:Y215" si="28">IF(AND(C184&lt;&gt;"",C184&lt;&gt;0,Dividends_SelectedMethod="Worksheet"),FALSE,TRUE)</f>
        <v>1</v>
      </c>
      <c r="Z184" s="1122" t="b">
        <f t="shared" si="26"/>
        <v>0</v>
      </c>
      <c r="AA184" s="1122" t="str">
        <f t="shared" si="27"/>
        <v/>
      </c>
    </row>
    <row r="185" spans="2:27" ht="17.25" hidden="1" customHeight="1">
      <c r="B185" s="278"/>
      <c r="C185" s="1128"/>
      <c r="D185" s="1130"/>
      <c r="E185" s="1129"/>
      <c r="F185" s="17"/>
      <c r="I185" s="1124">
        <f t="shared" ca="1" si="23"/>
        <v>0</v>
      </c>
      <c r="J185" s="1124">
        <f t="shared" ca="1" si="23"/>
        <v>0</v>
      </c>
      <c r="K185" s="1124">
        <f t="shared" ca="1" si="23"/>
        <v>0</v>
      </c>
      <c r="L185" s="1124">
        <f t="shared" ca="1" si="23"/>
        <v>0</v>
      </c>
      <c r="M185" s="32"/>
      <c r="N185" s="1124">
        <f t="shared" ca="1" si="24"/>
        <v>0</v>
      </c>
      <c r="O185" s="1124">
        <f t="shared" ca="1" si="24"/>
        <v>0</v>
      </c>
      <c r="P185" s="32"/>
      <c r="Q185" s="1124">
        <f t="shared" ca="1" si="25"/>
        <v>0</v>
      </c>
      <c r="R185" s="1124">
        <f t="shared" ca="1" si="25"/>
        <v>0</v>
      </c>
      <c r="S185" s="143"/>
      <c r="U185" s="436"/>
      <c r="V185" s="1115"/>
      <c r="Y185" s="1122" t="b">
        <f t="shared" si="28"/>
        <v>1</v>
      </c>
      <c r="Z185" s="1122" t="b">
        <f t="shared" si="26"/>
        <v>0</v>
      </c>
      <c r="AA185" s="1122" t="str">
        <f t="shared" si="27"/>
        <v/>
      </c>
    </row>
    <row r="186" spans="2:27" ht="17.25" hidden="1" customHeight="1">
      <c r="B186" s="278"/>
      <c r="C186" s="1128"/>
      <c r="D186" s="1130"/>
      <c r="E186" s="1129"/>
      <c r="F186" s="17"/>
      <c r="I186" s="1124">
        <f t="shared" ca="1" si="23"/>
        <v>0</v>
      </c>
      <c r="J186" s="1124">
        <f t="shared" ca="1" si="23"/>
        <v>0</v>
      </c>
      <c r="K186" s="1124">
        <f t="shared" ca="1" si="23"/>
        <v>0</v>
      </c>
      <c r="L186" s="1124">
        <f t="shared" ca="1" si="23"/>
        <v>0</v>
      </c>
      <c r="M186" s="32"/>
      <c r="N186" s="1124">
        <f t="shared" ca="1" si="24"/>
        <v>0</v>
      </c>
      <c r="O186" s="1124">
        <f t="shared" ca="1" si="24"/>
        <v>0</v>
      </c>
      <c r="P186" s="32"/>
      <c r="Q186" s="1124">
        <f t="shared" ca="1" si="25"/>
        <v>0</v>
      </c>
      <c r="R186" s="1124">
        <f t="shared" ca="1" si="25"/>
        <v>0</v>
      </c>
      <c r="S186" s="143"/>
      <c r="U186" s="436"/>
      <c r="V186" s="1115"/>
      <c r="Y186" s="1122" t="b">
        <f t="shared" si="28"/>
        <v>1</v>
      </c>
      <c r="Z186" s="1122" t="b">
        <f t="shared" si="26"/>
        <v>0</v>
      </c>
      <c r="AA186" s="1122" t="str">
        <f t="shared" si="27"/>
        <v/>
      </c>
    </row>
    <row r="187" spans="2:27" ht="17.25" hidden="1" customHeight="1">
      <c r="B187" s="278"/>
      <c r="C187" s="1128"/>
      <c r="D187" s="1130"/>
      <c r="E187" s="1129"/>
      <c r="F187" s="17"/>
      <c r="I187" s="1124">
        <f t="shared" ref="I187:L206" ca="1" si="29">IFERROR(SUMIF(OFFSET(INDIRECT("HNSW_Summary!$A:$A"),0,MATCH("SumCriteria",INDIRECT("HNSW_Summary!$1:$1"),0)-1),$C187&amp;"_"&amp;$J$283,OFFSET(INDIRECT("HNSW_Summary!$A:$A"),0,MATCH(I$83,INDIRECT("HNSW_Summary!$1:$1"),0)-1)),0)</f>
        <v>0</v>
      </c>
      <c r="J187" s="1124">
        <f t="shared" ca="1" si="29"/>
        <v>0</v>
      </c>
      <c r="K187" s="1124">
        <f t="shared" ca="1" si="29"/>
        <v>0</v>
      </c>
      <c r="L187" s="1124">
        <f t="shared" ca="1" si="29"/>
        <v>0</v>
      </c>
      <c r="M187" s="32"/>
      <c r="N187" s="1124">
        <f t="shared" ref="N187:O206" ca="1" si="30">IFERROR(SUMIFS(OFFSET(INDIRECT("HNSW_Summary!$A:$A"),0,MATCH(N$83,INDIRECT("HNSW_Summary!$1:$1"),0)-1),  INDIRECT("HNSW_Summary!$A:$A"),$C187,  INDIRECT("HNSW_Summary!$B:$B"),"*K04*",  OFFSET(INDIRECT("HNSW_Summary!$A:$A"),0,MATCH("Outstanding",INDIRECT("HNSW_Summary!$1:$1"),0)-1),FALSE),0)</f>
        <v>0</v>
      </c>
      <c r="O187" s="1124">
        <f t="shared" ca="1" si="30"/>
        <v>0</v>
      </c>
      <c r="P187" s="32"/>
      <c r="Q187" s="1124">
        <f t="shared" ref="Q187:R206" ca="1" si="31">IFERROR(SUMIFS(OFFSET(INDIRECT("HNSW_Summary!$A:$A"),0,MATCH(Q$83,INDIRECT("HNSW_Summary!$1:$1"),0)-1),  INDIRECT("HNSW_Summary!$A:$A"),$C187,  INDIRECT("HNSW_Summary!$B:$B"),"*K04*",  OFFSET(INDIRECT("HNSW_Summary!$A:$A"),0,MATCH("Outstanding",INDIRECT("HNSW_Summary!$1:$1"),0)-1),TRUE),0)</f>
        <v>0</v>
      </c>
      <c r="R187" s="1124">
        <f t="shared" ca="1" si="31"/>
        <v>0</v>
      </c>
      <c r="S187" s="143"/>
      <c r="U187" s="436"/>
      <c r="V187" s="1115"/>
      <c r="Y187" s="1122" t="b">
        <f t="shared" si="28"/>
        <v>1</v>
      </c>
      <c r="Z187" s="1122" t="b">
        <f t="shared" si="26"/>
        <v>0</v>
      </c>
      <c r="AA187" s="1122" t="str">
        <f t="shared" si="27"/>
        <v/>
      </c>
    </row>
    <row r="188" spans="2:27" ht="17.25" hidden="1" customHeight="1">
      <c r="B188" s="278"/>
      <c r="C188" s="1128"/>
      <c r="D188" s="1130"/>
      <c r="E188" s="1129"/>
      <c r="F188" s="17"/>
      <c r="I188" s="1124">
        <f t="shared" ca="1" si="29"/>
        <v>0</v>
      </c>
      <c r="J188" s="1124">
        <f t="shared" ca="1" si="29"/>
        <v>0</v>
      </c>
      <c r="K188" s="1124">
        <f t="shared" ca="1" si="29"/>
        <v>0</v>
      </c>
      <c r="L188" s="1124">
        <f t="shared" ca="1" si="29"/>
        <v>0</v>
      </c>
      <c r="M188" s="32"/>
      <c r="N188" s="1124">
        <f t="shared" ca="1" si="30"/>
        <v>0</v>
      </c>
      <c r="O188" s="1124">
        <f t="shared" ca="1" si="30"/>
        <v>0</v>
      </c>
      <c r="P188" s="32"/>
      <c r="Q188" s="1124">
        <f t="shared" ca="1" si="31"/>
        <v>0</v>
      </c>
      <c r="R188" s="1124">
        <f t="shared" ca="1" si="31"/>
        <v>0</v>
      </c>
      <c r="S188" s="143"/>
      <c r="U188" s="436"/>
      <c r="V188" s="1115"/>
      <c r="Y188" s="1122" t="b">
        <f t="shared" si="28"/>
        <v>1</v>
      </c>
      <c r="Z188" s="1122" t="b">
        <f t="shared" si="26"/>
        <v>0</v>
      </c>
      <c r="AA188" s="1122" t="str">
        <f t="shared" si="27"/>
        <v/>
      </c>
    </row>
    <row r="189" spans="2:27" ht="17.25" hidden="1" customHeight="1">
      <c r="B189" s="278"/>
      <c r="C189" s="1128"/>
      <c r="D189" s="1130"/>
      <c r="E189" s="1129"/>
      <c r="F189" s="17"/>
      <c r="I189" s="1124">
        <f t="shared" ca="1" si="29"/>
        <v>0</v>
      </c>
      <c r="J189" s="1124">
        <f t="shared" ca="1" si="29"/>
        <v>0</v>
      </c>
      <c r="K189" s="1124">
        <f t="shared" ca="1" si="29"/>
        <v>0</v>
      </c>
      <c r="L189" s="1124">
        <f t="shared" ca="1" si="29"/>
        <v>0</v>
      </c>
      <c r="M189" s="32"/>
      <c r="N189" s="1124">
        <f t="shared" ca="1" si="30"/>
        <v>0</v>
      </c>
      <c r="O189" s="1124">
        <f t="shared" ca="1" si="30"/>
        <v>0</v>
      </c>
      <c r="P189" s="32"/>
      <c r="Q189" s="1124">
        <f t="shared" ca="1" si="31"/>
        <v>0</v>
      </c>
      <c r="R189" s="1124">
        <f t="shared" ca="1" si="31"/>
        <v>0</v>
      </c>
      <c r="S189" s="143"/>
      <c r="U189" s="436"/>
      <c r="V189" s="1115"/>
      <c r="Y189" s="1122" t="b">
        <f t="shared" si="28"/>
        <v>1</v>
      </c>
      <c r="Z189" s="1122" t="b">
        <f t="shared" si="26"/>
        <v>0</v>
      </c>
      <c r="AA189" s="1122" t="str">
        <f t="shared" si="27"/>
        <v/>
      </c>
    </row>
    <row r="190" spans="2:27" ht="17.25" hidden="1" customHeight="1">
      <c r="B190" s="278"/>
      <c r="C190" s="1128"/>
      <c r="D190" s="1130"/>
      <c r="E190" s="1129"/>
      <c r="F190" s="17"/>
      <c r="I190" s="1124">
        <f t="shared" ca="1" si="29"/>
        <v>0</v>
      </c>
      <c r="J190" s="1124">
        <f t="shared" ca="1" si="29"/>
        <v>0</v>
      </c>
      <c r="K190" s="1124">
        <f t="shared" ca="1" si="29"/>
        <v>0</v>
      </c>
      <c r="L190" s="1124">
        <f t="shared" ca="1" si="29"/>
        <v>0</v>
      </c>
      <c r="M190" s="32"/>
      <c r="N190" s="1124">
        <f t="shared" ca="1" si="30"/>
        <v>0</v>
      </c>
      <c r="O190" s="1124">
        <f t="shared" ca="1" si="30"/>
        <v>0</v>
      </c>
      <c r="P190" s="32"/>
      <c r="Q190" s="1124">
        <f t="shared" ca="1" si="31"/>
        <v>0</v>
      </c>
      <c r="R190" s="1124">
        <f t="shared" ca="1" si="31"/>
        <v>0</v>
      </c>
      <c r="S190" s="143"/>
      <c r="U190" s="436"/>
      <c r="V190" s="1115"/>
      <c r="Y190" s="1122" t="b">
        <f t="shared" si="28"/>
        <v>1</v>
      </c>
      <c r="Z190" s="1122" t="b">
        <f t="shared" si="26"/>
        <v>0</v>
      </c>
      <c r="AA190" s="1122" t="str">
        <f t="shared" si="27"/>
        <v/>
      </c>
    </row>
    <row r="191" spans="2:27" ht="17.25" hidden="1" customHeight="1">
      <c r="B191" s="278"/>
      <c r="C191" s="1128"/>
      <c r="D191" s="1130"/>
      <c r="E191" s="1129"/>
      <c r="F191" s="17"/>
      <c r="I191" s="1124">
        <f t="shared" ca="1" si="29"/>
        <v>0</v>
      </c>
      <c r="J191" s="1124">
        <f t="shared" ca="1" si="29"/>
        <v>0</v>
      </c>
      <c r="K191" s="1124">
        <f t="shared" ca="1" si="29"/>
        <v>0</v>
      </c>
      <c r="L191" s="1124">
        <f t="shared" ca="1" si="29"/>
        <v>0</v>
      </c>
      <c r="M191" s="32"/>
      <c r="N191" s="1124">
        <f t="shared" ca="1" si="30"/>
        <v>0</v>
      </c>
      <c r="O191" s="1124">
        <f t="shared" ca="1" si="30"/>
        <v>0</v>
      </c>
      <c r="P191" s="32"/>
      <c r="Q191" s="1124">
        <f t="shared" ca="1" si="31"/>
        <v>0</v>
      </c>
      <c r="R191" s="1124">
        <f t="shared" ca="1" si="31"/>
        <v>0</v>
      </c>
      <c r="S191" s="143"/>
      <c r="U191" s="436"/>
      <c r="V191" s="1115"/>
      <c r="Y191" s="1122" t="b">
        <f t="shared" si="28"/>
        <v>1</v>
      </c>
      <c r="Z191" s="1122" t="b">
        <f t="shared" si="26"/>
        <v>0</v>
      </c>
      <c r="AA191" s="1122" t="str">
        <f t="shared" si="27"/>
        <v/>
      </c>
    </row>
    <row r="192" spans="2:27" ht="17.25" hidden="1" customHeight="1">
      <c r="B192" s="278"/>
      <c r="C192" s="1128"/>
      <c r="D192" s="1130"/>
      <c r="E192" s="1129"/>
      <c r="F192" s="17"/>
      <c r="I192" s="1124">
        <f t="shared" ca="1" si="29"/>
        <v>0</v>
      </c>
      <c r="J192" s="1124">
        <f t="shared" ca="1" si="29"/>
        <v>0</v>
      </c>
      <c r="K192" s="1124">
        <f t="shared" ca="1" si="29"/>
        <v>0</v>
      </c>
      <c r="L192" s="1124">
        <f t="shared" ca="1" si="29"/>
        <v>0</v>
      </c>
      <c r="M192" s="32"/>
      <c r="N192" s="1124">
        <f t="shared" ca="1" si="30"/>
        <v>0</v>
      </c>
      <c r="O192" s="1124">
        <f t="shared" ca="1" si="30"/>
        <v>0</v>
      </c>
      <c r="P192" s="32"/>
      <c r="Q192" s="1124">
        <f t="shared" ca="1" si="31"/>
        <v>0</v>
      </c>
      <c r="R192" s="1124">
        <f t="shared" ca="1" si="31"/>
        <v>0</v>
      </c>
      <c r="S192" s="143"/>
      <c r="U192" s="436"/>
      <c r="V192" s="1115"/>
      <c r="Y192" s="1122" t="b">
        <f t="shared" si="28"/>
        <v>1</v>
      </c>
      <c r="Z192" s="1122" t="b">
        <f t="shared" si="26"/>
        <v>0</v>
      </c>
      <c r="AA192" s="1122" t="str">
        <f t="shared" si="27"/>
        <v/>
      </c>
    </row>
    <row r="193" spans="2:27" ht="17.25" hidden="1" customHeight="1">
      <c r="B193" s="278"/>
      <c r="C193" s="1128"/>
      <c r="D193" s="1130"/>
      <c r="E193" s="1129"/>
      <c r="F193" s="17"/>
      <c r="I193" s="1124">
        <f t="shared" ca="1" si="29"/>
        <v>0</v>
      </c>
      <c r="J193" s="1124">
        <f t="shared" ca="1" si="29"/>
        <v>0</v>
      </c>
      <c r="K193" s="1124">
        <f t="shared" ca="1" si="29"/>
        <v>0</v>
      </c>
      <c r="L193" s="1124">
        <f t="shared" ca="1" si="29"/>
        <v>0</v>
      </c>
      <c r="M193" s="32"/>
      <c r="N193" s="1124">
        <f t="shared" ca="1" si="30"/>
        <v>0</v>
      </c>
      <c r="O193" s="1124">
        <f t="shared" ca="1" si="30"/>
        <v>0</v>
      </c>
      <c r="P193" s="32"/>
      <c r="Q193" s="1124">
        <f t="shared" ca="1" si="31"/>
        <v>0</v>
      </c>
      <c r="R193" s="1124">
        <f t="shared" ca="1" si="31"/>
        <v>0</v>
      </c>
      <c r="S193" s="143"/>
      <c r="U193" s="436"/>
      <c r="V193" s="1115"/>
      <c r="Y193" s="1122" t="b">
        <f t="shared" si="28"/>
        <v>1</v>
      </c>
      <c r="Z193" s="1122" t="b">
        <f t="shared" si="26"/>
        <v>0</v>
      </c>
      <c r="AA193" s="1122" t="str">
        <f t="shared" si="27"/>
        <v/>
      </c>
    </row>
    <row r="194" spans="2:27" ht="17.25" hidden="1" customHeight="1">
      <c r="B194" s="278"/>
      <c r="C194" s="1128"/>
      <c r="D194" s="1130"/>
      <c r="E194" s="1129"/>
      <c r="F194" s="17"/>
      <c r="I194" s="1124">
        <f t="shared" ca="1" si="29"/>
        <v>0</v>
      </c>
      <c r="J194" s="1124">
        <f t="shared" ca="1" si="29"/>
        <v>0</v>
      </c>
      <c r="K194" s="1124">
        <f t="shared" ca="1" si="29"/>
        <v>0</v>
      </c>
      <c r="L194" s="1124">
        <f t="shared" ca="1" si="29"/>
        <v>0</v>
      </c>
      <c r="M194" s="32"/>
      <c r="N194" s="1124">
        <f t="shared" ca="1" si="30"/>
        <v>0</v>
      </c>
      <c r="O194" s="1124">
        <f t="shared" ca="1" si="30"/>
        <v>0</v>
      </c>
      <c r="P194" s="32"/>
      <c r="Q194" s="1124">
        <f t="shared" ca="1" si="31"/>
        <v>0</v>
      </c>
      <c r="R194" s="1124">
        <f t="shared" ca="1" si="31"/>
        <v>0</v>
      </c>
      <c r="S194" s="143"/>
      <c r="U194" s="436"/>
      <c r="V194" s="1115"/>
      <c r="Y194" s="1122" t="b">
        <f t="shared" si="28"/>
        <v>1</v>
      </c>
      <c r="Z194" s="1122" t="b">
        <f t="shared" si="26"/>
        <v>0</v>
      </c>
      <c r="AA194" s="1122" t="str">
        <f t="shared" si="27"/>
        <v/>
      </c>
    </row>
    <row r="195" spans="2:27" ht="17.25" hidden="1" customHeight="1">
      <c r="B195" s="278"/>
      <c r="C195" s="1128"/>
      <c r="D195" s="1130"/>
      <c r="E195" s="1129"/>
      <c r="F195" s="17"/>
      <c r="I195" s="1124">
        <f t="shared" ca="1" si="29"/>
        <v>0</v>
      </c>
      <c r="J195" s="1124">
        <f t="shared" ca="1" si="29"/>
        <v>0</v>
      </c>
      <c r="K195" s="1124">
        <f t="shared" ca="1" si="29"/>
        <v>0</v>
      </c>
      <c r="L195" s="1124">
        <f t="shared" ca="1" si="29"/>
        <v>0</v>
      </c>
      <c r="M195" s="32"/>
      <c r="N195" s="1124">
        <f t="shared" ca="1" si="30"/>
        <v>0</v>
      </c>
      <c r="O195" s="1124">
        <f t="shared" ca="1" si="30"/>
        <v>0</v>
      </c>
      <c r="P195" s="32"/>
      <c r="Q195" s="1124">
        <f t="shared" ca="1" si="31"/>
        <v>0</v>
      </c>
      <c r="R195" s="1124">
        <f t="shared" ca="1" si="31"/>
        <v>0</v>
      </c>
      <c r="S195" s="143"/>
      <c r="U195" s="436"/>
      <c r="V195" s="1115"/>
      <c r="Y195" s="1122" t="b">
        <f t="shared" si="28"/>
        <v>1</v>
      </c>
      <c r="Z195" s="1122" t="b">
        <f t="shared" si="26"/>
        <v>0</v>
      </c>
      <c r="AA195" s="1122" t="str">
        <f t="shared" si="27"/>
        <v/>
      </c>
    </row>
    <row r="196" spans="2:27" ht="17.25" hidden="1" customHeight="1">
      <c r="B196" s="278"/>
      <c r="C196" s="1128"/>
      <c r="D196" s="1130"/>
      <c r="E196" s="1129"/>
      <c r="F196" s="17"/>
      <c r="I196" s="1124">
        <f t="shared" ca="1" si="29"/>
        <v>0</v>
      </c>
      <c r="J196" s="1124">
        <f t="shared" ca="1" si="29"/>
        <v>0</v>
      </c>
      <c r="K196" s="1124">
        <f t="shared" ca="1" si="29"/>
        <v>0</v>
      </c>
      <c r="L196" s="1124">
        <f t="shared" ca="1" si="29"/>
        <v>0</v>
      </c>
      <c r="M196" s="32"/>
      <c r="N196" s="1124">
        <f t="shared" ca="1" si="30"/>
        <v>0</v>
      </c>
      <c r="O196" s="1124">
        <f t="shared" ca="1" si="30"/>
        <v>0</v>
      </c>
      <c r="P196" s="32"/>
      <c r="Q196" s="1124">
        <f t="shared" ca="1" si="31"/>
        <v>0</v>
      </c>
      <c r="R196" s="1124">
        <f t="shared" ca="1" si="31"/>
        <v>0</v>
      </c>
      <c r="S196" s="143"/>
      <c r="U196" s="436"/>
      <c r="V196" s="1115"/>
      <c r="Y196" s="1122" t="b">
        <f t="shared" si="28"/>
        <v>1</v>
      </c>
      <c r="Z196" s="1122" t="b">
        <f t="shared" si="26"/>
        <v>0</v>
      </c>
      <c r="AA196" s="1122" t="str">
        <f t="shared" si="27"/>
        <v/>
      </c>
    </row>
    <row r="197" spans="2:27" ht="17.25" hidden="1" customHeight="1">
      <c r="B197" s="278"/>
      <c r="C197" s="1128"/>
      <c r="D197" s="1130"/>
      <c r="E197" s="1129"/>
      <c r="F197" s="17"/>
      <c r="I197" s="1124">
        <f t="shared" ca="1" si="29"/>
        <v>0</v>
      </c>
      <c r="J197" s="1124">
        <f t="shared" ca="1" si="29"/>
        <v>0</v>
      </c>
      <c r="K197" s="1124">
        <f t="shared" ca="1" si="29"/>
        <v>0</v>
      </c>
      <c r="L197" s="1124">
        <f t="shared" ca="1" si="29"/>
        <v>0</v>
      </c>
      <c r="M197" s="32"/>
      <c r="N197" s="1124">
        <f t="shared" ca="1" si="30"/>
        <v>0</v>
      </c>
      <c r="O197" s="1124">
        <f t="shared" ca="1" si="30"/>
        <v>0</v>
      </c>
      <c r="P197" s="32"/>
      <c r="Q197" s="1124">
        <f t="shared" ca="1" si="31"/>
        <v>0</v>
      </c>
      <c r="R197" s="1124">
        <f t="shared" ca="1" si="31"/>
        <v>0</v>
      </c>
      <c r="S197" s="143"/>
      <c r="U197" s="436"/>
      <c r="V197" s="1115"/>
      <c r="Y197" s="1122" t="b">
        <f t="shared" si="28"/>
        <v>1</v>
      </c>
      <c r="Z197" s="1122" t="b">
        <f t="shared" si="26"/>
        <v>0</v>
      </c>
      <c r="AA197" s="1122" t="str">
        <f t="shared" si="27"/>
        <v/>
      </c>
    </row>
    <row r="198" spans="2:27" ht="17.25" hidden="1" customHeight="1">
      <c r="B198" s="278"/>
      <c r="C198" s="1128"/>
      <c r="D198" s="1130"/>
      <c r="E198" s="1129"/>
      <c r="F198" s="17"/>
      <c r="I198" s="1124">
        <f t="shared" ca="1" si="29"/>
        <v>0</v>
      </c>
      <c r="J198" s="1124">
        <f t="shared" ca="1" si="29"/>
        <v>0</v>
      </c>
      <c r="K198" s="1124">
        <f t="shared" ca="1" si="29"/>
        <v>0</v>
      </c>
      <c r="L198" s="1124">
        <f t="shared" ca="1" si="29"/>
        <v>0</v>
      </c>
      <c r="M198" s="32"/>
      <c r="N198" s="1124">
        <f t="shared" ca="1" si="30"/>
        <v>0</v>
      </c>
      <c r="O198" s="1124">
        <f t="shared" ca="1" si="30"/>
        <v>0</v>
      </c>
      <c r="P198" s="32"/>
      <c r="Q198" s="1124">
        <f t="shared" ca="1" si="31"/>
        <v>0</v>
      </c>
      <c r="R198" s="1124">
        <f t="shared" ca="1" si="31"/>
        <v>0</v>
      </c>
      <c r="S198" s="143"/>
      <c r="U198" s="436"/>
      <c r="V198" s="1115"/>
      <c r="Y198" s="1122" t="b">
        <f t="shared" si="28"/>
        <v>1</v>
      </c>
      <c r="Z198" s="1122" t="b">
        <f t="shared" si="26"/>
        <v>0</v>
      </c>
      <c r="AA198" s="1122" t="str">
        <f t="shared" si="27"/>
        <v/>
      </c>
    </row>
    <row r="199" spans="2:27" ht="17.25" hidden="1" customHeight="1">
      <c r="B199" s="278"/>
      <c r="C199" s="1128"/>
      <c r="D199" s="1130"/>
      <c r="E199" s="1129"/>
      <c r="F199" s="17"/>
      <c r="I199" s="1124">
        <f t="shared" ca="1" si="29"/>
        <v>0</v>
      </c>
      <c r="J199" s="1124">
        <f t="shared" ca="1" si="29"/>
        <v>0</v>
      </c>
      <c r="K199" s="1124">
        <f t="shared" ca="1" si="29"/>
        <v>0</v>
      </c>
      <c r="L199" s="1124">
        <f t="shared" ca="1" si="29"/>
        <v>0</v>
      </c>
      <c r="M199" s="32"/>
      <c r="N199" s="1124">
        <f t="shared" ca="1" si="30"/>
        <v>0</v>
      </c>
      <c r="O199" s="1124">
        <f t="shared" ca="1" si="30"/>
        <v>0</v>
      </c>
      <c r="P199" s="32"/>
      <c r="Q199" s="1124">
        <f t="shared" ca="1" si="31"/>
        <v>0</v>
      </c>
      <c r="R199" s="1124">
        <f t="shared" ca="1" si="31"/>
        <v>0</v>
      </c>
      <c r="S199" s="143"/>
      <c r="U199" s="436"/>
      <c r="V199" s="1115"/>
      <c r="Y199" s="1122" t="b">
        <f t="shared" si="28"/>
        <v>1</v>
      </c>
      <c r="Z199" s="1122" t="b">
        <f t="shared" si="26"/>
        <v>0</v>
      </c>
      <c r="AA199" s="1122" t="str">
        <f t="shared" si="27"/>
        <v/>
      </c>
    </row>
    <row r="200" spans="2:27" ht="17.25" hidden="1" customHeight="1">
      <c r="B200" s="278"/>
      <c r="C200" s="1128"/>
      <c r="D200" s="1130"/>
      <c r="E200" s="1129"/>
      <c r="F200" s="17"/>
      <c r="I200" s="1124">
        <f t="shared" ca="1" si="29"/>
        <v>0</v>
      </c>
      <c r="J200" s="1124">
        <f t="shared" ca="1" si="29"/>
        <v>0</v>
      </c>
      <c r="K200" s="1124">
        <f t="shared" ca="1" si="29"/>
        <v>0</v>
      </c>
      <c r="L200" s="1124">
        <f t="shared" ca="1" si="29"/>
        <v>0</v>
      </c>
      <c r="M200" s="32"/>
      <c r="N200" s="1124">
        <f t="shared" ca="1" si="30"/>
        <v>0</v>
      </c>
      <c r="O200" s="1124">
        <f t="shared" ca="1" si="30"/>
        <v>0</v>
      </c>
      <c r="P200" s="32"/>
      <c r="Q200" s="1124">
        <f t="shared" ca="1" si="31"/>
        <v>0</v>
      </c>
      <c r="R200" s="1124">
        <f t="shared" ca="1" si="31"/>
        <v>0</v>
      </c>
      <c r="S200" s="143"/>
      <c r="U200" s="436"/>
      <c r="V200" s="1115"/>
      <c r="Y200" s="1122" t="b">
        <f t="shared" si="28"/>
        <v>1</v>
      </c>
      <c r="Z200" s="1122" t="b">
        <f t="shared" si="26"/>
        <v>0</v>
      </c>
      <c r="AA200" s="1122" t="str">
        <f t="shared" si="27"/>
        <v/>
      </c>
    </row>
    <row r="201" spans="2:27" ht="17.25" hidden="1" customHeight="1">
      <c r="B201" s="278"/>
      <c r="C201" s="1128"/>
      <c r="D201" s="1130"/>
      <c r="E201" s="1129"/>
      <c r="F201" s="17"/>
      <c r="I201" s="1124">
        <f t="shared" ca="1" si="29"/>
        <v>0</v>
      </c>
      <c r="J201" s="1124">
        <f t="shared" ca="1" si="29"/>
        <v>0</v>
      </c>
      <c r="K201" s="1124">
        <f t="shared" ca="1" si="29"/>
        <v>0</v>
      </c>
      <c r="L201" s="1124">
        <f t="shared" ca="1" si="29"/>
        <v>0</v>
      </c>
      <c r="M201" s="32"/>
      <c r="N201" s="1124">
        <f t="shared" ca="1" si="30"/>
        <v>0</v>
      </c>
      <c r="O201" s="1124">
        <f t="shared" ca="1" si="30"/>
        <v>0</v>
      </c>
      <c r="P201" s="32"/>
      <c r="Q201" s="1124">
        <f t="shared" ca="1" si="31"/>
        <v>0</v>
      </c>
      <c r="R201" s="1124">
        <f t="shared" ca="1" si="31"/>
        <v>0</v>
      </c>
      <c r="S201" s="143"/>
      <c r="U201" s="436"/>
      <c r="V201" s="1115"/>
      <c r="Y201" s="1122" t="b">
        <f t="shared" si="28"/>
        <v>1</v>
      </c>
      <c r="Z201" s="1122" t="b">
        <f t="shared" si="26"/>
        <v>0</v>
      </c>
      <c r="AA201" s="1122" t="str">
        <f t="shared" si="27"/>
        <v/>
      </c>
    </row>
    <row r="202" spans="2:27" ht="17.25" hidden="1" customHeight="1">
      <c r="B202" s="278"/>
      <c r="C202" s="1128"/>
      <c r="D202" s="1130"/>
      <c r="E202" s="1129"/>
      <c r="F202" s="17"/>
      <c r="I202" s="1124">
        <f t="shared" ca="1" si="29"/>
        <v>0</v>
      </c>
      <c r="J202" s="1124">
        <f t="shared" ca="1" si="29"/>
        <v>0</v>
      </c>
      <c r="K202" s="1124">
        <f t="shared" ca="1" si="29"/>
        <v>0</v>
      </c>
      <c r="L202" s="1124">
        <f t="shared" ca="1" si="29"/>
        <v>0</v>
      </c>
      <c r="M202" s="32"/>
      <c r="N202" s="1124">
        <f t="shared" ca="1" si="30"/>
        <v>0</v>
      </c>
      <c r="O202" s="1124">
        <f t="shared" ca="1" si="30"/>
        <v>0</v>
      </c>
      <c r="P202" s="32"/>
      <c r="Q202" s="1124">
        <f t="shared" ca="1" si="31"/>
        <v>0</v>
      </c>
      <c r="R202" s="1124">
        <f t="shared" ca="1" si="31"/>
        <v>0</v>
      </c>
      <c r="S202" s="143"/>
      <c r="U202" s="436"/>
      <c r="V202" s="1115"/>
      <c r="Y202" s="1122" t="b">
        <f t="shared" si="28"/>
        <v>1</v>
      </c>
      <c r="Z202" s="1122" t="b">
        <f t="shared" si="26"/>
        <v>0</v>
      </c>
      <c r="AA202" s="1122" t="str">
        <f t="shared" si="27"/>
        <v/>
      </c>
    </row>
    <row r="203" spans="2:27" ht="17.25" hidden="1" customHeight="1">
      <c r="B203" s="278"/>
      <c r="C203" s="1128"/>
      <c r="D203" s="1130"/>
      <c r="E203" s="1129"/>
      <c r="F203" s="17"/>
      <c r="I203" s="1124">
        <f t="shared" ca="1" si="29"/>
        <v>0</v>
      </c>
      <c r="J203" s="1124">
        <f t="shared" ca="1" si="29"/>
        <v>0</v>
      </c>
      <c r="K203" s="1124">
        <f t="shared" ca="1" si="29"/>
        <v>0</v>
      </c>
      <c r="L203" s="1124">
        <f t="shared" ca="1" si="29"/>
        <v>0</v>
      </c>
      <c r="M203" s="32"/>
      <c r="N203" s="1124">
        <f t="shared" ca="1" si="30"/>
        <v>0</v>
      </c>
      <c r="O203" s="1124">
        <f t="shared" ca="1" si="30"/>
        <v>0</v>
      </c>
      <c r="P203" s="32"/>
      <c r="Q203" s="1124">
        <f t="shared" ca="1" si="31"/>
        <v>0</v>
      </c>
      <c r="R203" s="1124">
        <f t="shared" ca="1" si="31"/>
        <v>0</v>
      </c>
      <c r="S203" s="143"/>
      <c r="U203" s="436"/>
      <c r="V203" s="1115"/>
      <c r="Y203" s="1122" t="b">
        <f t="shared" si="28"/>
        <v>1</v>
      </c>
      <c r="Z203" s="1122" t="b">
        <f t="shared" si="26"/>
        <v>0</v>
      </c>
      <c r="AA203" s="1122" t="str">
        <f t="shared" si="27"/>
        <v/>
      </c>
    </row>
    <row r="204" spans="2:27" ht="17.25" hidden="1" customHeight="1">
      <c r="B204" s="278"/>
      <c r="C204" s="1128"/>
      <c r="D204" s="1130"/>
      <c r="E204" s="1129"/>
      <c r="F204" s="17"/>
      <c r="I204" s="1124">
        <f t="shared" ca="1" si="29"/>
        <v>0</v>
      </c>
      <c r="J204" s="1124">
        <f t="shared" ca="1" si="29"/>
        <v>0</v>
      </c>
      <c r="K204" s="1124">
        <f t="shared" ca="1" si="29"/>
        <v>0</v>
      </c>
      <c r="L204" s="1124">
        <f t="shared" ca="1" si="29"/>
        <v>0</v>
      </c>
      <c r="M204" s="32"/>
      <c r="N204" s="1124">
        <f t="shared" ca="1" si="30"/>
        <v>0</v>
      </c>
      <c r="O204" s="1124">
        <f t="shared" ca="1" si="30"/>
        <v>0</v>
      </c>
      <c r="P204" s="32"/>
      <c r="Q204" s="1124">
        <f t="shared" ca="1" si="31"/>
        <v>0</v>
      </c>
      <c r="R204" s="1124">
        <f t="shared" ca="1" si="31"/>
        <v>0</v>
      </c>
      <c r="S204" s="143"/>
      <c r="U204" s="436"/>
      <c r="V204" s="1115"/>
      <c r="Y204" s="1122" t="b">
        <f t="shared" si="28"/>
        <v>1</v>
      </c>
      <c r="Z204" s="1122" t="b">
        <f t="shared" si="26"/>
        <v>0</v>
      </c>
      <c r="AA204" s="1122" t="str">
        <f t="shared" si="27"/>
        <v/>
      </c>
    </row>
    <row r="205" spans="2:27" ht="17.25" hidden="1" customHeight="1">
      <c r="B205" s="278"/>
      <c r="C205" s="1128"/>
      <c r="D205" s="1130"/>
      <c r="E205" s="1129"/>
      <c r="F205" s="17"/>
      <c r="I205" s="1124">
        <f t="shared" ca="1" si="29"/>
        <v>0</v>
      </c>
      <c r="J205" s="1124">
        <f t="shared" ca="1" si="29"/>
        <v>0</v>
      </c>
      <c r="K205" s="1124">
        <f t="shared" ca="1" si="29"/>
        <v>0</v>
      </c>
      <c r="L205" s="1124">
        <f t="shared" ca="1" si="29"/>
        <v>0</v>
      </c>
      <c r="M205" s="32"/>
      <c r="N205" s="1124">
        <f t="shared" ca="1" si="30"/>
        <v>0</v>
      </c>
      <c r="O205" s="1124">
        <f t="shared" ca="1" si="30"/>
        <v>0</v>
      </c>
      <c r="P205" s="32"/>
      <c r="Q205" s="1124">
        <f t="shared" ca="1" si="31"/>
        <v>0</v>
      </c>
      <c r="R205" s="1124">
        <f t="shared" ca="1" si="31"/>
        <v>0</v>
      </c>
      <c r="S205" s="143"/>
      <c r="U205" s="436"/>
      <c r="V205" s="1115"/>
      <c r="Y205" s="1122" t="b">
        <f t="shared" si="28"/>
        <v>1</v>
      </c>
      <c r="Z205" s="1122" t="b">
        <f t="shared" si="26"/>
        <v>0</v>
      </c>
      <c r="AA205" s="1122" t="str">
        <f t="shared" si="27"/>
        <v/>
      </c>
    </row>
    <row r="206" spans="2:27" ht="17.25" hidden="1" customHeight="1">
      <c r="B206" s="278"/>
      <c r="C206" s="1128"/>
      <c r="D206" s="1130"/>
      <c r="E206" s="1129"/>
      <c r="F206" s="17"/>
      <c r="I206" s="1124">
        <f t="shared" ca="1" si="29"/>
        <v>0</v>
      </c>
      <c r="J206" s="1124">
        <f t="shared" ca="1" si="29"/>
        <v>0</v>
      </c>
      <c r="K206" s="1124">
        <f t="shared" ca="1" si="29"/>
        <v>0</v>
      </c>
      <c r="L206" s="1124">
        <f t="shared" ca="1" si="29"/>
        <v>0</v>
      </c>
      <c r="M206" s="32"/>
      <c r="N206" s="1124">
        <f t="shared" ca="1" si="30"/>
        <v>0</v>
      </c>
      <c r="O206" s="1124">
        <f t="shared" ca="1" si="30"/>
        <v>0</v>
      </c>
      <c r="P206" s="32"/>
      <c r="Q206" s="1124">
        <f t="shared" ca="1" si="31"/>
        <v>0</v>
      </c>
      <c r="R206" s="1124">
        <f t="shared" ca="1" si="31"/>
        <v>0</v>
      </c>
      <c r="S206" s="143"/>
      <c r="U206" s="436"/>
      <c r="V206" s="1115"/>
      <c r="Y206" s="1122" t="b">
        <f t="shared" si="28"/>
        <v>1</v>
      </c>
      <c r="Z206" s="1122" t="b">
        <f t="shared" si="26"/>
        <v>0</v>
      </c>
      <c r="AA206" s="1122" t="str">
        <f t="shared" si="27"/>
        <v/>
      </c>
    </row>
    <row r="207" spans="2:27" ht="17.25" hidden="1" customHeight="1">
      <c r="B207" s="278"/>
      <c r="C207" s="1128"/>
      <c r="D207" s="1130"/>
      <c r="E207" s="1129"/>
      <c r="F207" s="17"/>
      <c r="I207" s="1124">
        <f t="shared" ref="I207:L226" ca="1" si="32">IFERROR(SUMIF(OFFSET(INDIRECT("HNSW_Summary!$A:$A"),0,MATCH("SumCriteria",INDIRECT("HNSW_Summary!$1:$1"),0)-1),$C207&amp;"_"&amp;$J$283,OFFSET(INDIRECT("HNSW_Summary!$A:$A"),0,MATCH(I$83,INDIRECT("HNSW_Summary!$1:$1"),0)-1)),0)</f>
        <v>0</v>
      </c>
      <c r="J207" s="1124">
        <f t="shared" ca="1" si="32"/>
        <v>0</v>
      </c>
      <c r="K207" s="1124">
        <f t="shared" ca="1" si="32"/>
        <v>0</v>
      </c>
      <c r="L207" s="1124">
        <f t="shared" ca="1" si="32"/>
        <v>0</v>
      </c>
      <c r="M207" s="32"/>
      <c r="N207" s="1124">
        <f t="shared" ref="N207:O226" ca="1" si="33">IFERROR(SUMIFS(OFFSET(INDIRECT("HNSW_Summary!$A:$A"),0,MATCH(N$83,INDIRECT("HNSW_Summary!$1:$1"),0)-1),  INDIRECT("HNSW_Summary!$A:$A"),$C207,  INDIRECT("HNSW_Summary!$B:$B"),"*K04*",  OFFSET(INDIRECT("HNSW_Summary!$A:$A"),0,MATCH("Outstanding",INDIRECT("HNSW_Summary!$1:$1"),0)-1),FALSE),0)</f>
        <v>0</v>
      </c>
      <c r="O207" s="1124">
        <f t="shared" ca="1" si="33"/>
        <v>0</v>
      </c>
      <c r="P207" s="32"/>
      <c r="Q207" s="1124">
        <f t="shared" ref="Q207:R226" ca="1" si="34">IFERROR(SUMIFS(OFFSET(INDIRECT("HNSW_Summary!$A:$A"),0,MATCH(Q$83,INDIRECT("HNSW_Summary!$1:$1"),0)-1),  INDIRECT("HNSW_Summary!$A:$A"),$C207,  INDIRECT("HNSW_Summary!$B:$B"),"*K04*",  OFFSET(INDIRECT("HNSW_Summary!$A:$A"),0,MATCH("Outstanding",INDIRECT("HNSW_Summary!$1:$1"),0)-1),TRUE),0)</f>
        <v>0</v>
      </c>
      <c r="R207" s="1124">
        <f t="shared" ca="1" si="34"/>
        <v>0</v>
      </c>
      <c r="S207" s="143"/>
      <c r="U207" s="436"/>
      <c r="V207" s="1115"/>
      <c r="Y207" s="1122" t="b">
        <f t="shared" si="28"/>
        <v>1</v>
      </c>
      <c r="Z207" s="1122" t="b">
        <f t="shared" si="26"/>
        <v>0</v>
      </c>
      <c r="AA207" s="1122" t="str">
        <f t="shared" si="27"/>
        <v/>
      </c>
    </row>
    <row r="208" spans="2:27" ht="17.25" hidden="1" customHeight="1">
      <c r="B208" s="278"/>
      <c r="C208" s="1128"/>
      <c r="D208" s="1130"/>
      <c r="E208" s="1129"/>
      <c r="F208" s="17"/>
      <c r="I208" s="1124">
        <f t="shared" ca="1" si="32"/>
        <v>0</v>
      </c>
      <c r="J208" s="1124">
        <f t="shared" ca="1" si="32"/>
        <v>0</v>
      </c>
      <c r="K208" s="1124">
        <f t="shared" ca="1" si="32"/>
        <v>0</v>
      </c>
      <c r="L208" s="1124">
        <f t="shared" ca="1" si="32"/>
        <v>0</v>
      </c>
      <c r="M208" s="32"/>
      <c r="N208" s="1124">
        <f t="shared" ca="1" si="33"/>
        <v>0</v>
      </c>
      <c r="O208" s="1124">
        <f t="shared" ca="1" si="33"/>
        <v>0</v>
      </c>
      <c r="P208" s="32"/>
      <c r="Q208" s="1124">
        <f t="shared" ca="1" si="34"/>
        <v>0</v>
      </c>
      <c r="R208" s="1124">
        <f t="shared" ca="1" si="34"/>
        <v>0</v>
      </c>
      <c r="S208" s="143"/>
      <c r="U208" s="436"/>
      <c r="V208" s="1115"/>
      <c r="Y208" s="1122" t="b">
        <f t="shared" si="28"/>
        <v>1</v>
      </c>
      <c r="Z208" s="1122" t="b">
        <f t="shared" si="26"/>
        <v>0</v>
      </c>
      <c r="AA208" s="1122" t="str">
        <f t="shared" si="27"/>
        <v/>
      </c>
    </row>
    <row r="209" spans="2:27" ht="17.25" hidden="1" customHeight="1">
      <c r="B209" s="278"/>
      <c r="C209" s="1128"/>
      <c r="D209" s="1130"/>
      <c r="E209" s="1129"/>
      <c r="F209" s="17"/>
      <c r="I209" s="1124">
        <f t="shared" ca="1" si="32"/>
        <v>0</v>
      </c>
      <c r="J209" s="1124">
        <f t="shared" ca="1" si="32"/>
        <v>0</v>
      </c>
      <c r="K209" s="1124">
        <f t="shared" ca="1" si="32"/>
        <v>0</v>
      </c>
      <c r="L209" s="1124">
        <f t="shared" ca="1" si="32"/>
        <v>0</v>
      </c>
      <c r="M209" s="32"/>
      <c r="N209" s="1124">
        <f t="shared" ca="1" si="33"/>
        <v>0</v>
      </c>
      <c r="O209" s="1124">
        <f t="shared" ca="1" si="33"/>
        <v>0</v>
      </c>
      <c r="P209" s="32"/>
      <c r="Q209" s="1124">
        <f t="shared" ca="1" si="34"/>
        <v>0</v>
      </c>
      <c r="R209" s="1124">
        <f t="shared" ca="1" si="34"/>
        <v>0</v>
      </c>
      <c r="S209" s="143"/>
      <c r="U209" s="436"/>
      <c r="V209" s="1115"/>
      <c r="Y209" s="1122" t="b">
        <f t="shared" si="28"/>
        <v>1</v>
      </c>
      <c r="Z209" s="1122" t="b">
        <f t="shared" si="26"/>
        <v>0</v>
      </c>
      <c r="AA209" s="1122" t="str">
        <f t="shared" si="27"/>
        <v/>
      </c>
    </row>
    <row r="210" spans="2:27" ht="17.25" hidden="1" customHeight="1">
      <c r="B210" s="278"/>
      <c r="C210" s="1128"/>
      <c r="D210" s="1130"/>
      <c r="E210" s="1129"/>
      <c r="F210" s="17"/>
      <c r="I210" s="1124">
        <f t="shared" ca="1" si="32"/>
        <v>0</v>
      </c>
      <c r="J210" s="1124">
        <f t="shared" ca="1" si="32"/>
        <v>0</v>
      </c>
      <c r="K210" s="1124">
        <f t="shared" ca="1" si="32"/>
        <v>0</v>
      </c>
      <c r="L210" s="1124">
        <f t="shared" ca="1" si="32"/>
        <v>0</v>
      </c>
      <c r="M210" s="32"/>
      <c r="N210" s="1124">
        <f t="shared" ca="1" si="33"/>
        <v>0</v>
      </c>
      <c r="O210" s="1124">
        <f t="shared" ca="1" si="33"/>
        <v>0</v>
      </c>
      <c r="P210" s="32"/>
      <c r="Q210" s="1124">
        <f t="shared" ca="1" si="34"/>
        <v>0</v>
      </c>
      <c r="R210" s="1124">
        <f t="shared" ca="1" si="34"/>
        <v>0</v>
      </c>
      <c r="S210" s="143"/>
      <c r="U210" s="436"/>
      <c r="V210" s="1115"/>
      <c r="Y210" s="1122" t="b">
        <f t="shared" si="28"/>
        <v>1</v>
      </c>
      <c r="Z210" s="1122" t="b">
        <f t="shared" si="26"/>
        <v>0</v>
      </c>
      <c r="AA210" s="1122" t="str">
        <f t="shared" si="27"/>
        <v/>
      </c>
    </row>
    <row r="211" spans="2:27" ht="17.25" hidden="1" customHeight="1">
      <c r="B211" s="278"/>
      <c r="C211" s="1128"/>
      <c r="D211" s="1130"/>
      <c r="E211" s="1129"/>
      <c r="F211" s="17"/>
      <c r="I211" s="1124">
        <f t="shared" ca="1" si="32"/>
        <v>0</v>
      </c>
      <c r="J211" s="1124">
        <f t="shared" ca="1" si="32"/>
        <v>0</v>
      </c>
      <c r="K211" s="1124">
        <f t="shared" ca="1" si="32"/>
        <v>0</v>
      </c>
      <c r="L211" s="1124">
        <f t="shared" ca="1" si="32"/>
        <v>0</v>
      </c>
      <c r="M211" s="32"/>
      <c r="N211" s="1124">
        <f t="shared" ca="1" si="33"/>
        <v>0</v>
      </c>
      <c r="O211" s="1124">
        <f t="shared" ca="1" si="33"/>
        <v>0</v>
      </c>
      <c r="P211" s="32"/>
      <c r="Q211" s="1124">
        <f t="shared" ca="1" si="34"/>
        <v>0</v>
      </c>
      <c r="R211" s="1124">
        <f t="shared" ca="1" si="34"/>
        <v>0</v>
      </c>
      <c r="S211" s="143"/>
      <c r="U211" s="436"/>
      <c r="V211" s="1115"/>
      <c r="Y211" s="1122" t="b">
        <f t="shared" si="28"/>
        <v>1</v>
      </c>
      <c r="Z211" s="1122" t="b">
        <f t="shared" si="26"/>
        <v>0</v>
      </c>
      <c r="AA211" s="1122" t="str">
        <f t="shared" si="27"/>
        <v/>
      </c>
    </row>
    <row r="212" spans="2:27" ht="17.25" hidden="1" customHeight="1">
      <c r="B212" s="278"/>
      <c r="C212" s="1128"/>
      <c r="D212" s="1130"/>
      <c r="E212" s="1129"/>
      <c r="F212" s="17"/>
      <c r="I212" s="1124">
        <f t="shared" ca="1" si="32"/>
        <v>0</v>
      </c>
      <c r="J212" s="1124">
        <f t="shared" ca="1" si="32"/>
        <v>0</v>
      </c>
      <c r="K212" s="1124">
        <f t="shared" ca="1" si="32"/>
        <v>0</v>
      </c>
      <c r="L212" s="1124">
        <f t="shared" ca="1" si="32"/>
        <v>0</v>
      </c>
      <c r="M212" s="32"/>
      <c r="N212" s="1124">
        <f t="shared" ca="1" si="33"/>
        <v>0</v>
      </c>
      <c r="O212" s="1124">
        <f t="shared" ca="1" si="33"/>
        <v>0</v>
      </c>
      <c r="P212" s="32"/>
      <c r="Q212" s="1124">
        <f t="shared" ca="1" si="34"/>
        <v>0</v>
      </c>
      <c r="R212" s="1124">
        <f t="shared" ca="1" si="34"/>
        <v>0</v>
      </c>
      <c r="S212" s="143"/>
      <c r="U212" s="436"/>
      <c r="V212" s="1115"/>
      <c r="Y212" s="1122" t="b">
        <f t="shared" si="28"/>
        <v>1</v>
      </c>
      <c r="Z212" s="1122" t="b">
        <f t="shared" si="26"/>
        <v>0</v>
      </c>
      <c r="AA212" s="1122" t="str">
        <f t="shared" si="27"/>
        <v/>
      </c>
    </row>
    <row r="213" spans="2:27" ht="17.25" hidden="1" customHeight="1">
      <c r="B213" s="278"/>
      <c r="C213" s="1128"/>
      <c r="D213" s="1130"/>
      <c r="E213" s="1129"/>
      <c r="F213" s="17"/>
      <c r="I213" s="1124">
        <f t="shared" ca="1" si="32"/>
        <v>0</v>
      </c>
      <c r="J213" s="1124">
        <f t="shared" ca="1" si="32"/>
        <v>0</v>
      </c>
      <c r="K213" s="1124">
        <f t="shared" ca="1" si="32"/>
        <v>0</v>
      </c>
      <c r="L213" s="1124">
        <f t="shared" ca="1" si="32"/>
        <v>0</v>
      </c>
      <c r="M213" s="32"/>
      <c r="N213" s="1124">
        <f t="shared" ca="1" si="33"/>
        <v>0</v>
      </c>
      <c r="O213" s="1124">
        <f t="shared" ca="1" si="33"/>
        <v>0</v>
      </c>
      <c r="P213" s="32"/>
      <c r="Q213" s="1124">
        <f t="shared" ca="1" si="34"/>
        <v>0</v>
      </c>
      <c r="R213" s="1124">
        <f t="shared" ca="1" si="34"/>
        <v>0</v>
      </c>
      <c r="S213" s="143"/>
      <c r="U213" s="436"/>
      <c r="V213" s="1115"/>
      <c r="Y213" s="1122" t="b">
        <f t="shared" si="28"/>
        <v>1</v>
      </c>
      <c r="Z213" s="1122" t="b">
        <f t="shared" si="26"/>
        <v>0</v>
      </c>
      <c r="AA213" s="1122" t="str">
        <f t="shared" si="27"/>
        <v/>
      </c>
    </row>
    <row r="214" spans="2:27" ht="17.25" hidden="1" customHeight="1">
      <c r="B214" s="278"/>
      <c r="C214" s="1128"/>
      <c r="D214" s="1130"/>
      <c r="E214" s="1129"/>
      <c r="F214" s="17"/>
      <c r="I214" s="1124">
        <f t="shared" ca="1" si="32"/>
        <v>0</v>
      </c>
      <c r="J214" s="1124">
        <f t="shared" ca="1" si="32"/>
        <v>0</v>
      </c>
      <c r="K214" s="1124">
        <f t="shared" ca="1" si="32"/>
        <v>0</v>
      </c>
      <c r="L214" s="1124">
        <f t="shared" ca="1" si="32"/>
        <v>0</v>
      </c>
      <c r="M214" s="32"/>
      <c r="N214" s="1124">
        <f t="shared" ca="1" si="33"/>
        <v>0</v>
      </c>
      <c r="O214" s="1124">
        <f t="shared" ca="1" si="33"/>
        <v>0</v>
      </c>
      <c r="P214" s="32"/>
      <c r="Q214" s="1124">
        <f t="shared" ca="1" si="34"/>
        <v>0</v>
      </c>
      <c r="R214" s="1124">
        <f t="shared" ca="1" si="34"/>
        <v>0</v>
      </c>
      <c r="S214" s="143"/>
      <c r="U214" s="436"/>
      <c r="V214" s="1115"/>
      <c r="Y214" s="1122" t="b">
        <f t="shared" si="28"/>
        <v>1</v>
      </c>
      <c r="Z214" s="1122" t="b">
        <f t="shared" si="26"/>
        <v>0</v>
      </c>
      <c r="AA214" s="1122" t="str">
        <f t="shared" si="27"/>
        <v/>
      </c>
    </row>
    <row r="215" spans="2:27" ht="17.25" hidden="1" customHeight="1">
      <c r="B215" s="278"/>
      <c r="C215" s="1128"/>
      <c r="D215" s="1130"/>
      <c r="E215" s="1129"/>
      <c r="F215" s="17"/>
      <c r="I215" s="1124">
        <f t="shared" ca="1" si="32"/>
        <v>0</v>
      </c>
      <c r="J215" s="1124">
        <f t="shared" ca="1" si="32"/>
        <v>0</v>
      </c>
      <c r="K215" s="1124">
        <f t="shared" ca="1" si="32"/>
        <v>0</v>
      </c>
      <c r="L215" s="1124">
        <f t="shared" ca="1" si="32"/>
        <v>0</v>
      </c>
      <c r="M215" s="32"/>
      <c r="N215" s="1124">
        <f t="shared" ca="1" si="33"/>
        <v>0</v>
      </c>
      <c r="O215" s="1124">
        <f t="shared" ca="1" si="33"/>
        <v>0</v>
      </c>
      <c r="P215" s="32"/>
      <c r="Q215" s="1124">
        <f t="shared" ca="1" si="34"/>
        <v>0</v>
      </c>
      <c r="R215" s="1124">
        <f t="shared" ca="1" si="34"/>
        <v>0</v>
      </c>
      <c r="S215" s="143"/>
      <c r="U215" s="436"/>
      <c r="V215" s="1115"/>
      <c r="Y215" s="1122" t="b">
        <f t="shared" si="28"/>
        <v>1</v>
      </c>
      <c r="Z215" s="1122" t="b">
        <f t="shared" ref="Z215:Z236" si="35">IF(C215&lt;&gt;0,TRUE,FALSE)</f>
        <v>0</v>
      </c>
      <c r="AA215" s="1122" t="str">
        <f t="shared" ref="AA215:AA236" si="36">IF(AND(C215&lt;&gt;0,C215&lt;&gt;""),1,"")</f>
        <v/>
      </c>
    </row>
    <row r="216" spans="2:27" ht="17.25" hidden="1" customHeight="1">
      <c r="B216" s="278"/>
      <c r="C216" s="1128"/>
      <c r="D216" s="1130"/>
      <c r="E216" s="1129"/>
      <c r="F216" s="17"/>
      <c r="I216" s="1124">
        <f t="shared" ca="1" si="32"/>
        <v>0</v>
      </c>
      <c r="J216" s="1124">
        <f t="shared" ca="1" si="32"/>
        <v>0</v>
      </c>
      <c r="K216" s="1124">
        <f t="shared" ca="1" si="32"/>
        <v>0</v>
      </c>
      <c r="L216" s="1124">
        <f t="shared" ca="1" si="32"/>
        <v>0</v>
      </c>
      <c r="M216" s="32"/>
      <c r="N216" s="1124">
        <f t="shared" ca="1" si="33"/>
        <v>0</v>
      </c>
      <c r="O216" s="1124">
        <f t="shared" ca="1" si="33"/>
        <v>0</v>
      </c>
      <c r="P216" s="32"/>
      <c r="Q216" s="1124">
        <f t="shared" ca="1" si="34"/>
        <v>0</v>
      </c>
      <c r="R216" s="1124">
        <f t="shared" ca="1" si="34"/>
        <v>0</v>
      </c>
      <c r="S216" s="143"/>
      <c r="U216" s="436"/>
      <c r="V216" s="1115"/>
      <c r="Y216" s="1122" t="b">
        <f t="shared" ref="Y216:Y236" si="37">IF(AND(C216&lt;&gt;"",C216&lt;&gt;0,Dividends_SelectedMethod="Worksheet"),FALSE,TRUE)</f>
        <v>1</v>
      </c>
      <c r="Z216" s="1122" t="b">
        <f t="shared" si="35"/>
        <v>0</v>
      </c>
      <c r="AA216" s="1122" t="str">
        <f t="shared" si="36"/>
        <v/>
      </c>
    </row>
    <row r="217" spans="2:27" ht="17.25" hidden="1" customHeight="1">
      <c r="B217" s="278"/>
      <c r="C217" s="1128"/>
      <c r="D217" s="1130"/>
      <c r="E217" s="1129"/>
      <c r="F217" s="17"/>
      <c r="I217" s="1124">
        <f t="shared" ca="1" si="32"/>
        <v>0</v>
      </c>
      <c r="J217" s="1124">
        <f t="shared" ca="1" si="32"/>
        <v>0</v>
      </c>
      <c r="K217" s="1124">
        <f t="shared" ca="1" si="32"/>
        <v>0</v>
      </c>
      <c r="L217" s="1124">
        <f t="shared" ca="1" si="32"/>
        <v>0</v>
      </c>
      <c r="M217" s="32"/>
      <c r="N217" s="1124">
        <f t="shared" ca="1" si="33"/>
        <v>0</v>
      </c>
      <c r="O217" s="1124">
        <f t="shared" ca="1" si="33"/>
        <v>0</v>
      </c>
      <c r="P217" s="32"/>
      <c r="Q217" s="1124">
        <f t="shared" ca="1" si="34"/>
        <v>0</v>
      </c>
      <c r="R217" s="1124">
        <f t="shared" ca="1" si="34"/>
        <v>0</v>
      </c>
      <c r="S217" s="143"/>
      <c r="U217" s="436"/>
      <c r="V217" s="1115"/>
      <c r="Y217" s="1122" t="b">
        <f t="shared" si="37"/>
        <v>1</v>
      </c>
      <c r="Z217" s="1122" t="b">
        <f t="shared" si="35"/>
        <v>0</v>
      </c>
      <c r="AA217" s="1122" t="str">
        <f t="shared" si="36"/>
        <v/>
      </c>
    </row>
    <row r="218" spans="2:27" ht="17.25" hidden="1" customHeight="1">
      <c r="B218" s="278"/>
      <c r="C218" s="1128"/>
      <c r="D218" s="1130"/>
      <c r="E218" s="1129"/>
      <c r="F218" s="17"/>
      <c r="I218" s="1124">
        <f t="shared" ca="1" si="32"/>
        <v>0</v>
      </c>
      <c r="J218" s="1124">
        <f t="shared" ca="1" si="32"/>
        <v>0</v>
      </c>
      <c r="K218" s="1124">
        <f t="shared" ca="1" si="32"/>
        <v>0</v>
      </c>
      <c r="L218" s="1124">
        <f t="shared" ca="1" si="32"/>
        <v>0</v>
      </c>
      <c r="M218" s="32"/>
      <c r="N218" s="1124">
        <f t="shared" ca="1" si="33"/>
        <v>0</v>
      </c>
      <c r="O218" s="1124">
        <f t="shared" ca="1" si="33"/>
        <v>0</v>
      </c>
      <c r="P218" s="32"/>
      <c r="Q218" s="1124">
        <f t="shared" ca="1" si="34"/>
        <v>0</v>
      </c>
      <c r="R218" s="1124">
        <f t="shared" ca="1" si="34"/>
        <v>0</v>
      </c>
      <c r="S218" s="143"/>
      <c r="U218" s="436"/>
      <c r="V218" s="1115"/>
      <c r="Y218" s="1122" t="b">
        <f t="shared" si="37"/>
        <v>1</v>
      </c>
      <c r="Z218" s="1122" t="b">
        <f t="shared" si="35"/>
        <v>0</v>
      </c>
      <c r="AA218" s="1122" t="str">
        <f t="shared" si="36"/>
        <v/>
      </c>
    </row>
    <row r="219" spans="2:27" ht="17.25" hidden="1" customHeight="1">
      <c r="B219" s="278"/>
      <c r="C219" s="1128"/>
      <c r="D219" s="1130"/>
      <c r="E219" s="1129"/>
      <c r="F219" s="17"/>
      <c r="I219" s="1124">
        <f t="shared" ca="1" si="32"/>
        <v>0</v>
      </c>
      <c r="J219" s="1124">
        <f t="shared" ca="1" si="32"/>
        <v>0</v>
      </c>
      <c r="K219" s="1124">
        <f t="shared" ca="1" si="32"/>
        <v>0</v>
      </c>
      <c r="L219" s="1124">
        <f t="shared" ca="1" si="32"/>
        <v>0</v>
      </c>
      <c r="M219" s="32"/>
      <c r="N219" s="1124">
        <f t="shared" ca="1" si="33"/>
        <v>0</v>
      </c>
      <c r="O219" s="1124">
        <f t="shared" ca="1" si="33"/>
        <v>0</v>
      </c>
      <c r="P219" s="32"/>
      <c r="Q219" s="1124">
        <f t="shared" ca="1" si="34"/>
        <v>0</v>
      </c>
      <c r="R219" s="1124">
        <f t="shared" ca="1" si="34"/>
        <v>0</v>
      </c>
      <c r="S219" s="143"/>
      <c r="U219" s="436"/>
      <c r="V219" s="1115"/>
      <c r="Y219" s="1122" t="b">
        <f t="shared" si="37"/>
        <v>1</v>
      </c>
      <c r="Z219" s="1122" t="b">
        <f t="shared" si="35"/>
        <v>0</v>
      </c>
      <c r="AA219" s="1122" t="str">
        <f t="shared" si="36"/>
        <v/>
      </c>
    </row>
    <row r="220" spans="2:27" ht="17.25" hidden="1" customHeight="1">
      <c r="B220" s="278"/>
      <c r="C220" s="1128"/>
      <c r="D220" s="1130"/>
      <c r="E220" s="1129"/>
      <c r="F220" s="17"/>
      <c r="I220" s="1124">
        <f t="shared" ca="1" si="32"/>
        <v>0</v>
      </c>
      <c r="J220" s="1124">
        <f t="shared" ca="1" si="32"/>
        <v>0</v>
      </c>
      <c r="K220" s="1124">
        <f t="shared" ca="1" si="32"/>
        <v>0</v>
      </c>
      <c r="L220" s="1124">
        <f t="shared" ca="1" si="32"/>
        <v>0</v>
      </c>
      <c r="M220" s="32"/>
      <c r="N220" s="1124">
        <f t="shared" ca="1" si="33"/>
        <v>0</v>
      </c>
      <c r="O220" s="1124">
        <f t="shared" ca="1" si="33"/>
        <v>0</v>
      </c>
      <c r="P220" s="32"/>
      <c r="Q220" s="1124">
        <f t="shared" ca="1" si="34"/>
        <v>0</v>
      </c>
      <c r="R220" s="1124">
        <f t="shared" ca="1" si="34"/>
        <v>0</v>
      </c>
      <c r="S220" s="143"/>
      <c r="U220" s="436"/>
      <c r="V220" s="1115"/>
      <c r="Y220" s="1122" t="b">
        <f t="shared" si="37"/>
        <v>1</v>
      </c>
      <c r="Z220" s="1122" t="b">
        <f t="shared" si="35"/>
        <v>0</v>
      </c>
      <c r="AA220" s="1122" t="str">
        <f t="shared" si="36"/>
        <v/>
      </c>
    </row>
    <row r="221" spans="2:27" ht="17.25" hidden="1" customHeight="1">
      <c r="B221" s="278"/>
      <c r="C221" s="1128"/>
      <c r="D221" s="1130"/>
      <c r="E221" s="1129"/>
      <c r="F221" s="17"/>
      <c r="I221" s="1124">
        <f t="shared" ca="1" si="32"/>
        <v>0</v>
      </c>
      <c r="J221" s="1124">
        <f t="shared" ca="1" si="32"/>
        <v>0</v>
      </c>
      <c r="K221" s="1124">
        <f t="shared" ca="1" si="32"/>
        <v>0</v>
      </c>
      <c r="L221" s="1124">
        <f t="shared" ca="1" si="32"/>
        <v>0</v>
      </c>
      <c r="M221" s="32"/>
      <c r="N221" s="1124">
        <f t="shared" ca="1" si="33"/>
        <v>0</v>
      </c>
      <c r="O221" s="1124">
        <f t="shared" ca="1" si="33"/>
        <v>0</v>
      </c>
      <c r="P221" s="32"/>
      <c r="Q221" s="1124">
        <f t="shared" ca="1" si="34"/>
        <v>0</v>
      </c>
      <c r="R221" s="1124">
        <f t="shared" ca="1" si="34"/>
        <v>0</v>
      </c>
      <c r="S221" s="143"/>
      <c r="U221" s="436"/>
      <c r="V221" s="1115"/>
      <c r="Y221" s="1122" t="b">
        <f t="shared" si="37"/>
        <v>1</v>
      </c>
      <c r="Z221" s="1122" t="b">
        <f t="shared" si="35"/>
        <v>0</v>
      </c>
      <c r="AA221" s="1122" t="str">
        <f t="shared" si="36"/>
        <v/>
      </c>
    </row>
    <row r="222" spans="2:27" ht="17.25" hidden="1" customHeight="1">
      <c r="B222" s="278"/>
      <c r="C222" s="1128"/>
      <c r="D222" s="1130"/>
      <c r="E222" s="1129"/>
      <c r="F222" s="17"/>
      <c r="I222" s="1124">
        <f t="shared" ca="1" si="32"/>
        <v>0</v>
      </c>
      <c r="J222" s="1124">
        <f t="shared" ca="1" si="32"/>
        <v>0</v>
      </c>
      <c r="K222" s="1124">
        <f t="shared" ca="1" si="32"/>
        <v>0</v>
      </c>
      <c r="L222" s="1124">
        <f t="shared" ca="1" si="32"/>
        <v>0</v>
      </c>
      <c r="M222" s="32"/>
      <c r="N222" s="1124">
        <f t="shared" ca="1" si="33"/>
        <v>0</v>
      </c>
      <c r="O222" s="1124">
        <f t="shared" ca="1" si="33"/>
        <v>0</v>
      </c>
      <c r="P222" s="32"/>
      <c r="Q222" s="1124">
        <f t="shared" ca="1" si="34"/>
        <v>0</v>
      </c>
      <c r="R222" s="1124">
        <f t="shared" ca="1" si="34"/>
        <v>0</v>
      </c>
      <c r="S222" s="143"/>
      <c r="U222" s="436"/>
      <c r="V222" s="1115"/>
      <c r="Y222" s="1122" t="b">
        <f t="shared" si="37"/>
        <v>1</v>
      </c>
      <c r="Z222" s="1122" t="b">
        <f t="shared" si="35"/>
        <v>0</v>
      </c>
      <c r="AA222" s="1122" t="str">
        <f t="shared" si="36"/>
        <v/>
      </c>
    </row>
    <row r="223" spans="2:27" ht="17.25" hidden="1" customHeight="1">
      <c r="B223" s="278"/>
      <c r="C223" s="1128"/>
      <c r="D223" s="1130"/>
      <c r="E223" s="1129"/>
      <c r="F223" s="17"/>
      <c r="I223" s="1124">
        <f t="shared" ca="1" si="32"/>
        <v>0</v>
      </c>
      <c r="J223" s="1124">
        <f t="shared" ca="1" si="32"/>
        <v>0</v>
      </c>
      <c r="K223" s="1124">
        <f t="shared" ca="1" si="32"/>
        <v>0</v>
      </c>
      <c r="L223" s="1124">
        <f t="shared" ca="1" si="32"/>
        <v>0</v>
      </c>
      <c r="M223" s="32"/>
      <c r="N223" s="1124">
        <f t="shared" ca="1" si="33"/>
        <v>0</v>
      </c>
      <c r="O223" s="1124">
        <f t="shared" ca="1" si="33"/>
        <v>0</v>
      </c>
      <c r="P223" s="32"/>
      <c r="Q223" s="1124">
        <f t="shared" ca="1" si="34"/>
        <v>0</v>
      </c>
      <c r="R223" s="1124">
        <f t="shared" ca="1" si="34"/>
        <v>0</v>
      </c>
      <c r="S223" s="143"/>
      <c r="U223" s="436"/>
      <c r="V223" s="1115"/>
      <c r="Y223" s="1122" t="b">
        <f t="shared" si="37"/>
        <v>1</v>
      </c>
      <c r="Z223" s="1122" t="b">
        <f t="shared" si="35"/>
        <v>0</v>
      </c>
      <c r="AA223" s="1122" t="str">
        <f t="shared" si="36"/>
        <v/>
      </c>
    </row>
    <row r="224" spans="2:27" ht="17.25" hidden="1" customHeight="1">
      <c r="B224" s="278"/>
      <c r="C224" s="1128"/>
      <c r="D224" s="1130"/>
      <c r="E224" s="1129"/>
      <c r="F224" s="17"/>
      <c r="I224" s="1124">
        <f t="shared" ca="1" si="32"/>
        <v>0</v>
      </c>
      <c r="J224" s="1124">
        <f t="shared" ca="1" si="32"/>
        <v>0</v>
      </c>
      <c r="K224" s="1124">
        <f t="shared" ca="1" si="32"/>
        <v>0</v>
      </c>
      <c r="L224" s="1124">
        <f t="shared" ca="1" si="32"/>
        <v>0</v>
      </c>
      <c r="M224" s="32"/>
      <c r="N224" s="1124">
        <f t="shared" ca="1" si="33"/>
        <v>0</v>
      </c>
      <c r="O224" s="1124">
        <f t="shared" ca="1" si="33"/>
        <v>0</v>
      </c>
      <c r="P224" s="32"/>
      <c r="Q224" s="1124">
        <f t="shared" ca="1" si="34"/>
        <v>0</v>
      </c>
      <c r="R224" s="1124">
        <f t="shared" ca="1" si="34"/>
        <v>0</v>
      </c>
      <c r="S224" s="143"/>
      <c r="U224" s="436"/>
      <c r="V224" s="1115"/>
      <c r="Y224" s="1122" t="b">
        <f t="shared" si="37"/>
        <v>1</v>
      </c>
      <c r="Z224" s="1122" t="b">
        <f t="shared" si="35"/>
        <v>0</v>
      </c>
      <c r="AA224" s="1122" t="str">
        <f t="shared" si="36"/>
        <v/>
      </c>
    </row>
    <row r="225" spans="2:27" ht="17.25" hidden="1" customHeight="1">
      <c r="B225" s="278"/>
      <c r="C225" s="1128"/>
      <c r="D225" s="1130"/>
      <c r="E225" s="1129"/>
      <c r="F225" s="17"/>
      <c r="I225" s="1124">
        <f t="shared" ca="1" si="32"/>
        <v>0</v>
      </c>
      <c r="J225" s="1124">
        <f t="shared" ca="1" si="32"/>
        <v>0</v>
      </c>
      <c r="K225" s="1124">
        <f t="shared" ca="1" si="32"/>
        <v>0</v>
      </c>
      <c r="L225" s="1124">
        <f t="shared" ca="1" si="32"/>
        <v>0</v>
      </c>
      <c r="M225" s="32"/>
      <c r="N225" s="1124">
        <f t="shared" ca="1" si="33"/>
        <v>0</v>
      </c>
      <c r="O225" s="1124">
        <f t="shared" ca="1" si="33"/>
        <v>0</v>
      </c>
      <c r="P225" s="32"/>
      <c r="Q225" s="1124">
        <f t="shared" ca="1" si="34"/>
        <v>0</v>
      </c>
      <c r="R225" s="1124">
        <f t="shared" ca="1" si="34"/>
        <v>0</v>
      </c>
      <c r="S225" s="143"/>
      <c r="U225" s="436"/>
      <c r="V225" s="1115"/>
      <c r="Y225" s="1122" t="b">
        <f t="shared" si="37"/>
        <v>1</v>
      </c>
      <c r="Z225" s="1122" t="b">
        <f t="shared" si="35"/>
        <v>0</v>
      </c>
      <c r="AA225" s="1122" t="str">
        <f t="shared" si="36"/>
        <v/>
      </c>
    </row>
    <row r="226" spans="2:27" ht="17.25" hidden="1" customHeight="1">
      <c r="B226" s="278"/>
      <c r="C226" s="1128"/>
      <c r="D226" s="1130"/>
      <c r="E226" s="1129"/>
      <c r="F226" s="17"/>
      <c r="I226" s="1124">
        <f t="shared" ca="1" si="32"/>
        <v>0</v>
      </c>
      <c r="J226" s="1124">
        <f t="shared" ca="1" si="32"/>
        <v>0</v>
      </c>
      <c r="K226" s="1124">
        <f t="shared" ca="1" si="32"/>
        <v>0</v>
      </c>
      <c r="L226" s="1124">
        <f t="shared" ca="1" si="32"/>
        <v>0</v>
      </c>
      <c r="M226" s="32"/>
      <c r="N226" s="1124">
        <f t="shared" ca="1" si="33"/>
        <v>0</v>
      </c>
      <c r="O226" s="1124">
        <f t="shared" ca="1" si="33"/>
        <v>0</v>
      </c>
      <c r="P226" s="32"/>
      <c r="Q226" s="1124">
        <f t="shared" ca="1" si="34"/>
        <v>0</v>
      </c>
      <c r="R226" s="1124">
        <f t="shared" ca="1" si="34"/>
        <v>0</v>
      </c>
      <c r="S226" s="143"/>
      <c r="U226" s="436"/>
      <c r="V226" s="1115"/>
      <c r="Y226" s="1122" t="b">
        <f t="shared" si="37"/>
        <v>1</v>
      </c>
      <c r="Z226" s="1122" t="b">
        <f t="shared" si="35"/>
        <v>0</v>
      </c>
      <c r="AA226" s="1122" t="str">
        <f t="shared" si="36"/>
        <v/>
      </c>
    </row>
    <row r="227" spans="2:27" ht="17.25" hidden="1" customHeight="1">
      <c r="B227" s="278"/>
      <c r="C227" s="1128"/>
      <c r="D227" s="1130"/>
      <c r="E227" s="1129"/>
      <c r="F227" s="17"/>
      <c r="I227" s="1124">
        <f t="shared" ref="I227:L236" ca="1" si="38">IFERROR(SUMIF(OFFSET(INDIRECT("HNSW_Summary!$A:$A"),0,MATCH("SumCriteria",INDIRECT("HNSW_Summary!$1:$1"),0)-1),$C227&amp;"_"&amp;$J$283,OFFSET(INDIRECT("HNSW_Summary!$A:$A"),0,MATCH(I$83,INDIRECT("HNSW_Summary!$1:$1"),0)-1)),0)</f>
        <v>0</v>
      </c>
      <c r="J227" s="1124">
        <f t="shared" ca="1" si="38"/>
        <v>0</v>
      </c>
      <c r="K227" s="1124">
        <f t="shared" ca="1" si="38"/>
        <v>0</v>
      </c>
      <c r="L227" s="1124">
        <f t="shared" ca="1" si="38"/>
        <v>0</v>
      </c>
      <c r="M227" s="32"/>
      <c r="N227" s="1124">
        <f t="shared" ref="N227:O236" ca="1" si="39">IFERROR(SUMIFS(OFFSET(INDIRECT("HNSW_Summary!$A:$A"),0,MATCH(N$83,INDIRECT("HNSW_Summary!$1:$1"),0)-1),  INDIRECT("HNSW_Summary!$A:$A"),$C227,  INDIRECT("HNSW_Summary!$B:$B"),"*K04*",  OFFSET(INDIRECT("HNSW_Summary!$A:$A"),0,MATCH("Outstanding",INDIRECT("HNSW_Summary!$1:$1"),0)-1),FALSE),0)</f>
        <v>0</v>
      </c>
      <c r="O227" s="1124">
        <f t="shared" ca="1" si="39"/>
        <v>0</v>
      </c>
      <c r="P227" s="32"/>
      <c r="Q227" s="1124">
        <f t="shared" ref="Q227:R236" ca="1" si="40">IFERROR(SUMIFS(OFFSET(INDIRECT("HNSW_Summary!$A:$A"),0,MATCH(Q$83,INDIRECT("HNSW_Summary!$1:$1"),0)-1),  INDIRECT("HNSW_Summary!$A:$A"),$C227,  INDIRECT("HNSW_Summary!$B:$B"),"*K04*",  OFFSET(INDIRECT("HNSW_Summary!$A:$A"),0,MATCH("Outstanding",INDIRECT("HNSW_Summary!$1:$1"),0)-1),TRUE),0)</f>
        <v>0</v>
      </c>
      <c r="R227" s="1124">
        <f t="shared" ca="1" si="40"/>
        <v>0</v>
      </c>
      <c r="S227" s="143"/>
      <c r="U227" s="436"/>
      <c r="V227" s="1115"/>
      <c r="Y227" s="1122" t="b">
        <f t="shared" si="37"/>
        <v>1</v>
      </c>
      <c r="Z227" s="1122" t="b">
        <f t="shared" si="35"/>
        <v>0</v>
      </c>
      <c r="AA227" s="1122" t="str">
        <f t="shared" si="36"/>
        <v/>
      </c>
    </row>
    <row r="228" spans="2:27" ht="17.25" hidden="1" customHeight="1">
      <c r="B228" s="278"/>
      <c r="C228" s="1128"/>
      <c r="D228" s="1130"/>
      <c r="E228" s="1129"/>
      <c r="F228" s="17"/>
      <c r="I228" s="1124">
        <f t="shared" ca="1" si="38"/>
        <v>0</v>
      </c>
      <c r="J228" s="1124">
        <f t="shared" ca="1" si="38"/>
        <v>0</v>
      </c>
      <c r="K228" s="1124">
        <f t="shared" ca="1" si="38"/>
        <v>0</v>
      </c>
      <c r="L228" s="1124">
        <f t="shared" ca="1" si="38"/>
        <v>0</v>
      </c>
      <c r="M228" s="32"/>
      <c r="N228" s="1124">
        <f t="shared" ca="1" si="39"/>
        <v>0</v>
      </c>
      <c r="O228" s="1124">
        <f t="shared" ca="1" si="39"/>
        <v>0</v>
      </c>
      <c r="P228" s="32"/>
      <c r="Q228" s="1124">
        <f t="shared" ca="1" si="40"/>
        <v>0</v>
      </c>
      <c r="R228" s="1124">
        <f t="shared" ca="1" si="40"/>
        <v>0</v>
      </c>
      <c r="S228" s="143"/>
      <c r="U228" s="1108"/>
      <c r="V228" s="1107"/>
      <c r="Y228" s="1122" t="b">
        <f t="shared" si="37"/>
        <v>1</v>
      </c>
      <c r="Z228" s="1122" t="b">
        <f t="shared" si="35"/>
        <v>0</v>
      </c>
      <c r="AA228" s="1122" t="str">
        <f t="shared" si="36"/>
        <v/>
      </c>
    </row>
    <row r="229" spans="2:27" ht="17.25" hidden="1" customHeight="1">
      <c r="B229" s="278"/>
      <c r="C229" s="1128"/>
      <c r="D229" s="1130"/>
      <c r="E229" s="1129"/>
      <c r="F229" s="17"/>
      <c r="I229" s="1124">
        <f t="shared" ca="1" si="38"/>
        <v>0</v>
      </c>
      <c r="J229" s="1124">
        <f t="shared" ca="1" si="38"/>
        <v>0</v>
      </c>
      <c r="K229" s="1124">
        <f t="shared" ca="1" si="38"/>
        <v>0</v>
      </c>
      <c r="L229" s="1124">
        <f t="shared" ca="1" si="38"/>
        <v>0</v>
      </c>
      <c r="M229" s="32"/>
      <c r="N229" s="1124">
        <f t="shared" ca="1" si="39"/>
        <v>0</v>
      </c>
      <c r="O229" s="1124">
        <f t="shared" ca="1" si="39"/>
        <v>0</v>
      </c>
      <c r="P229" s="32"/>
      <c r="Q229" s="1124">
        <f t="shared" ca="1" si="40"/>
        <v>0</v>
      </c>
      <c r="R229" s="1124">
        <f t="shared" ca="1" si="40"/>
        <v>0</v>
      </c>
      <c r="S229" s="143"/>
      <c r="U229" s="1108"/>
      <c r="V229" s="1107"/>
      <c r="Y229" s="1122" t="b">
        <f t="shared" si="37"/>
        <v>1</v>
      </c>
      <c r="Z229" s="1122" t="b">
        <f t="shared" si="35"/>
        <v>0</v>
      </c>
      <c r="AA229" s="1122" t="str">
        <f t="shared" si="36"/>
        <v/>
      </c>
    </row>
    <row r="230" spans="2:27" ht="17.25" hidden="1" customHeight="1">
      <c r="B230" s="278"/>
      <c r="C230" s="1128"/>
      <c r="D230" s="1130"/>
      <c r="E230" s="1129"/>
      <c r="F230" s="17"/>
      <c r="I230" s="1124">
        <f t="shared" ca="1" si="38"/>
        <v>0</v>
      </c>
      <c r="J230" s="1124">
        <f t="shared" ca="1" si="38"/>
        <v>0</v>
      </c>
      <c r="K230" s="1124">
        <f t="shared" ca="1" si="38"/>
        <v>0</v>
      </c>
      <c r="L230" s="1124">
        <f t="shared" ca="1" si="38"/>
        <v>0</v>
      </c>
      <c r="M230" s="32"/>
      <c r="N230" s="1124">
        <f t="shared" ca="1" si="39"/>
        <v>0</v>
      </c>
      <c r="O230" s="1124">
        <f t="shared" ca="1" si="39"/>
        <v>0</v>
      </c>
      <c r="P230" s="32"/>
      <c r="Q230" s="1124">
        <f t="shared" ca="1" si="40"/>
        <v>0</v>
      </c>
      <c r="R230" s="1124">
        <f t="shared" ca="1" si="40"/>
        <v>0</v>
      </c>
      <c r="S230" s="143"/>
      <c r="U230" s="1108"/>
      <c r="V230" s="1107"/>
      <c r="Y230" s="1122" t="b">
        <f t="shared" si="37"/>
        <v>1</v>
      </c>
      <c r="Z230" s="1122" t="b">
        <f t="shared" si="35"/>
        <v>0</v>
      </c>
      <c r="AA230" s="1122" t="str">
        <f t="shared" si="36"/>
        <v/>
      </c>
    </row>
    <row r="231" spans="2:27" ht="17.25" hidden="1" customHeight="1">
      <c r="B231" s="278"/>
      <c r="C231" s="1128"/>
      <c r="D231" s="1130"/>
      <c r="E231" s="1129"/>
      <c r="F231" s="17"/>
      <c r="I231" s="1124">
        <f t="shared" ca="1" si="38"/>
        <v>0</v>
      </c>
      <c r="J231" s="1124">
        <f t="shared" ca="1" si="38"/>
        <v>0</v>
      </c>
      <c r="K231" s="1124">
        <f t="shared" ca="1" si="38"/>
        <v>0</v>
      </c>
      <c r="L231" s="1124">
        <f t="shared" ca="1" si="38"/>
        <v>0</v>
      </c>
      <c r="M231" s="32"/>
      <c r="N231" s="1124">
        <f t="shared" ca="1" si="39"/>
        <v>0</v>
      </c>
      <c r="O231" s="1124">
        <f t="shared" ca="1" si="39"/>
        <v>0</v>
      </c>
      <c r="P231" s="32"/>
      <c r="Q231" s="1124">
        <f t="shared" ca="1" si="40"/>
        <v>0</v>
      </c>
      <c r="R231" s="1124">
        <f t="shared" ca="1" si="40"/>
        <v>0</v>
      </c>
      <c r="S231" s="143"/>
      <c r="U231" s="1108"/>
      <c r="V231" s="1107"/>
      <c r="Y231" s="1122" t="b">
        <f t="shared" si="37"/>
        <v>1</v>
      </c>
      <c r="Z231" s="1122" t="b">
        <f t="shared" si="35"/>
        <v>0</v>
      </c>
      <c r="AA231" s="1122" t="str">
        <f t="shared" si="36"/>
        <v/>
      </c>
    </row>
    <row r="232" spans="2:27" ht="17.25" hidden="1" customHeight="1">
      <c r="B232" s="278"/>
      <c r="C232" s="1128"/>
      <c r="D232" s="1130"/>
      <c r="E232" s="1129"/>
      <c r="F232" s="17"/>
      <c r="I232" s="1124">
        <f t="shared" ca="1" si="38"/>
        <v>0</v>
      </c>
      <c r="J232" s="1124">
        <f t="shared" ca="1" si="38"/>
        <v>0</v>
      </c>
      <c r="K232" s="1124">
        <f t="shared" ca="1" si="38"/>
        <v>0</v>
      </c>
      <c r="L232" s="1124">
        <f t="shared" ca="1" si="38"/>
        <v>0</v>
      </c>
      <c r="M232" s="32"/>
      <c r="N232" s="1124">
        <f t="shared" ca="1" si="39"/>
        <v>0</v>
      </c>
      <c r="O232" s="1124">
        <f t="shared" ca="1" si="39"/>
        <v>0</v>
      </c>
      <c r="P232" s="32"/>
      <c r="Q232" s="1124">
        <f t="shared" ca="1" si="40"/>
        <v>0</v>
      </c>
      <c r="R232" s="1124">
        <f t="shared" ca="1" si="40"/>
        <v>0</v>
      </c>
      <c r="S232" s="143"/>
      <c r="U232" s="1108"/>
      <c r="V232" s="1107"/>
      <c r="Y232" s="1122" t="b">
        <f t="shared" si="37"/>
        <v>1</v>
      </c>
      <c r="Z232" s="1122" t="b">
        <f t="shared" si="35"/>
        <v>0</v>
      </c>
      <c r="AA232" s="1122" t="str">
        <f t="shared" si="36"/>
        <v/>
      </c>
    </row>
    <row r="233" spans="2:27" ht="17.25" hidden="1" customHeight="1">
      <c r="B233" s="278"/>
      <c r="C233" s="1128"/>
      <c r="D233" s="1127"/>
      <c r="E233" s="1126"/>
      <c r="F233" s="17"/>
      <c r="I233" s="1124">
        <f t="shared" ca="1" si="38"/>
        <v>0</v>
      </c>
      <c r="J233" s="1124">
        <f t="shared" ca="1" si="38"/>
        <v>0</v>
      </c>
      <c r="K233" s="1124">
        <f t="shared" ca="1" si="38"/>
        <v>0</v>
      </c>
      <c r="L233" s="1124">
        <f t="shared" ca="1" si="38"/>
        <v>0</v>
      </c>
      <c r="M233" s="32"/>
      <c r="N233" s="1124">
        <f t="shared" ca="1" si="39"/>
        <v>0</v>
      </c>
      <c r="O233" s="1124">
        <f t="shared" ca="1" si="39"/>
        <v>0</v>
      </c>
      <c r="P233" s="32"/>
      <c r="Q233" s="1124">
        <f t="shared" ca="1" si="40"/>
        <v>0</v>
      </c>
      <c r="R233" s="1124">
        <f t="shared" ca="1" si="40"/>
        <v>0</v>
      </c>
      <c r="S233" s="143"/>
      <c r="U233" s="1108"/>
      <c r="V233" s="1107"/>
      <c r="Y233" s="1122" t="b">
        <f t="shared" si="37"/>
        <v>1</v>
      </c>
      <c r="Z233" s="1122" t="b">
        <f t="shared" si="35"/>
        <v>0</v>
      </c>
      <c r="AA233" s="1122" t="str">
        <f t="shared" si="36"/>
        <v/>
      </c>
    </row>
    <row r="234" spans="2:27" ht="17.25" hidden="1" customHeight="1">
      <c r="B234" s="278"/>
      <c r="C234" s="1128"/>
      <c r="D234" s="1127"/>
      <c r="E234" s="1126"/>
      <c r="F234" s="17"/>
      <c r="I234" s="1124">
        <f t="shared" ca="1" si="38"/>
        <v>0</v>
      </c>
      <c r="J234" s="1124">
        <f t="shared" ca="1" si="38"/>
        <v>0</v>
      </c>
      <c r="K234" s="1124">
        <f t="shared" ca="1" si="38"/>
        <v>0</v>
      </c>
      <c r="L234" s="1124">
        <f t="shared" ca="1" si="38"/>
        <v>0</v>
      </c>
      <c r="M234" s="32"/>
      <c r="N234" s="1124">
        <f t="shared" ca="1" si="39"/>
        <v>0</v>
      </c>
      <c r="O234" s="1124">
        <f t="shared" ca="1" si="39"/>
        <v>0</v>
      </c>
      <c r="P234" s="32"/>
      <c r="Q234" s="1124">
        <f t="shared" ca="1" si="40"/>
        <v>0</v>
      </c>
      <c r="R234" s="1124">
        <f t="shared" ca="1" si="40"/>
        <v>0</v>
      </c>
      <c r="S234" s="143"/>
      <c r="U234" s="1108"/>
      <c r="V234" s="1107"/>
      <c r="Y234" s="1122" t="b">
        <f t="shared" si="37"/>
        <v>1</v>
      </c>
      <c r="Z234" s="1122" t="b">
        <f t="shared" si="35"/>
        <v>0</v>
      </c>
      <c r="AA234" s="1122" t="str">
        <f t="shared" si="36"/>
        <v/>
      </c>
    </row>
    <row r="235" spans="2:27" ht="17.25" hidden="1" customHeight="1">
      <c r="B235" s="278"/>
      <c r="C235" s="1128"/>
      <c r="D235" s="1127"/>
      <c r="E235" s="1126"/>
      <c r="F235" s="17"/>
      <c r="I235" s="1124">
        <f t="shared" ca="1" si="38"/>
        <v>0</v>
      </c>
      <c r="J235" s="1124">
        <f t="shared" ca="1" si="38"/>
        <v>0</v>
      </c>
      <c r="K235" s="1124">
        <f t="shared" ca="1" si="38"/>
        <v>0</v>
      </c>
      <c r="L235" s="1124">
        <f t="shared" ca="1" si="38"/>
        <v>0</v>
      </c>
      <c r="M235" s="32"/>
      <c r="N235" s="1124">
        <f t="shared" ca="1" si="39"/>
        <v>0</v>
      </c>
      <c r="O235" s="1124">
        <f t="shared" ca="1" si="39"/>
        <v>0</v>
      </c>
      <c r="P235" s="32"/>
      <c r="Q235" s="1124">
        <f t="shared" ca="1" si="40"/>
        <v>0</v>
      </c>
      <c r="R235" s="1124">
        <f t="shared" ca="1" si="40"/>
        <v>0</v>
      </c>
      <c r="S235" s="143"/>
      <c r="U235" s="1108"/>
      <c r="V235" s="1107"/>
      <c r="Y235" s="1122" t="b">
        <f t="shared" si="37"/>
        <v>1</v>
      </c>
      <c r="Z235" s="1122" t="b">
        <f t="shared" si="35"/>
        <v>0</v>
      </c>
      <c r="AA235" s="1122" t="str">
        <f t="shared" si="36"/>
        <v/>
      </c>
    </row>
    <row r="236" spans="2:27" ht="17.25" hidden="1" customHeight="1">
      <c r="B236" s="278"/>
      <c r="C236" s="1128"/>
      <c r="D236" s="1127"/>
      <c r="E236" s="1126"/>
      <c r="F236" s="17"/>
      <c r="I236" s="1124">
        <f t="shared" ca="1" si="38"/>
        <v>0</v>
      </c>
      <c r="J236" s="1124">
        <f t="shared" ca="1" si="38"/>
        <v>0</v>
      </c>
      <c r="K236" s="1124">
        <f t="shared" ca="1" si="38"/>
        <v>0</v>
      </c>
      <c r="L236" s="1124">
        <f t="shared" ca="1" si="38"/>
        <v>0</v>
      </c>
      <c r="M236" s="32"/>
      <c r="N236" s="1124">
        <f t="shared" ca="1" si="39"/>
        <v>0</v>
      </c>
      <c r="O236" s="1124">
        <f t="shared" ca="1" si="39"/>
        <v>0</v>
      </c>
      <c r="P236" s="32"/>
      <c r="Q236" s="1124">
        <f t="shared" ca="1" si="40"/>
        <v>0</v>
      </c>
      <c r="R236" s="1124">
        <f t="shared" ca="1" si="40"/>
        <v>0</v>
      </c>
      <c r="S236" s="143"/>
      <c r="U236" s="1108"/>
      <c r="V236" s="1107"/>
      <c r="Y236" s="1122" t="b">
        <f t="shared" si="37"/>
        <v>1</v>
      </c>
      <c r="Z236" s="1122" t="b">
        <f t="shared" si="35"/>
        <v>0</v>
      </c>
      <c r="AA236" s="1122" t="str">
        <f t="shared" si="36"/>
        <v/>
      </c>
    </row>
    <row r="237" spans="2:27" ht="7.5" customHeight="1">
      <c r="B237" s="278"/>
      <c r="D237" s="32"/>
      <c r="E237" s="32"/>
      <c r="F237" s="32"/>
      <c r="I237" s="32"/>
      <c r="J237" s="32"/>
      <c r="K237" s="32"/>
      <c r="L237" s="32"/>
      <c r="M237" s="32"/>
      <c r="N237" s="32"/>
      <c r="O237" s="32"/>
      <c r="P237" s="32"/>
      <c r="Q237" s="32"/>
      <c r="R237" s="32"/>
      <c r="S237" s="143"/>
      <c r="U237" s="1125"/>
      <c r="V237" s="65"/>
      <c r="Y237" s="1122" t="b">
        <f t="shared" ref="Y237:Y247" si="41">IF(Dividends_SelectedMethod="Manual",FALSE,TRUE)</f>
        <v>0</v>
      </c>
    </row>
    <row r="238" spans="2:27" ht="17.25" customHeight="1">
      <c r="B238" s="278"/>
      <c r="C238" s="1441"/>
      <c r="D238" s="1471"/>
      <c r="E238" s="1472"/>
      <c r="F238" s="17"/>
      <c r="I238" s="1123"/>
      <c r="J238" s="1123"/>
      <c r="K238" s="1124">
        <f t="shared" ref="K238:K247" si="42">SUM(I238:J238)</f>
        <v>0</v>
      </c>
      <c r="L238" s="1124">
        <f t="shared" ref="L238:L247" si="43">I238/(1-ImputationRate)*ImputationRate</f>
        <v>0</v>
      </c>
      <c r="M238" s="32"/>
      <c r="N238" s="1123"/>
      <c r="O238" s="1123"/>
      <c r="P238" s="32"/>
      <c r="Q238" s="1123"/>
      <c r="R238" s="1123"/>
      <c r="S238" s="143"/>
      <c r="U238" s="1108"/>
      <c r="V238" s="1107"/>
      <c r="Y238" s="1122" t="b">
        <f t="shared" si="41"/>
        <v>0</v>
      </c>
    </row>
    <row r="239" spans="2:27" ht="17.25" customHeight="1">
      <c r="B239" s="278"/>
      <c r="C239" s="1441"/>
      <c r="D239" s="1471"/>
      <c r="E239" s="1472"/>
      <c r="F239" s="17"/>
      <c r="I239" s="1123"/>
      <c r="J239" s="1123"/>
      <c r="K239" s="1124">
        <f t="shared" si="42"/>
        <v>0</v>
      </c>
      <c r="L239" s="1124">
        <f t="shared" si="43"/>
        <v>0</v>
      </c>
      <c r="M239" s="32"/>
      <c r="N239" s="1123"/>
      <c r="O239" s="1123"/>
      <c r="P239" s="32"/>
      <c r="Q239" s="1123"/>
      <c r="R239" s="1123"/>
      <c r="S239" s="143"/>
      <c r="U239" s="1108"/>
      <c r="V239" s="1107"/>
      <c r="Y239" s="1122" t="b">
        <f t="shared" si="41"/>
        <v>0</v>
      </c>
    </row>
    <row r="240" spans="2:27" ht="17.25" customHeight="1">
      <c r="B240" s="278"/>
      <c r="C240" s="1441"/>
      <c r="D240" s="1471"/>
      <c r="E240" s="1472"/>
      <c r="F240" s="17"/>
      <c r="I240" s="1123"/>
      <c r="J240" s="1123"/>
      <c r="K240" s="1124">
        <f t="shared" si="42"/>
        <v>0</v>
      </c>
      <c r="L240" s="1124">
        <f t="shared" si="43"/>
        <v>0</v>
      </c>
      <c r="M240" s="32"/>
      <c r="N240" s="1123"/>
      <c r="O240" s="1123"/>
      <c r="P240" s="32"/>
      <c r="Q240" s="1123"/>
      <c r="R240" s="1123"/>
      <c r="S240" s="143"/>
      <c r="U240" s="1108"/>
      <c r="V240" s="1107"/>
      <c r="Y240" s="1122" t="b">
        <f t="shared" si="41"/>
        <v>0</v>
      </c>
    </row>
    <row r="241" spans="2:25" ht="17.25" customHeight="1">
      <c r="B241" s="278"/>
      <c r="C241" s="1441"/>
      <c r="D241" s="1471"/>
      <c r="E241" s="1472"/>
      <c r="F241" s="17"/>
      <c r="I241" s="1123"/>
      <c r="J241" s="1123"/>
      <c r="K241" s="1124">
        <f t="shared" si="42"/>
        <v>0</v>
      </c>
      <c r="L241" s="1124">
        <f t="shared" si="43"/>
        <v>0</v>
      </c>
      <c r="M241" s="32"/>
      <c r="N241" s="1123"/>
      <c r="O241" s="1123"/>
      <c r="P241" s="32"/>
      <c r="Q241" s="1123"/>
      <c r="R241" s="1123"/>
      <c r="S241" s="143"/>
      <c r="U241" s="1108"/>
      <c r="V241" s="1107"/>
      <c r="Y241" s="1122" t="b">
        <f t="shared" si="41"/>
        <v>0</v>
      </c>
    </row>
    <row r="242" spans="2:25" ht="17.25" customHeight="1">
      <c r="B242" s="278"/>
      <c r="C242" s="1441"/>
      <c r="D242" s="1471"/>
      <c r="E242" s="1472"/>
      <c r="F242" s="17"/>
      <c r="I242" s="1123"/>
      <c r="J242" s="1123"/>
      <c r="K242" s="1124">
        <f t="shared" si="42"/>
        <v>0</v>
      </c>
      <c r="L242" s="1124">
        <f t="shared" si="43"/>
        <v>0</v>
      </c>
      <c r="M242" s="32"/>
      <c r="N242" s="1123"/>
      <c r="O242" s="1123"/>
      <c r="P242" s="32"/>
      <c r="Q242" s="1123"/>
      <c r="R242" s="1123"/>
      <c r="S242" s="143"/>
      <c r="U242" s="1108"/>
      <c r="V242" s="1107"/>
      <c r="Y242" s="1122" t="b">
        <f t="shared" si="41"/>
        <v>0</v>
      </c>
    </row>
    <row r="243" spans="2:25" ht="17.25" customHeight="1">
      <c r="B243" s="278"/>
      <c r="C243" s="1441"/>
      <c r="D243" s="1471"/>
      <c r="E243" s="1472"/>
      <c r="F243" s="17"/>
      <c r="I243" s="1123"/>
      <c r="J243" s="1123"/>
      <c r="K243" s="1124">
        <f t="shared" si="42"/>
        <v>0</v>
      </c>
      <c r="L243" s="1124">
        <f t="shared" si="43"/>
        <v>0</v>
      </c>
      <c r="M243" s="32"/>
      <c r="N243" s="1123"/>
      <c r="O243" s="1123"/>
      <c r="P243" s="32"/>
      <c r="Q243" s="1123"/>
      <c r="R243" s="1123"/>
      <c r="S243" s="143"/>
      <c r="U243" s="1108"/>
      <c r="V243" s="1107"/>
      <c r="Y243" s="1122" t="b">
        <f t="shared" si="41"/>
        <v>0</v>
      </c>
    </row>
    <row r="244" spans="2:25" ht="17.25" customHeight="1">
      <c r="B244" s="278"/>
      <c r="C244" s="1441"/>
      <c r="D244" s="1471"/>
      <c r="E244" s="1472"/>
      <c r="F244" s="17"/>
      <c r="I244" s="1123"/>
      <c r="J244" s="1123"/>
      <c r="K244" s="1124">
        <f t="shared" si="42"/>
        <v>0</v>
      </c>
      <c r="L244" s="1124">
        <f t="shared" si="43"/>
        <v>0</v>
      </c>
      <c r="M244" s="32"/>
      <c r="N244" s="1123"/>
      <c r="O244" s="1123"/>
      <c r="P244" s="32"/>
      <c r="Q244" s="1123"/>
      <c r="R244" s="1123"/>
      <c r="S244" s="143"/>
      <c r="U244" s="1108"/>
      <c r="V244" s="1107"/>
      <c r="Y244" s="1122" t="b">
        <f t="shared" si="41"/>
        <v>0</v>
      </c>
    </row>
    <row r="245" spans="2:25" ht="17.25" customHeight="1">
      <c r="B245" s="278"/>
      <c r="C245" s="1441"/>
      <c r="D245" s="1471"/>
      <c r="E245" s="1472"/>
      <c r="F245" s="17"/>
      <c r="I245" s="1123"/>
      <c r="J245" s="1123"/>
      <c r="K245" s="1124">
        <f t="shared" si="42"/>
        <v>0</v>
      </c>
      <c r="L245" s="1124">
        <f t="shared" si="43"/>
        <v>0</v>
      </c>
      <c r="M245" s="32"/>
      <c r="N245" s="1123"/>
      <c r="O245" s="1123"/>
      <c r="P245" s="32"/>
      <c r="Q245" s="1123"/>
      <c r="R245" s="1123"/>
      <c r="S245" s="143"/>
      <c r="U245" s="1108"/>
      <c r="V245" s="1107"/>
      <c r="Y245" s="1122" t="b">
        <f t="shared" si="41"/>
        <v>0</v>
      </c>
    </row>
    <row r="246" spans="2:25" ht="17.25" customHeight="1">
      <c r="B246" s="278"/>
      <c r="C246" s="1441"/>
      <c r="D246" s="1471"/>
      <c r="E246" s="1472"/>
      <c r="F246" s="17"/>
      <c r="I246" s="1123"/>
      <c r="J246" s="1123"/>
      <c r="K246" s="1124">
        <f t="shared" si="42"/>
        <v>0</v>
      </c>
      <c r="L246" s="1124">
        <f t="shared" si="43"/>
        <v>0</v>
      </c>
      <c r="M246" s="32"/>
      <c r="N246" s="1123"/>
      <c r="O246" s="1123"/>
      <c r="P246" s="32"/>
      <c r="Q246" s="1123"/>
      <c r="R246" s="1123"/>
      <c r="S246" s="143"/>
      <c r="U246" s="1108"/>
      <c r="V246" s="1107"/>
      <c r="Y246" s="1122" t="b">
        <f t="shared" si="41"/>
        <v>0</v>
      </c>
    </row>
    <row r="247" spans="2:25" ht="17.25" customHeight="1">
      <c r="B247" s="278"/>
      <c r="C247" s="1441"/>
      <c r="D247" s="1471"/>
      <c r="E247" s="1472"/>
      <c r="F247" s="17"/>
      <c r="I247" s="1123"/>
      <c r="J247" s="1123"/>
      <c r="K247" s="1124">
        <f t="shared" si="42"/>
        <v>0</v>
      </c>
      <c r="L247" s="1124">
        <f t="shared" si="43"/>
        <v>0</v>
      </c>
      <c r="M247" s="32"/>
      <c r="N247" s="1123"/>
      <c r="O247" s="1123"/>
      <c r="P247" s="32"/>
      <c r="Q247" s="1123"/>
      <c r="R247" s="1123"/>
      <c r="S247" s="143"/>
      <c r="U247" s="1108"/>
      <c r="V247" s="1107"/>
      <c r="Y247" s="1122" t="b">
        <f t="shared" si="41"/>
        <v>0</v>
      </c>
    </row>
    <row r="248" spans="2:25" ht="17.25" customHeight="1">
      <c r="B248" s="278"/>
      <c r="C248" s="1440"/>
      <c r="D248" s="1440"/>
      <c r="I248" s="1114">
        <f>IF(Dividends_SelectedMethod="Worksheet",SUM(I87:I236),SUM(I238:I247))</f>
        <v>0</v>
      </c>
      <c r="J248" s="1114">
        <f>IF(Dividends_SelectedMethod="Worksheet",SUM(J87:J236),SUM(J238:J247))</f>
        <v>0</v>
      </c>
      <c r="K248" s="1114">
        <f>IF(Dividends_SelectedMethod="Worksheet",SUM(K87:K236),SUM(K238:K247))</f>
        <v>0</v>
      </c>
      <c r="L248" s="1114">
        <f>IF(Dividends_SelectedMethod="Worksheet",SUM(L87:L236),SUM(L238:L247))</f>
        <v>0</v>
      </c>
      <c r="M248" s="32"/>
      <c r="N248" s="1114">
        <f>IF(Dividends_SelectedMethod="Worksheet",SUM(N87:N236),SUM(N238:N247))</f>
        <v>0</v>
      </c>
      <c r="O248" s="1114">
        <f>IF(Dividends_SelectedMethod="Worksheet",SUM(O87:O236),SUM(O238:O247))</f>
        <v>0</v>
      </c>
      <c r="P248" s="32"/>
      <c r="Q248" s="1114">
        <f>IF(Dividends_SelectedMethod="Worksheet",SUM(Q87:Q236),SUM(Q238:Q247))</f>
        <v>0</v>
      </c>
      <c r="R248" s="1114">
        <f>IF(Dividends_SelectedMethod="Worksheet",SUM(R87:R236),SUM(R238:R247))</f>
        <v>0</v>
      </c>
      <c r="S248" s="143"/>
      <c r="U248" s="1108"/>
      <c r="V248" s="1107"/>
    </row>
    <row r="249" spans="2:25" ht="17.25" customHeight="1">
      <c r="B249" s="278"/>
      <c r="I249" s="1114"/>
      <c r="J249" s="1114"/>
      <c r="L249" s="1114"/>
      <c r="M249" s="32"/>
      <c r="N249" s="1114"/>
      <c r="O249" s="1114"/>
      <c r="P249" s="32"/>
      <c r="Q249" s="1114"/>
      <c r="R249" s="1114"/>
      <c r="S249" s="143"/>
      <c r="U249" s="482"/>
      <c r="V249" s="482"/>
    </row>
    <row r="250" spans="2:25" ht="17.25" customHeight="1">
      <c r="B250" s="278"/>
      <c r="C250" s="1121" t="s">
        <v>1352</v>
      </c>
      <c r="D250" s="202"/>
      <c r="K250" s="1120">
        <f>K248</f>
        <v>0</v>
      </c>
      <c r="M250" s="1109"/>
      <c r="N250" s="1109"/>
      <c r="O250" s="1109"/>
      <c r="P250" s="32"/>
      <c r="Q250" s="1120">
        <f>Q248</f>
        <v>0</v>
      </c>
      <c r="R250" s="1109"/>
      <c r="S250" s="1116"/>
      <c r="U250" s="436"/>
      <c r="V250" s="1115"/>
    </row>
    <row r="251" spans="2:25" ht="17.25" customHeight="1">
      <c r="B251" s="278"/>
      <c r="C251" s="225" t="s">
        <v>356</v>
      </c>
      <c r="D251" s="202"/>
      <c r="K251" s="1119"/>
      <c r="L251" s="1109"/>
      <c r="M251" s="1109"/>
      <c r="N251" s="1109"/>
      <c r="O251" s="1109"/>
      <c r="P251" s="1109"/>
      <c r="Q251" s="1119"/>
      <c r="R251" s="1109"/>
      <c r="S251" s="1116"/>
      <c r="U251" s="436"/>
      <c r="V251" s="1115"/>
    </row>
    <row r="252" spans="2:25" ht="17.25" customHeight="1">
      <c r="B252" s="278"/>
      <c r="C252" s="225" t="s">
        <v>280</v>
      </c>
      <c r="D252" s="202"/>
      <c r="K252" s="1117">
        <f>K250-K251</f>
        <v>0</v>
      </c>
      <c r="L252" s="1118"/>
      <c r="M252" s="1109"/>
      <c r="N252" s="1109"/>
      <c r="O252" s="1109"/>
      <c r="P252" s="1109"/>
      <c r="Q252" s="1117">
        <f>Q250-Q251</f>
        <v>0</v>
      </c>
      <c r="R252" s="1109"/>
      <c r="S252" s="1116"/>
      <c r="U252" s="436"/>
      <c r="V252" s="1115"/>
    </row>
    <row r="253" spans="2:25" ht="7.5" customHeight="1">
      <c r="B253" s="278"/>
      <c r="C253" s="202"/>
      <c r="D253" s="202"/>
      <c r="I253" s="1114"/>
      <c r="J253" s="1114"/>
      <c r="K253" s="1112" t="str">
        <f>IF(K251="","Pending",IF(ABS(K252)&gt;Tm_Tolerance,"Out of Balance","Reconciled"))</f>
        <v>Pending</v>
      </c>
      <c r="L253" s="1113"/>
      <c r="M253" s="1113"/>
      <c r="N253" s="1109"/>
      <c r="O253" s="1109"/>
      <c r="P253" s="1109"/>
      <c r="Q253" s="1112" t="str">
        <f>IF(Q251="","Pending",IF(ABS(Q252)&gt;Tm_Tolerance,"Out of Balance","Reconciled"))</f>
        <v>Pending</v>
      </c>
      <c r="R253" s="1109"/>
      <c r="S253" s="143"/>
      <c r="U253" s="1111"/>
      <c r="V253" s="1111"/>
    </row>
    <row r="254" spans="2:25" ht="17.25" customHeight="1">
      <c r="B254" s="278"/>
      <c r="I254" s="1473" t="str">
        <f>IF(OR(K248="",K64=0),"",IF(K248 &gt; K64,"Dividends declared during the year exceed retained earnings",""))</f>
        <v/>
      </c>
      <c r="J254" s="1473"/>
      <c r="K254" s="1473"/>
      <c r="L254" s="1473"/>
      <c r="M254" s="1110"/>
      <c r="N254" s="1473" t="str">
        <f>IF(L248="","",IF(L248 &gt; L268,"Dividends declared during the year exceed the available franking credits",""))</f>
        <v/>
      </c>
      <c r="O254" s="1473"/>
      <c r="P254" s="1473"/>
      <c r="Q254" s="1473"/>
      <c r="R254" s="1473"/>
      <c r="S254" s="143"/>
      <c r="U254" s="1108"/>
      <c r="V254" s="1107"/>
    </row>
    <row r="255" spans="2:25" ht="7.5" customHeight="1">
      <c r="B255" s="276"/>
      <c r="C255" s="1106"/>
      <c r="D255" s="1106"/>
      <c r="E255" s="275"/>
      <c r="F255" s="275"/>
      <c r="G255" s="275"/>
      <c r="H255" s="275"/>
      <c r="I255" s="1105"/>
      <c r="J255" s="1105"/>
      <c r="K255" s="200"/>
      <c r="L255" s="200"/>
      <c r="M255" s="200"/>
      <c r="N255" s="200"/>
      <c r="O255" s="200"/>
      <c r="P255" s="200"/>
      <c r="Q255" s="200"/>
      <c r="R255" s="200"/>
      <c r="S255" s="1079"/>
      <c r="U255" s="441"/>
      <c r="V255" s="441"/>
    </row>
    <row r="256" spans="2:25" ht="22.5" customHeight="1"/>
    <row r="257" spans="1:37" ht="22.5" customHeight="1">
      <c r="A257" s="1104" t="str">
        <f>IF(SUBTOTAL(103,A258),"-","+")</f>
        <v>-</v>
      </c>
      <c r="B257" s="1466" t="s">
        <v>1351</v>
      </c>
      <c r="C257" s="1467"/>
      <c r="D257" s="1468"/>
    </row>
    <row r="258" spans="1:37" ht="7.5" customHeight="1">
      <c r="A258" s="65" t="s">
        <v>58</v>
      </c>
      <c r="B258" s="362"/>
      <c r="C258" s="165"/>
      <c r="D258" s="165"/>
      <c r="E258" s="165"/>
      <c r="F258" s="165"/>
      <c r="G258" s="165"/>
      <c r="H258" s="165"/>
      <c r="I258" s="165"/>
      <c r="J258" s="165"/>
      <c r="K258" s="165"/>
      <c r="L258" s="165"/>
      <c r="M258" s="520"/>
      <c r="N258" s="148"/>
    </row>
    <row r="259" spans="1:37" ht="17.25" customHeight="1">
      <c r="B259" s="278"/>
      <c r="C259" s="1461" t="s">
        <v>1350</v>
      </c>
      <c r="D259" s="1461"/>
      <c r="E259" s="1461"/>
      <c r="F259" s="1461"/>
      <c r="G259" s="1461"/>
      <c r="H259" s="1461"/>
      <c r="I259" s="1461"/>
      <c r="J259" s="1461"/>
      <c r="K259" s="1461"/>
      <c r="L259" s="1461"/>
      <c r="M259" s="1102"/>
      <c r="N259" s="1103"/>
      <c r="O259" s="633"/>
      <c r="P259" s="633"/>
      <c r="Q259" s="633"/>
      <c r="R259" s="633"/>
      <c r="T259" s="633"/>
      <c r="U259" s="633"/>
      <c r="V259" s="65"/>
      <c r="X259" s="1432"/>
      <c r="Y259" s="1432"/>
    </row>
    <row r="260" spans="1:37" ht="17.25" customHeight="1">
      <c r="B260" s="278"/>
      <c r="C260" s="1462" t="s">
        <v>1349</v>
      </c>
      <c r="D260" s="1462"/>
      <c r="E260" s="1462"/>
      <c r="F260" s="1462"/>
      <c r="G260" s="1462"/>
      <c r="H260" s="1462"/>
      <c r="I260" s="1462"/>
      <c r="J260" s="1462"/>
      <c r="K260" s="1462"/>
      <c r="L260" s="1462"/>
      <c r="M260" s="1102"/>
      <c r="N260" s="1101"/>
      <c r="O260" s="804"/>
      <c r="P260" s="804"/>
      <c r="Q260" s="804"/>
      <c r="R260" s="804"/>
      <c r="T260" s="633"/>
      <c r="U260" s="633"/>
      <c r="V260" s="65"/>
      <c r="X260" s="32"/>
      <c r="Y260" s="32"/>
    </row>
    <row r="261" spans="1:37" ht="7.5" customHeight="1">
      <c r="B261" s="278"/>
      <c r="M261" s="143"/>
      <c r="N261" s="148"/>
      <c r="U261" s="65"/>
      <c r="V261" s="65"/>
      <c r="X261" s="147"/>
      <c r="Y261" s="147"/>
    </row>
    <row r="262" spans="1:37" ht="17.25" customHeight="1">
      <c r="B262" s="278"/>
      <c r="C262" s="1100" t="s">
        <v>1348</v>
      </c>
      <c r="D262" s="115"/>
      <c r="E262" s="1099" t="s">
        <v>65</v>
      </c>
      <c r="F262" s="1096"/>
      <c r="G262" s="1096"/>
      <c r="H262" s="1096"/>
      <c r="I262" s="1096"/>
      <c r="J262" s="1096"/>
      <c r="K262" s="1096"/>
      <c r="L262" s="1096"/>
      <c r="M262" s="1098"/>
      <c r="N262" s="1097"/>
      <c r="O262" s="1096"/>
      <c r="P262" s="1096"/>
      <c r="Q262" s="1096"/>
      <c r="R262" s="1096"/>
      <c r="T262" s="1096"/>
      <c r="U262" s="1096"/>
      <c r="V262" s="65"/>
      <c r="X262" s="147"/>
      <c r="Y262" s="147"/>
    </row>
    <row r="263" spans="1:37" ht="7.5" customHeight="1">
      <c r="B263" s="278"/>
      <c r="M263" s="143"/>
      <c r="N263" s="148"/>
      <c r="U263" s="65"/>
      <c r="V263" s="65"/>
      <c r="X263" s="147"/>
      <c r="Y263" s="147"/>
    </row>
    <row r="264" spans="1:37" s="17" customFormat="1" ht="17.25" customHeight="1">
      <c r="B264" s="106"/>
      <c r="C264" s="1460" t="s">
        <v>1347</v>
      </c>
      <c r="D264" s="1460"/>
      <c r="E264" s="1095">
        <f>IFERROR(IF(E262= "Yes",TaxRates_SBECoTaxRate,IF(E262="",0,(IF(E262="No",TaxRates_CoTaxRate)))),0)</f>
        <v>0.25</v>
      </c>
      <c r="F264" s="1094"/>
      <c r="G264" s="32"/>
      <c r="H264" s="719"/>
      <c r="I264" s="719"/>
      <c r="M264" s="1087"/>
      <c r="N264" s="1093"/>
      <c r="X264" s="64"/>
      <c r="Y264" s="64"/>
      <c r="AK264" s="110"/>
    </row>
    <row r="265" spans="1:37" ht="7.5" customHeight="1">
      <c r="B265" s="278"/>
      <c r="M265" s="143"/>
      <c r="N265" s="148"/>
    </row>
    <row r="266" spans="1:37" ht="30" customHeight="1">
      <c r="B266" s="278"/>
      <c r="K266" s="1092" t="s">
        <v>1346</v>
      </c>
      <c r="L266" s="1091" t="s">
        <v>1345</v>
      </c>
      <c r="M266" s="143"/>
      <c r="N266" s="1090"/>
      <c r="O266" s="1089"/>
      <c r="P266" s="1089"/>
      <c r="Q266" s="1089"/>
      <c r="R266" s="1089"/>
    </row>
    <row r="267" spans="1:37" ht="7.5" customHeight="1">
      <c r="B267" s="278"/>
      <c r="C267" s="111"/>
      <c r="D267" s="17"/>
      <c r="K267" s="1088"/>
      <c r="L267" s="1014"/>
      <c r="M267" s="1087"/>
      <c r="N267" s="1082"/>
      <c r="O267" s="1014"/>
      <c r="P267" s="1014"/>
      <c r="Q267" s="1014"/>
      <c r="R267" s="1014"/>
    </row>
    <row r="268" spans="1:37" ht="17.25" customHeight="1">
      <c r="B268" s="278"/>
      <c r="C268" s="1439" t="s">
        <v>1344</v>
      </c>
      <c r="D268" s="1439"/>
      <c r="J268" s="201"/>
      <c r="K268" s="1086">
        <f>IFERROR(MAX(L268/ImputationRate*(1-ImputationRate),0),0)</f>
        <v>0</v>
      </c>
      <c r="L268" s="1086">
        <f>L61+J52</f>
        <v>0</v>
      </c>
      <c r="M268" s="1083"/>
      <c r="N268" s="1082"/>
      <c r="O268" s="1014"/>
      <c r="P268" s="1014"/>
      <c r="Q268" s="1014"/>
      <c r="R268" s="1014"/>
      <c r="U268" s="1081"/>
      <c r="V268" s="1080"/>
    </row>
    <row r="269" spans="1:37" ht="17.25" customHeight="1">
      <c r="B269" s="278"/>
      <c r="C269" s="1439" t="s">
        <v>1343</v>
      </c>
      <c r="D269" s="1439"/>
      <c r="J269" s="201"/>
      <c r="K269" s="1086">
        <f>-K248</f>
        <v>0</v>
      </c>
      <c r="L269" s="1086">
        <f>-L248</f>
        <v>0</v>
      </c>
      <c r="M269" s="1083"/>
      <c r="N269" s="1082"/>
      <c r="O269" s="1014"/>
      <c r="P269" s="1014"/>
      <c r="Q269" s="1014"/>
      <c r="R269" s="1014"/>
      <c r="U269" s="1081"/>
      <c r="V269" s="1080"/>
    </row>
    <row r="270" spans="1:37" ht="17.25" customHeight="1">
      <c r="B270" s="278"/>
      <c r="C270" s="1439" t="s">
        <v>1342</v>
      </c>
      <c r="D270" s="1439"/>
      <c r="J270" s="201"/>
      <c r="K270" s="1085">
        <f>IFERROR(MAX(L270/ImputationRate*(1-ImputationRate),0),0)</f>
        <v>0</v>
      </c>
      <c r="L270" s="1084">
        <f>SUM(L268:L269)</f>
        <v>0</v>
      </c>
      <c r="M270" s="1083"/>
      <c r="N270" s="1082"/>
      <c r="O270" s="1014"/>
      <c r="P270" s="1014"/>
      <c r="Q270" s="1014"/>
      <c r="R270" s="1014"/>
      <c r="U270" s="1081"/>
      <c r="V270" s="1080"/>
    </row>
    <row r="271" spans="1:37" ht="7.5" customHeight="1">
      <c r="B271" s="276"/>
      <c r="C271" s="275"/>
      <c r="D271" s="275"/>
      <c r="E271" s="275"/>
      <c r="F271" s="275"/>
      <c r="G271" s="275"/>
      <c r="H271" s="275"/>
      <c r="I271" s="275"/>
      <c r="J271" s="275"/>
      <c r="K271" s="275"/>
      <c r="L271" s="805"/>
      <c r="M271" s="1079"/>
      <c r="N271" s="148"/>
      <c r="V271" s="65"/>
    </row>
    <row r="272" spans="1:37" ht="15.95" customHeight="1"/>
    <row r="273" spans="9:10" ht="15.95" customHeight="1"/>
    <row r="274" spans="9:10" ht="15.95" customHeight="1"/>
    <row r="275" spans="9:10" ht="15.95" customHeight="1"/>
    <row r="276" spans="9:10" ht="15.95" customHeight="1"/>
    <row r="277" spans="9:10" ht="15.95" customHeight="1"/>
    <row r="278" spans="9:10" ht="15.95" customHeight="1"/>
    <row r="279" spans="9:10" ht="15.95" customHeight="1"/>
    <row r="280" spans="9:10" ht="15.95" customHeight="1"/>
    <row r="281" spans="9:10" ht="15.95" hidden="1" customHeight="1">
      <c r="I281" s="1463" t="s">
        <v>1341</v>
      </c>
      <c r="J281" s="1432" t="s">
        <v>1340</v>
      </c>
    </row>
    <row r="282" spans="9:10" ht="15.95" hidden="1" customHeight="1">
      <c r="I282" s="1464"/>
      <c r="J282" s="1465"/>
    </row>
    <row r="283" spans="9:10" ht="15.95" hidden="1" customHeight="1">
      <c r="I283" s="1078" t="s">
        <v>1339</v>
      </c>
      <c r="J283" s="65" t="s">
        <v>1338</v>
      </c>
    </row>
    <row r="284" spans="9:10" ht="15.95" customHeight="1"/>
    <row r="285" spans="9:10" ht="15.95" customHeight="1"/>
    <row r="286" spans="9:10" ht="15.95" customHeight="1"/>
    <row r="287" spans="9:10" ht="15.95" customHeight="1"/>
    <row r="288" spans="9:10" ht="15.95" customHeight="1"/>
    <row r="289" ht="15.95" customHeight="1"/>
    <row r="290" ht="15.95" customHeight="1"/>
    <row r="291" ht="15.95" customHeight="1"/>
    <row r="292" ht="15.95" customHeight="1"/>
    <row r="293" ht="15.95" customHeight="1"/>
    <row r="294" ht="15.95" customHeight="1"/>
    <row r="295" ht="15.95" customHeight="1"/>
    <row r="296" ht="15.95" customHeight="1"/>
    <row r="297" ht="15.95" customHeight="1"/>
    <row r="298" ht="15.95" customHeight="1"/>
    <row r="299" ht="15.95" customHeight="1"/>
    <row r="300" ht="15.95" customHeight="1"/>
    <row r="301" ht="15.95" customHeight="1"/>
    <row r="302" ht="15.95" customHeight="1"/>
    <row r="303" ht="15.95" customHeight="1"/>
    <row r="304" ht="15.95" customHeight="1"/>
    <row r="305" ht="15.95" customHeight="1"/>
    <row r="306" ht="15.95" customHeight="1"/>
    <row r="307" ht="15.95" customHeight="1"/>
    <row r="308" ht="15.95" customHeight="1"/>
    <row r="309" ht="15.95" customHeight="1"/>
    <row r="310" ht="15.95" customHeight="1"/>
    <row r="311" ht="15.95" customHeight="1"/>
    <row r="312" ht="15.95" customHeight="1"/>
    <row r="313" ht="15.95" customHeight="1"/>
    <row r="314" ht="15.95" customHeight="1"/>
    <row r="315" ht="15.95" customHeight="1"/>
    <row r="316" ht="15.95" customHeight="1"/>
    <row r="317" ht="15.95" customHeight="1"/>
    <row r="318" ht="15.95" customHeight="1"/>
    <row r="319" ht="15.95" customHeight="1"/>
    <row r="320" ht="15.95" customHeight="1"/>
    <row r="321" ht="15.95" customHeight="1"/>
    <row r="322" ht="15.95" customHeight="1"/>
    <row r="323" ht="15.95" customHeight="1"/>
    <row r="324" ht="15.95" customHeight="1"/>
    <row r="325" ht="15.95" customHeight="1"/>
    <row r="326" ht="15.95" customHeight="1"/>
    <row r="327" ht="15.95" customHeight="1"/>
    <row r="328" ht="15.95" customHeight="1"/>
    <row r="329" ht="15.95" customHeight="1"/>
    <row r="330" ht="15.95" customHeight="1"/>
    <row r="331" ht="15.95" customHeight="1"/>
    <row r="332" ht="15.95" customHeight="1"/>
    <row r="333" ht="15.95" customHeight="1"/>
    <row r="334" ht="15.95" customHeight="1"/>
    <row r="335" ht="15.95" customHeight="1"/>
    <row r="336" ht="15.95" customHeight="1"/>
    <row r="337" ht="15.95" customHeight="1"/>
    <row r="338" ht="15.95" customHeight="1"/>
    <row r="339" ht="15.95" customHeight="1"/>
    <row r="340" ht="15.95" customHeight="1"/>
    <row r="341" ht="15.95" customHeight="1"/>
    <row r="342" ht="15.95" customHeight="1"/>
    <row r="343" ht="15.95" customHeight="1"/>
    <row r="344" ht="15.95" customHeight="1"/>
    <row r="345" ht="15.95" customHeight="1"/>
    <row r="346" ht="15.95" customHeight="1"/>
    <row r="347" ht="15.95" customHeight="1"/>
    <row r="348" ht="15.95" customHeight="1"/>
    <row r="349" ht="15.95" customHeight="1"/>
    <row r="350" ht="15.95" customHeight="1"/>
    <row r="351" ht="15.95" customHeight="1"/>
    <row r="352" ht="15.95" customHeight="1"/>
    <row r="353" ht="15.95" customHeight="1"/>
    <row r="354" ht="15.95" customHeight="1"/>
    <row r="355" ht="15.95" customHeight="1"/>
    <row r="356" ht="15.95" customHeight="1"/>
    <row r="357" ht="15.95" customHeight="1"/>
    <row r="358" ht="15.95" customHeight="1"/>
    <row r="359" ht="15.95" customHeight="1"/>
    <row r="360" ht="15.95" customHeight="1"/>
    <row r="361" ht="15.95" customHeight="1"/>
    <row r="362" ht="15.95" customHeight="1"/>
    <row r="363" ht="15.95" customHeight="1"/>
    <row r="364" ht="15.95" customHeight="1"/>
    <row r="365" ht="15.95" customHeight="1"/>
    <row r="366" ht="15.95" customHeight="1"/>
    <row r="367" ht="15.95" customHeight="1"/>
    <row r="368" ht="15.95" customHeight="1"/>
    <row r="369" ht="15.95" customHeight="1"/>
    <row r="370" ht="15.95" customHeight="1"/>
    <row r="371" ht="15.95" customHeight="1"/>
    <row r="372" ht="15.95" customHeight="1"/>
    <row r="373" ht="15.95" customHeight="1"/>
    <row r="374" ht="15.95" customHeight="1"/>
    <row r="375" ht="15.95" customHeight="1"/>
    <row r="376" ht="15.95" customHeight="1"/>
    <row r="377" ht="15.95" customHeight="1"/>
    <row r="378" ht="15.95" customHeight="1"/>
    <row r="379" ht="15.95" customHeight="1"/>
    <row r="380" ht="15.95" customHeight="1"/>
    <row r="381" ht="15.95" customHeight="1"/>
    <row r="382" ht="15.95" customHeight="1"/>
    <row r="383" ht="15.95" customHeight="1"/>
    <row r="384" ht="15.95" customHeight="1"/>
    <row r="385" ht="15.95" customHeight="1"/>
    <row r="386" ht="15.95" customHeight="1"/>
    <row r="387" ht="15.95" customHeight="1"/>
    <row r="388" ht="15.95" customHeight="1"/>
    <row r="389" ht="15.95" customHeight="1"/>
    <row r="390" ht="15.95" customHeight="1"/>
    <row r="391" ht="15.95" customHeight="1"/>
    <row r="392" ht="15.95" customHeight="1"/>
    <row r="393" ht="15.95" customHeight="1"/>
    <row r="394" ht="15.95" customHeight="1"/>
    <row r="395" ht="15.95" customHeight="1"/>
    <row r="396" ht="15.95" customHeight="1"/>
    <row r="397" ht="15.95" customHeight="1"/>
    <row r="398" ht="15.95" customHeight="1"/>
    <row r="399" ht="15.95" customHeight="1"/>
    <row r="400" ht="15.95" customHeight="1"/>
    <row r="401" ht="15.95" customHeight="1"/>
    <row r="402" ht="15.95" customHeight="1"/>
    <row r="403" ht="15.95" customHeight="1"/>
    <row r="404" ht="15.95" customHeight="1"/>
    <row r="405" ht="15.95" customHeight="1"/>
    <row r="406" ht="15.95" customHeight="1"/>
    <row r="407" ht="15.95" customHeight="1"/>
    <row r="408" ht="15.95" customHeight="1"/>
    <row r="409" ht="15.95" customHeight="1"/>
    <row r="410" ht="15.95" customHeight="1"/>
    <row r="411" ht="15.95" customHeight="1"/>
    <row r="412" ht="15.95" customHeight="1"/>
    <row r="413" ht="15.95" customHeight="1"/>
    <row r="414" ht="15.95" customHeight="1"/>
    <row r="415" ht="15.95" customHeight="1"/>
    <row r="416" ht="15.95" customHeight="1"/>
    <row r="417" ht="15.95" customHeight="1"/>
    <row r="418" ht="15.95" customHeight="1"/>
    <row r="419" ht="15.95" customHeight="1"/>
    <row r="420" ht="15.95" customHeight="1"/>
    <row r="421" ht="15.95" customHeight="1"/>
    <row r="422" ht="15.95" customHeight="1"/>
    <row r="423" ht="15.95" customHeight="1"/>
    <row r="424" ht="15.95" customHeight="1"/>
    <row r="425" ht="15.95" customHeight="1"/>
    <row r="426" ht="15.95" customHeight="1"/>
    <row r="427" ht="15.95" customHeight="1"/>
    <row r="428" ht="15.95" customHeight="1"/>
    <row r="429" ht="15.95" customHeight="1"/>
    <row r="430" ht="15.95" customHeight="1"/>
    <row r="431" ht="15.95" customHeight="1"/>
    <row r="432" ht="15.95" customHeight="1"/>
    <row r="433" ht="15.95" customHeight="1"/>
    <row r="434" ht="15.95" customHeight="1"/>
    <row r="435" ht="15.95" customHeight="1"/>
    <row r="436" ht="15.95" customHeight="1"/>
    <row r="437" ht="15.95" customHeight="1"/>
    <row r="438" ht="15.95" customHeight="1"/>
    <row r="439" ht="15.95" customHeight="1"/>
    <row r="440" ht="15.95" customHeight="1"/>
    <row r="441" ht="15.95" customHeight="1"/>
    <row r="442" ht="15.95" customHeight="1"/>
    <row r="443" ht="15.95" customHeight="1"/>
    <row r="444" ht="15.95" customHeight="1"/>
    <row r="445" ht="15.95" customHeight="1"/>
    <row r="446" ht="15.95" customHeight="1"/>
    <row r="447" ht="15.95" customHeight="1"/>
    <row r="448" ht="15.95" customHeight="1"/>
    <row r="449" ht="15.95" customHeight="1"/>
    <row r="450" ht="15.95" customHeight="1"/>
    <row r="451" ht="15.95" customHeight="1"/>
    <row r="452" ht="15.95" customHeight="1"/>
    <row r="453" ht="15.95" customHeight="1"/>
    <row r="454" ht="15.95" customHeight="1"/>
    <row r="455" ht="15.95" customHeight="1"/>
    <row r="456" ht="15.95" customHeight="1"/>
    <row r="457" ht="15.95" customHeight="1"/>
    <row r="458" ht="15.95" customHeight="1"/>
    <row r="459" ht="15.95" customHeight="1"/>
    <row r="460" ht="15.95" customHeight="1"/>
    <row r="461" ht="15.95" customHeight="1"/>
    <row r="462" ht="15.95" customHeight="1"/>
    <row r="463" ht="15.95" customHeight="1"/>
    <row r="464" ht="15.95" customHeight="1"/>
    <row r="465" ht="15.95" customHeight="1"/>
    <row r="466" ht="15.95" customHeight="1"/>
    <row r="467" ht="15.95" customHeight="1"/>
    <row r="468" ht="15.95" customHeight="1"/>
    <row r="469" ht="15.95" customHeight="1"/>
    <row r="470" ht="15.95" customHeight="1"/>
    <row r="471" ht="15.95" customHeight="1"/>
    <row r="472" ht="15.95" customHeight="1"/>
    <row r="473" ht="15.95" customHeight="1"/>
    <row r="474" ht="15.95" customHeight="1"/>
    <row r="475" ht="15.95" customHeight="1"/>
    <row r="476" ht="15.95" customHeight="1"/>
    <row r="477" ht="15.95" customHeight="1"/>
    <row r="478" ht="15.95" customHeight="1"/>
    <row r="479" ht="15.95" customHeight="1"/>
    <row r="480" ht="15.95" customHeight="1"/>
    <row r="481" ht="15.95" customHeight="1"/>
    <row r="482" ht="15.95" customHeight="1"/>
    <row r="483" ht="15.95" customHeight="1"/>
    <row r="484" ht="15.95" customHeight="1"/>
    <row r="485" ht="15.95" customHeight="1"/>
    <row r="486" ht="15.95" customHeight="1"/>
    <row r="487" ht="15.95" customHeight="1"/>
    <row r="488" ht="15.95" customHeight="1"/>
    <row r="489" ht="15.95" customHeight="1"/>
    <row r="490" ht="15.95" customHeight="1"/>
    <row r="491" ht="15.95" customHeight="1"/>
    <row r="492" ht="15.95" customHeight="1"/>
    <row r="493" ht="15.95" customHeight="1"/>
    <row r="494" ht="15.95" customHeight="1"/>
    <row r="495" ht="15.95" customHeight="1"/>
    <row r="496" ht="15.95" customHeight="1"/>
    <row r="497" ht="15.95" customHeight="1"/>
    <row r="498" ht="15.95" customHeight="1"/>
    <row r="499" ht="15.95" customHeight="1"/>
    <row r="500" ht="15.95" customHeight="1"/>
    <row r="501" ht="15.95" customHeight="1"/>
    <row r="502" ht="15.95" customHeight="1"/>
    <row r="503" ht="15.95" customHeight="1"/>
    <row r="504" ht="15.95" customHeight="1"/>
    <row r="505" ht="15.95" customHeight="1"/>
    <row r="506" ht="15.95" customHeight="1"/>
    <row r="507" ht="15.95" customHeight="1"/>
    <row r="508" ht="15.95" customHeight="1"/>
    <row r="509" ht="15.95" customHeight="1"/>
    <row r="510" ht="15.95" customHeight="1"/>
    <row r="511" ht="15.95" customHeight="1"/>
    <row r="512" ht="15.95" customHeight="1"/>
    <row r="513" ht="15.95" customHeight="1"/>
    <row r="514" ht="15.95" customHeight="1"/>
    <row r="515" ht="15.95" customHeight="1"/>
    <row r="516" ht="15.95" customHeight="1"/>
    <row r="517" ht="15.95" customHeight="1"/>
    <row r="518" ht="15.95" customHeight="1"/>
    <row r="519" ht="15.95" customHeight="1"/>
    <row r="520" ht="15.95" customHeight="1"/>
    <row r="521" ht="15.95" customHeight="1"/>
    <row r="522" ht="15.95" customHeight="1"/>
    <row r="523" ht="15.95" customHeight="1"/>
    <row r="524" ht="15.95" customHeight="1"/>
    <row r="525" ht="15.95" customHeight="1"/>
    <row r="526" ht="15.95" customHeight="1"/>
    <row r="527" ht="15.95" customHeight="1"/>
    <row r="528" ht="15.95" customHeight="1"/>
    <row r="529" ht="15.95" customHeight="1"/>
    <row r="530" ht="15.95" customHeight="1"/>
    <row r="531" ht="15.95" customHeight="1"/>
    <row r="532" ht="15.95" customHeight="1"/>
    <row r="533" ht="15.95" customHeight="1"/>
    <row r="534" ht="15.95" customHeight="1"/>
    <row r="535" ht="15.95" customHeight="1"/>
    <row r="536" ht="15.95" customHeight="1"/>
    <row r="537" ht="15.95" customHeight="1"/>
    <row r="538" ht="15.95" customHeight="1"/>
    <row r="539" ht="15.95" customHeight="1"/>
    <row r="540" ht="15.95" customHeight="1"/>
    <row r="541" ht="15.95" customHeight="1"/>
    <row r="542" ht="15.95" customHeight="1"/>
    <row r="543" ht="15.95" customHeight="1"/>
    <row r="544" ht="15.95" customHeight="1"/>
    <row r="545" ht="15.95" customHeight="1"/>
    <row r="546" ht="15.95" customHeight="1"/>
    <row r="547" ht="15.95" customHeight="1"/>
    <row r="548" ht="15.95" customHeight="1"/>
    <row r="549" ht="15.95" customHeight="1"/>
    <row r="550" ht="15.95" customHeight="1"/>
    <row r="551" ht="15.95" customHeight="1"/>
    <row r="552" ht="15.95" customHeight="1"/>
    <row r="553" ht="15.95" customHeight="1"/>
    <row r="554" ht="15.95" customHeight="1"/>
    <row r="555" ht="15.95" customHeight="1"/>
    <row r="556" ht="15.95" customHeight="1"/>
    <row r="557" ht="15.95" customHeight="1"/>
    <row r="558" ht="15.95" customHeight="1"/>
    <row r="559" ht="15.95" customHeight="1"/>
    <row r="560" ht="15.95" customHeight="1"/>
    <row r="561" ht="15.95" customHeight="1"/>
    <row r="562" ht="15.95" customHeight="1"/>
    <row r="563" ht="15.95" customHeight="1"/>
    <row r="564" ht="15.95" customHeight="1"/>
    <row r="565" ht="15.95" customHeight="1"/>
    <row r="566" ht="15.95" customHeight="1"/>
    <row r="567" ht="15.95" customHeight="1"/>
    <row r="568" ht="15.95" customHeight="1"/>
    <row r="569" ht="15.95" customHeight="1"/>
    <row r="570" ht="15.95" customHeight="1"/>
    <row r="571" ht="15.95" customHeight="1"/>
    <row r="572" ht="15.95" customHeight="1"/>
    <row r="573" ht="15.95" customHeight="1"/>
    <row r="574" ht="15.95" customHeight="1"/>
    <row r="575" ht="15.95" customHeight="1"/>
    <row r="576" ht="15.95" customHeight="1"/>
    <row r="577" ht="15.95" customHeight="1"/>
    <row r="578" ht="15.95" customHeight="1"/>
    <row r="579" ht="15.95" customHeight="1"/>
    <row r="580" ht="15.95" customHeight="1"/>
    <row r="581" ht="15.95" customHeight="1"/>
    <row r="582" ht="15.95" customHeight="1"/>
    <row r="583" ht="15.95" customHeight="1"/>
    <row r="584" ht="15.95" customHeight="1"/>
    <row r="585" ht="15.95" customHeight="1"/>
    <row r="586" ht="15.95" customHeight="1"/>
    <row r="587" ht="15.95" customHeight="1"/>
    <row r="588" ht="15.95" customHeight="1"/>
    <row r="589" ht="15.95" customHeight="1"/>
    <row r="590" ht="15.95" customHeight="1"/>
    <row r="591" ht="15.95" customHeight="1"/>
    <row r="592" ht="15.95" customHeight="1"/>
    <row r="593" ht="15.95" customHeight="1"/>
    <row r="594" ht="15.95" customHeight="1"/>
    <row r="595" ht="15.95" customHeight="1"/>
    <row r="596" ht="15.95" customHeight="1"/>
    <row r="597" ht="15.95" customHeight="1"/>
    <row r="598" ht="15.95" customHeight="1"/>
    <row r="599" ht="15.95" customHeight="1"/>
    <row r="600" ht="15.95" customHeight="1"/>
    <row r="601" ht="15.95" customHeight="1"/>
    <row r="602" ht="15.95" customHeight="1"/>
    <row r="603" ht="15.95" customHeight="1"/>
    <row r="604" ht="15.95" customHeight="1"/>
    <row r="605" ht="15.95" customHeight="1"/>
    <row r="606" ht="15.95" customHeight="1"/>
    <row r="607" ht="15.95" customHeight="1"/>
    <row r="608" ht="15.95" customHeight="1"/>
    <row r="609" ht="15.95" customHeight="1"/>
    <row r="610" ht="15.95" customHeight="1"/>
    <row r="611" ht="15.95" customHeight="1"/>
    <row r="612" ht="15.95" customHeight="1"/>
    <row r="613" ht="15.95" customHeight="1"/>
    <row r="614" ht="15.95" customHeight="1"/>
    <row r="615" ht="15.95" customHeight="1"/>
    <row r="616" ht="15.95" customHeight="1"/>
    <row r="617" ht="15.95" customHeight="1"/>
    <row r="618" ht="15.95" customHeight="1"/>
    <row r="619" ht="15.95" customHeight="1"/>
    <row r="620" ht="15.95" customHeight="1"/>
    <row r="621" ht="15.95" customHeight="1"/>
    <row r="622" ht="15.95" customHeight="1"/>
    <row r="623" ht="15.95" customHeight="1"/>
    <row r="624" ht="15.95" customHeight="1"/>
    <row r="625" ht="15.95" customHeight="1"/>
    <row r="626" ht="15.95" customHeight="1"/>
    <row r="627" ht="15.95" customHeight="1"/>
    <row r="628" ht="15.95" customHeight="1"/>
    <row r="629" ht="15.95" customHeight="1"/>
    <row r="630" ht="15.95" customHeight="1"/>
    <row r="631" ht="15.95" customHeight="1"/>
    <row r="632" ht="15.95" customHeight="1"/>
    <row r="633" ht="15.95" customHeight="1"/>
    <row r="634" ht="15.95" customHeight="1"/>
    <row r="635" ht="15.95" customHeight="1"/>
    <row r="636" ht="15.95" customHeight="1"/>
    <row r="637" ht="15.95" customHeight="1"/>
    <row r="638" ht="15.95" customHeight="1"/>
    <row r="639" ht="15.95" customHeight="1"/>
    <row r="640" ht="15.95" customHeight="1"/>
    <row r="641" ht="15.95" customHeight="1"/>
    <row r="642" ht="15.95" customHeight="1"/>
    <row r="643" ht="15.95" customHeight="1"/>
    <row r="644" ht="15.95" customHeight="1"/>
    <row r="645" ht="15.95" customHeight="1"/>
    <row r="646" ht="15.95" customHeight="1"/>
    <row r="647" ht="15.95" customHeight="1"/>
    <row r="648" ht="15.95" customHeight="1"/>
    <row r="649" ht="15.95" customHeight="1"/>
    <row r="650" ht="15.95" customHeight="1"/>
    <row r="651" ht="15.95" customHeight="1"/>
    <row r="652" ht="15.95" customHeight="1"/>
    <row r="653" ht="15.95" customHeight="1"/>
    <row r="654" ht="15.95" customHeight="1"/>
    <row r="655" ht="15.95" customHeight="1"/>
    <row r="656" ht="15.95" customHeight="1"/>
  </sheetData>
  <sheetProtection sheet="1" formatCells="0" formatColumns="0" formatRows="0" insertColumns="0" insertRows="0" insertHyperlinks="0"/>
  <mergeCells count="60">
    <mergeCell ref="Z84:AA85"/>
    <mergeCell ref="I254:L254"/>
    <mergeCell ref="C243:E243"/>
    <mergeCell ref="C244:E244"/>
    <mergeCell ref="C245:E245"/>
    <mergeCell ref="C246:E246"/>
    <mergeCell ref="C247:E247"/>
    <mergeCell ref="C238:E238"/>
    <mergeCell ref="C239:E239"/>
    <mergeCell ref="C240:E240"/>
    <mergeCell ref="Q84:R84"/>
    <mergeCell ref="U23:V23"/>
    <mergeCell ref="C76:L76"/>
    <mergeCell ref="D47:E47"/>
    <mergeCell ref="D28:E28"/>
    <mergeCell ref="D56:E56"/>
    <mergeCell ref="D55:E55"/>
    <mergeCell ref="C27:D27"/>
    <mergeCell ref="D33:E33"/>
    <mergeCell ref="I281:I282"/>
    <mergeCell ref="J281:J282"/>
    <mergeCell ref="B257:D257"/>
    <mergeCell ref="I84:L84"/>
    <mergeCell ref="N84:O84"/>
    <mergeCell ref="C241:E241"/>
    <mergeCell ref="C242:E242"/>
    <mergeCell ref="N254:R254"/>
    <mergeCell ref="X259:Y259"/>
    <mergeCell ref="C264:D264"/>
    <mergeCell ref="C259:L259"/>
    <mergeCell ref="C270:D270"/>
    <mergeCell ref="C260:L260"/>
    <mergeCell ref="Q81:R81"/>
    <mergeCell ref="D58:E58"/>
    <mergeCell ref="D57:E57"/>
    <mergeCell ref="D29:E29"/>
    <mergeCell ref="D31:E31"/>
    <mergeCell ref="Q79:R79"/>
    <mergeCell ref="C79:O79"/>
    <mergeCell ref="B15:D15"/>
    <mergeCell ref="C84:E85"/>
    <mergeCell ref="D48:E48"/>
    <mergeCell ref="D32:E32"/>
    <mergeCell ref="C35:D35"/>
    <mergeCell ref="C9:L9"/>
    <mergeCell ref="C268:D268"/>
    <mergeCell ref="C269:D269"/>
    <mergeCell ref="C248:D248"/>
    <mergeCell ref="D49:E49"/>
    <mergeCell ref="C51:D51"/>
    <mergeCell ref="D52:E52"/>
    <mergeCell ref="B74:D74"/>
    <mergeCell ref="D53:E53"/>
    <mergeCell ref="D54:E54"/>
    <mergeCell ref="C10:L10"/>
    <mergeCell ref="D25:E25"/>
    <mergeCell ref="C18:D18"/>
    <mergeCell ref="C17:D17"/>
    <mergeCell ref="D23:E23"/>
    <mergeCell ref="B21:D21"/>
  </mergeCells>
  <conditionalFormatting sqref="C87">
    <cfRule type="expression" dxfId="399" priority="3">
      <formula>$C$87=0</formula>
    </cfRule>
  </conditionalFormatting>
  <conditionalFormatting sqref="C238:C247">
    <cfRule type="cellIs" dxfId="398" priority="7" operator="equal">
      <formula>"Enter description…"</formula>
    </cfRule>
  </conditionalFormatting>
  <conditionalFormatting sqref="D31:D33 D56:D60">
    <cfRule type="cellIs" dxfId="397" priority="38" operator="equal">
      <formula>"Enter description…"</formula>
    </cfRule>
  </conditionalFormatting>
  <conditionalFormatting sqref="D47:D49">
    <cfRule type="cellIs" dxfId="396" priority="37" operator="equal">
      <formula>"Enter description…"</formula>
    </cfRule>
  </conditionalFormatting>
  <conditionalFormatting sqref="E17:E18">
    <cfRule type="expression" dxfId="395" priority="36">
      <formula>ISERROR((SEARCH("DATE(",_xlfn.FORMULATEXT(E17),1)))&lt;&gt;TRUE</formula>
    </cfRule>
  </conditionalFormatting>
  <conditionalFormatting sqref="E74">
    <cfRule type="cellIs" dxfId="394" priority="33" operator="equal">
      <formula>"Contains Data"</formula>
    </cfRule>
    <cfRule type="cellIs" dxfId="393" priority="34" operator="equal">
      <formula>"Out of Balance"</formula>
    </cfRule>
    <cfRule type="cellIs" dxfId="392" priority="35" operator="equal">
      <formula>"Reconciled"</formula>
    </cfRule>
  </conditionalFormatting>
  <conditionalFormatting sqref="E81">
    <cfRule type="expression" dxfId="391" priority="6">
      <formula>IF(AND(Dividends_SelectedMethod="Manual",COUNTIF(Z87:Z236,TRUE)&gt;0),TRUE,FALSE)</formula>
    </cfRule>
  </conditionalFormatting>
  <conditionalFormatting sqref="E21:F21">
    <cfRule type="cellIs" dxfId="390" priority="30" operator="equal">
      <formula>"Contains Data"</formula>
    </cfRule>
    <cfRule type="cellIs" dxfId="389" priority="31" operator="equal">
      <formula>"Out of Balance"</formula>
    </cfRule>
    <cfRule type="cellIs" dxfId="388" priority="32" operator="equal">
      <formula>"Reconciled"</formula>
    </cfRule>
  </conditionalFormatting>
  <conditionalFormatting sqref="I254:L254">
    <cfRule type="expression" dxfId="387" priority="43">
      <formula>AND(K64&gt;0,K248&gt;K64)</formula>
    </cfRule>
  </conditionalFormatting>
  <conditionalFormatting sqref="K6">
    <cfRule type="expression" dxfId="386" priority="9">
      <formula>K6="Out of Balance"</formula>
    </cfRule>
    <cfRule type="expression" dxfId="385" priority="10">
      <formula>K6="Reconciled"</formula>
    </cfRule>
  </conditionalFormatting>
  <conditionalFormatting sqref="K250">
    <cfRule type="expression" dxfId="384" priority="46">
      <formula>K253="Reconciled"</formula>
    </cfRule>
    <cfRule type="expression" dxfId="383" priority="47">
      <formula>K253="Out of Balance"</formula>
    </cfRule>
  </conditionalFormatting>
  <conditionalFormatting sqref="K251">
    <cfRule type="expression" dxfId="382" priority="48">
      <formula>K253="Out of Balance"</formula>
    </cfRule>
    <cfRule type="expression" dxfId="381" priority="49">
      <formula>K253="Reconciled"</formula>
    </cfRule>
  </conditionalFormatting>
  <conditionalFormatting sqref="K252">
    <cfRule type="expression" dxfId="380" priority="50">
      <formula>K253="Out of Balance"</formula>
    </cfRule>
    <cfRule type="expression" dxfId="379" priority="51">
      <formula>K253="Reconciled"</formula>
    </cfRule>
  </conditionalFormatting>
  <conditionalFormatting sqref="L270">
    <cfRule type="expression" dxfId="378" priority="1">
      <formula>$L$270&lt;0</formula>
    </cfRule>
  </conditionalFormatting>
  <conditionalFormatting sqref="L6:R6">
    <cfRule type="expression" dxfId="377" priority="12">
      <formula>L6="Reconciled"</formula>
    </cfRule>
    <cfRule type="expression" dxfId="376" priority="13">
      <formula>L6="Out of Balance"</formula>
    </cfRule>
  </conditionalFormatting>
  <conditionalFormatting sqref="M250">
    <cfRule type="expression" dxfId="375" priority="41">
      <formula>AND(#REF!&gt;0,M248&gt;#REF!)</formula>
    </cfRule>
  </conditionalFormatting>
  <conditionalFormatting sqref="M254">
    <cfRule type="expression" dxfId="374" priority="8">
      <formula>M255="Out of Balance"</formula>
    </cfRule>
    <cfRule type="expression" dxfId="373" priority="11">
      <formula>M255="Reconciled"</formula>
    </cfRule>
    <cfRule type="expression" dxfId="372" priority="44">
      <formula>#REF!="Out of Balance"</formula>
    </cfRule>
    <cfRule type="expression" dxfId="371" priority="45">
      <formula>#REF!="Reconciled"</formula>
    </cfRule>
  </conditionalFormatting>
  <conditionalFormatting sqref="N250:R250">
    <cfRule type="expression" dxfId="370" priority="42">
      <formula>AND(N64&gt;0,N248&gt;N64)</formula>
    </cfRule>
  </conditionalFormatting>
  <conditionalFormatting sqref="N254:R254">
    <cfRule type="expression" dxfId="369" priority="2">
      <formula>L248&gt;L268</formula>
    </cfRule>
  </conditionalFormatting>
  <conditionalFormatting sqref="P81">
    <cfRule type="expression" dxfId="368" priority="4">
      <formula>IF(AND(Dividends_SelectedMethod="Manual",SUBTOTAL(3,Y237:Y247)&lt;&gt;SUBTOTAL(103,Y237:Y247)),TRUE,FALSE)</formula>
    </cfRule>
    <cfRule type="expression" dxfId="367" priority="5">
      <formula>IF(AND(Dividends_SelectedMethod="Worksheet",SUBTOTAL(2,AA87:AA236)&lt;&gt;SUBTOTAL(102,AA87:AA236)),TRUE,FALSE)</formula>
    </cfRule>
  </conditionalFormatting>
  <conditionalFormatting sqref="Q250">
    <cfRule type="expression" dxfId="366" priority="52">
      <formula>Q253="Out of Balance"</formula>
    </cfRule>
    <cfRule type="expression" dxfId="365" priority="53">
      <formula>Q253="Reconciled"</formula>
    </cfRule>
  </conditionalFormatting>
  <conditionalFormatting sqref="Q251">
    <cfRule type="expression" dxfId="364" priority="54">
      <formula>Q253="Reconciled"</formula>
    </cfRule>
    <cfRule type="expression" dxfId="363" priority="55">
      <formula>Q253="Out of Balance"</formula>
    </cfRule>
  </conditionalFormatting>
  <conditionalFormatting sqref="Q252">
    <cfRule type="expression" dxfId="362" priority="56">
      <formula>Q253="Reconciled"</formula>
    </cfRule>
    <cfRule type="expression" dxfId="361" priority="57">
      <formula>Q253="Out of Balance"</formula>
    </cfRule>
  </conditionalFormatting>
  <conditionalFormatting sqref="S10">
    <cfRule type="cellIs" dxfId="360" priority="14" operator="equal">
      <formula>"Partner Approved"</formula>
    </cfRule>
    <cfRule type="cellIs" dxfId="359" priority="15" operator="equal">
      <formula>"Reviewed"</formula>
    </cfRule>
    <cfRule type="cellIs" dxfId="358" priority="16" operator="equal">
      <formula>"Rework Complete"</formula>
    </cfRule>
    <cfRule type="cellIs" dxfId="357" priority="17" operator="equal">
      <formula>"Client Query"</formula>
    </cfRule>
    <cfRule type="cellIs" dxfId="356" priority="18" operator="equal">
      <formula>"Started"</formula>
    </cfRule>
    <cfRule type="cellIs" dxfId="355" priority="19" operator="equal">
      <formula>"Ready for Review"</formula>
    </cfRule>
    <cfRule type="cellIs" dxfId="354" priority="20" operator="equal">
      <formula>"Rework Required"</formula>
    </cfRule>
    <cfRule type="cellIs" dxfId="353" priority="21" operator="equal">
      <formula>"Complete"</formula>
    </cfRule>
  </conditionalFormatting>
  <conditionalFormatting sqref="S250:S251">
    <cfRule type="expression" dxfId="352" priority="39">
      <formula>#REF!&gt;-S248</formula>
    </cfRule>
  </conditionalFormatting>
  <conditionalFormatting sqref="S252">
    <cfRule type="expression" dxfId="351" priority="40">
      <formula>#REF!&gt;-S249</formula>
    </cfRule>
  </conditionalFormatting>
  <dataValidations count="4">
    <dataValidation allowBlank="1" showInputMessage="1" showErrorMessage="1" prompt="Enter as positive (Dr)" sqref="I52" xr:uid="{6F25252C-3FB7-4C17-BCEB-2F96A2F5F23D}"/>
    <dataValidation allowBlank="1" showInputMessage="1" showErrorMessage="1" prompt="Enter as negative (Cr)" sqref="I53:I55" xr:uid="{113D03AD-9C6D-4DA9-A8F9-EF4A2D180E80}"/>
    <dataValidation type="list" allowBlank="1" showInputMessage="1" showErrorMessage="1" sqref="D81" xr:uid="{4BC3739C-AA47-40DF-8B99-5666F46F4A14}">
      <formula1>"Worksheet,Manual"</formula1>
    </dataValidation>
    <dataValidation type="list" allowBlank="1" showInputMessage="1" showErrorMessage="1" sqref="E262" xr:uid="{52A36B7B-42AC-4EE3-8A69-5E42AA1701C2}">
      <formula1>"Yes, No"</formula1>
    </dataValidation>
  </dataValidations>
  <hyperlinks>
    <hyperlink ref="F28" location="'C05 Divs and Franking'!Go_SumRangeDetail_H35_TaxPrevYr" tooltip="Go to workpaper" display="}" xr:uid="{2B2DAA1A-26BF-4FFB-8FA0-E669AFC66FFE}"/>
    <hyperlink ref="F29" location="'C05 Divs and Franking'!Go_SumRangeDetail_H35_MarPrevYrBASDr" tooltip="Go to workpaper" display="}" xr:uid="{3C0440E6-7882-4DC0-9395-09C16A931795}"/>
    <hyperlink ref="F55" location="'C05 Divs and Franking'!Go_SumRangeDetail_CC20_TFNWithheld" tooltip="Go to workpaper" display="}" xr:uid="{D6BC9582-F217-434A-B31C-DE30B9398D3B}"/>
    <hyperlink ref="F52" location="'C05 Divs and Franking'!O248" tooltip="Go to cell" display="}" xr:uid="{2CA3CA3F-78BA-4EEF-8696-D46EBF0BBFA6}"/>
    <hyperlink ref="F54" location="'C05 Divs and Franking'!Go_SumRangeDetail_M5_FrankingCredits" tooltip="Go to workpaper" display="}" xr:uid="{0224B512-3FB9-43EC-A72B-053D188066BD}"/>
    <hyperlink ref="A15:D15" location="'C05 Divs and Franking'!Go_RollUp_01" tooltip="Show/Hide" display="'C05 Divs and Franking'!Go_RollUp_01" xr:uid="{0FA6C71F-5456-4243-9AD5-0C992A884304}"/>
    <hyperlink ref="A21:D21" location="'C05 Divs and Franking'!Go_RollUp_04" tooltip="Show/Hide" display="'C05 Divs and Franking'!Go_RollUp_04" xr:uid="{FE93DD37-56C2-4F8D-85AF-DC382E523E96}"/>
    <hyperlink ref="A74:D74" location="'C05 Divs and Franking'!Go_RollUp_05" tooltip="Show/Hide" display="'C05 Divs and Franking'!Go_RollUp_05" xr:uid="{37421952-B0AC-41EF-A785-D8CA58DBA9D4}"/>
    <hyperlink ref="F36" location="'C05 Divs and Franking'!Go_SumRangeDetail_H35_JulBASDr" tooltip="Go to Workpaper" display="}" xr:uid="{66E00B0E-7EF1-4DC8-98AA-A063046DEBCD}"/>
    <hyperlink ref="F37" location="'C05 Divs and Franking'!Go_SumRangeDetail_H35_AugBASDr" tooltip="Go to Workpaper" display="}" xr:uid="{6E7FE910-8A17-4410-BE50-624CDC051815}"/>
    <hyperlink ref="F38" location="'C05 Divs and Franking'!Go_SumRangeDetail_H35_SepBASDr" tooltip="Go to Workpaper" display="}" xr:uid="{A7C35733-5F73-4C9C-B881-B4C114C92159}"/>
    <hyperlink ref="F39" location="'C05 Divs and Franking'!Go_SumRangeDetail_H35_OctBASDr" tooltip="Go to Workpaper" display="}" xr:uid="{D8F75402-209E-4A7D-87B9-BA8B9E74CAA3}"/>
    <hyperlink ref="F40" location="'C05 Divs and Franking'!Go_SumRangeDetail_H35_NovBASDr" tooltip="Go to Workpaper" display="}" xr:uid="{0F15D735-B4EC-412A-B5CE-33EFCEA7AD17}"/>
    <hyperlink ref="F41" location="'C05 Divs and Franking'!Go_SumRangeDetail_H35_DecBASDr" tooltip="Go to Workpaper" display="}" xr:uid="{BE86E6D1-78A3-4E39-BF12-8C02257B937A}"/>
    <hyperlink ref="F42" location="'C05 Divs and Franking'!Go_SumRangeDetail_H35_JanBASDr" tooltip="Go to Workpaper" display="}" xr:uid="{6469F2F7-B950-4F60-B193-9B3C1B59D12D}"/>
    <hyperlink ref="F43" location="'C05 Divs and Franking'!Go_SumRangeDetail_H35_FebBASDr" tooltip="Go to Workpaper" display="}" xr:uid="{6CAE1DB4-32C4-4E3E-9AE2-C21064E5A090}"/>
    <hyperlink ref="F44" location="'C05 Divs and Franking'!Go_SumRangeDetail_H35_MarBASDr" tooltip="Go to Workpaper" display="}" xr:uid="{A4FDDAB8-1E0D-4D05-A4BE-DDCC58924359}"/>
    <hyperlink ref="F45" location="'C05 Divs and Franking'!Go_SumRangeDetail_H35_AprBASDr" tooltip="Go to Workpaper" display="}" xr:uid="{7C0D4B43-BDBB-4587-B092-240060366835}"/>
    <hyperlink ref="F46" location="'C05 Divs and Franking'!Go_SumRangeDetail_H35_MayBASDr" tooltip="Go to Workpaper" display="}" xr:uid="{69214AF1-AEBD-499C-B563-D24E90D957AA}"/>
    <hyperlink ref="F30" location="'C05 Divs and Franking'!Go_SumRangeDetail_H35_JunPrevYrBASDr" tooltip="Go to Workpaper" display="}" xr:uid="{28D8994D-374C-4D6F-8A15-4B7C49EC9366}"/>
    <hyperlink ref="F53" location="'C05 Divs and Franking'!Go_SumRangeDetail_M10_FrankingCredits" tooltip="Go to workpaper" display="}" xr:uid="{21138728-42CE-43FE-8C7C-EA48DD30419C}"/>
    <hyperlink ref="K6" location="'C05 Divs and Franking'!Go_Variance_01" tooltip="Go to Reconciliation" display="'C05 Divs and Franking'!Go_Variance_01" xr:uid="{D69D3E66-1EC4-4CA6-BA8F-56632C66D082}"/>
    <hyperlink ref="L6" location="'C05 Divs and Franking'!Go_Variance_02" tooltip="Go to Reconciliation" display="'C05 Divs and Franking'!Go_Variance_02" xr:uid="{186EA87F-A30D-4F1F-AF29-5A020CC3D268}"/>
    <hyperlink ref="A257:D257" location="'C05 Divs and Franking'!Go_RollUp_06" tooltip="Show/Hide" display="'C05 Divs and Franking'!Go_RollUp_06" xr:uid="{4A453C7E-0156-427D-B22F-857E9755CA2C}"/>
    <hyperlink ref="L3" location="'C05 Divs and Franking'!Go_Index" tooltip="Go to Record" display="Show Record" xr:uid="{BD3BD55F-A3DA-46AF-9876-2E7F1A5CFA2A}"/>
    <hyperlink ref="C259" r:id="rId1" tooltip="Go to Website" display="Refer to ATO LCR 2019/5" xr:uid="{8D253CF0-2F04-4306-A975-10D546A69B62}"/>
    <hyperlink ref="Q81:R81" location="'C05 Divs and Franking'!Go_ShowHideRows" tooltip="Show/Hide" display="P Update Summary Table" xr:uid="{D5C31888-656E-4159-B7F7-9D3A882C9D0D}"/>
    <hyperlink ref="Q79:R79" location="'C05 Divs and Franking'!Go_RefreshSummary" tooltip="Refresh Data from all 'K04 Dividends Calculator' worksheets" display="Refresh Data" xr:uid="{40EB9F7F-C6E1-42AD-B403-2C94C9E345C0}"/>
  </hyperlinks>
  <printOptions horizontalCentered="1"/>
  <pageMargins left="0.39370078740157483" right="0.39370078740157483" top="0.39370078740157483" bottom="0.39370078740157483" header="0" footer="0"/>
  <pageSetup paperSize="9" scale="83" fitToHeight="0" orientation="landscape" r:id="rId2"/>
  <headerFooter alignWithMargins="0">
    <oddFooter>&amp;L&amp;F
Copyright © 2003-Present Business Fitness Pty Ltd&amp;R&amp;A &amp;P</oddFooter>
  </headerFooter>
  <rowBreaks count="3" manualBreakCount="3">
    <brk id="14" min="1" max="15" man="1"/>
    <brk id="49" min="1" max="15" man="1"/>
    <brk id="73" min="1" max="15" man="1"/>
  </rowBreaks>
  <customProperties>
    <customPr name="SheetId" r:id="rId3"/>
    <customPr name="SheetName" r:id="rId4"/>
  </customProperties>
  <extLst>
    <ext xmlns:x15="http://schemas.microsoft.com/office/spreadsheetml/2010/11/main" uri="{F7C9EE02-42E1-4005-9D12-6889AFFD525C}">
      <x15:webExtensions xmlns:xm="http://schemas.microsoft.com/office/excel/2006/main">
        <x15:webExtension appRef="{B11A86BF-6EF3-43EA-A416-2927CCE15AE0}">
          <xm:f>'C05 Divs and Franking'!Reconcile_DivsDeclared</xm:f>
        </x15:webExtension>
        <x15:webExtension appRef="{6643D86B-CA75-4B3B-9EAE-3EC9A5BBFA56}">
          <xm:f>'C05 Divs and Franking'!Reconcile_DivsPayable</xm:f>
        </x15:webExtension>
      </x15:webExtens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B1D61-F8FF-4650-998E-73C26D853E1F}">
  <sheetPr>
    <pageSetUpPr autoPageBreaks="0" fitToPage="1"/>
  </sheetPr>
  <dimension ref="A1:AM83"/>
  <sheetViews>
    <sheetView showGridLines="0" topLeftCell="A63" zoomScaleNormal="100" workbookViewId="0">
      <selection activeCell="A2" sqref="A2"/>
    </sheetView>
  </sheetViews>
  <sheetFormatPr defaultColWidth="8.85546875" defaultRowHeight="15"/>
  <cols>
    <col min="1" max="1" width="4.28515625" style="17" customWidth="1"/>
    <col min="2" max="2" width="1.42578125" style="17" customWidth="1"/>
    <col min="3" max="3" width="3.85546875" style="17" customWidth="1"/>
    <col min="4" max="5" width="11.7109375" style="17" customWidth="1"/>
    <col min="6" max="6" width="5.7109375" style="17" customWidth="1"/>
    <col min="7" max="7" width="7.85546875" style="17" customWidth="1"/>
    <col min="8" max="26" width="11.7109375" style="17" customWidth="1"/>
    <col min="27" max="28" width="11.7109375" style="17" hidden="1" customWidth="1"/>
    <col min="29" max="29" width="11.7109375" style="17" customWidth="1"/>
    <col min="30" max="31" width="11.7109375" style="17" hidden="1" customWidth="1"/>
    <col min="32" max="32" width="11.7109375" style="17" customWidth="1"/>
    <col min="33" max="33" width="11.5703125" style="17" customWidth="1"/>
    <col min="34" max="34" width="1.42578125" style="17" customWidth="1"/>
    <col min="35" max="35" width="4.28515625" style="17" customWidth="1"/>
    <col min="36" max="37" width="15.7109375" style="17" customWidth="1"/>
    <col min="38" max="38" width="15.7109375" style="17" hidden="1" customWidth="1"/>
    <col min="39" max="39" width="8.85546875" style="17" hidden="1" customWidth="1"/>
    <col min="40" max="16384" width="8.85546875" style="17"/>
  </cols>
  <sheetData>
    <row r="1" spans="1:39" s="130" customFormat="1" hidden="1">
      <c r="C1" s="131" t="s">
        <v>181</v>
      </c>
      <c r="D1" s="130" t="s">
        <v>180</v>
      </c>
      <c r="E1" s="132" t="s">
        <v>179</v>
      </c>
      <c r="F1" s="130" t="s">
        <v>178</v>
      </c>
      <c r="H1" s="131" t="s">
        <v>177</v>
      </c>
      <c r="I1" s="130" t="str" cm="1">
        <f t="array" ref="I1">IFERROR(Tm_Jurisdiction,"AU")</f>
        <v>AU</v>
      </c>
      <c r="AH1" s="131"/>
      <c r="AL1" s="131" t="s">
        <v>176</v>
      </c>
    </row>
    <row r="2" spans="1:39" ht="7.5" customHeight="1">
      <c r="C2" s="129"/>
      <c r="D2" s="129"/>
      <c r="AH2" s="111"/>
    </row>
    <row r="3" spans="1:39" ht="24.95" customHeight="1">
      <c r="A3" s="118"/>
      <c r="C3" s="128" t="s">
        <v>175</v>
      </c>
      <c r="D3" s="127"/>
      <c r="E3" s="127"/>
      <c r="F3" s="127"/>
      <c r="G3" s="127"/>
      <c r="Z3" s="65"/>
      <c r="AA3" s="65"/>
      <c r="AB3" s="65"/>
      <c r="AC3" s="65"/>
      <c r="AF3" s="1497" t="s">
        <v>174</v>
      </c>
      <c r="AG3" s="1497"/>
      <c r="AH3" s="65"/>
      <c r="AJ3" s="65"/>
      <c r="AK3" s="65"/>
    </row>
    <row r="4" spans="1:39" ht="7.5" customHeight="1">
      <c r="A4" s="118"/>
      <c r="B4" s="127"/>
      <c r="C4" s="127"/>
      <c r="D4" s="127"/>
      <c r="E4" s="127"/>
      <c r="F4" s="127"/>
      <c r="G4" s="127"/>
      <c r="AG4" s="126"/>
      <c r="AJ4" s="65"/>
      <c r="AK4" s="65"/>
    </row>
    <row r="5" spans="1:39" ht="17.25" customHeight="1">
      <c r="A5" s="118"/>
      <c r="C5" s="125" t="str">
        <f>_xlfn.TEXTJOIN(" ",1,IFERROR(_xlfn.SINGLE(Cl_Name),"Client Name"),IF(IFERROR(_xlfn.SINGLE(Cl_Code),"")="","","("&amp;_xlfn.SINGLE(Cl_Code)&amp;")"))</f>
        <v>Springrange Holdings Pty Ltd (MuM001)</v>
      </c>
      <c r="D5" s="124"/>
      <c r="E5" s="124"/>
      <c r="AG5" s="1502"/>
      <c r="AH5" s="1502"/>
    </row>
    <row r="6" spans="1:39" ht="17.25" customHeight="1">
      <c r="A6" s="118"/>
      <c r="C6" s="1495">
        <f>IFERROR(_xlfn.SINGLE(PeriodEndDate),DATE(1901,1,1))</f>
        <v>45473</v>
      </c>
      <c r="D6" s="1496"/>
      <c r="E6" s="1496"/>
      <c r="AG6" s="120"/>
      <c r="AH6" s="119"/>
    </row>
    <row r="7" spans="1:39" ht="7.5" customHeight="1">
      <c r="A7" s="118"/>
      <c r="B7" s="117"/>
      <c r="C7" s="117"/>
      <c r="D7" s="117"/>
      <c r="E7" s="117"/>
      <c r="F7" s="117"/>
      <c r="G7" s="117"/>
      <c r="H7" s="90"/>
      <c r="I7" s="90"/>
      <c r="J7" s="90"/>
      <c r="K7" s="90"/>
      <c r="L7" s="90"/>
      <c r="M7" s="90"/>
      <c r="N7" s="90"/>
      <c r="O7" s="90"/>
      <c r="P7" s="90"/>
      <c r="Q7" s="90"/>
      <c r="R7" s="90"/>
      <c r="S7" s="90"/>
      <c r="T7" s="90"/>
      <c r="U7" s="90"/>
      <c r="V7" s="90"/>
      <c r="W7" s="90"/>
      <c r="X7" s="90"/>
      <c r="Y7" s="90"/>
      <c r="Z7" s="90"/>
      <c r="AA7" s="90"/>
      <c r="AB7" s="90"/>
      <c r="AC7" s="90"/>
      <c r="AD7" s="90"/>
      <c r="AE7" s="90"/>
      <c r="AF7" s="90"/>
      <c r="AG7" s="90"/>
      <c r="AH7" s="90"/>
    </row>
    <row r="8" spans="1:39" ht="7.15" customHeight="1"/>
    <row r="9" spans="1:39" ht="16.899999999999999" customHeight="1">
      <c r="C9" s="1498" t="s">
        <v>173</v>
      </c>
      <c r="D9" s="1498"/>
      <c r="E9" s="1498"/>
      <c r="F9" s="1498"/>
      <c r="G9" s="1498"/>
      <c r="H9" s="1498"/>
      <c r="I9" s="1498"/>
      <c r="J9" s="1498"/>
      <c r="K9" s="1498"/>
      <c r="L9" s="1498"/>
      <c r="M9" s="1498"/>
      <c r="N9" s="1498"/>
      <c r="O9" s="1498"/>
      <c r="P9" s="1498"/>
      <c r="Q9" s="1498"/>
      <c r="R9" s="1498"/>
      <c r="S9" s="101"/>
      <c r="T9" s="101"/>
      <c r="U9" s="101"/>
      <c r="V9" s="101"/>
      <c r="W9" s="101"/>
      <c r="X9" s="101"/>
      <c r="Y9" s="101"/>
      <c r="Z9" s="101"/>
      <c r="AA9" s="101"/>
      <c r="AB9" s="101"/>
      <c r="AC9" s="101"/>
      <c r="AD9" s="101"/>
      <c r="AE9" s="101"/>
      <c r="AF9" s="101"/>
      <c r="AG9" s="101"/>
      <c r="AH9" s="101"/>
      <c r="AI9" s="54"/>
    </row>
    <row r="10" spans="1:39" s="18" customFormat="1" ht="16.899999999999999" customHeight="1">
      <c r="C10" s="1499" t="s">
        <v>172</v>
      </c>
      <c r="D10" s="1499"/>
      <c r="E10" s="1499"/>
      <c r="F10" s="1499"/>
      <c r="G10" s="1499"/>
      <c r="H10" s="1499"/>
      <c r="I10" s="1499"/>
      <c r="J10" s="1499"/>
      <c r="K10" s="1499"/>
      <c r="L10" s="1499"/>
      <c r="M10" s="1499"/>
      <c r="N10" s="1499"/>
      <c r="O10" s="1499"/>
      <c r="P10" s="1499"/>
      <c r="Q10" s="116"/>
      <c r="R10" s="116"/>
      <c r="S10" s="116"/>
      <c r="T10" s="116"/>
      <c r="U10" s="116"/>
      <c r="V10" s="116"/>
      <c r="W10" s="116"/>
      <c r="X10" s="116"/>
      <c r="Y10" s="116"/>
      <c r="Z10" s="116"/>
      <c r="AA10" s="116"/>
      <c r="AB10" s="116"/>
      <c r="AC10" s="116"/>
      <c r="AD10" s="116"/>
      <c r="AE10" s="116"/>
      <c r="AF10" s="116"/>
      <c r="AG10" s="116"/>
      <c r="AH10" s="116"/>
      <c r="AI10" s="99"/>
    </row>
    <row r="11" spans="1:39" s="18" customFormat="1" ht="16.899999999999999" customHeight="1">
      <c r="D11" s="115" t="s">
        <v>171</v>
      </c>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3"/>
      <c r="AI11" s="99"/>
    </row>
    <row r="12" spans="1:39" s="18" customFormat="1" ht="16.899999999999999" customHeight="1">
      <c r="D12" s="115" t="s">
        <v>170</v>
      </c>
      <c r="E12" s="114"/>
      <c r="F12" s="114"/>
      <c r="G12" s="114"/>
      <c r="H12" s="114"/>
      <c r="I12" s="114"/>
      <c r="J12" s="114"/>
      <c r="K12" s="114"/>
      <c r="L12" s="114"/>
      <c r="M12" s="114"/>
      <c r="N12" s="114"/>
      <c r="O12" s="114"/>
      <c r="P12" s="114"/>
      <c r="Q12" s="114"/>
      <c r="R12" s="114"/>
      <c r="S12" s="114"/>
      <c r="T12" s="114"/>
      <c r="U12" s="114"/>
      <c r="V12" s="114"/>
      <c r="W12" s="114"/>
      <c r="X12" s="114"/>
      <c r="Y12" s="114"/>
      <c r="Z12" s="114"/>
      <c r="AA12" s="114"/>
      <c r="AB12" s="114"/>
      <c r="AC12" s="114"/>
      <c r="AD12" s="114"/>
      <c r="AE12" s="114"/>
      <c r="AF12" s="114"/>
      <c r="AG12" s="114"/>
      <c r="AH12" s="113"/>
      <c r="AI12" s="99"/>
    </row>
    <row r="13" spans="1:39" s="18" customFormat="1" ht="16.899999999999999" customHeight="1">
      <c r="D13" s="115" t="s">
        <v>169</v>
      </c>
      <c r="E13" s="114"/>
      <c r="F13" s="114"/>
      <c r="G13" s="114"/>
      <c r="H13" s="114"/>
      <c r="I13" s="114"/>
      <c r="J13" s="114"/>
      <c r="K13" s="114"/>
      <c r="L13" s="114"/>
      <c r="M13" s="114"/>
      <c r="N13" s="114"/>
      <c r="O13" s="114"/>
      <c r="P13" s="114"/>
      <c r="Q13" s="114"/>
      <c r="R13" s="114"/>
      <c r="S13" s="114"/>
      <c r="T13" s="114"/>
      <c r="U13" s="114"/>
      <c r="V13" s="114"/>
      <c r="W13" s="114"/>
      <c r="X13" s="114"/>
      <c r="Y13" s="114"/>
      <c r="Z13" s="114"/>
      <c r="AA13" s="114"/>
      <c r="AB13" s="114"/>
      <c r="AC13" s="114"/>
      <c r="AD13" s="114"/>
      <c r="AE13" s="114"/>
      <c r="AF13" s="114"/>
      <c r="AG13" s="114"/>
      <c r="AH13" s="113"/>
      <c r="AI13" s="99"/>
    </row>
    <row r="14" spans="1:39" s="18" customFormat="1" ht="16.899999999999999" customHeight="1">
      <c r="D14" s="115" t="s">
        <v>168</v>
      </c>
      <c r="E14" s="114"/>
      <c r="F14" s="114"/>
      <c r="G14" s="114"/>
      <c r="H14" s="114"/>
      <c r="I14" s="114"/>
      <c r="J14" s="114"/>
      <c r="K14" s="114"/>
      <c r="L14" s="114"/>
      <c r="M14" s="114"/>
      <c r="N14" s="114"/>
      <c r="O14" s="114"/>
      <c r="P14" s="114"/>
      <c r="Q14" s="114"/>
      <c r="R14" s="114"/>
      <c r="S14" s="114"/>
      <c r="T14" s="114"/>
      <c r="U14" s="114"/>
      <c r="V14" s="114"/>
      <c r="W14" s="114"/>
      <c r="X14" s="114"/>
      <c r="Y14" s="114"/>
      <c r="Z14" s="114"/>
      <c r="AA14" s="114"/>
      <c r="AB14" s="114"/>
      <c r="AC14" s="114"/>
      <c r="AD14" s="114"/>
      <c r="AE14" s="114"/>
      <c r="AF14" s="114"/>
      <c r="AG14" s="114"/>
      <c r="AH14" s="113"/>
      <c r="AI14" s="99"/>
    </row>
    <row r="15" spans="1:39" ht="22.5" customHeight="1">
      <c r="AI15" s="54"/>
      <c r="AM15" s="110"/>
    </row>
    <row r="16" spans="1:39" ht="22.5" customHeight="1">
      <c r="A16" s="61" t="str">
        <f>IF(SUBTOTAL(103,C18),"-","+")</f>
        <v>-</v>
      </c>
      <c r="B16" s="1483" t="s">
        <v>167</v>
      </c>
      <c r="C16" s="1483"/>
      <c r="D16" s="1483"/>
      <c r="E16" s="1483"/>
      <c r="F16" s="1483"/>
      <c r="G16" s="1483"/>
      <c r="H16" s="1483"/>
      <c r="AJ16" s="32"/>
      <c r="AK16" s="32"/>
    </row>
    <row r="17" spans="1:39" ht="7.15" customHeight="1">
      <c r="A17" s="112"/>
      <c r="B17" s="52"/>
      <c r="C17" s="51"/>
      <c r="D17" s="51"/>
      <c r="E17" s="51"/>
      <c r="F17" s="51"/>
      <c r="G17" s="51"/>
      <c r="H17" s="51"/>
      <c r="I17" s="51"/>
      <c r="J17" s="51"/>
      <c r="K17" s="51"/>
      <c r="L17" s="106"/>
      <c r="R17" s="110"/>
    </row>
    <row r="18" spans="1:39" ht="22.5" customHeight="1">
      <c r="B18" s="53"/>
      <c r="C18" s="109" t="s">
        <v>166</v>
      </c>
      <c r="D18" s="109"/>
      <c r="I18" s="1503">
        <f>IFERROR(DATE(_xlfn.SINGLE(Tax_Year),6,30),DATE(IF(MONTH(C6)&gt;6,1,0)+YEAR(C6),6,30))</f>
        <v>45473</v>
      </c>
      <c r="J18" s="1504"/>
      <c r="L18" s="106"/>
      <c r="R18" s="110"/>
    </row>
    <row r="19" spans="1:39" ht="7.15" customHeight="1">
      <c r="B19" s="53"/>
      <c r="C19" s="111"/>
      <c r="L19" s="106"/>
      <c r="R19" s="110"/>
    </row>
    <row r="20" spans="1:39" ht="22.5" customHeight="1">
      <c r="A20" s="17" t="s">
        <v>58</v>
      </c>
      <c r="B20" s="53"/>
      <c r="C20" s="109" t="s">
        <v>165</v>
      </c>
      <c r="D20" s="109"/>
      <c r="I20" s="1500" t="s">
        <v>164</v>
      </c>
      <c r="J20" s="1501"/>
      <c r="L20" s="106"/>
    </row>
    <row r="21" spans="1:39" ht="7.5" customHeight="1">
      <c r="B21" s="53"/>
      <c r="L21" s="106"/>
    </row>
    <row r="22" spans="1:39" ht="22.5" customHeight="1">
      <c r="B22" s="53"/>
      <c r="I22" s="1505" t="s">
        <v>163</v>
      </c>
      <c r="J22" s="1506"/>
      <c r="L22" s="106"/>
    </row>
    <row r="23" spans="1:39" ht="7.15" customHeight="1">
      <c r="B23" s="40"/>
      <c r="C23" s="107"/>
      <c r="D23" s="107"/>
      <c r="E23" s="107"/>
      <c r="F23" s="107"/>
      <c r="G23" s="107"/>
      <c r="H23" s="108"/>
      <c r="I23" s="107"/>
      <c r="J23" s="107"/>
      <c r="K23" s="107"/>
      <c r="L23" s="106"/>
    </row>
    <row r="24" spans="1:39" ht="22.5" customHeight="1">
      <c r="H24" s="105"/>
      <c r="J24" s="105"/>
      <c r="K24" s="104"/>
      <c r="L24" s="103"/>
      <c r="M24" s="102"/>
      <c r="R24" s="32"/>
      <c r="S24" s="32"/>
      <c r="T24" s="32"/>
      <c r="U24" s="32"/>
      <c r="V24" s="32"/>
      <c r="W24" s="32"/>
    </row>
    <row r="25" spans="1:39" ht="22.5" customHeight="1">
      <c r="A25" s="65"/>
      <c r="B25" s="1483" t="s">
        <v>162</v>
      </c>
      <c r="C25" s="1483"/>
      <c r="D25" s="1483"/>
      <c r="E25" s="1483"/>
      <c r="F25" s="1483"/>
      <c r="G25" s="1483"/>
      <c r="H25" s="1483"/>
    </row>
    <row r="26" spans="1:39" ht="7.5" customHeight="1">
      <c r="B26" s="52"/>
      <c r="C26" s="51"/>
      <c r="D26" s="51"/>
      <c r="E26" s="51"/>
      <c r="F26" s="51"/>
      <c r="G26" s="51"/>
      <c r="H26" s="51"/>
      <c r="I26" s="51"/>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60"/>
      <c r="AK26" s="32"/>
    </row>
    <row r="27" spans="1:39" s="18" customFormat="1" ht="16.899999999999999" customHeight="1">
      <c r="B27" s="30"/>
      <c r="C27" s="1498" t="s">
        <v>161</v>
      </c>
      <c r="D27" s="1498"/>
      <c r="E27" s="1498"/>
      <c r="F27" s="1498"/>
      <c r="G27" s="1498"/>
      <c r="H27" s="1498"/>
      <c r="I27" s="1498"/>
      <c r="J27" s="1498"/>
      <c r="K27" s="1498"/>
      <c r="L27" s="1498"/>
      <c r="M27" s="1498"/>
      <c r="N27" s="1498"/>
      <c r="O27" s="1498"/>
      <c r="P27" s="1498"/>
      <c r="Q27" s="1498"/>
      <c r="R27" s="1498"/>
      <c r="S27" s="57"/>
      <c r="T27" s="57"/>
      <c r="U27" s="57"/>
      <c r="V27" s="57"/>
      <c r="W27" s="57"/>
      <c r="X27" s="57"/>
      <c r="Y27" s="57"/>
      <c r="Z27" s="57"/>
      <c r="AA27" s="57"/>
      <c r="AB27" s="57"/>
      <c r="AC27" s="57"/>
      <c r="AD27" s="57"/>
      <c r="AE27" s="57"/>
      <c r="AF27" s="57"/>
      <c r="AG27" s="57"/>
      <c r="AH27" s="100"/>
      <c r="AI27" s="99"/>
      <c r="AJ27" s="32"/>
      <c r="AK27" s="32"/>
    </row>
    <row r="28" spans="1:39" ht="7.5" customHeight="1">
      <c r="B28" s="53"/>
      <c r="C28" s="98"/>
      <c r="D28" s="98"/>
      <c r="E28" s="98"/>
      <c r="F28" s="98"/>
      <c r="G28" s="98"/>
      <c r="H28" s="98"/>
      <c r="I28" s="98"/>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7"/>
      <c r="AI28" s="54"/>
      <c r="AJ28" s="32"/>
      <c r="AK28" s="32"/>
    </row>
    <row r="29" spans="1:39" ht="22.15" customHeight="1">
      <c r="B29" s="53"/>
      <c r="H29" s="1508" t="s">
        <v>160</v>
      </c>
      <c r="I29" s="1509"/>
      <c r="J29" s="1509"/>
      <c r="K29" s="1509"/>
      <c r="L29" s="1509"/>
      <c r="M29" s="1509"/>
      <c r="N29" s="1509"/>
      <c r="O29" s="1509"/>
      <c r="P29" s="1510"/>
      <c r="Q29" s="1488" t="s">
        <v>159</v>
      </c>
      <c r="R29" s="1488"/>
      <c r="S29" s="1488"/>
      <c r="T29" s="1488"/>
      <c r="U29" s="1488"/>
      <c r="V29" s="1418" t="s">
        <v>158</v>
      </c>
      <c r="W29" s="1487"/>
      <c r="X29" s="1419"/>
      <c r="Y29" s="1484" t="s">
        <v>157</v>
      </c>
      <c r="Z29" s="1485"/>
      <c r="AA29" s="1485"/>
      <c r="AB29" s="1485"/>
      <c r="AC29" s="1485"/>
      <c r="AD29" s="1485"/>
      <c r="AE29" s="1485"/>
      <c r="AF29" s="1486"/>
      <c r="AH29" s="33"/>
      <c r="AJ29" s="32"/>
      <c r="AK29" s="32"/>
    </row>
    <row r="30" spans="1:39" ht="22.15" customHeight="1">
      <c r="B30" s="53"/>
      <c r="C30" s="96"/>
      <c r="D30" s="51"/>
      <c r="E30" s="50"/>
      <c r="F30" s="49"/>
      <c r="G30" s="49"/>
      <c r="H30" s="92" t="s">
        <v>148</v>
      </c>
      <c r="I30" s="95" t="s">
        <v>147</v>
      </c>
      <c r="J30" s="95" t="s">
        <v>146</v>
      </c>
      <c r="K30" s="95" t="s">
        <v>145</v>
      </c>
      <c r="L30" s="95" t="s">
        <v>144</v>
      </c>
      <c r="M30" s="95" t="s">
        <v>143</v>
      </c>
      <c r="N30" s="95" t="s">
        <v>142</v>
      </c>
      <c r="O30" s="47" t="s">
        <v>141</v>
      </c>
      <c r="P30" s="94" t="s">
        <v>156</v>
      </c>
      <c r="Q30" s="45" t="s">
        <v>140</v>
      </c>
      <c r="R30" s="45" t="s">
        <v>139</v>
      </c>
      <c r="S30" s="45" t="s">
        <v>138</v>
      </c>
      <c r="T30" s="45" t="s">
        <v>137</v>
      </c>
      <c r="U30" s="44">
        <v>4</v>
      </c>
      <c r="V30" s="45" t="s">
        <v>136</v>
      </c>
      <c r="W30" s="45" t="s">
        <v>135</v>
      </c>
      <c r="X30" s="45" t="s">
        <v>134</v>
      </c>
      <c r="Y30" s="46" t="s">
        <v>133</v>
      </c>
      <c r="Z30" s="45" t="s">
        <v>132</v>
      </c>
      <c r="AA30" s="45"/>
      <c r="AB30" s="45"/>
      <c r="AC30" s="45" t="s">
        <v>129</v>
      </c>
      <c r="AD30" s="45"/>
      <c r="AE30" s="45"/>
      <c r="AF30" s="44" t="s">
        <v>126</v>
      </c>
      <c r="AG30" s="93">
        <v>9</v>
      </c>
      <c r="AH30" s="33"/>
      <c r="AJ30" s="1463" t="s">
        <v>155</v>
      </c>
      <c r="AK30" s="1492"/>
    </row>
    <row r="31" spans="1:39" s="31" customFormat="1" ht="45" customHeight="1">
      <c r="B31" s="41"/>
      <c r="C31" s="91"/>
      <c r="D31" s="90"/>
      <c r="E31" s="89"/>
      <c r="F31" s="88"/>
      <c r="G31" s="88"/>
      <c r="H31" s="87" t="s">
        <v>121</v>
      </c>
      <c r="I31" s="84" t="s">
        <v>120</v>
      </c>
      <c r="J31" s="84" t="s">
        <v>119</v>
      </c>
      <c r="K31" s="84" t="s">
        <v>118</v>
      </c>
      <c r="L31" s="84" t="s">
        <v>117</v>
      </c>
      <c r="M31" s="84" t="s">
        <v>116</v>
      </c>
      <c r="N31" s="84" t="s">
        <v>115</v>
      </c>
      <c r="O31" s="38" t="s">
        <v>114</v>
      </c>
      <c r="P31" s="86" t="s">
        <v>113</v>
      </c>
      <c r="Q31" s="84" t="s">
        <v>112</v>
      </c>
      <c r="R31" s="84" t="s">
        <v>111</v>
      </c>
      <c r="S31" s="84" t="s">
        <v>110</v>
      </c>
      <c r="T31" s="84" t="s">
        <v>109</v>
      </c>
      <c r="U31" s="83" t="s">
        <v>108</v>
      </c>
      <c r="V31" s="84" t="s">
        <v>106</v>
      </c>
      <c r="W31" s="84" t="s">
        <v>154</v>
      </c>
      <c r="X31" s="84" t="s">
        <v>106</v>
      </c>
      <c r="Y31" s="85" t="s">
        <v>105</v>
      </c>
      <c r="Z31" s="84" t="s">
        <v>104</v>
      </c>
      <c r="AA31" s="84"/>
      <c r="AB31" s="84"/>
      <c r="AC31" s="84" t="s">
        <v>102</v>
      </c>
      <c r="AD31" s="84"/>
      <c r="AE31" s="84"/>
      <c r="AF31" s="83" t="s">
        <v>99</v>
      </c>
      <c r="AG31" s="82" t="s">
        <v>98</v>
      </c>
      <c r="AH31" s="33"/>
      <c r="AJ31" s="1493"/>
      <c r="AK31" s="1494"/>
      <c r="AL31" s="80" t="s">
        <v>153</v>
      </c>
      <c r="AM31" s="79" t="s">
        <v>152</v>
      </c>
    </row>
    <row r="32" spans="1:39" s="18" customFormat="1" ht="7.5" customHeight="1">
      <c r="B32" s="30"/>
      <c r="C32" s="1423"/>
      <c r="D32" s="1507"/>
      <c r="E32" s="1507"/>
      <c r="F32" s="78"/>
      <c r="G32" s="78"/>
      <c r="H32" s="78"/>
      <c r="I32" s="78"/>
      <c r="AH32" s="24"/>
    </row>
    <row r="33" spans="2:39" s="18" customFormat="1" ht="16.899999999999999" customHeight="1">
      <c r="B33" s="30"/>
      <c r="C33" s="66">
        <v>24</v>
      </c>
      <c r="D33" s="1489">
        <f>DATE(YEAR(D35),MONTH(D35),0)</f>
        <v>45107</v>
      </c>
      <c r="E33" s="1490"/>
      <c r="F33" s="1490"/>
      <c r="G33" s="1491"/>
      <c r="H33" s="26" t="str" cm="1">
        <f t="array" ref="H33">IFERROR(INDEX(Model_AS.List.LabelG1,$AM33,1),"")</f>
        <v/>
      </c>
      <c r="I33" s="26" t="str" cm="1">
        <f t="array" ref="I33">IFERROR(INDEX(Model_AS.List.LabelG2,$AM33,1),"")</f>
        <v/>
      </c>
      <c r="J33" s="26" t="str" cm="1">
        <f t="array" ref="J33">IFERROR(INDEX(Model_AS.List.LabelG3,$AM33,1),"")</f>
        <v/>
      </c>
      <c r="K33" s="26" t="str" cm="1">
        <f t="array" ref="K33">IFERROR(INDEX(Model_AS.List.LabelG10,$AM33,1),"")</f>
        <v/>
      </c>
      <c r="L33" s="26" t="str" cm="1">
        <f t="array" ref="L33">IFERROR(INDEX(Model_AS.List.LabelG11,$AM33,1),"")</f>
        <v/>
      </c>
      <c r="M33" s="26" t="str" cm="1">
        <f t="array" ref="M33">IFERROR(INDEX(Model_AS.List.Label1A,$AM33,1),"")</f>
        <v/>
      </c>
      <c r="N33" s="26" t="str" cm="1">
        <f t="array" ref="N33">IFERROR(INDEX(Model_AS.List.Label1B,$AM33,1),"")</f>
        <v/>
      </c>
      <c r="O33" s="26" t="str" cm="1">
        <f t="array" ref="O33">IFERROR(INDEX(Model_AS.List.Label7A,$AM33,1),"")</f>
        <v/>
      </c>
      <c r="P33" s="25">
        <f>IF(M33="",0,M33)-IF(N33="",0,N33)+IF(O33="",0,O33)</f>
        <v>0</v>
      </c>
      <c r="Q33" s="26" t="str" cm="1">
        <f t="array" ref="Q33">IFERROR(INDEX(Model_AS.List.LabelW1,$AM33,1),"")</f>
        <v/>
      </c>
      <c r="R33" s="26" t="str" cm="1">
        <f t="array" ref="R33">IFERROR(INDEX(Model_AS.List.LabelW2,$AM33,1),"")</f>
        <v/>
      </c>
      <c r="S33" s="26" t="str" cm="1">
        <f t="array" ref="S33">IFERROR(INDEX(Model_AS.List.LabelW4,$AM33,1),"")</f>
        <v/>
      </c>
      <c r="T33" s="26" t="str" cm="1">
        <f t="array" ref="T33">IFERROR(INDEX(Model_AS.List.LabelW3,$AM33,1),"")</f>
        <v/>
      </c>
      <c r="U33" s="26" t="str" cm="1">
        <f t="array" ref="U33">IFERROR(INDEX(Model_AS.List.Label4,$AM33,1),"")</f>
        <v/>
      </c>
      <c r="V33" s="26" t="str" cm="1">
        <f t="array" ref="V33">IFERROR(INDEX(Model_AS.List.Label5A,$AM33,1),"")</f>
        <v/>
      </c>
      <c r="W33" s="26" t="str" cm="1">
        <f t="array" ref="W33">IFERROR(INDEX(Model_AS.List.Label5B,$AM33,1),"")</f>
        <v/>
      </c>
      <c r="X33" s="26" t="str" cm="1">
        <f t="array" ref="X33">IFERROR(INDEX(Model_AS.List.Label5A5B,$AM33,1),"")</f>
        <v/>
      </c>
      <c r="Y33" s="26" t="str" cm="1">
        <f t="array" ref="Y33">IFERROR(INDEX(Model_AS.List.Label1C1D,$AM33,1),"")</f>
        <v/>
      </c>
      <c r="Z33" s="26" t="str" cm="1">
        <f t="array" ref="Z33">IFERROR(INDEX(Model_AS.List.Label1E1F,$AM33,1),"")</f>
        <v/>
      </c>
      <c r="AA33" s="26"/>
      <c r="AB33" s="26"/>
      <c r="AC33" s="26" t="str" cm="1">
        <f t="array" ref="AC33">IFERROR(INDEX(Model_AS.List.Label6A6B,$AM33,1),"")</f>
        <v/>
      </c>
      <c r="AD33" s="26"/>
      <c r="AE33" s="26"/>
      <c r="AF33" s="26" t="str" cm="1">
        <f t="array" ref="AF33">IFERROR(INDEX(Model_AS.List.Label7C7D,$AM33,1),"")</f>
        <v/>
      </c>
      <c r="AG33" s="25">
        <f>SUM(P33,U33,X33,Y33,Z33,AC33,AF33)</f>
        <v>0</v>
      </c>
      <c r="AH33" s="24"/>
      <c r="AJ33" s="23"/>
      <c r="AK33" s="22"/>
      <c r="AM33" s="63" t="e">
        <f>_xlfn.XMATCH($C33,ATO_PeriodNos,0)</f>
        <v>#N/A</v>
      </c>
    </row>
    <row r="34" spans="2:39" s="18" customFormat="1" ht="16.899999999999999" customHeight="1">
      <c r="B34" s="30"/>
      <c r="C34" s="77"/>
      <c r="D34" s="76"/>
      <c r="E34" s="70"/>
      <c r="F34" s="64"/>
      <c r="G34" s="64"/>
      <c r="H34" s="75"/>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24"/>
      <c r="AJ34" s="73"/>
      <c r="AK34" s="73"/>
    </row>
    <row r="35" spans="2:39" s="18" customFormat="1" ht="16.899999999999999" customHeight="1">
      <c r="B35" s="30"/>
      <c r="C35" s="66">
        <v>1</v>
      </c>
      <c r="D35" s="1489">
        <f t="shared" ref="D35:D45" si="0">DATE(YEAR(D36),MONTH(D36),0)</f>
        <v>45138</v>
      </c>
      <c r="E35" s="1490"/>
      <c r="F35" s="1490"/>
      <c r="G35" s="1491"/>
      <c r="H35" s="26" t="str" cm="1">
        <f t="array" ref="H35">IFERROR(INDEX(Model_AS.List.LabelG1,$AM35,1),"")</f>
        <v/>
      </c>
      <c r="I35" s="26" t="str" cm="1">
        <f t="array" ref="I35">IFERROR(INDEX(Model_AS.List.LabelG2,$AM35,1),"")</f>
        <v/>
      </c>
      <c r="J35" s="26" t="str" cm="1">
        <f t="array" ref="J35">IFERROR(INDEX(Model_AS.List.LabelG3,$AM35,1),"")</f>
        <v/>
      </c>
      <c r="K35" s="26" t="str" cm="1">
        <f t="array" ref="K35">IFERROR(INDEX(Model_AS.List.LabelG10,$AM35,1),"")</f>
        <v/>
      </c>
      <c r="L35" s="26" t="str" cm="1">
        <f t="array" ref="L35">IFERROR(INDEX(Model_AS.List.LabelG11,$AM35,1),"")</f>
        <v/>
      </c>
      <c r="M35" s="26" t="str" cm="1">
        <f t="array" ref="M35">IFERROR(INDEX(Model_AS.List.Label1A,$AM35,1),"")</f>
        <v/>
      </c>
      <c r="N35" s="26" t="str" cm="1">
        <f t="array" ref="N35">IFERROR(INDEX(Model_AS.List.Label1B,$AM35,1),"")</f>
        <v/>
      </c>
      <c r="O35" s="26" t="str" cm="1">
        <f t="array" ref="O35">IFERROR(INDEX(Model_AS.List.Label7A,$AM35,1),"")</f>
        <v/>
      </c>
      <c r="P35" s="25">
        <f t="shared" ref="P35:P46" si="1">IF(M35="",0,M35)-IF(N35="",0,N35)+IF(O35="",0,O35)</f>
        <v>0</v>
      </c>
      <c r="Q35" s="26" t="str" cm="1">
        <f t="array" ref="Q35">IFERROR(INDEX(Model_AS.List.LabelW1,$AM35,1),"")</f>
        <v/>
      </c>
      <c r="R35" s="26" t="str" cm="1">
        <f t="array" ref="R35">IFERROR(INDEX(Model_AS.List.LabelW2,$AM35,1),"")</f>
        <v/>
      </c>
      <c r="S35" s="26" t="str" cm="1">
        <f t="array" ref="S35">IFERROR(INDEX(Model_AS.List.LabelW4,$AM35,1),"")</f>
        <v/>
      </c>
      <c r="T35" s="26" t="str" cm="1">
        <f t="array" ref="T35">IFERROR(INDEX(Model_AS.List.LabelW3,$AM35,1),"")</f>
        <v/>
      </c>
      <c r="U35" s="26" t="str" cm="1">
        <f t="array" ref="U35">IFERROR(INDEX(Model_AS.List.Label4,$AM35,1),"")</f>
        <v/>
      </c>
      <c r="V35" s="26" t="str" cm="1">
        <f t="array" ref="V35">IFERROR(INDEX(Model_AS.List.Label5A,$AM35,1),"")</f>
        <v/>
      </c>
      <c r="W35" s="26" t="str" cm="1">
        <f t="array" ref="W35">IFERROR(INDEX(Model_AS.List.Label5B,$AM35,1),"")</f>
        <v/>
      </c>
      <c r="X35" s="26" t="str" cm="1">
        <f t="array" ref="X35">IFERROR(INDEX(Model_AS.List.Label5A5B,$AM35,1),"")</f>
        <v/>
      </c>
      <c r="Y35" s="26" t="str" cm="1">
        <f t="array" ref="Y35">IFERROR(INDEX(Model_AS.List.Label1C1D,$AM35,1),"")</f>
        <v/>
      </c>
      <c r="Z35" s="26" t="str" cm="1">
        <f t="array" ref="Z35">IFERROR(INDEX(Model_AS.List.Label1E1F,$AM35,1),"")</f>
        <v/>
      </c>
      <c r="AA35" s="26"/>
      <c r="AB35" s="26"/>
      <c r="AC35" s="26" t="str" cm="1">
        <f t="array" ref="AC35">IFERROR(INDEX(Model_AS.List.Label6A6B,$AM35,1),"")</f>
        <v/>
      </c>
      <c r="AD35" s="26"/>
      <c r="AE35" s="26"/>
      <c r="AF35" s="26" t="str" cm="1">
        <f t="array" ref="AF35">IFERROR(INDEX(Model_AS.List.Label7C7D,$AM35,1),"")</f>
        <v/>
      </c>
      <c r="AG35" s="25">
        <f t="shared" ref="AG35:AG46" si="2">SUM(P35,U35,X35,Y35,Z35,AC35,AF35)</f>
        <v>0</v>
      </c>
      <c r="AH35" s="24"/>
      <c r="AJ35" s="23"/>
      <c r="AK35" s="22"/>
      <c r="AL35" s="18" t="b">
        <f>SelectedFrequency&lt;&gt;"Monthly"</f>
        <v>0</v>
      </c>
      <c r="AM35" s="63" t="e">
        <f t="shared" ref="AM35:AM46" si="3">_xlfn.XMATCH($C35,ATO_PeriodNos,0)</f>
        <v>#N/A</v>
      </c>
    </row>
    <row r="36" spans="2:39" s="18" customFormat="1" ht="16.899999999999999" customHeight="1">
      <c r="B36" s="30"/>
      <c r="C36" s="66">
        <v>2</v>
      </c>
      <c r="D36" s="1489">
        <f t="shared" si="0"/>
        <v>45169</v>
      </c>
      <c r="E36" s="1490"/>
      <c r="F36" s="1490"/>
      <c r="G36" s="1491"/>
      <c r="H36" s="26" t="str" cm="1">
        <f t="array" ref="H36">IFERROR(INDEX(Model_AS.List.LabelG1,$AM36,1),"")</f>
        <v/>
      </c>
      <c r="I36" s="26" t="str" cm="1">
        <f t="array" ref="I36">IFERROR(INDEX(Model_AS.List.LabelG2,$AM36,1),"")</f>
        <v/>
      </c>
      <c r="J36" s="26" t="str" cm="1">
        <f t="array" ref="J36">IFERROR(INDEX(Model_AS.List.LabelG3,$AM36,1),"")</f>
        <v/>
      </c>
      <c r="K36" s="26" t="str" cm="1">
        <f t="array" ref="K36">IFERROR(INDEX(Model_AS.List.LabelG10,$AM36,1),"")</f>
        <v/>
      </c>
      <c r="L36" s="26" t="str" cm="1">
        <f t="array" ref="L36">IFERROR(INDEX(Model_AS.List.LabelG11,$AM36,1),"")</f>
        <v/>
      </c>
      <c r="M36" s="26" t="str" cm="1">
        <f t="array" ref="M36">IFERROR(INDEX(Model_AS.List.Label1A,$AM36,1),"")</f>
        <v/>
      </c>
      <c r="N36" s="26" t="str" cm="1">
        <f t="array" ref="N36">IFERROR(INDEX(Model_AS.List.Label1B,$AM36,1),"")</f>
        <v/>
      </c>
      <c r="O36" s="26" t="str" cm="1">
        <f t="array" ref="O36">IFERROR(INDEX(Model_AS.List.Label7A,$AM36,1),"")</f>
        <v/>
      </c>
      <c r="P36" s="25">
        <f t="shared" si="1"/>
        <v>0</v>
      </c>
      <c r="Q36" s="26" t="str" cm="1">
        <f t="array" ref="Q36">IFERROR(INDEX(Model_AS.List.LabelW1,$AM36,1),"")</f>
        <v/>
      </c>
      <c r="R36" s="26" t="str" cm="1">
        <f t="array" ref="R36">IFERROR(INDEX(Model_AS.List.LabelW2,$AM36,1),"")</f>
        <v/>
      </c>
      <c r="S36" s="26" t="str" cm="1">
        <f t="array" ref="S36">IFERROR(INDEX(Model_AS.List.LabelW4,$AM36,1),"")</f>
        <v/>
      </c>
      <c r="T36" s="26" t="str" cm="1">
        <f t="array" ref="T36">IFERROR(INDEX(Model_AS.List.LabelW3,$AM36,1),"")</f>
        <v/>
      </c>
      <c r="U36" s="26" t="str" cm="1">
        <f t="array" ref="U36">IFERROR(INDEX(Model_AS.List.Label4,$AM36,1),"")</f>
        <v/>
      </c>
      <c r="V36" s="26" t="str" cm="1">
        <f t="array" ref="V36">IFERROR(INDEX(Model_AS.List.Label5A,$AM36,1),"")</f>
        <v/>
      </c>
      <c r="W36" s="26" t="str" cm="1">
        <f t="array" ref="W36">IFERROR(INDEX(Model_AS.List.Label5B,$AM36,1),"")</f>
        <v/>
      </c>
      <c r="X36" s="26" t="str" cm="1">
        <f t="array" ref="X36">IFERROR(INDEX(Model_AS.List.Label5A5B,$AM36,1),"")</f>
        <v/>
      </c>
      <c r="Y36" s="26" t="str" cm="1">
        <f t="array" ref="Y36">IFERROR(INDEX(Model_AS.List.Label1C1D,$AM36,1),"")</f>
        <v/>
      </c>
      <c r="Z36" s="26" t="str" cm="1">
        <f t="array" ref="Z36">IFERROR(INDEX(Model_AS.List.Label1E1F,$AM36,1),"")</f>
        <v/>
      </c>
      <c r="AA36" s="26"/>
      <c r="AB36" s="26"/>
      <c r="AC36" s="26" t="str" cm="1">
        <f t="array" ref="AC36">IFERROR(INDEX(Model_AS.List.Label6A6B,$AM36,1),"")</f>
        <v/>
      </c>
      <c r="AD36" s="26"/>
      <c r="AE36" s="26"/>
      <c r="AF36" s="26" t="str" cm="1">
        <f t="array" ref="AF36">IFERROR(INDEX(Model_AS.List.Label7C7D,$AM36,1),"")</f>
        <v/>
      </c>
      <c r="AG36" s="25">
        <f t="shared" si="2"/>
        <v>0</v>
      </c>
      <c r="AH36" s="24"/>
      <c r="AJ36" s="23"/>
      <c r="AK36" s="22"/>
      <c r="AL36" s="18" t="b">
        <f>SelectedFrequency&lt;&gt;"Monthly"</f>
        <v>0</v>
      </c>
      <c r="AM36" s="63" t="e">
        <f t="shared" si="3"/>
        <v>#N/A</v>
      </c>
    </row>
    <row r="37" spans="2:39" s="18" customFormat="1" ht="16.899999999999999" customHeight="1">
      <c r="B37" s="30"/>
      <c r="C37" s="66">
        <v>3</v>
      </c>
      <c r="D37" s="1489">
        <f t="shared" si="0"/>
        <v>45199</v>
      </c>
      <c r="E37" s="1490"/>
      <c r="F37" s="1490"/>
      <c r="G37" s="1491"/>
      <c r="H37" s="26" t="str" cm="1">
        <f t="array" ref="H37">IFERROR(INDEX(Model_AS.List.LabelG1,$AM37,1),"")</f>
        <v/>
      </c>
      <c r="I37" s="26" t="str" cm="1">
        <f t="array" ref="I37">IFERROR(INDEX(Model_AS.List.LabelG2,$AM37,1),"")</f>
        <v/>
      </c>
      <c r="J37" s="26" t="str" cm="1">
        <f t="array" ref="J37">IFERROR(INDEX(Model_AS.List.LabelG3,$AM37,1),"")</f>
        <v/>
      </c>
      <c r="K37" s="26" t="str" cm="1">
        <f t="array" ref="K37">IFERROR(INDEX(Model_AS.List.LabelG10,$AM37,1),"")</f>
        <v/>
      </c>
      <c r="L37" s="26" t="str" cm="1">
        <f t="array" ref="L37">IFERROR(INDEX(Model_AS.List.LabelG11,$AM37,1),"")</f>
        <v/>
      </c>
      <c r="M37" s="26" t="str" cm="1">
        <f t="array" ref="M37">IFERROR(INDEX(Model_AS.List.Label1A,$AM37,1),"")</f>
        <v/>
      </c>
      <c r="N37" s="26" t="str" cm="1">
        <f t="array" ref="N37">IFERROR(INDEX(Model_AS.List.Label1B,$AM37,1),"")</f>
        <v/>
      </c>
      <c r="O37" s="26" t="str" cm="1">
        <f t="array" ref="O37">IFERROR(INDEX(Model_AS.List.Label7A,$AM37,1),"")</f>
        <v/>
      </c>
      <c r="P37" s="25">
        <f t="shared" si="1"/>
        <v>0</v>
      </c>
      <c r="Q37" s="26" t="str" cm="1">
        <f t="array" ref="Q37">IFERROR(INDEX(Model_AS.List.LabelW1,$AM37,1),"")</f>
        <v/>
      </c>
      <c r="R37" s="26" t="str" cm="1">
        <f t="array" ref="R37">IFERROR(INDEX(Model_AS.List.LabelW2,$AM37,1),"")</f>
        <v/>
      </c>
      <c r="S37" s="26" t="str" cm="1">
        <f t="array" ref="S37">IFERROR(INDEX(Model_AS.List.LabelW4,$AM37,1),"")</f>
        <v/>
      </c>
      <c r="T37" s="26" t="str" cm="1">
        <f t="array" ref="T37">IFERROR(INDEX(Model_AS.List.LabelW3,$AM37,1),"")</f>
        <v/>
      </c>
      <c r="U37" s="26" t="str" cm="1">
        <f t="array" ref="U37">IFERROR(INDEX(Model_AS.List.Label4,$AM37,1),"")</f>
        <v/>
      </c>
      <c r="V37" s="26" t="str" cm="1">
        <f t="array" ref="V37">IFERROR(INDEX(Model_AS.List.Label5A,$AM37,1),"")</f>
        <v/>
      </c>
      <c r="W37" s="26" t="str" cm="1">
        <f t="array" ref="W37">IFERROR(INDEX(Model_AS.List.Label5B,$AM37,1),"")</f>
        <v/>
      </c>
      <c r="X37" s="26" t="str" cm="1">
        <f t="array" ref="X37">IFERROR(INDEX(Model_AS.List.Label5A5B,$AM37,1),"")</f>
        <v/>
      </c>
      <c r="Y37" s="26" t="str" cm="1">
        <f t="array" ref="Y37">IFERROR(INDEX(Model_AS.List.Label1C1D,$AM37,1),"")</f>
        <v/>
      </c>
      <c r="Z37" s="26" t="str" cm="1">
        <f t="array" ref="Z37">IFERROR(INDEX(Model_AS.List.Label1E1F,$AM37,1),"")</f>
        <v/>
      </c>
      <c r="AA37" s="26"/>
      <c r="AB37" s="26"/>
      <c r="AC37" s="26" t="str" cm="1">
        <f t="array" ref="AC37">IFERROR(INDEX(Model_AS.List.Label6A6B,$AM37,1),"")</f>
        <v/>
      </c>
      <c r="AD37" s="26"/>
      <c r="AE37" s="26"/>
      <c r="AF37" s="26" t="str" cm="1">
        <f t="array" ref="AF37">IFERROR(INDEX(Model_AS.List.Label7C7D,$AM37,1),"")</f>
        <v/>
      </c>
      <c r="AG37" s="25">
        <f t="shared" si="2"/>
        <v>0</v>
      </c>
      <c r="AH37" s="24"/>
      <c r="AJ37" s="23"/>
      <c r="AK37" s="22"/>
      <c r="AL37" s="18" t="b">
        <f>AND(SelectedFrequency&lt;&gt;"Monthly", SelectedFrequency&lt;&gt;"Quarterly")</f>
        <v>0</v>
      </c>
      <c r="AM37" s="63" t="e">
        <f t="shared" si="3"/>
        <v>#N/A</v>
      </c>
    </row>
    <row r="38" spans="2:39" s="18" customFormat="1" ht="16.899999999999999" customHeight="1">
      <c r="B38" s="30"/>
      <c r="C38" s="66">
        <v>4</v>
      </c>
      <c r="D38" s="1489">
        <f t="shared" si="0"/>
        <v>45230</v>
      </c>
      <c r="E38" s="1490"/>
      <c r="F38" s="1490"/>
      <c r="G38" s="1491"/>
      <c r="H38" s="26" t="str" cm="1">
        <f t="array" ref="H38">IFERROR(INDEX(Model_AS.List.LabelG1,$AM38,1),"")</f>
        <v/>
      </c>
      <c r="I38" s="26" t="str" cm="1">
        <f t="array" ref="I38">IFERROR(INDEX(Model_AS.List.LabelG2,$AM38,1),"")</f>
        <v/>
      </c>
      <c r="J38" s="26" t="str" cm="1">
        <f t="array" ref="J38">IFERROR(INDEX(Model_AS.List.LabelG3,$AM38,1),"")</f>
        <v/>
      </c>
      <c r="K38" s="26" t="str" cm="1">
        <f t="array" ref="K38">IFERROR(INDEX(Model_AS.List.LabelG10,$AM38,1),"")</f>
        <v/>
      </c>
      <c r="L38" s="26" t="str" cm="1">
        <f t="array" ref="L38">IFERROR(INDEX(Model_AS.List.LabelG11,$AM38,1),"")</f>
        <v/>
      </c>
      <c r="M38" s="26" t="str" cm="1">
        <f t="array" ref="M38">IFERROR(INDEX(Model_AS.List.Label1A,$AM38,1),"")</f>
        <v/>
      </c>
      <c r="N38" s="26" t="str" cm="1">
        <f t="array" ref="N38">IFERROR(INDEX(Model_AS.List.Label1B,$AM38,1),"")</f>
        <v/>
      </c>
      <c r="O38" s="26" t="str" cm="1">
        <f t="array" ref="O38">IFERROR(INDEX(Model_AS.List.Label7A,$AM38,1),"")</f>
        <v/>
      </c>
      <c r="P38" s="25">
        <f t="shared" si="1"/>
        <v>0</v>
      </c>
      <c r="Q38" s="26" t="str" cm="1">
        <f t="array" ref="Q38">IFERROR(INDEX(Model_AS.List.LabelW1,$AM38,1),"")</f>
        <v/>
      </c>
      <c r="R38" s="26" t="str" cm="1">
        <f t="array" ref="R38">IFERROR(INDEX(Model_AS.List.LabelW2,$AM38,1),"")</f>
        <v/>
      </c>
      <c r="S38" s="26" t="str" cm="1">
        <f t="array" ref="S38">IFERROR(INDEX(Model_AS.List.LabelW4,$AM38,1),"")</f>
        <v/>
      </c>
      <c r="T38" s="26" t="str" cm="1">
        <f t="array" ref="T38">IFERROR(INDEX(Model_AS.List.LabelW3,$AM38,1),"")</f>
        <v/>
      </c>
      <c r="U38" s="26" t="str" cm="1">
        <f t="array" ref="U38">IFERROR(INDEX(Model_AS.List.Label4,$AM38,1),"")</f>
        <v/>
      </c>
      <c r="V38" s="26" t="str" cm="1">
        <f t="array" ref="V38">IFERROR(INDEX(Model_AS.List.Label5A,$AM38,1),"")</f>
        <v/>
      </c>
      <c r="W38" s="26" t="str" cm="1">
        <f t="array" ref="W38">IFERROR(INDEX(Model_AS.List.Label5B,$AM38,1),"")</f>
        <v/>
      </c>
      <c r="X38" s="26" t="str" cm="1">
        <f t="array" ref="X38">IFERROR(INDEX(Model_AS.List.Label5A5B,$AM38,1),"")</f>
        <v/>
      </c>
      <c r="Y38" s="26" t="str" cm="1">
        <f t="array" ref="Y38">IFERROR(INDEX(Model_AS.List.Label1C1D,$AM38,1),"")</f>
        <v/>
      </c>
      <c r="Z38" s="26" t="str" cm="1">
        <f t="array" ref="Z38">IFERROR(INDEX(Model_AS.List.Label1E1F,$AM38,1),"")</f>
        <v/>
      </c>
      <c r="AA38" s="26"/>
      <c r="AB38" s="26"/>
      <c r="AC38" s="26" t="str" cm="1">
        <f t="array" ref="AC38">IFERROR(INDEX(Model_AS.List.Label6A6B,$AM38,1),"")</f>
        <v/>
      </c>
      <c r="AD38" s="26"/>
      <c r="AE38" s="26"/>
      <c r="AF38" s="26" t="str" cm="1">
        <f t="array" ref="AF38">IFERROR(INDEX(Model_AS.List.Label7C7D,$AM38,1),"")</f>
        <v/>
      </c>
      <c r="AG38" s="25">
        <f t="shared" si="2"/>
        <v>0</v>
      </c>
      <c r="AH38" s="24"/>
      <c r="AJ38" s="23"/>
      <c r="AK38" s="22"/>
      <c r="AL38" s="18" t="b">
        <f>SelectedFrequency&lt;&gt;"Monthly"</f>
        <v>0</v>
      </c>
      <c r="AM38" s="63" t="e">
        <f t="shared" si="3"/>
        <v>#N/A</v>
      </c>
    </row>
    <row r="39" spans="2:39" s="18" customFormat="1" ht="16.899999999999999" customHeight="1">
      <c r="B39" s="30"/>
      <c r="C39" s="66">
        <v>5</v>
      </c>
      <c r="D39" s="1489">
        <f t="shared" si="0"/>
        <v>45260</v>
      </c>
      <c r="E39" s="1490"/>
      <c r="F39" s="1490"/>
      <c r="G39" s="1491"/>
      <c r="H39" s="26" t="str" cm="1">
        <f t="array" ref="H39">IFERROR(INDEX(Model_AS.List.LabelG1,$AM39,1),"")</f>
        <v/>
      </c>
      <c r="I39" s="26" t="str" cm="1">
        <f t="array" ref="I39">IFERROR(INDEX(Model_AS.List.LabelG2,$AM39,1),"")</f>
        <v/>
      </c>
      <c r="J39" s="26" t="str" cm="1">
        <f t="array" ref="J39">IFERROR(INDEX(Model_AS.List.LabelG3,$AM39,1),"")</f>
        <v/>
      </c>
      <c r="K39" s="26" t="str" cm="1">
        <f t="array" ref="K39">IFERROR(INDEX(Model_AS.List.LabelG10,$AM39,1),"")</f>
        <v/>
      </c>
      <c r="L39" s="26" t="str" cm="1">
        <f t="array" ref="L39">IFERROR(INDEX(Model_AS.List.LabelG11,$AM39,1),"")</f>
        <v/>
      </c>
      <c r="M39" s="26" t="str" cm="1">
        <f t="array" ref="M39">IFERROR(INDEX(Model_AS.List.Label1A,$AM39,1),"")</f>
        <v/>
      </c>
      <c r="N39" s="26" t="str" cm="1">
        <f t="array" ref="N39">IFERROR(INDEX(Model_AS.List.Label1B,$AM39,1),"")</f>
        <v/>
      </c>
      <c r="O39" s="26" t="str" cm="1">
        <f t="array" ref="O39">IFERROR(INDEX(Model_AS.List.Label7A,$AM39,1),"")</f>
        <v/>
      </c>
      <c r="P39" s="25">
        <f t="shared" si="1"/>
        <v>0</v>
      </c>
      <c r="Q39" s="26" t="str" cm="1">
        <f t="array" ref="Q39">IFERROR(INDEX(Model_AS.List.LabelW1,$AM39,1),"")</f>
        <v/>
      </c>
      <c r="R39" s="26" t="str" cm="1">
        <f t="array" ref="R39">IFERROR(INDEX(Model_AS.List.LabelW2,$AM39,1),"")</f>
        <v/>
      </c>
      <c r="S39" s="26" t="str" cm="1">
        <f t="array" ref="S39">IFERROR(INDEX(Model_AS.List.LabelW4,$AM39,1),"")</f>
        <v/>
      </c>
      <c r="T39" s="26" t="str" cm="1">
        <f t="array" ref="T39">IFERROR(INDEX(Model_AS.List.LabelW3,$AM39,1),"")</f>
        <v/>
      </c>
      <c r="U39" s="26" t="str" cm="1">
        <f t="array" ref="U39">IFERROR(INDEX(Model_AS.List.Label4,$AM39,1),"")</f>
        <v/>
      </c>
      <c r="V39" s="26" t="str" cm="1">
        <f t="array" ref="V39">IFERROR(INDEX(Model_AS.List.Label5A,$AM39,1),"")</f>
        <v/>
      </c>
      <c r="W39" s="26" t="str" cm="1">
        <f t="array" ref="W39">IFERROR(INDEX(Model_AS.List.Label5B,$AM39,1),"")</f>
        <v/>
      </c>
      <c r="X39" s="26" t="str" cm="1">
        <f t="array" ref="X39">IFERROR(INDEX(Model_AS.List.Label5A5B,$AM39,1),"")</f>
        <v/>
      </c>
      <c r="Y39" s="26" t="str" cm="1">
        <f t="array" ref="Y39">IFERROR(INDEX(Model_AS.List.Label1C1D,$AM39,1),"")</f>
        <v/>
      </c>
      <c r="Z39" s="26" t="str" cm="1">
        <f t="array" ref="Z39">IFERROR(INDEX(Model_AS.List.Label1E1F,$AM39,1),"")</f>
        <v/>
      </c>
      <c r="AA39" s="26"/>
      <c r="AB39" s="26"/>
      <c r="AC39" s="26" t="str" cm="1">
        <f t="array" ref="AC39">IFERROR(INDEX(Model_AS.List.Label6A6B,$AM39,1),"")</f>
        <v/>
      </c>
      <c r="AD39" s="26"/>
      <c r="AE39" s="26"/>
      <c r="AF39" s="26" t="str" cm="1">
        <f t="array" ref="AF39">IFERROR(INDEX(Model_AS.List.Label7C7D,$AM39,1),"")</f>
        <v/>
      </c>
      <c r="AG39" s="25">
        <f t="shared" si="2"/>
        <v>0</v>
      </c>
      <c r="AH39" s="24"/>
      <c r="AJ39" s="23"/>
      <c r="AK39" s="22"/>
      <c r="AL39" s="18" t="b">
        <f>SelectedFrequency&lt;&gt;"Monthly"</f>
        <v>0</v>
      </c>
      <c r="AM39" s="63" t="e">
        <f t="shared" si="3"/>
        <v>#N/A</v>
      </c>
    </row>
    <row r="40" spans="2:39" s="18" customFormat="1" ht="16.899999999999999" customHeight="1">
      <c r="B40" s="30"/>
      <c r="C40" s="66">
        <v>6</v>
      </c>
      <c r="D40" s="1489">
        <f t="shared" si="0"/>
        <v>45291</v>
      </c>
      <c r="E40" s="1490"/>
      <c r="F40" s="1490"/>
      <c r="G40" s="1491"/>
      <c r="H40" s="26" t="str" cm="1">
        <f t="array" ref="H40">IFERROR(INDEX(Model_AS.List.LabelG1,$AM40,1),"")</f>
        <v/>
      </c>
      <c r="I40" s="26" t="str" cm="1">
        <f t="array" ref="I40">IFERROR(INDEX(Model_AS.List.LabelG2,$AM40,1),"")</f>
        <v/>
      </c>
      <c r="J40" s="26" t="str" cm="1">
        <f t="array" ref="J40">IFERROR(INDEX(Model_AS.List.LabelG3,$AM40,1),"")</f>
        <v/>
      </c>
      <c r="K40" s="26" t="str" cm="1">
        <f t="array" ref="K40">IFERROR(INDEX(Model_AS.List.LabelG10,$AM40,1),"")</f>
        <v/>
      </c>
      <c r="L40" s="26" t="str" cm="1">
        <f t="array" ref="L40">IFERROR(INDEX(Model_AS.List.LabelG11,$AM40,1),"")</f>
        <v/>
      </c>
      <c r="M40" s="26" t="str" cm="1">
        <f t="array" ref="M40">IFERROR(INDEX(Model_AS.List.Label1A,$AM40,1),"")</f>
        <v/>
      </c>
      <c r="N40" s="26" t="str" cm="1">
        <f t="array" ref="N40">IFERROR(INDEX(Model_AS.List.Label1B,$AM40,1),"")</f>
        <v/>
      </c>
      <c r="O40" s="26" t="str" cm="1">
        <f t="array" ref="O40">IFERROR(INDEX(Model_AS.List.Label7A,$AM40,1),"")</f>
        <v/>
      </c>
      <c r="P40" s="25">
        <f t="shared" si="1"/>
        <v>0</v>
      </c>
      <c r="Q40" s="26" t="str" cm="1">
        <f t="array" ref="Q40">IFERROR(INDEX(Model_AS.List.LabelW1,$AM40,1),"")</f>
        <v/>
      </c>
      <c r="R40" s="26" t="str" cm="1">
        <f t="array" ref="R40">IFERROR(INDEX(Model_AS.List.LabelW2,$AM40,1),"")</f>
        <v/>
      </c>
      <c r="S40" s="26" t="str" cm="1">
        <f t="array" ref="S40">IFERROR(INDEX(Model_AS.List.LabelW4,$AM40,1),"")</f>
        <v/>
      </c>
      <c r="T40" s="26" t="str" cm="1">
        <f t="array" ref="T40">IFERROR(INDEX(Model_AS.List.LabelW3,$AM40,1),"")</f>
        <v/>
      </c>
      <c r="U40" s="26" t="str" cm="1">
        <f t="array" ref="U40">IFERROR(INDEX(Model_AS.List.Label4,$AM40,1),"")</f>
        <v/>
      </c>
      <c r="V40" s="26" t="str" cm="1">
        <f t="array" ref="V40">IFERROR(INDEX(Model_AS.List.Label5A,$AM40,1),"")</f>
        <v/>
      </c>
      <c r="W40" s="26" t="str" cm="1">
        <f t="array" ref="W40">IFERROR(INDEX(Model_AS.List.Label5B,$AM40,1),"")</f>
        <v/>
      </c>
      <c r="X40" s="26" t="str" cm="1">
        <f t="array" ref="X40">IFERROR(INDEX(Model_AS.List.Label5A5B,$AM40,1),"")</f>
        <v/>
      </c>
      <c r="Y40" s="26" t="str" cm="1">
        <f t="array" ref="Y40">IFERROR(INDEX(Model_AS.List.Label1C1D,$AM40,1),"")</f>
        <v/>
      </c>
      <c r="Z40" s="26" t="str" cm="1">
        <f t="array" ref="Z40">IFERROR(INDEX(Model_AS.List.Label1E1F,$AM40,1),"")</f>
        <v/>
      </c>
      <c r="AA40" s="26"/>
      <c r="AB40" s="26"/>
      <c r="AC40" s="26" t="str" cm="1">
        <f t="array" ref="AC40">IFERROR(INDEX(Model_AS.List.Label6A6B,$AM40,1),"")</f>
        <v/>
      </c>
      <c r="AD40" s="26"/>
      <c r="AE40" s="26"/>
      <c r="AF40" s="26" t="str" cm="1">
        <f t="array" ref="AF40">IFERROR(INDEX(Model_AS.List.Label7C7D,$AM40,1),"")</f>
        <v/>
      </c>
      <c r="AG40" s="25">
        <f t="shared" si="2"/>
        <v>0</v>
      </c>
      <c r="AH40" s="24"/>
      <c r="AJ40" s="23"/>
      <c r="AK40" s="22"/>
      <c r="AL40" s="18" t="b">
        <f>AND(SelectedFrequency&lt;&gt;"Monthly", SelectedFrequency&lt;&gt;"Quarterly")</f>
        <v>0</v>
      </c>
      <c r="AM40" s="63" t="e">
        <f t="shared" si="3"/>
        <v>#N/A</v>
      </c>
    </row>
    <row r="41" spans="2:39" s="18" customFormat="1" ht="16.899999999999999" customHeight="1">
      <c r="B41" s="30"/>
      <c r="C41" s="66">
        <v>7</v>
      </c>
      <c r="D41" s="1489">
        <f t="shared" si="0"/>
        <v>45322</v>
      </c>
      <c r="E41" s="1490"/>
      <c r="F41" s="1490"/>
      <c r="G41" s="1491"/>
      <c r="H41" s="26" t="str" cm="1">
        <f t="array" ref="H41">IFERROR(INDEX(Model_AS.List.LabelG1,$AM41,1),"")</f>
        <v/>
      </c>
      <c r="I41" s="26" t="str" cm="1">
        <f t="array" ref="I41">IFERROR(INDEX(Model_AS.List.LabelG2,$AM41,1),"")</f>
        <v/>
      </c>
      <c r="J41" s="26" t="str" cm="1">
        <f t="array" ref="J41">IFERROR(INDEX(Model_AS.List.LabelG3,$AM41,1),"")</f>
        <v/>
      </c>
      <c r="K41" s="26" t="str" cm="1">
        <f t="array" ref="K41">IFERROR(INDEX(Model_AS.List.LabelG10,$AM41,1),"")</f>
        <v/>
      </c>
      <c r="L41" s="26" t="str" cm="1">
        <f t="array" ref="L41">IFERROR(INDEX(Model_AS.List.LabelG11,$AM41,1),"")</f>
        <v/>
      </c>
      <c r="M41" s="26" t="str" cm="1">
        <f t="array" ref="M41">IFERROR(INDEX(Model_AS.List.Label1A,$AM41,1),"")</f>
        <v/>
      </c>
      <c r="N41" s="26" t="str" cm="1">
        <f t="array" ref="N41">IFERROR(INDEX(Model_AS.List.Label1B,$AM41,1),"")</f>
        <v/>
      </c>
      <c r="O41" s="26" t="str" cm="1">
        <f t="array" ref="O41">IFERROR(INDEX(Model_AS.List.Label7A,$AM41,1),"")</f>
        <v/>
      </c>
      <c r="P41" s="25">
        <f t="shared" si="1"/>
        <v>0</v>
      </c>
      <c r="Q41" s="26" t="str" cm="1">
        <f t="array" ref="Q41">IFERROR(INDEX(Model_AS.List.LabelW1,$AM41,1),"")</f>
        <v/>
      </c>
      <c r="R41" s="26" t="str" cm="1">
        <f t="array" ref="R41">IFERROR(INDEX(Model_AS.List.LabelW2,$AM41,1),"")</f>
        <v/>
      </c>
      <c r="S41" s="26" t="str" cm="1">
        <f t="array" ref="S41">IFERROR(INDEX(Model_AS.List.LabelW4,$AM41,1),"")</f>
        <v/>
      </c>
      <c r="T41" s="26" t="str" cm="1">
        <f t="array" ref="T41">IFERROR(INDEX(Model_AS.List.LabelW3,$AM41,1),"")</f>
        <v/>
      </c>
      <c r="U41" s="26" t="str" cm="1">
        <f t="array" ref="U41">IFERROR(INDEX(Model_AS.List.Label4,$AM41,1),"")</f>
        <v/>
      </c>
      <c r="V41" s="26" t="str" cm="1">
        <f t="array" ref="V41">IFERROR(INDEX(Model_AS.List.Label5A,$AM41,1),"")</f>
        <v/>
      </c>
      <c r="W41" s="26" t="str" cm="1">
        <f t="array" ref="W41">IFERROR(INDEX(Model_AS.List.Label5B,$AM41,1),"")</f>
        <v/>
      </c>
      <c r="X41" s="26" t="str" cm="1">
        <f t="array" ref="X41">IFERROR(INDEX(Model_AS.List.Label5A5B,$AM41,1),"")</f>
        <v/>
      </c>
      <c r="Y41" s="26" t="str" cm="1">
        <f t="array" ref="Y41">IFERROR(INDEX(Model_AS.List.Label1C1D,$AM41,1),"")</f>
        <v/>
      </c>
      <c r="Z41" s="26" t="str" cm="1">
        <f t="array" ref="Z41">IFERROR(INDEX(Model_AS.List.Label1E1F,$AM41,1),"")</f>
        <v/>
      </c>
      <c r="AA41" s="26"/>
      <c r="AB41" s="26"/>
      <c r="AC41" s="26" t="str" cm="1">
        <f t="array" ref="AC41">IFERROR(INDEX(Model_AS.List.Label6A6B,$AM41,1),"")</f>
        <v/>
      </c>
      <c r="AD41" s="26"/>
      <c r="AE41" s="26"/>
      <c r="AF41" s="26" t="str" cm="1">
        <f t="array" ref="AF41">IFERROR(INDEX(Model_AS.List.Label7C7D,$AM41,1),"")</f>
        <v/>
      </c>
      <c r="AG41" s="25">
        <f t="shared" si="2"/>
        <v>0</v>
      </c>
      <c r="AH41" s="24"/>
      <c r="AJ41" s="23"/>
      <c r="AK41" s="22"/>
      <c r="AL41" s="18" t="b">
        <f>SelectedFrequency&lt;&gt;"Monthly"</f>
        <v>0</v>
      </c>
      <c r="AM41" s="63" t="e">
        <f t="shared" si="3"/>
        <v>#N/A</v>
      </c>
    </row>
    <row r="42" spans="2:39" s="18" customFormat="1" ht="16.899999999999999" customHeight="1">
      <c r="B42" s="30"/>
      <c r="C42" s="66">
        <v>8</v>
      </c>
      <c r="D42" s="1489">
        <f t="shared" si="0"/>
        <v>45351</v>
      </c>
      <c r="E42" s="1490"/>
      <c r="F42" s="1490"/>
      <c r="G42" s="1491"/>
      <c r="H42" s="26" t="str" cm="1">
        <f t="array" ref="H42">IFERROR(INDEX(Model_AS.List.LabelG1,$AM42,1),"")</f>
        <v/>
      </c>
      <c r="I42" s="26" t="str" cm="1">
        <f t="array" ref="I42">IFERROR(INDEX(Model_AS.List.LabelG2,$AM42,1),"")</f>
        <v/>
      </c>
      <c r="J42" s="26" t="str" cm="1">
        <f t="array" ref="J42">IFERROR(INDEX(Model_AS.List.LabelG3,$AM42,1),"")</f>
        <v/>
      </c>
      <c r="K42" s="26" t="str" cm="1">
        <f t="array" ref="K42">IFERROR(INDEX(Model_AS.List.LabelG10,$AM42,1),"")</f>
        <v/>
      </c>
      <c r="L42" s="26" t="str" cm="1">
        <f t="array" ref="L42">IFERROR(INDEX(Model_AS.List.LabelG11,$AM42,1),"")</f>
        <v/>
      </c>
      <c r="M42" s="26" t="str" cm="1">
        <f t="array" ref="M42">IFERROR(INDEX(Model_AS.List.Label1A,$AM42,1),"")</f>
        <v/>
      </c>
      <c r="N42" s="26" t="str" cm="1">
        <f t="array" ref="N42">IFERROR(INDEX(Model_AS.List.Label1B,$AM42,1),"")</f>
        <v/>
      </c>
      <c r="O42" s="26" t="str" cm="1">
        <f t="array" ref="O42">IFERROR(INDEX(Model_AS.List.Label7A,$AM42,1),"")</f>
        <v/>
      </c>
      <c r="P42" s="25">
        <f t="shared" si="1"/>
        <v>0</v>
      </c>
      <c r="Q42" s="26" t="str" cm="1">
        <f t="array" ref="Q42">IFERROR(INDEX(Model_AS.List.LabelW1,$AM42,1),"")</f>
        <v/>
      </c>
      <c r="R42" s="26" t="str" cm="1">
        <f t="array" ref="R42">IFERROR(INDEX(Model_AS.List.LabelW2,$AM42,1),"")</f>
        <v/>
      </c>
      <c r="S42" s="26" t="str" cm="1">
        <f t="array" ref="S42">IFERROR(INDEX(Model_AS.List.LabelW4,$AM42,1),"")</f>
        <v/>
      </c>
      <c r="T42" s="26" t="str" cm="1">
        <f t="array" ref="T42">IFERROR(INDEX(Model_AS.List.LabelW3,$AM42,1),"")</f>
        <v/>
      </c>
      <c r="U42" s="26" t="str" cm="1">
        <f t="array" ref="U42">IFERROR(INDEX(Model_AS.List.Label4,$AM42,1),"")</f>
        <v/>
      </c>
      <c r="V42" s="26" t="str" cm="1">
        <f t="array" ref="V42">IFERROR(INDEX(Model_AS.List.Label5A,$AM42,1),"")</f>
        <v/>
      </c>
      <c r="W42" s="26" t="str" cm="1">
        <f t="array" ref="W42">IFERROR(INDEX(Model_AS.List.Label5B,$AM42,1),"")</f>
        <v/>
      </c>
      <c r="X42" s="26" t="str" cm="1">
        <f t="array" ref="X42">IFERROR(INDEX(Model_AS.List.Label5A5B,$AM42,1),"")</f>
        <v/>
      </c>
      <c r="Y42" s="26" t="str" cm="1">
        <f t="array" ref="Y42">IFERROR(INDEX(Model_AS.List.Label1C1D,$AM42,1),"")</f>
        <v/>
      </c>
      <c r="Z42" s="26" t="str" cm="1">
        <f t="array" ref="Z42">IFERROR(INDEX(Model_AS.List.Label1E1F,$AM42,1),"")</f>
        <v/>
      </c>
      <c r="AA42" s="26"/>
      <c r="AB42" s="26"/>
      <c r="AC42" s="26" t="str" cm="1">
        <f t="array" ref="AC42">IFERROR(INDEX(Model_AS.List.Label6A6B,$AM42,1),"")</f>
        <v/>
      </c>
      <c r="AD42" s="26"/>
      <c r="AE42" s="26"/>
      <c r="AF42" s="26" t="str" cm="1">
        <f t="array" ref="AF42">IFERROR(INDEX(Model_AS.List.Label7C7D,$AM42,1),"")</f>
        <v/>
      </c>
      <c r="AG42" s="25">
        <f t="shared" si="2"/>
        <v>0</v>
      </c>
      <c r="AH42" s="24"/>
      <c r="AJ42" s="23"/>
      <c r="AK42" s="22"/>
      <c r="AL42" s="18" t="b">
        <f>SelectedFrequency&lt;&gt;"Monthly"</f>
        <v>0</v>
      </c>
      <c r="AM42" s="63" t="e">
        <f t="shared" si="3"/>
        <v>#N/A</v>
      </c>
    </row>
    <row r="43" spans="2:39" s="18" customFormat="1" ht="16.899999999999999" customHeight="1">
      <c r="B43" s="30"/>
      <c r="C43" s="66">
        <v>9</v>
      </c>
      <c r="D43" s="1489">
        <f t="shared" si="0"/>
        <v>45382</v>
      </c>
      <c r="E43" s="1490"/>
      <c r="F43" s="1490"/>
      <c r="G43" s="1491"/>
      <c r="H43" s="26" t="str" cm="1">
        <f t="array" ref="H43">IFERROR(INDEX(Model_AS.List.LabelG1,$AM43,1),"")</f>
        <v/>
      </c>
      <c r="I43" s="26" t="str" cm="1">
        <f t="array" ref="I43">IFERROR(INDEX(Model_AS.List.LabelG2,$AM43,1),"")</f>
        <v/>
      </c>
      <c r="J43" s="26" t="str" cm="1">
        <f t="array" ref="J43">IFERROR(INDEX(Model_AS.List.LabelG3,$AM43,1),"")</f>
        <v/>
      </c>
      <c r="K43" s="26" t="str" cm="1">
        <f t="array" ref="K43">IFERROR(INDEX(Model_AS.List.LabelG10,$AM43,1),"")</f>
        <v/>
      </c>
      <c r="L43" s="26" t="str" cm="1">
        <f t="array" ref="L43">IFERROR(INDEX(Model_AS.List.LabelG11,$AM43,1),"")</f>
        <v/>
      </c>
      <c r="M43" s="26" t="str" cm="1">
        <f t="array" ref="M43">IFERROR(INDEX(Model_AS.List.Label1A,$AM43,1),"")</f>
        <v/>
      </c>
      <c r="N43" s="26" t="str" cm="1">
        <f t="array" ref="N43">IFERROR(INDEX(Model_AS.List.Label1B,$AM43,1),"")</f>
        <v/>
      </c>
      <c r="O43" s="26" t="str" cm="1">
        <f t="array" ref="O43">IFERROR(INDEX(Model_AS.List.Label7A,$AM43,1),"")</f>
        <v/>
      </c>
      <c r="P43" s="25">
        <f t="shared" si="1"/>
        <v>0</v>
      </c>
      <c r="Q43" s="26" t="str" cm="1">
        <f t="array" ref="Q43">IFERROR(INDEX(Model_AS.List.LabelW1,$AM43,1),"")</f>
        <v/>
      </c>
      <c r="R43" s="26" t="str" cm="1">
        <f t="array" ref="R43">IFERROR(INDEX(Model_AS.List.LabelW2,$AM43,1),"")</f>
        <v/>
      </c>
      <c r="S43" s="26" t="str" cm="1">
        <f t="array" ref="S43">IFERROR(INDEX(Model_AS.List.LabelW4,$AM43,1),"")</f>
        <v/>
      </c>
      <c r="T43" s="26" t="str" cm="1">
        <f t="array" ref="T43">IFERROR(INDEX(Model_AS.List.LabelW3,$AM43,1),"")</f>
        <v/>
      </c>
      <c r="U43" s="26" t="str" cm="1">
        <f t="array" ref="U43">IFERROR(INDEX(Model_AS.List.Label4,$AM43,1),"")</f>
        <v/>
      </c>
      <c r="V43" s="26" t="str" cm="1">
        <f t="array" ref="V43">IFERROR(INDEX(Model_AS.List.Label5A,$AM43,1),"")</f>
        <v/>
      </c>
      <c r="W43" s="26" t="str" cm="1">
        <f t="array" ref="W43">IFERROR(INDEX(Model_AS.List.Label5B,$AM43,1),"")</f>
        <v/>
      </c>
      <c r="X43" s="26" t="str" cm="1">
        <f t="array" ref="X43">IFERROR(INDEX(Model_AS.List.Label5A5B,$AM43,1),"")</f>
        <v/>
      </c>
      <c r="Y43" s="26" t="str" cm="1">
        <f t="array" ref="Y43">IFERROR(INDEX(Model_AS.List.Label1C1D,$AM43,1),"")</f>
        <v/>
      </c>
      <c r="Z43" s="26" t="str" cm="1">
        <f t="array" ref="Z43">IFERROR(INDEX(Model_AS.List.Label1E1F,$AM43,1),"")</f>
        <v/>
      </c>
      <c r="AA43" s="26"/>
      <c r="AB43" s="26"/>
      <c r="AC43" s="26" t="str" cm="1">
        <f t="array" ref="AC43">IFERROR(INDEX(Model_AS.List.Label6A6B,$AM43,1),"")</f>
        <v/>
      </c>
      <c r="AD43" s="26"/>
      <c r="AE43" s="26"/>
      <c r="AF43" s="26" t="str" cm="1">
        <f t="array" ref="AF43">IFERROR(INDEX(Model_AS.List.Label7C7D,$AM43,1),"")</f>
        <v/>
      </c>
      <c r="AG43" s="25">
        <f t="shared" si="2"/>
        <v>0</v>
      </c>
      <c r="AH43" s="24"/>
      <c r="AJ43" s="23"/>
      <c r="AK43" s="22"/>
      <c r="AL43" s="18" t="b">
        <f>AND(SelectedFrequency&lt;&gt;"Monthly", SelectedFrequency&lt;&gt;"Quarterly")</f>
        <v>0</v>
      </c>
      <c r="AM43" s="63" t="e">
        <f t="shared" si="3"/>
        <v>#N/A</v>
      </c>
    </row>
    <row r="44" spans="2:39" s="18" customFormat="1" ht="16.899999999999999" customHeight="1">
      <c r="B44" s="30"/>
      <c r="C44" s="66">
        <v>10</v>
      </c>
      <c r="D44" s="1489">
        <f t="shared" si="0"/>
        <v>45412</v>
      </c>
      <c r="E44" s="1490"/>
      <c r="F44" s="1490"/>
      <c r="G44" s="1491"/>
      <c r="H44" s="26" t="str" cm="1">
        <f t="array" ref="H44">IFERROR(INDEX(Model_AS.List.LabelG1,$AM44,1),"")</f>
        <v/>
      </c>
      <c r="I44" s="26" t="str" cm="1">
        <f t="array" ref="I44">IFERROR(INDEX(Model_AS.List.LabelG2,$AM44,1),"")</f>
        <v/>
      </c>
      <c r="J44" s="26" t="str" cm="1">
        <f t="array" ref="J44">IFERROR(INDEX(Model_AS.List.LabelG3,$AM44,1),"")</f>
        <v/>
      </c>
      <c r="K44" s="26" t="str" cm="1">
        <f t="array" ref="K44">IFERROR(INDEX(Model_AS.List.LabelG10,$AM44,1),"")</f>
        <v/>
      </c>
      <c r="L44" s="26" t="str" cm="1">
        <f t="array" ref="L44">IFERROR(INDEX(Model_AS.List.LabelG11,$AM44,1),"")</f>
        <v/>
      </c>
      <c r="M44" s="26" t="str" cm="1">
        <f t="array" ref="M44">IFERROR(INDEX(Model_AS.List.Label1A,$AM44,1),"")</f>
        <v/>
      </c>
      <c r="N44" s="26" t="str" cm="1">
        <f t="array" ref="N44">IFERROR(INDEX(Model_AS.List.Label1B,$AM44,1),"")</f>
        <v/>
      </c>
      <c r="O44" s="26" t="str" cm="1">
        <f t="array" ref="O44">IFERROR(INDEX(Model_AS.List.Label7A,$AM44,1),"")</f>
        <v/>
      </c>
      <c r="P44" s="25">
        <f t="shared" si="1"/>
        <v>0</v>
      </c>
      <c r="Q44" s="26" t="str" cm="1">
        <f t="array" ref="Q44">IFERROR(INDEX(Model_AS.List.LabelW1,$AM44,1),"")</f>
        <v/>
      </c>
      <c r="R44" s="26" t="str" cm="1">
        <f t="array" ref="R44">IFERROR(INDEX(Model_AS.List.LabelW2,$AM44,1),"")</f>
        <v/>
      </c>
      <c r="S44" s="26" t="str" cm="1">
        <f t="array" ref="S44">IFERROR(INDEX(Model_AS.List.LabelW4,$AM44,1),"")</f>
        <v/>
      </c>
      <c r="T44" s="26" t="str" cm="1">
        <f t="array" ref="T44">IFERROR(INDEX(Model_AS.List.LabelW3,$AM44,1),"")</f>
        <v/>
      </c>
      <c r="U44" s="26" t="str" cm="1">
        <f t="array" ref="U44">IFERROR(INDEX(Model_AS.List.Label4,$AM44,1),"")</f>
        <v/>
      </c>
      <c r="V44" s="26" t="str" cm="1">
        <f t="array" ref="V44">IFERROR(INDEX(Model_AS.List.Label5A,$AM44,1),"")</f>
        <v/>
      </c>
      <c r="W44" s="26" t="str" cm="1">
        <f t="array" ref="W44">IFERROR(INDEX(Model_AS.List.Label5B,$AM44,1),"")</f>
        <v/>
      </c>
      <c r="X44" s="26" t="str" cm="1">
        <f t="array" ref="X44">IFERROR(INDEX(Model_AS.List.Label5A5B,$AM44,1),"")</f>
        <v/>
      </c>
      <c r="Y44" s="26" t="str" cm="1">
        <f t="array" ref="Y44">IFERROR(INDEX(Model_AS.List.Label1C1D,$AM44,1),"")</f>
        <v/>
      </c>
      <c r="Z44" s="26" t="str" cm="1">
        <f t="array" ref="Z44">IFERROR(INDEX(Model_AS.List.Label1E1F,$AM44,1),"")</f>
        <v/>
      </c>
      <c r="AA44" s="26"/>
      <c r="AB44" s="26"/>
      <c r="AC44" s="26" t="str" cm="1">
        <f t="array" ref="AC44">IFERROR(INDEX(Model_AS.List.Label6A6B,$AM44,1),"")</f>
        <v/>
      </c>
      <c r="AD44" s="26"/>
      <c r="AE44" s="26"/>
      <c r="AF44" s="26" t="str" cm="1">
        <f t="array" ref="AF44">IFERROR(INDEX(Model_AS.List.Label7C7D,$AM44,1),"")</f>
        <v/>
      </c>
      <c r="AG44" s="25">
        <f t="shared" si="2"/>
        <v>0</v>
      </c>
      <c r="AH44" s="24"/>
      <c r="AJ44" s="23"/>
      <c r="AK44" s="22"/>
      <c r="AL44" s="18" t="b">
        <f>SelectedFrequency&lt;&gt;"Monthly"</f>
        <v>0</v>
      </c>
      <c r="AM44" s="63" t="e">
        <f t="shared" si="3"/>
        <v>#N/A</v>
      </c>
    </row>
    <row r="45" spans="2:39" s="18" customFormat="1" ht="16.899999999999999" customHeight="1">
      <c r="B45" s="30"/>
      <c r="C45" s="66">
        <v>11</v>
      </c>
      <c r="D45" s="1489">
        <f t="shared" si="0"/>
        <v>45443</v>
      </c>
      <c r="E45" s="1490"/>
      <c r="F45" s="1490"/>
      <c r="G45" s="1491"/>
      <c r="H45" s="26" t="str" cm="1">
        <f t="array" ref="H45">IFERROR(INDEX(Model_AS.List.LabelG1,$AM45,1),"")</f>
        <v/>
      </c>
      <c r="I45" s="26" t="str" cm="1">
        <f t="array" ref="I45">IFERROR(INDEX(Model_AS.List.LabelG2,$AM45,1),"")</f>
        <v/>
      </c>
      <c r="J45" s="26" t="str" cm="1">
        <f t="array" ref="J45">IFERROR(INDEX(Model_AS.List.LabelG3,$AM45,1),"")</f>
        <v/>
      </c>
      <c r="K45" s="26" t="str" cm="1">
        <f t="array" ref="K45">IFERROR(INDEX(Model_AS.List.LabelG10,$AM45,1),"")</f>
        <v/>
      </c>
      <c r="L45" s="26" t="str" cm="1">
        <f t="array" ref="L45">IFERROR(INDEX(Model_AS.List.LabelG11,$AM45,1),"")</f>
        <v/>
      </c>
      <c r="M45" s="26" t="str" cm="1">
        <f t="array" ref="M45">IFERROR(INDEX(Model_AS.List.Label1A,$AM45,1),"")</f>
        <v/>
      </c>
      <c r="N45" s="26" t="str" cm="1">
        <f t="array" ref="N45">IFERROR(INDEX(Model_AS.List.Label1B,$AM45,1),"")</f>
        <v/>
      </c>
      <c r="O45" s="26" t="str" cm="1">
        <f t="array" ref="O45">IFERROR(INDEX(Model_AS.List.Label7A,$AM45,1),"")</f>
        <v/>
      </c>
      <c r="P45" s="25">
        <f t="shared" si="1"/>
        <v>0</v>
      </c>
      <c r="Q45" s="26" t="str" cm="1">
        <f t="array" ref="Q45">IFERROR(INDEX(Model_AS.List.LabelW1,$AM45,1),"")</f>
        <v/>
      </c>
      <c r="R45" s="26" t="str" cm="1">
        <f t="array" ref="R45">IFERROR(INDEX(Model_AS.List.LabelW2,$AM45,1),"")</f>
        <v/>
      </c>
      <c r="S45" s="26" t="str" cm="1">
        <f t="array" ref="S45">IFERROR(INDEX(Model_AS.List.LabelW4,$AM45,1),"")</f>
        <v/>
      </c>
      <c r="T45" s="26" t="str" cm="1">
        <f t="array" ref="T45">IFERROR(INDEX(Model_AS.List.LabelW3,$AM45,1),"")</f>
        <v/>
      </c>
      <c r="U45" s="26" t="str" cm="1">
        <f t="array" ref="U45">IFERROR(INDEX(Model_AS.List.Label4,$AM45,1),"")</f>
        <v/>
      </c>
      <c r="V45" s="26" t="str" cm="1">
        <f t="array" ref="V45">IFERROR(INDEX(Model_AS.List.Label5A,$AM45,1),"")</f>
        <v/>
      </c>
      <c r="W45" s="26" t="str" cm="1">
        <f t="array" ref="W45">IFERROR(INDEX(Model_AS.List.Label5B,$AM45,1),"")</f>
        <v/>
      </c>
      <c r="X45" s="26" t="str" cm="1">
        <f t="array" ref="X45">IFERROR(INDEX(Model_AS.List.Label5A5B,$AM45,1),"")</f>
        <v/>
      </c>
      <c r="Y45" s="26" t="str" cm="1">
        <f t="array" ref="Y45">IFERROR(INDEX(Model_AS.List.Label1C1D,$AM45,1),"")</f>
        <v/>
      </c>
      <c r="Z45" s="26" t="str" cm="1">
        <f t="array" ref="Z45">IFERROR(INDEX(Model_AS.List.Label1E1F,$AM45,1),"")</f>
        <v/>
      </c>
      <c r="AA45" s="26"/>
      <c r="AB45" s="26"/>
      <c r="AC45" s="26" t="str" cm="1">
        <f t="array" ref="AC45">IFERROR(INDEX(Model_AS.List.Label6A6B,$AM45,1),"")</f>
        <v/>
      </c>
      <c r="AD45" s="26"/>
      <c r="AE45" s="26"/>
      <c r="AF45" s="26" t="str" cm="1">
        <f t="array" ref="AF45">IFERROR(INDEX(Model_AS.List.Label7C7D,$AM45,1),"")</f>
        <v/>
      </c>
      <c r="AG45" s="25">
        <f t="shared" si="2"/>
        <v>0</v>
      </c>
      <c r="AH45" s="24"/>
      <c r="AJ45" s="23"/>
      <c r="AK45" s="22"/>
      <c r="AL45" s="18" t="b">
        <f>SelectedFrequency&lt;&gt;"Monthly"</f>
        <v>0</v>
      </c>
      <c r="AM45" s="63" t="e">
        <f t="shared" si="3"/>
        <v>#N/A</v>
      </c>
    </row>
    <row r="46" spans="2:39" s="18" customFormat="1" ht="16.899999999999999" customHeight="1">
      <c r="B46" s="30"/>
      <c r="C46" s="66">
        <v>12</v>
      </c>
      <c r="D46" s="1489">
        <f>TaxYearEnd</f>
        <v>45473</v>
      </c>
      <c r="E46" s="1490"/>
      <c r="F46" s="1490"/>
      <c r="G46" s="1491"/>
      <c r="H46" s="72" cm="1">
        <f t="array" ref="H46">IFERROR(_xlfn.IFNA(_xlfn.NUMBERVALUE(INDEX(Model_AS.List.LabelG1,$AM46,1)),0)+_xlfn.NUMBERVALUE(H48),"")</f>
        <v>0</v>
      </c>
      <c r="I46" s="72" cm="1">
        <f t="array" ref="I46">IFERROR(_xlfn.IFNA(_xlfn.NUMBERVALUE(INDEX(Model_AS.List.LabelG2,$AM46,1)),0)+_xlfn.NUMBERVALUE(I48),"")</f>
        <v>0</v>
      </c>
      <c r="J46" s="72" cm="1">
        <f t="array" ref="J46">IFERROR(_xlfn.IFNA(_xlfn.NUMBERVALUE(INDEX(Model_AS.List.LabelG3,$AM46,1)),0)+_xlfn.NUMBERVALUE(J48),"")</f>
        <v>0</v>
      </c>
      <c r="K46" s="72" cm="1">
        <f t="array" ref="K46">IFERROR(_xlfn.IFNA(_xlfn.NUMBERVALUE(INDEX(Model_AS.List.LabelG10,$AM46,1)),0)+_xlfn.NUMBERVALUE(K48),"")</f>
        <v>0</v>
      </c>
      <c r="L46" s="72" cm="1">
        <f t="array" ref="L46">IFERROR(_xlfn.IFNA(_xlfn.NUMBERVALUE(INDEX(Model_AS.List.LabelG11,$AM46,1)),0)+_xlfn.NUMBERVALUE(L48),"")</f>
        <v>0</v>
      </c>
      <c r="M46" s="72" cm="1">
        <f t="array" ref="M46">IFERROR(_xlfn.IFNA(_xlfn.NUMBERVALUE(INDEX(Model_AS.List.Label1A,$AM46,1)),0)+_xlfn.NUMBERVALUE(M48),"")</f>
        <v>0</v>
      </c>
      <c r="N46" s="72" cm="1">
        <f t="array" ref="N46">IFERROR(_xlfn.IFNA(_xlfn.NUMBERVALUE(INDEX(Model_AS.List.Label1B,$AM46,1)),0)+_xlfn.NUMBERVALUE(N48),"")</f>
        <v>0</v>
      </c>
      <c r="O46" s="72" cm="1">
        <f t="array" ref="O46">IFERROR(_xlfn.IFNA(_xlfn.NUMBERVALUE(INDEX(Model_AS.List.Label7A,$AM46,1)),0)+_xlfn.NUMBERVALUE(O48),"")</f>
        <v>0</v>
      </c>
      <c r="P46" s="25">
        <f t="shared" si="1"/>
        <v>0</v>
      </c>
      <c r="Q46" s="26" cm="1">
        <f t="array" ref="Q46">IFERROR(INDEX(Model_AS.List.LabelW1,$AM46,1),0)</f>
        <v>0</v>
      </c>
      <c r="R46" s="26" cm="1">
        <f t="array" ref="R46">IFERROR(INDEX(Model_AS.List.LabelW2,$AM46,1),0)</f>
        <v>0</v>
      </c>
      <c r="S46" s="26" t="str" cm="1">
        <f t="array" ref="S46">IFERROR(INDEX(Model_AS.List.LabelW4,$AM46,1),"")</f>
        <v/>
      </c>
      <c r="T46" s="26" t="str" cm="1">
        <f t="array" ref="T46">IFERROR(INDEX(Model_AS.List.LabelW3,$AM46,1),"")</f>
        <v/>
      </c>
      <c r="U46" s="26" cm="1">
        <f t="array" ref="U46">IFERROR(INDEX(Model_AS.List.Label4,$AM46,1),0)</f>
        <v>0</v>
      </c>
      <c r="V46" s="26" cm="1">
        <f t="array" ref="V46">IFERROR(INDEX(Model_AS.List.Label5A,$AM46,1),0)</f>
        <v>0</v>
      </c>
      <c r="W46" s="26" cm="1">
        <f t="array" ref="W46">IFERROR(INDEX(Model_AS.List.Label5B,$AM46,1),0)</f>
        <v>0</v>
      </c>
      <c r="X46" s="26" cm="1">
        <f t="array" ref="X46">IFERROR(INDEX(Model_AS.List.Label5A5B,$AM46,1),0)</f>
        <v>0</v>
      </c>
      <c r="Y46" s="72" cm="1">
        <f t="array" ref="Y46">IFERROR(_xlfn.IFNA(_xlfn.NUMBERVALUE(INDEX(Model_AS.List.Label1C1D,$AM46,1)),0)+_xlfn.NUMBERVALUE(Y48),"")</f>
        <v>0</v>
      </c>
      <c r="Z46" s="72" cm="1">
        <f t="array" ref="Z46">IFERROR(_xlfn.IFNA(_xlfn.NUMBERVALUE(INDEX(Model_AS.List.Label1E1F,$AM46,1)),0)+_xlfn.NUMBERVALUE(Z48),"")</f>
        <v>0</v>
      </c>
      <c r="AA46" s="72" cm="1">
        <f t="array" ref="AA46">IFERROR(_xlfn.IFNA(_xlfn.NUMBERVALUE(INDEX(Model_AS.List.Label1B,$AM46,1)),0)+_xlfn.NUMBERVALUE(AA48),"")</f>
        <v>0</v>
      </c>
      <c r="AB46" s="72" cm="1">
        <f t="array" ref="AB46">IFERROR(_xlfn.IFNA(_xlfn.NUMBERVALUE(INDEX(Model_AS.List.Label1B,$AM46,1)),0)+_xlfn.NUMBERVALUE(AB48),"")</f>
        <v>0</v>
      </c>
      <c r="AC46" s="72" cm="1">
        <f t="array" ref="AC46">IFERROR(_xlfn.IFNA(_xlfn.NUMBERVALUE(INDEX(Model_AS.List.Label6A6B,$AM46,1)),0)+_xlfn.NUMBERVALUE(AC48),"")</f>
        <v>0</v>
      </c>
      <c r="AD46" s="72" cm="1">
        <f t="array" ref="AD46">IFERROR(_xlfn.IFNA(_xlfn.NUMBERVALUE(INDEX(Model_AS.List.Label1B,$AM46,1)),0)+_xlfn.NUMBERVALUE(AD48),"")</f>
        <v>0</v>
      </c>
      <c r="AE46" s="72" cm="1">
        <f t="array" ref="AE46">IFERROR(_xlfn.IFNA(_xlfn.NUMBERVALUE(INDEX(Model_AS.List.Label1B,$AM46,1)),0)+_xlfn.NUMBERVALUE(AE48),"")</f>
        <v>0</v>
      </c>
      <c r="AF46" s="72" cm="1">
        <f t="array" ref="AF46">IFERROR(_xlfn.IFNA(_xlfn.NUMBERVALUE(INDEX(Model_AS.List.Label7C7D,$AM46,1)),0)+_xlfn.NUMBERVALUE(AF48),"")</f>
        <v>0</v>
      </c>
      <c r="AG46" s="25">
        <f t="shared" si="2"/>
        <v>0</v>
      </c>
      <c r="AH46" s="24"/>
      <c r="AJ46" s="23"/>
      <c r="AK46" s="22"/>
      <c r="AM46" s="63" t="e">
        <f t="shared" si="3"/>
        <v>#N/A</v>
      </c>
    </row>
    <row r="47" spans="2:39" s="18" customFormat="1" ht="16.899999999999999" customHeight="1">
      <c r="B47" s="30"/>
      <c r="C47" s="71" t="s">
        <v>151</v>
      </c>
      <c r="D47" s="70"/>
      <c r="E47" s="70"/>
      <c r="H47" s="69">
        <f t="shared" ref="H47:AC47" si="4">SUM(H35:H46)</f>
        <v>0</v>
      </c>
      <c r="I47" s="69">
        <f t="shared" si="4"/>
        <v>0</v>
      </c>
      <c r="J47" s="69">
        <f t="shared" si="4"/>
        <v>0</v>
      </c>
      <c r="K47" s="69">
        <f t="shared" si="4"/>
        <v>0</v>
      </c>
      <c r="L47" s="69">
        <f t="shared" si="4"/>
        <v>0</v>
      </c>
      <c r="M47" s="69">
        <f t="shared" si="4"/>
        <v>0</v>
      </c>
      <c r="N47" s="69">
        <f t="shared" si="4"/>
        <v>0</v>
      </c>
      <c r="O47" s="69">
        <f t="shared" si="4"/>
        <v>0</v>
      </c>
      <c r="P47" s="69">
        <f t="shared" si="4"/>
        <v>0</v>
      </c>
      <c r="Q47" s="69">
        <f t="shared" si="4"/>
        <v>0</v>
      </c>
      <c r="R47" s="69">
        <f t="shared" si="4"/>
        <v>0</v>
      </c>
      <c r="S47" s="69">
        <f t="shared" si="4"/>
        <v>0</v>
      </c>
      <c r="T47" s="69">
        <f t="shared" si="4"/>
        <v>0</v>
      </c>
      <c r="U47" s="69">
        <f t="shared" si="4"/>
        <v>0</v>
      </c>
      <c r="V47" s="69">
        <f t="shared" si="4"/>
        <v>0</v>
      </c>
      <c r="W47" s="69">
        <f t="shared" si="4"/>
        <v>0</v>
      </c>
      <c r="X47" s="69">
        <f t="shared" si="4"/>
        <v>0</v>
      </c>
      <c r="Y47" s="69">
        <f t="shared" si="4"/>
        <v>0</v>
      </c>
      <c r="Z47" s="69">
        <f t="shared" si="4"/>
        <v>0</v>
      </c>
      <c r="AA47" s="69">
        <f t="shared" si="4"/>
        <v>0</v>
      </c>
      <c r="AB47" s="69">
        <f t="shared" si="4"/>
        <v>0</v>
      </c>
      <c r="AC47" s="69">
        <f t="shared" si="4"/>
        <v>0</v>
      </c>
      <c r="AD47" s="69"/>
      <c r="AE47" s="69"/>
      <c r="AF47" s="69">
        <f>SUM(AF35:AF46)</f>
        <v>0</v>
      </c>
      <c r="AG47" s="69">
        <f>SUM(AG35:AG46)</f>
        <v>0</v>
      </c>
      <c r="AH47" s="24"/>
      <c r="AJ47" s="68"/>
      <c r="AK47" s="67"/>
    </row>
    <row r="48" spans="2:39" s="18" customFormat="1" ht="16.899999999999999" hidden="1" customHeight="1">
      <c r="B48" s="30"/>
      <c r="C48" s="66">
        <v>13</v>
      </c>
      <c r="D48" s="1489">
        <f>TaxYearEnd</f>
        <v>45473</v>
      </c>
      <c r="E48" s="1490"/>
      <c r="F48" s="1490"/>
      <c r="G48" s="1491"/>
      <c r="H48" s="26" t="str" cm="1">
        <f t="array" ref="H48">IFERROR(INDEX(Model_AS.List.LabelG1,$AM48,1),"")</f>
        <v/>
      </c>
      <c r="I48" s="26" t="str" cm="1">
        <f t="array" ref="I48">IFERROR(INDEX(Model_AS.List.LabelG2,$AM48,1),"")</f>
        <v/>
      </c>
      <c r="J48" s="26" t="str" cm="1">
        <f t="array" ref="J48">IFERROR(INDEX(Model_AS.List.LabelG3,$AM48,1),"")</f>
        <v/>
      </c>
      <c r="K48" s="26" t="str" cm="1">
        <f t="array" ref="K48">IFERROR(INDEX(Model_AS.List.LabelG10,$AM48,1),"")</f>
        <v/>
      </c>
      <c r="L48" s="26" t="str" cm="1">
        <f t="array" ref="L48">IFERROR(INDEX(Model_AS.List.LabelG11,$AM48,1),"")</f>
        <v/>
      </c>
      <c r="M48" s="26" t="str" cm="1">
        <f t="array" ref="M48">IFERROR(INDEX(Model_AS.List.Label1A,$AM48,1),"")</f>
        <v/>
      </c>
      <c r="N48" s="26" t="str" cm="1">
        <f t="array" ref="N48">IFERROR(INDEX(Model_AS.List.Label1B,$AM48,1),"")</f>
        <v/>
      </c>
      <c r="O48" s="26"/>
      <c r="P48" s="25">
        <f>IF(M48="",0,M48)-IF(N48="",0,N48)</f>
        <v>0</v>
      </c>
      <c r="Q48" s="65"/>
      <c r="R48" s="65"/>
      <c r="S48" s="65"/>
      <c r="T48" s="65"/>
      <c r="U48" s="65"/>
      <c r="V48" s="65"/>
      <c r="W48" s="65"/>
      <c r="X48" s="65"/>
      <c r="Y48" s="26" t="str" cm="1">
        <f t="array" ref="Y48">IFERROR(INDEX(Model_AS.List.Label1C1D,$AM48,1),"")</f>
        <v/>
      </c>
      <c r="Z48" s="26" t="str" cm="1">
        <f t="array" ref="Z48">IFERROR(INDEX(Model_AS.List.Label1E1F,$AM48,1),"")</f>
        <v/>
      </c>
      <c r="AA48" s="26" t="str" cm="1">
        <f t="array" ref="AA48">IFERROR(INDEX(Model_AS.List.Label1E1F,$AM48,1),"")</f>
        <v/>
      </c>
      <c r="AB48" s="26" t="str" cm="1">
        <f t="array" ref="AB48">IFERROR(INDEX(Model_AS.List.Label1E1F,$AM48,1),"")</f>
        <v/>
      </c>
      <c r="AC48" s="26" t="str" cm="1">
        <f t="array" ref="AC48">IFERROR(INDEX(Model_AS.List.Label6A6B,$AM48),"")</f>
        <v/>
      </c>
      <c r="AD48" s="26" t="str" cm="1">
        <f t="array" ref="AD48">IFERROR(INDEX(Model_AS.List.Label1E1F,$AM48,1),"")</f>
        <v/>
      </c>
      <c r="AE48" s="26" t="str" cm="1">
        <f t="array" ref="AE48">IFERROR(INDEX(Model_AS.List.Label1E1F,$AM48,1),"")</f>
        <v/>
      </c>
      <c r="AF48" s="26" t="str" cm="1">
        <f t="array" ref="AF48">IFERROR(INDEX(Model_AS.List.Label7C7D,$AM48,1),"")</f>
        <v/>
      </c>
      <c r="AG48" s="25">
        <f>SUM(P48,U48,X48,Y48,Z48,AC48,AF48)</f>
        <v>0</v>
      </c>
      <c r="AH48" s="24"/>
      <c r="AJ48" s="64"/>
      <c r="AK48" s="64"/>
      <c r="AM48" s="63" t="e">
        <f>_xlfn.XMATCH($C48,ATO_PeriodNos,0)</f>
        <v>#N/A</v>
      </c>
    </row>
    <row r="49" spans="1:39" s="18" customFormat="1" ht="7.5" customHeight="1">
      <c r="B49" s="21"/>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19"/>
    </row>
    <row r="50" spans="1:39" s="18" customFormat="1" ht="22.5" customHeight="1">
      <c r="AM50" s="62"/>
    </row>
    <row r="51" spans="1:39" ht="22.5" customHeight="1">
      <c r="A51" s="61" t="str">
        <f>IF(SUBTOTAL(103,C53),"-","+")</f>
        <v>-</v>
      </c>
      <c r="B51" s="1483" t="s">
        <v>150</v>
      </c>
      <c r="C51" s="1483"/>
      <c r="D51" s="1483"/>
      <c r="E51" s="1483"/>
      <c r="F51" s="1483"/>
      <c r="G51" s="1483"/>
      <c r="H51" s="1483"/>
      <c r="I51" s="1482" t="str">
        <f>IF(COUNTA(D58:N79,Q58:W79,Y58:AB79,AJ58:AK79),"Contains Data","No Data")</f>
        <v>No Data</v>
      </c>
      <c r="J51" s="1482"/>
      <c r="AJ51" s="32"/>
      <c r="AK51" s="32"/>
    </row>
    <row r="52" spans="1:39" ht="7.5" customHeight="1">
      <c r="B52" s="53"/>
      <c r="K52" s="51"/>
      <c r="L52" s="51"/>
      <c r="M52" s="51"/>
      <c r="N52" s="51"/>
      <c r="O52" s="51"/>
      <c r="P52" s="51"/>
      <c r="Q52" s="51"/>
      <c r="R52" s="51"/>
      <c r="S52" s="51"/>
      <c r="T52" s="51"/>
      <c r="U52" s="51"/>
      <c r="V52" s="51"/>
      <c r="W52" s="51"/>
      <c r="X52" s="51"/>
      <c r="Y52" s="51"/>
      <c r="Z52" s="51"/>
      <c r="AA52" s="51"/>
      <c r="AB52" s="51"/>
      <c r="AC52" s="51"/>
      <c r="AD52" s="51"/>
      <c r="AE52" s="51"/>
      <c r="AF52" s="51"/>
      <c r="AG52" s="51"/>
      <c r="AH52" s="60"/>
    </row>
    <row r="53" spans="1:39" ht="16.899999999999999" customHeight="1">
      <c r="B53" s="59"/>
      <c r="C53" s="58" t="s">
        <v>149</v>
      </c>
      <c r="D53" s="57"/>
      <c r="E53" s="57"/>
      <c r="F53" s="57"/>
      <c r="G53" s="57"/>
      <c r="H53" s="57"/>
      <c r="I53" s="57"/>
      <c r="J53" s="57"/>
      <c r="K53" s="56"/>
      <c r="L53" s="56"/>
      <c r="M53" s="56"/>
      <c r="N53" s="56"/>
      <c r="O53" s="56"/>
      <c r="P53" s="56"/>
      <c r="Q53" s="56"/>
      <c r="R53" s="56"/>
      <c r="S53" s="56"/>
      <c r="T53" s="56"/>
      <c r="U53" s="56"/>
      <c r="V53" s="56"/>
      <c r="W53" s="56"/>
      <c r="X53" s="56"/>
      <c r="Y53" s="56"/>
      <c r="Z53" s="56"/>
      <c r="AA53" s="56"/>
      <c r="AB53" s="56"/>
      <c r="AC53" s="56"/>
      <c r="AD53" s="56"/>
      <c r="AE53" s="56"/>
      <c r="AF53" s="56"/>
      <c r="AG53" s="56"/>
      <c r="AH53" s="55"/>
      <c r="AI53" s="54"/>
    </row>
    <row r="54" spans="1:39" ht="7.5" customHeight="1">
      <c r="B54" s="53"/>
      <c r="AH54" s="33"/>
      <c r="AJ54" s="42"/>
      <c r="AK54" s="42"/>
    </row>
    <row r="55" spans="1:39" ht="22.15" customHeight="1">
      <c r="B55" s="53"/>
      <c r="C55" s="52"/>
      <c r="D55" s="51"/>
      <c r="E55" s="50"/>
      <c r="F55" s="49"/>
      <c r="G55" s="49"/>
      <c r="H55" s="48" t="s">
        <v>148</v>
      </c>
      <c r="I55" s="45" t="s">
        <v>147</v>
      </c>
      <c r="J55" s="45" t="s">
        <v>146</v>
      </c>
      <c r="K55" s="45" t="s">
        <v>145</v>
      </c>
      <c r="L55" s="45" t="s">
        <v>144</v>
      </c>
      <c r="M55" s="45" t="s">
        <v>143</v>
      </c>
      <c r="N55" s="45" t="s">
        <v>142</v>
      </c>
      <c r="O55" s="47" t="s">
        <v>141</v>
      </c>
      <c r="P55" s="44"/>
      <c r="Q55" s="46" t="s">
        <v>140</v>
      </c>
      <c r="R55" s="45" t="s">
        <v>139</v>
      </c>
      <c r="S55" s="45" t="s">
        <v>138</v>
      </c>
      <c r="T55" s="45" t="s">
        <v>137</v>
      </c>
      <c r="U55" s="44">
        <v>4</v>
      </c>
      <c r="V55" s="45" t="s">
        <v>136</v>
      </c>
      <c r="W55" s="45" t="s">
        <v>135</v>
      </c>
      <c r="X55" s="45" t="s">
        <v>134</v>
      </c>
      <c r="Y55" s="46" t="s">
        <v>133</v>
      </c>
      <c r="Z55" s="45" t="s">
        <v>132</v>
      </c>
      <c r="AA55" s="45" t="s">
        <v>131</v>
      </c>
      <c r="AB55" s="45" t="s">
        <v>130</v>
      </c>
      <c r="AC55" s="45" t="s">
        <v>129</v>
      </c>
      <c r="AD55" s="45" t="s">
        <v>128</v>
      </c>
      <c r="AE55" s="45" t="s">
        <v>127</v>
      </c>
      <c r="AF55" s="44" t="s">
        <v>126</v>
      </c>
      <c r="AG55" s="43">
        <v>9</v>
      </c>
      <c r="AH55" s="33"/>
      <c r="AJ55" s="42"/>
      <c r="AK55" s="42"/>
    </row>
    <row r="56" spans="1:39" s="31" customFormat="1" ht="45" customHeight="1">
      <c r="B56" s="41"/>
      <c r="C56" s="40"/>
      <c r="D56" s="39" t="s">
        <v>125</v>
      </c>
      <c r="E56" s="39" t="s">
        <v>124</v>
      </c>
      <c r="F56" s="36" t="s">
        <v>123</v>
      </c>
      <c r="G56" s="36" t="s">
        <v>122</v>
      </c>
      <c r="H56" s="37" t="s">
        <v>121</v>
      </c>
      <c r="I56" s="36" t="s">
        <v>120</v>
      </c>
      <c r="J56" s="36" t="s">
        <v>119</v>
      </c>
      <c r="K56" s="36" t="s">
        <v>118</v>
      </c>
      <c r="L56" s="36" t="s">
        <v>117</v>
      </c>
      <c r="M56" s="36" t="s">
        <v>116</v>
      </c>
      <c r="N56" s="36" t="s">
        <v>115</v>
      </c>
      <c r="O56" s="38" t="s">
        <v>114</v>
      </c>
      <c r="P56" s="35" t="s">
        <v>113</v>
      </c>
      <c r="Q56" s="37" t="s">
        <v>112</v>
      </c>
      <c r="R56" s="36" t="s">
        <v>111</v>
      </c>
      <c r="S56" s="36" t="s">
        <v>110</v>
      </c>
      <c r="T56" s="36" t="s">
        <v>109</v>
      </c>
      <c r="U56" s="35" t="s">
        <v>108</v>
      </c>
      <c r="V56" s="36" t="s">
        <v>106</v>
      </c>
      <c r="W56" s="36" t="s">
        <v>107</v>
      </c>
      <c r="X56" s="36" t="s">
        <v>106</v>
      </c>
      <c r="Y56" s="37" t="s">
        <v>105</v>
      </c>
      <c r="Z56" s="36" t="s">
        <v>104</v>
      </c>
      <c r="AA56" s="36" t="s">
        <v>102</v>
      </c>
      <c r="AB56" s="36" t="s">
        <v>103</v>
      </c>
      <c r="AC56" s="36" t="s">
        <v>102</v>
      </c>
      <c r="AD56" s="36" t="s">
        <v>101</v>
      </c>
      <c r="AE56" s="36" t="s">
        <v>100</v>
      </c>
      <c r="AF56" s="35" t="s">
        <v>99</v>
      </c>
      <c r="AG56" s="34" t="s">
        <v>98</v>
      </c>
      <c r="AH56" s="33"/>
      <c r="AJ56" s="1432"/>
      <c r="AK56" s="1432"/>
    </row>
    <row r="57" spans="1:39" s="18" customFormat="1" ht="7.5" customHeight="1">
      <c r="B57" s="30"/>
      <c r="AH57" s="24"/>
    </row>
    <row r="58" spans="1:39" s="18" customFormat="1" ht="16.899999999999999" customHeight="1">
      <c r="B58" s="30"/>
      <c r="C58" s="29" t="str">
        <f t="shared" ref="C58:C79" si="5">IF(ISBLANK(E58),"",IF((E58-D58)&gt;=365,13,_xlfn.XLOOKUP(E58,$D$33:$D$48,$C$33:$C$48,-1,0)))</f>
        <v/>
      </c>
      <c r="D58" s="28"/>
      <c r="E58" s="28"/>
      <c r="F58" s="27"/>
      <c r="G58" s="27"/>
      <c r="H58" s="26"/>
      <c r="I58" s="26"/>
      <c r="J58" s="26"/>
      <c r="K58" s="26"/>
      <c r="L58" s="26"/>
      <c r="M58" s="26"/>
      <c r="N58" s="26"/>
      <c r="O58" s="26"/>
      <c r="P58" s="25">
        <f t="shared" ref="P58:P79" si="6">M58-N58+O58</f>
        <v>0</v>
      </c>
      <c r="Q58" s="26"/>
      <c r="R58" s="26"/>
      <c r="S58" s="26"/>
      <c r="T58" s="26"/>
      <c r="U58" s="26"/>
      <c r="V58" s="26"/>
      <c r="W58" s="26"/>
      <c r="X58" s="26" t="str">
        <f t="shared" ref="X58:X79" si="7">IF(AND(ISBLANK(V58),ISBLANK(W58)),"",V58-W58)</f>
        <v/>
      </c>
      <c r="Y58" s="26"/>
      <c r="Z58" s="26"/>
      <c r="AA58" s="26"/>
      <c r="AB58" s="26"/>
      <c r="AC58" s="26">
        <f t="shared" ref="AC58:AC79" si="8">IF(AND(ISBLANK(AA58),ISBLANK(AB58)),0,AA58-AB58)</f>
        <v>0</v>
      </c>
      <c r="AD58" s="26"/>
      <c r="AE58" s="26"/>
      <c r="AF58" s="26">
        <f t="shared" ref="AF58:AF79" si="9">IF(AND(ISBLANK(AD58),ISBLANK(AE58)),0,AD58-AE58)</f>
        <v>0</v>
      </c>
      <c r="AG58" s="25">
        <f t="shared" ref="AG58:AG79" si="10">SUM(P58,U58,X58,Y58,Z58,AC58,AF58)</f>
        <v>0</v>
      </c>
      <c r="AH58" s="24"/>
      <c r="AJ58" s="23"/>
      <c r="AK58" s="22"/>
    </row>
    <row r="59" spans="1:39" s="18" customFormat="1" ht="16.899999999999999" customHeight="1">
      <c r="B59" s="30"/>
      <c r="C59" s="29" t="str">
        <f t="shared" si="5"/>
        <v/>
      </c>
      <c r="D59" s="28"/>
      <c r="E59" s="28"/>
      <c r="F59" s="27"/>
      <c r="G59" s="27"/>
      <c r="H59" s="26"/>
      <c r="I59" s="26"/>
      <c r="J59" s="26"/>
      <c r="K59" s="26"/>
      <c r="L59" s="26"/>
      <c r="M59" s="26"/>
      <c r="N59" s="26"/>
      <c r="O59" s="26"/>
      <c r="P59" s="25">
        <f t="shared" si="6"/>
        <v>0</v>
      </c>
      <c r="Q59" s="26"/>
      <c r="R59" s="26"/>
      <c r="S59" s="26"/>
      <c r="T59" s="26"/>
      <c r="U59" s="26"/>
      <c r="V59" s="26"/>
      <c r="W59" s="26"/>
      <c r="X59" s="26" t="str">
        <f t="shared" si="7"/>
        <v/>
      </c>
      <c r="Y59" s="26"/>
      <c r="Z59" s="26"/>
      <c r="AA59" s="26"/>
      <c r="AB59" s="26"/>
      <c r="AC59" s="26">
        <f t="shared" si="8"/>
        <v>0</v>
      </c>
      <c r="AD59" s="26"/>
      <c r="AE59" s="26"/>
      <c r="AF59" s="26">
        <f t="shared" si="9"/>
        <v>0</v>
      </c>
      <c r="AG59" s="25">
        <f t="shared" si="10"/>
        <v>0</v>
      </c>
      <c r="AH59" s="24"/>
      <c r="AJ59" s="23"/>
      <c r="AK59" s="22"/>
    </row>
    <row r="60" spans="1:39" s="18" customFormat="1" ht="16.899999999999999" customHeight="1">
      <c r="B60" s="30"/>
      <c r="C60" s="29" t="str">
        <f t="shared" si="5"/>
        <v/>
      </c>
      <c r="D60" s="28"/>
      <c r="E60" s="28"/>
      <c r="F60" s="27"/>
      <c r="G60" s="27"/>
      <c r="H60" s="26"/>
      <c r="I60" s="26"/>
      <c r="J60" s="26"/>
      <c r="K60" s="26"/>
      <c r="L60" s="26"/>
      <c r="M60" s="26"/>
      <c r="N60" s="26"/>
      <c r="O60" s="26"/>
      <c r="P60" s="25">
        <f t="shared" si="6"/>
        <v>0</v>
      </c>
      <c r="Q60" s="26"/>
      <c r="R60" s="26"/>
      <c r="S60" s="26"/>
      <c r="T60" s="26"/>
      <c r="U60" s="26"/>
      <c r="V60" s="26"/>
      <c r="W60" s="26"/>
      <c r="X60" s="26" t="str">
        <f t="shared" si="7"/>
        <v/>
      </c>
      <c r="Y60" s="26"/>
      <c r="Z60" s="26"/>
      <c r="AA60" s="26"/>
      <c r="AB60" s="26"/>
      <c r="AC60" s="26">
        <f t="shared" si="8"/>
        <v>0</v>
      </c>
      <c r="AD60" s="26"/>
      <c r="AE60" s="26"/>
      <c r="AF60" s="26">
        <f t="shared" si="9"/>
        <v>0</v>
      </c>
      <c r="AG60" s="25">
        <f t="shared" si="10"/>
        <v>0</v>
      </c>
      <c r="AH60" s="24"/>
      <c r="AJ60" s="23"/>
      <c r="AK60" s="22"/>
    </row>
    <row r="61" spans="1:39" s="18" customFormat="1" ht="16.899999999999999" customHeight="1">
      <c r="B61" s="30"/>
      <c r="C61" s="29" t="str">
        <f t="shared" si="5"/>
        <v/>
      </c>
      <c r="D61" s="28"/>
      <c r="E61" s="28"/>
      <c r="F61" s="27"/>
      <c r="G61" s="27"/>
      <c r="H61" s="26"/>
      <c r="I61" s="26"/>
      <c r="J61" s="26"/>
      <c r="K61" s="26"/>
      <c r="L61" s="26"/>
      <c r="M61" s="26"/>
      <c r="N61" s="26"/>
      <c r="O61" s="26"/>
      <c r="P61" s="25">
        <f t="shared" si="6"/>
        <v>0</v>
      </c>
      <c r="Q61" s="26"/>
      <c r="R61" s="26"/>
      <c r="S61" s="26"/>
      <c r="T61" s="26"/>
      <c r="U61" s="26"/>
      <c r="V61" s="26"/>
      <c r="W61" s="26"/>
      <c r="X61" s="26" t="str">
        <f t="shared" si="7"/>
        <v/>
      </c>
      <c r="Y61" s="26"/>
      <c r="Z61" s="26"/>
      <c r="AA61" s="26"/>
      <c r="AB61" s="26"/>
      <c r="AC61" s="26">
        <f t="shared" si="8"/>
        <v>0</v>
      </c>
      <c r="AD61" s="26"/>
      <c r="AE61" s="26"/>
      <c r="AF61" s="26">
        <f t="shared" si="9"/>
        <v>0</v>
      </c>
      <c r="AG61" s="25">
        <f t="shared" si="10"/>
        <v>0</v>
      </c>
      <c r="AH61" s="24"/>
      <c r="AJ61" s="23"/>
      <c r="AK61" s="22"/>
    </row>
    <row r="62" spans="1:39" s="18" customFormat="1" ht="16.899999999999999" customHeight="1">
      <c r="B62" s="30"/>
      <c r="C62" s="29" t="str">
        <f t="shared" si="5"/>
        <v/>
      </c>
      <c r="D62" s="28"/>
      <c r="E62" s="28"/>
      <c r="F62" s="27"/>
      <c r="G62" s="27"/>
      <c r="H62" s="26"/>
      <c r="I62" s="26"/>
      <c r="J62" s="26"/>
      <c r="K62" s="26"/>
      <c r="L62" s="26"/>
      <c r="M62" s="26"/>
      <c r="N62" s="26"/>
      <c r="O62" s="26"/>
      <c r="P62" s="25">
        <f t="shared" si="6"/>
        <v>0</v>
      </c>
      <c r="Q62" s="26"/>
      <c r="R62" s="26"/>
      <c r="S62" s="26"/>
      <c r="T62" s="26"/>
      <c r="U62" s="26"/>
      <c r="V62" s="26"/>
      <c r="W62" s="26"/>
      <c r="X62" s="26" t="str">
        <f t="shared" si="7"/>
        <v/>
      </c>
      <c r="Y62" s="26"/>
      <c r="Z62" s="26"/>
      <c r="AA62" s="26"/>
      <c r="AB62" s="26"/>
      <c r="AC62" s="26">
        <f t="shared" si="8"/>
        <v>0</v>
      </c>
      <c r="AD62" s="26"/>
      <c r="AE62" s="26"/>
      <c r="AF62" s="26">
        <f t="shared" si="9"/>
        <v>0</v>
      </c>
      <c r="AG62" s="25">
        <f t="shared" si="10"/>
        <v>0</v>
      </c>
      <c r="AH62" s="24"/>
      <c r="AJ62" s="23"/>
      <c r="AK62" s="22"/>
    </row>
    <row r="63" spans="1:39" s="18" customFormat="1" ht="16.899999999999999" customHeight="1">
      <c r="B63" s="30"/>
      <c r="C63" s="29" t="str">
        <f t="shared" si="5"/>
        <v/>
      </c>
      <c r="D63" s="28"/>
      <c r="E63" s="28"/>
      <c r="F63" s="27"/>
      <c r="G63" s="27"/>
      <c r="H63" s="26"/>
      <c r="I63" s="26"/>
      <c r="J63" s="26"/>
      <c r="K63" s="26"/>
      <c r="L63" s="26"/>
      <c r="M63" s="26"/>
      <c r="N63" s="26"/>
      <c r="O63" s="26"/>
      <c r="P63" s="25">
        <f t="shared" si="6"/>
        <v>0</v>
      </c>
      <c r="Q63" s="26"/>
      <c r="R63" s="26"/>
      <c r="S63" s="26"/>
      <c r="T63" s="26"/>
      <c r="U63" s="26"/>
      <c r="V63" s="26"/>
      <c r="W63" s="26"/>
      <c r="X63" s="26" t="str">
        <f t="shared" si="7"/>
        <v/>
      </c>
      <c r="Y63" s="26"/>
      <c r="Z63" s="26"/>
      <c r="AA63" s="26"/>
      <c r="AB63" s="26"/>
      <c r="AC63" s="26">
        <f t="shared" si="8"/>
        <v>0</v>
      </c>
      <c r="AD63" s="26"/>
      <c r="AE63" s="26"/>
      <c r="AF63" s="26">
        <f t="shared" si="9"/>
        <v>0</v>
      </c>
      <c r="AG63" s="25">
        <f t="shared" si="10"/>
        <v>0</v>
      </c>
      <c r="AH63" s="24"/>
      <c r="AJ63" s="23"/>
      <c r="AK63" s="22"/>
    </row>
    <row r="64" spans="1:39" s="18" customFormat="1" ht="16.899999999999999" customHeight="1">
      <c r="B64" s="30"/>
      <c r="C64" s="29" t="str">
        <f t="shared" si="5"/>
        <v/>
      </c>
      <c r="D64" s="28"/>
      <c r="E64" s="28"/>
      <c r="F64" s="27"/>
      <c r="G64" s="27"/>
      <c r="H64" s="26"/>
      <c r="I64" s="26"/>
      <c r="J64" s="26"/>
      <c r="K64" s="26"/>
      <c r="L64" s="26"/>
      <c r="M64" s="26"/>
      <c r="N64" s="26"/>
      <c r="O64" s="26"/>
      <c r="P64" s="25">
        <f t="shared" si="6"/>
        <v>0</v>
      </c>
      <c r="Q64" s="26"/>
      <c r="R64" s="26"/>
      <c r="S64" s="26"/>
      <c r="T64" s="26"/>
      <c r="U64" s="26"/>
      <c r="V64" s="26"/>
      <c r="W64" s="26"/>
      <c r="X64" s="26" t="str">
        <f t="shared" si="7"/>
        <v/>
      </c>
      <c r="Y64" s="26"/>
      <c r="Z64" s="26"/>
      <c r="AA64" s="26"/>
      <c r="AB64" s="26"/>
      <c r="AC64" s="26">
        <f t="shared" si="8"/>
        <v>0</v>
      </c>
      <c r="AD64" s="26"/>
      <c r="AE64" s="26"/>
      <c r="AF64" s="26">
        <f t="shared" si="9"/>
        <v>0</v>
      </c>
      <c r="AG64" s="25">
        <f t="shared" si="10"/>
        <v>0</v>
      </c>
      <c r="AH64" s="24"/>
      <c r="AJ64" s="23"/>
      <c r="AK64" s="22"/>
    </row>
    <row r="65" spans="2:37" s="18" customFormat="1" ht="16.899999999999999" customHeight="1">
      <c r="B65" s="30"/>
      <c r="C65" s="29" t="str">
        <f t="shared" si="5"/>
        <v/>
      </c>
      <c r="D65" s="28"/>
      <c r="E65" s="28"/>
      <c r="F65" s="27"/>
      <c r="G65" s="27"/>
      <c r="H65" s="26"/>
      <c r="I65" s="26"/>
      <c r="J65" s="26"/>
      <c r="K65" s="26"/>
      <c r="L65" s="26"/>
      <c r="M65" s="26"/>
      <c r="N65" s="26"/>
      <c r="O65" s="26"/>
      <c r="P65" s="25">
        <f t="shared" si="6"/>
        <v>0</v>
      </c>
      <c r="Q65" s="26"/>
      <c r="R65" s="26"/>
      <c r="S65" s="26"/>
      <c r="T65" s="26"/>
      <c r="U65" s="26"/>
      <c r="V65" s="26"/>
      <c r="W65" s="26"/>
      <c r="X65" s="26" t="str">
        <f t="shared" si="7"/>
        <v/>
      </c>
      <c r="Y65" s="26"/>
      <c r="Z65" s="26"/>
      <c r="AA65" s="26"/>
      <c r="AB65" s="26"/>
      <c r="AC65" s="26">
        <f t="shared" si="8"/>
        <v>0</v>
      </c>
      <c r="AD65" s="26"/>
      <c r="AE65" s="26"/>
      <c r="AF65" s="26">
        <f t="shared" si="9"/>
        <v>0</v>
      </c>
      <c r="AG65" s="25">
        <f t="shared" si="10"/>
        <v>0</v>
      </c>
      <c r="AH65" s="24"/>
      <c r="AJ65" s="23"/>
      <c r="AK65" s="22"/>
    </row>
    <row r="66" spans="2:37" s="18" customFormat="1" ht="16.899999999999999" customHeight="1">
      <c r="B66" s="30"/>
      <c r="C66" s="29" t="str">
        <f t="shared" si="5"/>
        <v/>
      </c>
      <c r="D66" s="28"/>
      <c r="E66" s="28"/>
      <c r="F66" s="27"/>
      <c r="G66" s="27"/>
      <c r="H66" s="26"/>
      <c r="I66" s="26"/>
      <c r="J66" s="26"/>
      <c r="K66" s="26"/>
      <c r="L66" s="26"/>
      <c r="M66" s="26"/>
      <c r="N66" s="26"/>
      <c r="O66" s="26"/>
      <c r="P66" s="25">
        <f t="shared" si="6"/>
        <v>0</v>
      </c>
      <c r="Q66" s="26"/>
      <c r="R66" s="26"/>
      <c r="S66" s="26"/>
      <c r="T66" s="26"/>
      <c r="U66" s="26"/>
      <c r="V66" s="26"/>
      <c r="W66" s="26"/>
      <c r="X66" s="26" t="str">
        <f t="shared" si="7"/>
        <v/>
      </c>
      <c r="Y66" s="26"/>
      <c r="Z66" s="26"/>
      <c r="AA66" s="26"/>
      <c r="AB66" s="26"/>
      <c r="AC66" s="26">
        <f t="shared" si="8"/>
        <v>0</v>
      </c>
      <c r="AD66" s="26"/>
      <c r="AE66" s="26"/>
      <c r="AF66" s="26">
        <f t="shared" si="9"/>
        <v>0</v>
      </c>
      <c r="AG66" s="25">
        <f t="shared" si="10"/>
        <v>0</v>
      </c>
      <c r="AH66" s="24"/>
      <c r="AJ66" s="23"/>
      <c r="AK66" s="22"/>
    </row>
    <row r="67" spans="2:37" s="18" customFormat="1" ht="16.899999999999999" customHeight="1">
      <c r="B67" s="30"/>
      <c r="C67" s="29" t="str">
        <f t="shared" si="5"/>
        <v/>
      </c>
      <c r="D67" s="28"/>
      <c r="E67" s="28"/>
      <c r="F67" s="27"/>
      <c r="G67" s="27"/>
      <c r="H67" s="26"/>
      <c r="I67" s="26"/>
      <c r="J67" s="26"/>
      <c r="K67" s="26"/>
      <c r="L67" s="26"/>
      <c r="M67" s="26"/>
      <c r="N67" s="26"/>
      <c r="O67" s="26"/>
      <c r="P67" s="25">
        <f t="shared" si="6"/>
        <v>0</v>
      </c>
      <c r="Q67" s="26"/>
      <c r="R67" s="26"/>
      <c r="S67" s="26"/>
      <c r="T67" s="26"/>
      <c r="U67" s="26"/>
      <c r="V67" s="26"/>
      <c r="W67" s="26"/>
      <c r="X67" s="26" t="str">
        <f t="shared" si="7"/>
        <v/>
      </c>
      <c r="Y67" s="26"/>
      <c r="Z67" s="26"/>
      <c r="AA67" s="26"/>
      <c r="AB67" s="26"/>
      <c r="AC67" s="26">
        <f t="shared" si="8"/>
        <v>0</v>
      </c>
      <c r="AD67" s="26"/>
      <c r="AE67" s="26"/>
      <c r="AF67" s="26">
        <f t="shared" si="9"/>
        <v>0</v>
      </c>
      <c r="AG67" s="25">
        <f t="shared" si="10"/>
        <v>0</v>
      </c>
      <c r="AH67" s="24"/>
      <c r="AJ67" s="23"/>
      <c r="AK67" s="22"/>
    </row>
    <row r="68" spans="2:37" s="18" customFormat="1" ht="16.899999999999999" customHeight="1">
      <c r="B68" s="30"/>
      <c r="C68" s="29" t="str">
        <f t="shared" si="5"/>
        <v/>
      </c>
      <c r="D68" s="28"/>
      <c r="E68" s="28"/>
      <c r="F68" s="27"/>
      <c r="G68" s="27"/>
      <c r="H68" s="26"/>
      <c r="I68" s="26"/>
      <c r="J68" s="26"/>
      <c r="K68" s="26"/>
      <c r="L68" s="26"/>
      <c r="M68" s="26"/>
      <c r="N68" s="26"/>
      <c r="O68" s="26"/>
      <c r="P68" s="25">
        <f t="shared" si="6"/>
        <v>0</v>
      </c>
      <c r="Q68" s="26"/>
      <c r="R68" s="26"/>
      <c r="S68" s="26"/>
      <c r="T68" s="26"/>
      <c r="U68" s="26"/>
      <c r="V68" s="26"/>
      <c r="W68" s="26"/>
      <c r="X68" s="26" t="str">
        <f t="shared" si="7"/>
        <v/>
      </c>
      <c r="Y68" s="26"/>
      <c r="Z68" s="26"/>
      <c r="AA68" s="26"/>
      <c r="AB68" s="26"/>
      <c r="AC68" s="26">
        <f t="shared" si="8"/>
        <v>0</v>
      </c>
      <c r="AD68" s="26"/>
      <c r="AE68" s="26"/>
      <c r="AF68" s="26">
        <f t="shared" si="9"/>
        <v>0</v>
      </c>
      <c r="AG68" s="25">
        <f t="shared" si="10"/>
        <v>0</v>
      </c>
      <c r="AH68" s="24"/>
      <c r="AJ68" s="23"/>
      <c r="AK68" s="22"/>
    </row>
    <row r="69" spans="2:37" s="18" customFormat="1" ht="16.899999999999999" customHeight="1">
      <c r="B69" s="30"/>
      <c r="C69" s="29" t="str">
        <f t="shared" si="5"/>
        <v/>
      </c>
      <c r="D69" s="28"/>
      <c r="E69" s="28"/>
      <c r="F69" s="27"/>
      <c r="G69" s="27"/>
      <c r="H69" s="26"/>
      <c r="I69" s="26"/>
      <c r="J69" s="26"/>
      <c r="K69" s="26"/>
      <c r="L69" s="26"/>
      <c r="M69" s="26"/>
      <c r="N69" s="26"/>
      <c r="O69" s="26"/>
      <c r="P69" s="25">
        <f t="shared" si="6"/>
        <v>0</v>
      </c>
      <c r="Q69" s="26"/>
      <c r="R69" s="26"/>
      <c r="S69" s="26"/>
      <c r="T69" s="26"/>
      <c r="U69" s="26"/>
      <c r="V69" s="26"/>
      <c r="W69" s="26"/>
      <c r="X69" s="26" t="str">
        <f t="shared" si="7"/>
        <v/>
      </c>
      <c r="Y69" s="26"/>
      <c r="Z69" s="26"/>
      <c r="AA69" s="26"/>
      <c r="AB69" s="26"/>
      <c r="AC69" s="26">
        <f t="shared" si="8"/>
        <v>0</v>
      </c>
      <c r="AD69" s="26"/>
      <c r="AE69" s="26"/>
      <c r="AF69" s="26">
        <f t="shared" si="9"/>
        <v>0</v>
      </c>
      <c r="AG69" s="25">
        <f t="shared" si="10"/>
        <v>0</v>
      </c>
      <c r="AH69" s="24"/>
      <c r="AJ69" s="23"/>
      <c r="AK69" s="22"/>
    </row>
    <row r="70" spans="2:37" s="18" customFormat="1" ht="16.899999999999999" customHeight="1">
      <c r="B70" s="30"/>
      <c r="C70" s="29" t="str">
        <f t="shared" si="5"/>
        <v/>
      </c>
      <c r="D70" s="28"/>
      <c r="E70" s="28"/>
      <c r="F70" s="27"/>
      <c r="G70" s="27"/>
      <c r="H70" s="26"/>
      <c r="I70" s="26"/>
      <c r="J70" s="26"/>
      <c r="K70" s="26"/>
      <c r="L70" s="26"/>
      <c r="M70" s="26"/>
      <c r="N70" s="26"/>
      <c r="O70" s="26"/>
      <c r="P70" s="25">
        <f t="shared" si="6"/>
        <v>0</v>
      </c>
      <c r="Q70" s="26"/>
      <c r="R70" s="26"/>
      <c r="S70" s="26"/>
      <c r="T70" s="26"/>
      <c r="U70" s="26"/>
      <c r="V70" s="26"/>
      <c r="W70" s="26"/>
      <c r="X70" s="26" t="str">
        <f t="shared" si="7"/>
        <v/>
      </c>
      <c r="Y70" s="26"/>
      <c r="Z70" s="26"/>
      <c r="AA70" s="26"/>
      <c r="AB70" s="26"/>
      <c r="AC70" s="26">
        <f t="shared" si="8"/>
        <v>0</v>
      </c>
      <c r="AD70" s="26"/>
      <c r="AE70" s="26"/>
      <c r="AF70" s="26">
        <f t="shared" si="9"/>
        <v>0</v>
      </c>
      <c r="AG70" s="25">
        <f t="shared" si="10"/>
        <v>0</v>
      </c>
      <c r="AH70" s="24"/>
      <c r="AJ70" s="23"/>
      <c r="AK70" s="22"/>
    </row>
    <row r="71" spans="2:37" s="18" customFormat="1" ht="16.899999999999999" customHeight="1">
      <c r="B71" s="30"/>
      <c r="C71" s="29" t="str">
        <f t="shared" si="5"/>
        <v/>
      </c>
      <c r="D71" s="28"/>
      <c r="E71" s="28"/>
      <c r="F71" s="27"/>
      <c r="G71" s="27"/>
      <c r="H71" s="26"/>
      <c r="I71" s="26"/>
      <c r="J71" s="26"/>
      <c r="K71" s="26"/>
      <c r="L71" s="26"/>
      <c r="M71" s="26"/>
      <c r="N71" s="26"/>
      <c r="O71" s="26"/>
      <c r="P71" s="25">
        <f t="shared" si="6"/>
        <v>0</v>
      </c>
      <c r="Q71" s="26"/>
      <c r="R71" s="26"/>
      <c r="S71" s="26"/>
      <c r="T71" s="26"/>
      <c r="U71" s="26"/>
      <c r="V71" s="26"/>
      <c r="W71" s="26"/>
      <c r="X71" s="26" t="str">
        <f t="shared" si="7"/>
        <v/>
      </c>
      <c r="Y71" s="26"/>
      <c r="Z71" s="26"/>
      <c r="AA71" s="26"/>
      <c r="AB71" s="26"/>
      <c r="AC71" s="26">
        <f t="shared" si="8"/>
        <v>0</v>
      </c>
      <c r="AD71" s="26"/>
      <c r="AE71" s="26"/>
      <c r="AF71" s="26">
        <f t="shared" si="9"/>
        <v>0</v>
      </c>
      <c r="AG71" s="25">
        <f t="shared" si="10"/>
        <v>0</v>
      </c>
      <c r="AH71" s="24"/>
      <c r="AJ71" s="23"/>
      <c r="AK71" s="22"/>
    </row>
    <row r="72" spans="2:37" s="18" customFormat="1" ht="16.899999999999999" customHeight="1">
      <c r="B72" s="30"/>
      <c r="C72" s="29" t="str">
        <f t="shared" si="5"/>
        <v/>
      </c>
      <c r="D72" s="28"/>
      <c r="E72" s="28"/>
      <c r="F72" s="27"/>
      <c r="G72" s="27"/>
      <c r="H72" s="26"/>
      <c r="I72" s="26"/>
      <c r="J72" s="26"/>
      <c r="K72" s="26"/>
      <c r="L72" s="26"/>
      <c r="M72" s="26"/>
      <c r="N72" s="26"/>
      <c r="O72" s="26"/>
      <c r="P72" s="25">
        <f t="shared" si="6"/>
        <v>0</v>
      </c>
      <c r="Q72" s="26"/>
      <c r="R72" s="26"/>
      <c r="S72" s="26"/>
      <c r="T72" s="26"/>
      <c r="U72" s="26"/>
      <c r="V72" s="26"/>
      <c r="W72" s="26"/>
      <c r="X72" s="26" t="str">
        <f t="shared" si="7"/>
        <v/>
      </c>
      <c r="Y72" s="26"/>
      <c r="Z72" s="26"/>
      <c r="AA72" s="26"/>
      <c r="AB72" s="26"/>
      <c r="AC72" s="26">
        <f t="shared" si="8"/>
        <v>0</v>
      </c>
      <c r="AD72" s="26"/>
      <c r="AE72" s="26"/>
      <c r="AF72" s="26">
        <f t="shared" si="9"/>
        <v>0</v>
      </c>
      <c r="AG72" s="25">
        <f t="shared" si="10"/>
        <v>0</v>
      </c>
      <c r="AH72" s="24"/>
      <c r="AJ72" s="23"/>
      <c r="AK72" s="22"/>
    </row>
    <row r="73" spans="2:37" s="18" customFormat="1" ht="16.899999999999999" customHeight="1">
      <c r="B73" s="30"/>
      <c r="C73" s="29" t="str">
        <f t="shared" si="5"/>
        <v/>
      </c>
      <c r="D73" s="28"/>
      <c r="E73" s="28"/>
      <c r="F73" s="27"/>
      <c r="G73" s="27"/>
      <c r="H73" s="26"/>
      <c r="I73" s="26"/>
      <c r="J73" s="26"/>
      <c r="K73" s="26"/>
      <c r="L73" s="26"/>
      <c r="M73" s="26"/>
      <c r="N73" s="26"/>
      <c r="O73" s="26"/>
      <c r="P73" s="25">
        <f t="shared" si="6"/>
        <v>0</v>
      </c>
      <c r="Q73" s="26"/>
      <c r="R73" s="26"/>
      <c r="S73" s="26"/>
      <c r="T73" s="26"/>
      <c r="U73" s="26"/>
      <c r="V73" s="26"/>
      <c r="W73" s="26"/>
      <c r="X73" s="26" t="str">
        <f t="shared" si="7"/>
        <v/>
      </c>
      <c r="Y73" s="26"/>
      <c r="Z73" s="26"/>
      <c r="AA73" s="26"/>
      <c r="AB73" s="26"/>
      <c r="AC73" s="26">
        <f t="shared" si="8"/>
        <v>0</v>
      </c>
      <c r="AD73" s="26"/>
      <c r="AE73" s="26"/>
      <c r="AF73" s="26">
        <f t="shared" si="9"/>
        <v>0</v>
      </c>
      <c r="AG73" s="25">
        <f t="shared" si="10"/>
        <v>0</v>
      </c>
      <c r="AH73" s="24"/>
      <c r="AJ73" s="23"/>
      <c r="AK73" s="22"/>
    </row>
    <row r="74" spans="2:37" s="18" customFormat="1" ht="16.899999999999999" customHeight="1">
      <c r="B74" s="30"/>
      <c r="C74" s="29" t="str">
        <f t="shared" si="5"/>
        <v/>
      </c>
      <c r="D74" s="28"/>
      <c r="E74" s="28"/>
      <c r="F74" s="27"/>
      <c r="G74" s="27"/>
      <c r="H74" s="26"/>
      <c r="I74" s="26"/>
      <c r="J74" s="26"/>
      <c r="K74" s="26"/>
      <c r="L74" s="26"/>
      <c r="M74" s="26"/>
      <c r="N74" s="26"/>
      <c r="O74" s="26"/>
      <c r="P74" s="25">
        <f t="shared" si="6"/>
        <v>0</v>
      </c>
      <c r="Q74" s="26"/>
      <c r="R74" s="26"/>
      <c r="S74" s="26"/>
      <c r="T74" s="26"/>
      <c r="U74" s="26"/>
      <c r="V74" s="26"/>
      <c r="W74" s="26"/>
      <c r="X74" s="26" t="str">
        <f t="shared" si="7"/>
        <v/>
      </c>
      <c r="Y74" s="26"/>
      <c r="Z74" s="26"/>
      <c r="AA74" s="26"/>
      <c r="AB74" s="26"/>
      <c r="AC74" s="26">
        <f t="shared" si="8"/>
        <v>0</v>
      </c>
      <c r="AD74" s="26"/>
      <c r="AE74" s="26"/>
      <c r="AF74" s="26">
        <f t="shared" si="9"/>
        <v>0</v>
      </c>
      <c r="AG74" s="25">
        <f t="shared" si="10"/>
        <v>0</v>
      </c>
      <c r="AH74" s="24"/>
      <c r="AJ74" s="23"/>
      <c r="AK74" s="22"/>
    </row>
    <row r="75" spans="2:37" s="18" customFormat="1" ht="16.899999999999999" customHeight="1">
      <c r="B75" s="30"/>
      <c r="C75" s="29" t="str">
        <f t="shared" si="5"/>
        <v/>
      </c>
      <c r="D75" s="28"/>
      <c r="E75" s="28"/>
      <c r="F75" s="27"/>
      <c r="G75" s="27"/>
      <c r="H75" s="26"/>
      <c r="I75" s="26"/>
      <c r="J75" s="26"/>
      <c r="K75" s="26"/>
      <c r="L75" s="26"/>
      <c r="M75" s="26"/>
      <c r="N75" s="26"/>
      <c r="O75" s="26"/>
      <c r="P75" s="25">
        <f t="shared" si="6"/>
        <v>0</v>
      </c>
      <c r="Q75" s="26"/>
      <c r="R75" s="26"/>
      <c r="S75" s="26"/>
      <c r="T75" s="26"/>
      <c r="U75" s="26"/>
      <c r="V75" s="26"/>
      <c r="W75" s="26"/>
      <c r="X75" s="26" t="str">
        <f t="shared" si="7"/>
        <v/>
      </c>
      <c r="Y75" s="26"/>
      <c r="Z75" s="26"/>
      <c r="AA75" s="26"/>
      <c r="AB75" s="26"/>
      <c r="AC75" s="26">
        <f t="shared" si="8"/>
        <v>0</v>
      </c>
      <c r="AD75" s="26"/>
      <c r="AE75" s="26"/>
      <c r="AF75" s="26">
        <f t="shared" si="9"/>
        <v>0</v>
      </c>
      <c r="AG75" s="25">
        <f t="shared" si="10"/>
        <v>0</v>
      </c>
      <c r="AH75" s="24"/>
      <c r="AJ75" s="23"/>
      <c r="AK75" s="22"/>
    </row>
    <row r="76" spans="2:37" s="18" customFormat="1" ht="16.899999999999999" customHeight="1">
      <c r="B76" s="30"/>
      <c r="C76" s="29" t="str">
        <f t="shared" si="5"/>
        <v/>
      </c>
      <c r="D76" s="28"/>
      <c r="E76" s="28"/>
      <c r="F76" s="27"/>
      <c r="G76" s="27"/>
      <c r="H76" s="26"/>
      <c r="I76" s="26"/>
      <c r="J76" s="26"/>
      <c r="K76" s="26"/>
      <c r="L76" s="26"/>
      <c r="M76" s="26"/>
      <c r="N76" s="26"/>
      <c r="O76" s="26"/>
      <c r="P76" s="25">
        <f t="shared" si="6"/>
        <v>0</v>
      </c>
      <c r="Q76" s="26"/>
      <c r="R76" s="26"/>
      <c r="S76" s="26"/>
      <c r="T76" s="26"/>
      <c r="U76" s="26"/>
      <c r="V76" s="26"/>
      <c r="W76" s="26"/>
      <c r="X76" s="26" t="str">
        <f t="shared" si="7"/>
        <v/>
      </c>
      <c r="Y76" s="26"/>
      <c r="Z76" s="26"/>
      <c r="AA76" s="26"/>
      <c r="AB76" s="26"/>
      <c r="AC76" s="26">
        <f t="shared" si="8"/>
        <v>0</v>
      </c>
      <c r="AD76" s="26"/>
      <c r="AE76" s="26"/>
      <c r="AF76" s="26">
        <f t="shared" si="9"/>
        <v>0</v>
      </c>
      <c r="AG76" s="25">
        <f t="shared" si="10"/>
        <v>0</v>
      </c>
      <c r="AH76" s="24"/>
      <c r="AJ76" s="23"/>
      <c r="AK76" s="22"/>
    </row>
    <row r="77" spans="2:37" s="18" customFormat="1" ht="16.899999999999999" customHeight="1">
      <c r="B77" s="30"/>
      <c r="C77" s="29" t="str">
        <f t="shared" si="5"/>
        <v/>
      </c>
      <c r="D77" s="28"/>
      <c r="E77" s="28"/>
      <c r="F77" s="27"/>
      <c r="G77" s="27"/>
      <c r="H77" s="26"/>
      <c r="I77" s="26"/>
      <c r="J77" s="26"/>
      <c r="K77" s="26"/>
      <c r="L77" s="26"/>
      <c r="M77" s="26"/>
      <c r="N77" s="26"/>
      <c r="O77" s="26"/>
      <c r="P77" s="25">
        <f t="shared" si="6"/>
        <v>0</v>
      </c>
      <c r="Q77" s="26"/>
      <c r="R77" s="26"/>
      <c r="S77" s="26"/>
      <c r="T77" s="26"/>
      <c r="U77" s="26"/>
      <c r="V77" s="26"/>
      <c r="W77" s="26"/>
      <c r="X77" s="26" t="str">
        <f t="shared" si="7"/>
        <v/>
      </c>
      <c r="Y77" s="26"/>
      <c r="Z77" s="26"/>
      <c r="AA77" s="26"/>
      <c r="AB77" s="26"/>
      <c r="AC77" s="26">
        <f t="shared" si="8"/>
        <v>0</v>
      </c>
      <c r="AD77" s="26"/>
      <c r="AE77" s="26"/>
      <c r="AF77" s="26">
        <f t="shared" si="9"/>
        <v>0</v>
      </c>
      <c r="AG77" s="25">
        <f t="shared" si="10"/>
        <v>0</v>
      </c>
      <c r="AH77" s="24"/>
      <c r="AJ77" s="23"/>
      <c r="AK77" s="22"/>
    </row>
    <row r="78" spans="2:37" s="18" customFormat="1" ht="16.899999999999999" customHeight="1">
      <c r="B78" s="30"/>
      <c r="C78" s="29" t="str">
        <f t="shared" si="5"/>
        <v/>
      </c>
      <c r="D78" s="28"/>
      <c r="E78" s="28"/>
      <c r="F78" s="27"/>
      <c r="G78" s="27"/>
      <c r="H78" s="26"/>
      <c r="I78" s="26"/>
      <c r="J78" s="26"/>
      <c r="K78" s="26"/>
      <c r="L78" s="26"/>
      <c r="M78" s="26"/>
      <c r="N78" s="26"/>
      <c r="O78" s="26"/>
      <c r="P78" s="25">
        <f t="shared" si="6"/>
        <v>0</v>
      </c>
      <c r="Q78" s="26"/>
      <c r="R78" s="26"/>
      <c r="S78" s="26"/>
      <c r="T78" s="26"/>
      <c r="U78" s="26"/>
      <c r="V78" s="26"/>
      <c r="W78" s="26"/>
      <c r="X78" s="26" t="str">
        <f t="shared" si="7"/>
        <v/>
      </c>
      <c r="Y78" s="26"/>
      <c r="Z78" s="26"/>
      <c r="AA78" s="26"/>
      <c r="AB78" s="26"/>
      <c r="AC78" s="26">
        <f t="shared" si="8"/>
        <v>0</v>
      </c>
      <c r="AD78" s="26"/>
      <c r="AE78" s="26"/>
      <c r="AF78" s="26">
        <f t="shared" si="9"/>
        <v>0</v>
      </c>
      <c r="AG78" s="25">
        <f t="shared" si="10"/>
        <v>0</v>
      </c>
      <c r="AH78" s="24"/>
      <c r="AJ78" s="23"/>
      <c r="AK78" s="22"/>
    </row>
    <row r="79" spans="2:37" s="18" customFormat="1" ht="16.899999999999999" customHeight="1">
      <c r="B79" s="30"/>
      <c r="C79" s="29" t="str">
        <f t="shared" si="5"/>
        <v/>
      </c>
      <c r="D79" s="28"/>
      <c r="E79" s="28"/>
      <c r="F79" s="27"/>
      <c r="G79" s="27"/>
      <c r="H79" s="26"/>
      <c r="I79" s="26"/>
      <c r="J79" s="26"/>
      <c r="K79" s="26"/>
      <c r="L79" s="26"/>
      <c r="M79" s="26"/>
      <c r="N79" s="26"/>
      <c r="O79" s="26"/>
      <c r="P79" s="25">
        <f t="shared" si="6"/>
        <v>0</v>
      </c>
      <c r="Q79" s="26"/>
      <c r="R79" s="26"/>
      <c r="S79" s="26"/>
      <c r="T79" s="26"/>
      <c r="U79" s="26"/>
      <c r="V79" s="26"/>
      <c r="W79" s="26"/>
      <c r="X79" s="26" t="str">
        <f t="shared" si="7"/>
        <v/>
      </c>
      <c r="Y79" s="26"/>
      <c r="Z79" s="26"/>
      <c r="AA79" s="26"/>
      <c r="AB79" s="26"/>
      <c r="AC79" s="26">
        <f t="shared" si="8"/>
        <v>0</v>
      </c>
      <c r="AD79" s="26"/>
      <c r="AE79" s="26"/>
      <c r="AF79" s="26">
        <f t="shared" si="9"/>
        <v>0</v>
      </c>
      <c r="AG79" s="25">
        <f t="shared" si="10"/>
        <v>0</v>
      </c>
      <c r="AH79" s="24"/>
      <c r="AJ79" s="23"/>
      <c r="AK79" s="22"/>
    </row>
    <row r="80" spans="2:37" s="18" customFormat="1" ht="7.5" customHeight="1">
      <c r="B80" s="21"/>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19"/>
    </row>
    <row r="83" s="17" customFormat="1" ht="14.45" customHeight="1"/>
  </sheetData>
  <sheetProtection sheet="1" objects="1" scenarios="1" formatCells="0" formatColumns="0" formatRows="0" insertColumns="0" insertRows="0" insertHyperlinks="0"/>
  <mergeCells count="34">
    <mergeCell ref="C32:E32"/>
    <mergeCell ref="H29:P29"/>
    <mergeCell ref="D42:G42"/>
    <mergeCell ref="D43:G43"/>
    <mergeCell ref="D44:G44"/>
    <mergeCell ref="D45:G45"/>
    <mergeCell ref="D37:G37"/>
    <mergeCell ref="C6:E6"/>
    <mergeCell ref="AF3:AG3"/>
    <mergeCell ref="C9:R9"/>
    <mergeCell ref="C10:P10"/>
    <mergeCell ref="C27:R27"/>
    <mergeCell ref="I20:J20"/>
    <mergeCell ref="B16:H16"/>
    <mergeCell ref="AG5:AH5"/>
    <mergeCell ref="I18:J18"/>
    <mergeCell ref="B25:H25"/>
    <mergeCell ref="I22:J22"/>
    <mergeCell ref="AJ56:AK56"/>
    <mergeCell ref="I51:J51"/>
    <mergeCell ref="B51:H51"/>
    <mergeCell ref="Y29:AF29"/>
    <mergeCell ref="V29:X29"/>
    <mergeCell ref="Q29:U29"/>
    <mergeCell ref="D39:G39"/>
    <mergeCell ref="D40:G40"/>
    <mergeCell ref="D41:G41"/>
    <mergeCell ref="AJ30:AK31"/>
    <mergeCell ref="D33:G33"/>
    <mergeCell ref="D35:G35"/>
    <mergeCell ref="D36:G36"/>
    <mergeCell ref="D48:G48"/>
    <mergeCell ref="D46:G46"/>
    <mergeCell ref="D38:G38"/>
  </mergeCells>
  <conditionalFormatting sqref="H33:O33">
    <cfRule type="expression" dxfId="350" priority="7">
      <formula>ISERROR((SEARCH("Model",_xlfn.FORMULATEXT(H33),1)))&lt;&gt;TRUE</formula>
    </cfRule>
  </conditionalFormatting>
  <conditionalFormatting sqref="H35:O46">
    <cfRule type="expression" dxfId="349" priority="8">
      <formula>ISERROR((SEARCH("Model",_xlfn.FORMULATEXT(H35),1)))&lt;&gt;TRUE</formula>
    </cfRule>
  </conditionalFormatting>
  <conditionalFormatting sqref="H48:O48">
    <cfRule type="expression" dxfId="348" priority="3">
      <formula>ISERROR((SEARCH("Model",_xlfn.FORMULATEXT(H48),1)))&lt;&gt;TRUE</formula>
    </cfRule>
  </conditionalFormatting>
  <conditionalFormatting sqref="I51:J51">
    <cfRule type="cellIs" dxfId="347" priority="9" operator="equal">
      <formula>"Contains Data"</formula>
    </cfRule>
  </conditionalFormatting>
  <conditionalFormatting sqref="Q35:U35 X35:AF35">
    <cfRule type="expression" dxfId="346" priority="5">
      <formula>ISERROR((SEARCH("Model",_xlfn.FORMULATEXT(Q35),1)))&lt;&gt;TRUE</formula>
    </cfRule>
  </conditionalFormatting>
  <conditionalFormatting sqref="Q33:AF33">
    <cfRule type="expression" dxfId="345" priority="6">
      <formula>ISERROR((SEARCH("Model",_xlfn.FORMULATEXT(Q33),1)))&lt;&gt;TRUE</formula>
    </cfRule>
  </conditionalFormatting>
  <conditionalFormatting sqref="Q36:AF46">
    <cfRule type="expression" dxfId="344" priority="1">
      <formula>ISERROR((SEARCH("Model",_xlfn.FORMULATEXT(Q36),1)))&lt;&gt;TRUE</formula>
    </cfRule>
  </conditionalFormatting>
  <conditionalFormatting sqref="V35:W46">
    <cfRule type="expression" dxfId="343" priority="4">
      <formula>ISERROR((SEARCH("Model",_xlfn.FORMULATEXT(V35),1)))&lt;&gt;TRUE</formula>
    </cfRule>
  </conditionalFormatting>
  <conditionalFormatting sqref="Y48:AF48">
    <cfRule type="expression" dxfId="342" priority="2">
      <formula>ISERROR((SEARCH("Model",_xlfn.FORMULATEXT(Y48),1)))&lt;&gt;TRUE</formula>
    </cfRule>
  </conditionalFormatting>
  <dataValidations count="1">
    <dataValidation type="list" allowBlank="1" showInputMessage="1" showErrorMessage="1" sqref="I20:J20" xr:uid="{34F6E8E4-3CC8-4997-A5B2-F452B331531A}">
      <formula1>"Monthly, Quarterly, Annually"</formula1>
    </dataValidation>
  </dataValidations>
  <hyperlinks>
    <hyperlink ref="I22" location="'BAS Monthly'!Go_ShowHideColumns" tooltip="Update Lodgement Periods i.e. columns" display="Update Lodgement Periods" xr:uid="{BE81EDA9-B801-4491-AF23-6A9127BF6AF5}"/>
    <hyperlink ref="I22:J22" location="'J50 BAS Lodgements'!Go_ShowHideRows" tooltip="Update Lodgement Periods i.e. columns" display="Update Display" xr:uid="{CF4C0457-3823-4610-B15A-5D7B40C7AB4D}"/>
    <hyperlink ref="A16:H16" location="'J50 BAS Lodgements'!Go_RollUp_00" tooltip="Show/Hide" display="'J50 BAS Lodgements'!Go_RollUp_00" xr:uid="{564D6F90-B90E-4A15-9F16-C6F122BBB799}"/>
    <hyperlink ref="A51:H51" location="'J50 BAS Lodgements'!Go_RollUp_01" tooltip="Show/Hide" display="'J50 BAS Lodgements'!Go_RollUp_01" xr:uid="{49EF0D0C-B2F2-4D06-8318-5BEE4B1E59B3}"/>
    <hyperlink ref="Y29:AF29" location="'J50 BAS Lodgements'!W42" tooltip="If entering data manually and a credit is expected, enter as a negative amount." display="Other Taxes / Credits i" xr:uid="{6665CB6F-FF42-41F6-B869-9B8245888054}"/>
    <hyperlink ref="AF3:AG3" location="'J50 BAS Lodgements'!Go_Index" tooltip="Go to Record" display="Show Record" xr:uid="{F9084F8F-CCA0-4AEF-B01E-AB15AF6773F8}"/>
  </hyperlinks>
  <printOptions horizontalCentered="1"/>
  <pageMargins left="0.15748031496062992" right="0.15748031496062992" top="0.15748031496062992" bottom="0.74803149606299213" header="0.31496062992125984" footer="0.31496062992125984"/>
  <pageSetup paperSize="9" scale="61" fitToHeight="0" orientation="landscape"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1CA5ADE7-41E9-41BD-BB67-F4057AEF2342}">
          <xm:f>'J50 BAS Lodgements'!J50_AprInst5A</xm:f>
        </x15:webExtension>
        <x15:webExtension appRef="{9777B634-B8E1-400A-88E2-C966061DBC1D}">
          <xm:f>'J50 BAS Lodgements'!J50_AprInst5B</xm:f>
        </x15:webExtension>
        <x15:webExtension appRef="{BB7DCF56-1B0C-4AED-B3AD-A19DEFB4AB8A}">
          <xm:f>'J50 BAS Lodgements'!J50_AugInst5A</xm:f>
        </x15:webExtension>
        <x15:webExtension appRef="{0C4ADA78-D6E1-4A37-9947-894C8DD34A7D}">
          <xm:f>'J50 BAS Lodgements'!J50_AugInst5B</xm:f>
        </x15:webExtension>
        <x15:webExtension appRef="{2BD3084E-554C-40B0-86EE-31DD496646FA}">
          <xm:f>'J50 BAS Lodgements'!J50_DecInst5A</xm:f>
        </x15:webExtension>
        <x15:webExtension appRef="{10F6BAC8-49C2-4E52-A965-14790D0D4A05}">
          <xm:f>'J50 BAS Lodgements'!J50_DecInst5B</xm:f>
        </x15:webExtension>
        <x15:webExtension appRef="{327BC87B-6E6A-4202-8FD6-52A66BF4269A}">
          <xm:f>'J50 BAS Lodgements'!J50_FebInst5A</xm:f>
        </x15:webExtension>
        <x15:webExtension appRef="{F15BDB24-C466-4BAC-B626-8C23948BE05D}">
          <xm:f>'J50 BAS Lodgements'!J50_FebInst5B</xm:f>
        </x15:webExtension>
        <x15:webExtension appRef="{73F10F11-405E-4B07-B482-09B65F31B37F}">
          <xm:f>'J50 BAS Lodgements'!J50_JanInst5A</xm:f>
        </x15:webExtension>
        <x15:webExtension appRef="{80E43A8D-62F8-40DB-88D2-57DB58729F1F}">
          <xm:f>'J50 BAS Lodgements'!J50_JanInst5B</xm:f>
        </x15:webExtension>
        <x15:webExtension appRef="{CC0DCE96-947B-4A85-BA54-AC4FC36BF091}">
          <xm:f>'J50 BAS Lodgements'!J50_JulInst5A</xm:f>
        </x15:webExtension>
        <x15:webExtension appRef="{783E4D29-3A51-4111-9F6B-239FE9104ACB}">
          <xm:f>'J50 BAS Lodgements'!J50_JulInst5B</xm:f>
        </x15:webExtension>
        <x15:webExtension appRef="{D6D73217-CEAE-4D79-95B4-9BCB2FBFFF89}">
          <xm:f>'J50 BAS Lodgements'!J50_JunInst5A</xm:f>
        </x15:webExtension>
        <x15:webExtension appRef="{83EBCBC0-444C-45FC-B529-C9E3138DF0D3}">
          <xm:f>'J50 BAS Lodgements'!J50_JunInst5B</xm:f>
        </x15:webExtension>
        <x15:webExtension appRef="{095697F0-049C-4271-B8C9-0B5576D7D16F}">
          <xm:f>'J50 BAS Lodgements'!J50_MarInst5A</xm:f>
        </x15:webExtension>
        <x15:webExtension appRef="{AE02246D-A2D8-4052-A7BD-FF8264E7AE1C}">
          <xm:f>'J50 BAS Lodgements'!J50_MarInst5B</xm:f>
        </x15:webExtension>
        <x15:webExtension appRef="{45F8E7A0-F209-419D-A4E4-167B459621FE}">
          <xm:f>'J50 BAS Lodgements'!J50_MayInst5A</xm:f>
        </x15:webExtension>
        <x15:webExtension appRef="{25521AA4-9EFE-48B9-8EA3-3F0ECE3C7B98}">
          <xm:f>'J50 BAS Lodgements'!J50_MayInst5B</xm:f>
        </x15:webExtension>
        <x15:webExtension appRef="{ADD4E71E-BD48-4785-885C-30102F0B00FC}">
          <xm:f>'J50 BAS Lodgements'!J50_NetGST</xm:f>
        </x15:webExtension>
        <x15:webExtension appRef="{F33E96CA-55CA-43D7-957C-521D65648D38}">
          <xm:f>'J50 BAS Lodgements'!J50_NovInst5A</xm:f>
        </x15:webExtension>
        <x15:webExtension appRef="{C067A044-DEBA-43A5-870E-371D9C4D2C09}">
          <xm:f>'J50 BAS Lodgements'!J50_NovInst5B</xm:f>
        </x15:webExtension>
        <x15:webExtension appRef="{FBE0D1E4-F48F-42F6-A01B-4F6CF61333CD}">
          <xm:f>'J50 BAS Lodgements'!J50_OctInst5A</xm:f>
        </x15:webExtension>
        <x15:webExtension appRef="{4CE70F16-38F7-4A40-B932-B7478AED1F76}">
          <xm:f>'J50 BAS Lodgements'!J50_OctInst5B</xm:f>
        </x15:webExtension>
        <x15:webExtension appRef="{17AFBC73-9F48-4148-A6E5-1850D3483BD8}">
          <xm:f>'J50 BAS Lodgements'!J50_PAYGI</xm:f>
        </x15:webExtension>
        <x15:webExtension appRef="{C1EE9BB6-8996-4A6B-B8BF-5DB72D0B31C4}">
          <xm:f>'J50 BAS Lodgements'!J50_PAYGW2</xm:f>
        </x15:webExtension>
        <x15:webExtension appRef="{9D93C0B1-A9A8-4D95-8DDF-257C5F95D482}">
          <xm:f>'J50 BAS Lodgements'!J50_PreYrJun5A</xm:f>
        </x15:webExtension>
        <x15:webExtension appRef="{04F17625-5FCB-47B4-8E6E-37D34C56CD3A}">
          <xm:f>'J50 BAS Lodgements'!J50_PreYrJun5B</xm:f>
        </x15:webExtension>
        <x15:webExtension appRef="{D72049F5-446E-4726-A3A0-07498E92563D}">
          <xm:f>'J50 BAS Lodgements'!J50_SepInst5A</xm:f>
        </x15:webExtension>
        <x15:webExtension appRef="{75FA80A6-F913-44F7-8718-79C719561571}">
          <xm:f>'J50 BAS Lodgements'!J50_SepInst5B</xm:f>
        </x15:webExtension>
      </x15:webExtens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A26D5-F4C4-4FF6-851A-886776E674EE}">
  <sheetPr>
    <pageSetUpPr fitToPage="1"/>
  </sheetPr>
  <dimension ref="A1:AH83"/>
  <sheetViews>
    <sheetView showGridLines="0" topLeftCell="A2" zoomScaleNormal="100" workbookViewId="0">
      <selection activeCell="A2" sqref="A2"/>
    </sheetView>
  </sheetViews>
  <sheetFormatPr defaultRowHeight="15"/>
  <cols>
    <col min="1" max="1" width="4.28515625" style="1214" customWidth="1"/>
    <col min="2" max="2" width="1.42578125" style="1214" customWidth="1"/>
    <col min="3" max="4" width="15.28515625" style="1214" customWidth="1"/>
    <col min="5" max="7" width="15.28515625" style="1214" hidden="1" customWidth="1"/>
    <col min="8" max="9" width="15.28515625" style="1214" customWidth="1"/>
    <col min="10" max="10" width="3.7109375" style="1214" customWidth="1"/>
    <col min="11" max="14" width="15.28515625" style="1214" customWidth="1"/>
    <col min="15" max="16" width="1.42578125" style="1214" customWidth="1"/>
    <col min="17" max="18" width="15.7109375" style="1214" customWidth="1"/>
    <col min="19" max="19" width="1.42578125" style="1214" customWidth="1"/>
    <col min="20" max="20" width="12.28515625" style="1214" hidden="1" customWidth="1"/>
    <col min="21" max="21" width="24.7109375" style="1214" hidden="1" customWidth="1"/>
    <col min="22" max="23" width="12.28515625" style="1214" hidden="1" customWidth="1"/>
    <col min="24" max="24" width="15.85546875" style="1214" hidden="1" customWidth="1"/>
    <col min="25" max="16384" width="9.140625" style="1214"/>
  </cols>
  <sheetData>
    <row r="1" spans="1:20" hidden="1">
      <c r="C1" s="1286" t="s">
        <v>1493</v>
      </c>
      <c r="D1" s="1286" t="s">
        <v>1492</v>
      </c>
      <c r="E1" s="1286"/>
      <c r="F1" s="1286"/>
      <c r="G1" s="1286"/>
      <c r="H1" s="1286"/>
      <c r="I1" s="1286"/>
      <c r="J1" s="1286"/>
      <c r="K1" s="1285" t="s">
        <v>319</v>
      </c>
      <c r="L1" s="1214" t="s">
        <v>1491</v>
      </c>
      <c r="O1" s="1284"/>
      <c r="P1" s="1284"/>
      <c r="Q1" s="1284"/>
    </row>
    <row r="2" spans="1:20" ht="7.5" customHeight="1"/>
    <row r="3" spans="1:20" ht="24.95" customHeight="1">
      <c r="C3" s="735" t="s">
        <v>1490</v>
      </c>
      <c r="M3" s="1283"/>
      <c r="N3" s="737" t="s">
        <v>174</v>
      </c>
      <c r="Q3" s="1513"/>
      <c r="R3" s="1513"/>
    </row>
    <row r="4" spans="1:20" ht="22.5" customHeight="1" thickBot="1">
      <c r="C4" s="734" t="str">
        <f>_xlfn.TEXTJOIN(" ",1,IFERROR(_xlfn.SINGLE(Cl_Name),"Client Name"),IF(IFERROR(_xlfn.SINGLE(Cl_Code),"")="","","("&amp;_xlfn.SINGLE(Cl_Code)&amp;")"))</f>
        <v>Springrange Holdings Pty Ltd (MuM001)</v>
      </c>
      <c r="D4" s="733"/>
      <c r="E4" s="733"/>
      <c r="F4" s="733"/>
      <c r="G4" s="733"/>
      <c r="H4" s="733"/>
      <c r="M4" s="1276"/>
      <c r="N4" s="1282"/>
      <c r="Q4" s="1513"/>
      <c r="R4" s="1513"/>
    </row>
    <row r="5" spans="1:20" ht="22.5" customHeight="1">
      <c r="C5" s="1520">
        <f>IFERROR(_xlfn.SINGLE(PeriodEndDate),DATE(1901,6,30))</f>
        <v>45473</v>
      </c>
      <c r="D5" s="1521"/>
      <c r="L5" s="1281"/>
      <c r="M5" s="1280"/>
      <c r="N5" s="1279" t="str">
        <f>I39</f>
        <v>Pending</v>
      </c>
      <c r="O5" s="1214">
        <f>IFERROR(_xlfn.XLOOKUP("e6ac3963-a9ca-4949-b6cc-9208f2bbc160",RecordInfo.RecordId,RecordInfo.Tolerances),0)</f>
        <v>0.01</v>
      </c>
    </row>
    <row r="6" spans="1:20" s="1276" customFormat="1" ht="7.5" customHeight="1">
      <c r="A6" s="118"/>
      <c r="B6" s="726"/>
      <c r="C6" s="117"/>
      <c r="D6" s="117"/>
      <c r="E6" s="117"/>
      <c r="F6" s="117"/>
      <c r="G6" s="117"/>
      <c r="H6" s="117"/>
      <c r="I6" s="117"/>
      <c r="J6" s="117"/>
      <c r="K6" s="117"/>
      <c r="L6" s="1278"/>
      <c r="M6" s="1278"/>
      <c r="N6" s="1278"/>
      <c r="O6" s="1278"/>
    </row>
    <row r="7" spans="1:20" ht="7.15" customHeight="1">
      <c r="B7" s="1277"/>
      <c r="C7" s="1276"/>
      <c r="D7" s="1276"/>
      <c r="E7" s="1276"/>
      <c r="F7" s="1276"/>
      <c r="G7" s="1276"/>
      <c r="H7" s="1276"/>
      <c r="I7" s="1276"/>
      <c r="J7" s="1276"/>
      <c r="K7" s="1276"/>
      <c r="L7" s="1276"/>
      <c r="M7" s="1276"/>
      <c r="N7" s="1276"/>
      <c r="O7" s="1276"/>
      <c r="P7" s="1276"/>
      <c r="Q7" s="1276"/>
      <c r="R7" s="1276"/>
      <c r="S7" s="1276"/>
      <c r="T7" s="1276"/>
    </row>
    <row r="8" spans="1:20" ht="17.25" customHeight="1">
      <c r="B8" s="1277"/>
      <c r="C8" s="1516" t="s">
        <v>1489</v>
      </c>
      <c r="D8" s="1516"/>
      <c r="E8" s="1516"/>
      <c r="F8" s="1516"/>
      <c r="G8" s="1516"/>
      <c r="H8" s="1516"/>
      <c r="I8" s="1516"/>
      <c r="J8" s="1516"/>
      <c r="K8" s="1516"/>
      <c r="L8" s="1516"/>
      <c r="M8" s="1516"/>
      <c r="N8" s="1516"/>
      <c r="O8" s="1276"/>
      <c r="P8" s="1276"/>
      <c r="Q8" s="1276"/>
      <c r="R8" s="1276"/>
      <c r="S8" s="1276"/>
      <c r="T8" s="1276"/>
    </row>
    <row r="9" spans="1:20" ht="17.25" customHeight="1">
      <c r="B9" s="1277"/>
      <c r="C9" s="1276"/>
      <c r="D9" s="1276"/>
      <c r="E9" s="1276"/>
      <c r="F9" s="1276"/>
      <c r="G9" s="1276"/>
      <c r="H9" s="1276"/>
      <c r="I9" s="1276"/>
      <c r="J9" s="1276"/>
      <c r="K9" s="1276"/>
      <c r="L9" s="1276"/>
      <c r="M9" s="1276"/>
      <c r="N9" s="1276"/>
      <c r="O9" s="1276"/>
      <c r="P9" s="1276"/>
      <c r="Q9" s="1276"/>
      <c r="R9" s="1276"/>
      <c r="S9" s="1276"/>
      <c r="T9" s="1276"/>
    </row>
    <row r="10" spans="1:20" ht="22.5" customHeight="1">
      <c r="B10" s="1523" t="s">
        <v>1351</v>
      </c>
      <c r="C10" s="1524"/>
      <c r="D10" s="1524"/>
      <c r="E10" s="1524"/>
      <c r="F10" s="1524"/>
      <c r="G10" s="1524"/>
      <c r="H10" s="1524"/>
      <c r="I10" s="1525"/>
      <c r="J10" s="1227"/>
      <c r="K10" s="1227"/>
      <c r="L10" s="1227"/>
      <c r="M10" s="1227"/>
      <c r="N10" s="1227"/>
    </row>
    <row r="11" spans="1:20" ht="14.45" customHeight="1">
      <c r="B11" s="1275"/>
      <c r="C11" s="1274"/>
      <c r="D11" s="1274"/>
      <c r="E11" s="1274"/>
      <c r="F11" s="1274"/>
      <c r="G11" s="1274"/>
      <c r="H11" s="1274"/>
      <c r="I11" s="1274"/>
      <c r="J11" s="1274"/>
      <c r="K11" s="1274"/>
      <c r="L11" s="1274"/>
      <c r="M11" s="1274"/>
      <c r="N11" s="1274"/>
      <c r="O11" s="1273"/>
    </row>
    <row r="12" spans="1:20" ht="39" customHeight="1">
      <c r="B12" s="1248"/>
      <c r="C12" s="1272"/>
      <c r="D12" s="1271"/>
      <c r="E12" s="1528" t="s">
        <v>1488</v>
      </c>
      <c r="F12" s="1528"/>
      <c r="G12" s="1528"/>
      <c r="H12" s="1172" t="s">
        <v>1487</v>
      </c>
      <c r="I12" s="669" t="s">
        <v>1486</v>
      </c>
      <c r="J12" s="669"/>
      <c r="K12" s="1270" t="s">
        <v>151</v>
      </c>
      <c r="L12" s="1260"/>
      <c r="M12" s="1260"/>
      <c r="N12" s="1269"/>
      <c r="O12" s="1268"/>
      <c r="Q12" s="1515" t="s">
        <v>155</v>
      </c>
      <c r="R12" s="1413"/>
    </row>
    <row r="13" spans="1:20" ht="7.9" customHeight="1">
      <c r="B13" s="1248"/>
      <c r="C13" s="1227"/>
      <c r="D13" s="1227"/>
      <c r="E13" s="1227"/>
      <c r="F13" s="1227"/>
      <c r="G13" s="1227"/>
      <c r="H13" s="1227"/>
      <c r="I13" s="1227"/>
      <c r="J13" s="1227"/>
      <c r="K13" s="1260"/>
      <c r="L13" s="1260"/>
      <c r="M13" s="1260"/>
      <c r="N13" s="1227"/>
      <c r="O13" s="1246"/>
    </row>
    <row r="14" spans="1:20" ht="17.25" customHeight="1">
      <c r="B14" s="1248"/>
      <c r="C14" s="1247" t="s">
        <v>514</v>
      </c>
      <c r="D14" s="1227"/>
      <c r="E14" s="1227"/>
      <c r="F14" s="1227"/>
      <c r="G14" s="1227"/>
      <c r="H14" s="1227"/>
      <c r="I14" s="1251"/>
      <c r="J14" s="1227"/>
      <c r="K14" s="1260"/>
      <c r="L14" s="1260"/>
      <c r="M14" s="1260"/>
      <c r="N14" s="1227"/>
      <c r="O14" s="1246"/>
      <c r="Q14" s="1220"/>
      <c r="R14" s="1219"/>
    </row>
    <row r="15" spans="1:20" ht="17.25" customHeight="1">
      <c r="B15" s="1248"/>
      <c r="C15" s="1247"/>
      <c r="D15" s="1227"/>
      <c r="E15" s="1227"/>
      <c r="F15" s="1227"/>
      <c r="G15" s="1227"/>
      <c r="H15" s="1227"/>
      <c r="I15" s="1227"/>
      <c r="J15" s="1227"/>
      <c r="K15" s="1260"/>
      <c r="L15" s="1260"/>
      <c r="M15" s="1260"/>
      <c r="N15" s="1227"/>
      <c r="O15" s="1246"/>
    </row>
    <row r="16" spans="1:20" ht="17.25" customHeight="1">
      <c r="B16" s="1248"/>
      <c r="C16" s="1247" t="s">
        <v>1485</v>
      </c>
      <c r="D16" s="1227"/>
      <c r="E16" s="1227"/>
      <c r="F16" s="1227"/>
      <c r="G16" s="1227"/>
      <c r="H16" s="1227"/>
      <c r="I16" s="1227"/>
      <c r="J16" s="1227"/>
      <c r="K16" s="1260"/>
      <c r="L16" s="1260"/>
      <c r="M16" s="1260"/>
      <c r="N16" s="1227"/>
      <c r="O16" s="1246"/>
    </row>
    <row r="17" spans="2:34" ht="17.25" customHeight="1">
      <c r="B17" s="1248"/>
      <c r="C17" s="1227" t="s">
        <v>160</v>
      </c>
      <c r="D17" s="1227"/>
      <c r="E17" s="133" t="s">
        <v>160</v>
      </c>
      <c r="F17" s="133"/>
      <c r="G17" s="133"/>
      <c r="H17" s="1251"/>
      <c r="I17" s="25">
        <f t="shared" ref="I17:I22" si="0">SUMIFS(ICA_NetTransactionAmount,Model_CATS.List.AdjRoleCode,E17)-H17</f>
        <v>0</v>
      </c>
      <c r="J17" s="1227"/>
      <c r="K17" s="25">
        <f t="shared" ref="K17:K22" si="1">SUM(H17:I17)</f>
        <v>0</v>
      </c>
      <c r="L17" s="1260"/>
      <c r="M17" s="1260"/>
      <c r="N17" s="1227"/>
      <c r="O17" s="1246"/>
      <c r="Q17" s="1267"/>
      <c r="R17" s="1266"/>
    </row>
    <row r="18" spans="2:34" ht="17.25" customHeight="1">
      <c r="B18" s="1248"/>
      <c r="C18" s="1227" t="s">
        <v>159</v>
      </c>
      <c r="D18" s="1227"/>
      <c r="E18" s="133" t="s">
        <v>316</v>
      </c>
      <c r="F18" s="133"/>
      <c r="G18" s="133"/>
      <c r="H18" s="1251"/>
      <c r="I18" s="25">
        <f t="shared" si="0"/>
        <v>0</v>
      </c>
      <c r="J18" s="1227"/>
      <c r="K18" s="25">
        <f t="shared" si="1"/>
        <v>0</v>
      </c>
      <c r="L18" s="1260"/>
      <c r="M18" s="1260"/>
      <c r="N18" s="1227"/>
      <c r="O18" s="1246"/>
      <c r="Q18" s="1267"/>
      <c r="R18" s="1266"/>
    </row>
    <row r="19" spans="2:34" ht="17.25" customHeight="1">
      <c r="B19" s="1248"/>
      <c r="C19" s="1227" t="s">
        <v>1484</v>
      </c>
      <c r="D19" s="1227"/>
      <c r="E19" s="133" t="s">
        <v>158</v>
      </c>
      <c r="F19" s="133"/>
      <c r="G19" s="133"/>
      <c r="H19" s="1251"/>
      <c r="I19" s="25">
        <f t="shared" si="0"/>
        <v>0</v>
      </c>
      <c r="J19" s="1227"/>
      <c r="K19" s="25">
        <f t="shared" si="1"/>
        <v>0</v>
      </c>
      <c r="L19" s="1260"/>
      <c r="M19" s="1260"/>
      <c r="N19" s="1227"/>
      <c r="O19" s="1246"/>
      <c r="Q19" s="1267"/>
      <c r="R19" s="1266"/>
    </row>
    <row r="20" spans="2:34" ht="17.25" customHeight="1">
      <c r="B20" s="1248"/>
      <c r="C20" s="1227" t="s">
        <v>1483</v>
      </c>
      <c r="D20" s="1227"/>
      <c r="E20" s="133" t="s">
        <v>1482</v>
      </c>
      <c r="F20" s="133"/>
      <c r="G20" s="133"/>
      <c r="H20" s="1251"/>
      <c r="I20" s="25">
        <f t="shared" si="0"/>
        <v>0</v>
      </c>
      <c r="J20" s="1227"/>
      <c r="K20" s="25">
        <f t="shared" si="1"/>
        <v>0</v>
      </c>
      <c r="L20" s="1260"/>
      <c r="M20" s="1260"/>
      <c r="N20" s="1227"/>
      <c r="O20" s="1246"/>
      <c r="Q20" s="1267"/>
      <c r="R20" s="1266"/>
    </row>
    <row r="21" spans="2:34" ht="17.25" customHeight="1">
      <c r="B21" s="1248"/>
      <c r="C21" s="1227" t="s">
        <v>1481</v>
      </c>
      <c r="D21" s="1227"/>
      <c r="E21" s="133" t="s">
        <v>1480</v>
      </c>
      <c r="F21" s="133"/>
      <c r="G21" s="133"/>
      <c r="H21" s="1251"/>
      <c r="I21" s="25">
        <f t="shared" si="0"/>
        <v>0</v>
      </c>
      <c r="J21" s="1227"/>
      <c r="K21" s="25">
        <f t="shared" si="1"/>
        <v>0</v>
      </c>
      <c r="L21" s="1260"/>
      <c r="M21" s="1260"/>
      <c r="N21" s="1227"/>
      <c r="O21" s="1246"/>
      <c r="Q21" s="1267"/>
      <c r="R21" s="1266"/>
    </row>
    <row r="22" spans="2:34" ht="17.25" customHeight="1">
      <c r="B22" s="1248"/>
      <c r="C22" s="1227" t="s">
        <v>1479</v>
      </c>
      <c r="D22" s="1227"/>
      <c r="E22" s="133" t="s">
        <v>1478</v>
      </c>
      <c r="F22" s="133"/>
      <c r="G22" s="133"/>
      <c r="H22" s="1251"/>
      <c r="I22" s="25">
        <f t="shared" si="0"/>
        <v>0</v>
      </c>
      <c r="J22" s="1227"/>
      <c r="K22" s="25">
        <f t="shared" si="1"/>
        <v>0</v>
      </c>
      <c r="L22" s="1260"/>
      <c r="M22" s="1260"/>
      <c r="N22" s="1260"/>
      <c r="O22" s="1246"/>
      <c r="Q22" s="1267"/>
      <c r="R22" s="1266"/>
    </row>
    <row r="23" spans="2:34" ht="17.25" customHeight="1">
      <c r="B23" s="1248"/>
      <c r="C23" s="1247" t="s">
        <v>364</v>
      </c>
      <c r="D23" s="1227"/>
      <c r="E23" s="133"/>
      <c r="F23" s="133"/>
      <c r="G23" s="133"/>
      <c r="H23" s="1260">
        <f>SUM(H17:H22)</f>
        <v>0</v>
      </c>
      <c r="I23" s="1260">
        <f>SUM(I17:I22)</f>
        <v>0</v>
      </c>
      <c r="J23" s="1227"/>
      <c r="M23" s="1260"/>
      <c r="N23" s="1227"/>
      <c r="O23" s="1246"/>
      <c r="Q23" s="1267"/>
      <c r="R23" s="1266"/>
    </row>
    <row r="24" spans="2:34" ht="17.25" customHeight="1">
      <c r="B24" s="1248"/>
      <c r="C24" s="1247" t="s">
        <v>1477</v>
      </c>
      <c r="D24" s="1227"/>
      <c r="E24" s="133"/>
      <c r="F24" s="133"/>
      <c r="G24" s="133"/>
      <c r="H24" s="1260"/>
      <c r="I24" s="1260">
        <f>H23+I23+I14</f>
        <v>0</v>
      </c>
      <c r="J24" s="1227"/>
      <c r="O24" s="1246"/>
      <c r="Q24" s="1267"/>
      <c r="R24" s="1266"/>
    </row>
    <row r="25" spans="2:34" ht="17.25" customHeight="1">
      <c r="B25" s="1248"/>
      <c r="C25" s="1227"/>
      <c r="D25" s="1227"/>
      <c r="E25" s="133"/>
      <c r="F25" s="133"/>
      <c r="G25" s="133"/>
      <c r="H25" s="1260"/>
      <c r="I25" s="1260"/>
      <c r="J25" s="1227"/>
      <c r="O25" s="1246"/>
    </row>
    <row r="26" spans="2:34" ht="17.25" customHeight="1">
      <c r="B26" s="1248"/>
      <c r="C26" s="1227" t="s">
        <v>1476</v>
      </c>
      <c r="D26" s="1227"/>
      <c r="E26" s="133" t="s">
        <v>1475</v>
      </c>
      <c r="F26" s="133" t="s">
        <v>1474</v>
      </c>
      <c r="G26" s="133"/>
      <c r="H26" s="1260"/>
      <c r="I26" s="25">
        <f>SUMIFS(ICA_NetTransactionAmount,Model_CATS.List.GroupingCode,E26)+SUMIFS(ICA_NetTransactionAmount,Model_CATS.List.GroupingCode,F26)</f>
        <v>0</v>
      </c>
      <c r="J26" s="1227"/>
      <c r="O26" s="1246"/>
      <c r="Q26" s="1220"/>
      <c r="R26" s="1219"/>
    </row>
    <row r="27" spans="2:34" ht="17.25" customHeight="1">
      <c r="B27" s="1248"/>
      <c r="C27" s="1227" t="s">
        <v>1473</v>
      </c>
      <c r="D27" s="1227"/>
      <c r="E27" s="133" t="s">
        <v>1472</v>
      </c>
      <c r="F27" s="133"/>
      <c r="G27" s="133"/>
      <c r="H27" s="1260"/>
      <c r="I27" s="25">
        <f>SUMIFS(ICA_NetTransactionAmount,Model_CATS.List.GroupingCode,E27)</f>
        <v>0</v>
      </c>
      <c r="J27" s="1227"/>
      <c r="O27" s="1246"/>
      <c r="Q27" s="1220"/>
      <c r="R27" s="1219"/>
      <c r="AE27" s="1265"/>
      <c r="AF27" s="1264"/>
      <c r="AG27" s="1265"/>
      <c r="AH27" s="1264"/>
    </row>
    <row r="28" spans="2:34" ht="17.25" customHeight="1">
      <c r="B28" s="1248"/>
      <c r="C28" s="1227" t="s">
        <v>1471</v>
      </c>
      <c r="D28" s="1227"/>
      <c r="E28" s="1227" t="s">
        <v>1470</v>
      </c>
      <c r="F28" s="1227"/>
      <c r="G28" s="1227"/>
      <c r="H28" s="1260"/>
      <c r="I28" s="25">
        <f>SUMIFS(ICA_NetTransactionAmount,ICA_AllocationList,E28)</f>
        <v>0</v>
      </c>
      <c r="J28" s="1227"/>
      <c r="K28" s="1263"/>
      <c r="L28" s="1260"/>
      <c r="O28" s="1246"/>
      <c r="Q28" s="1220"/>
      <c r="R28" s="1219"/>
    </row>
    <row r="29" spans="2:34" ht="17.25" customHeight="1">
      <c r="B29" s="1248"/>
      <c r="C29" s="1227"/>
      <c r="D29" s="1227"/>
      <c r="E29" s="1227"/>
      <c r="F29" s="1227"/>
      <c r="G29" s="1227"/>
      <c r="H29" s="1260"/>
      <c r="I29" s="1260"/>
      <c r="J29" s="1227"/>
      <c r="O29" s="1246"/>
    </row>
    <row r="30" spans="2:34" ht="17.25" customHeight="1">
      <c r="B30" s="1248"/>
      <c r="C30" s="1262" t="s">
        <v>517</v>
      </c>
      <c r="D30" s="1227"/>
      <c r="E30" s="1227"/>
      <c r="F30" s="1227"/>
      <c r="G30" s="1227"/>
      <c r="H30" s="1260"/>
      <c r="I30" s="1260"/>
      <c r="J30" s="1227"/>
      <c r="K30" s="1247" t="s">
        <v>1469</v>
      </c>
      <c r="L30" s="1227"/>
      <c r="M30" s="1261" t="s">
        <v>1414</v>
      </c>
      <c r="N30" s="1247" t="s">
        <v>1413</v>
      </c>
      <c r="O30" s="1246"/>
    </row>
    <row r="31" spans="2:34" ht="17.25" customHeight="1">
      <c r="B31" s="1248"/>
      <c r="C31" s="1227" t="s">
        <v>1468</v>
      </c>
      <c r="D31" s="1227"/>
      <c r="E31" s="1227" t="s">
        <v>1467</v>
      </c>
      <c r="F31" s="1227" t="s">
        <v>1466</v>
      </c>
      <c r="G31" s="1227" t="s">
        <v>1465</v>
      </c>
      <c r="H31" s="1260"/>
      <c r="I31" s="25">
        <f>SUMIF(Model_CATS.List.AdjRoleCode,E31,Model_CATS.List.Debit)+SUMIF(Model_CATS.List.AdjRoleCode,F31,Model_CATS.List.Debit)+SUMIF(Model_CATS.List.AdjRoleCode,G31,Model_CATS.List.Debit)+SUMIF(ICA_AllocationList,C31,Model_CATS.List.Debit)</f>
        <v>0</v>
      </c>
      <c r="J31" s="1227"/>
      <c r="K31" s="1227" t="s">
        <v>1468</v>
      </c>
      <c r="M31" s="1260">
        <f>IF($I31&gt;0,I31,0)</f>
        <v>0</v>
      </c>
      <c r="N31" s="1260">
        <f>IF(I31&lt;0,-I31,0)</f>
        <v>0</v>
      </c>
      <c r="O31" s="1246"/>
      <c r="Q31" s="1220"/>
      <c r="R31" s="1219"/>
    </row>
    <row r="32" spans="2:34" ht="17.25" customHeight="1">
      <c r="B32" s="1248"/>
      <c r="C32" s="1227" t="s">
        <v>1464</v>
      </c>
      <c r="D32" s="1227"/>
      <c r="E32" s="1227" t="s">
        <v>1467</v>
      </c>
      <c r="F32" s="1227" t="s">
        <v>1466</v>
      </c>
      <c r="G32" s="1227" t="s">
        <v>1465</v>
      </c>
      <c r="H32" s="1260"/>
      <c r="I32" s="25">
        <f>-SUMIF(Model_CATS.List.AdjRoleCode,E32,Model_CATS.List.Credit)-SUMIF(Model_CATS.List.AdjRoleCode,F32,Model_CATS.List.Credit)-SUMIF(Model_CATS.List.AdjRoleCode,G32,Model_CATS.List.Credit)-SUMIF(ICA_AllocationList,C32,Model_CATS.List.Credit)</f>
        <v>0</v>
      </c>
      <c r="J32" s="1227"/>
      <c r="K32" s="1227" t="s">
        <v>1464</v>
      </c>
      <c r="M32" s="1260">
        <f>IF($I32&gt;0,I32,0)</f>
        <v>0</v>
      </c>
      <c r="N32" s="1260">
        <f>IF(I32&lt;0,-I32,0)</f>
        <v>0</v>
      </c>
      <c r="O32" s="1246"/>
      <c r="Q32" s="1220"/>
      <c r="R32" s="1219"/>
    </row>
    <row r="33" spans="1:25" ht="17.25" customHeight="1">
      <c r="B33" s="1248"/>
      <c r="C33" s="1227" t="s">
        <v>1463</v>
      </c>
      <c r="D33" s="1227"/>
      <c r="E33" s="1227"/>
      <c r="F33" s="1227"/>
      <c r="G33" s="1227"/>
      <c r="H33" s="1260"/>
      <c r="I33" s="25">
        <f>SUMIFS(ICA_NetTransactionAmount,ICA_AllocationList,C33)</f>
        <v>0</v>
      </c>
      <c r="J33" s="1227"/>
      <c r="K33" s="1227" t="s">
        <v>1462</v>
      </c>
      <c r="M33" s="1260">
        <f>IF($I33&gt;0,I33,0)</f>
        <v>0</v>
      </c>
      <c r="N33" s="1260">
        <f>IF(I33&lt;0,-I33,0)</f>
        <v>0</v>
      </c>
      <c r="O33" s="1246"/>
      <c r="Q33" s="1220"/>
      <c r="R33" s="1219"/>
    </row>
    <row r="34" spans="1:25" ht="17.25" customHeight="1">
      <c r="B34" s="1248"/>
      <c r="C34" s="1227" t="s">
        <v>1453</v>
      </c>
      <c r="D34" s="1227"/>
      <c r="E34" s="1227"/>
      <c r="F34" s="1227"/>
      <c r="G34" s="1227"/>
      <c r="H34" s="1260"/>
      <c r="I34" s="25">
        <f>SUMIFS(ICA_NetTransactionAmount,ICA_AllocationList,C34)</f>
        <v>0</v>
      </c>
      <c r="J34" s="1227"/>
      <c r="K34" s="1227" t="s">
        <v>1453</v>
      </c>
      <c r="M34" s="1260">
        <f>IF($I34&gt;0,I34,0)</f>
        <v>0</v>
      </c>
      <c r="N34" s="1260">
        <f>IF(I34&lt;0,-I34,0)</f>
        <v>0</v>
      </c>
      <c r="O34" s="1246"/>
      <c r="Q34" s="1220"/>
      <c r="R34" s="1219"/>
    </row>
    <row r="35" spans="1:25" ht="17.25" customHeight="1">
      <c r="B35" s="1248"/>
      <c r="C35" s="1227"/>
      <c r="D35" s="1227"/>
      <c r="E35" s="1227"/>
      <c r="F35" s="1227"/>
      <c r="G35" s="1227"/>
      <c r="H35" s="1260"/>
      <c r="I35" s="1227"/>
      <c r="J35" s="1227"/>
      <c r="K35" s="1227" t="s">
        <v>1461</v>
      </c>
      <c r="L35" s="1260"/>
      <c r="M35" s="1260">
        <f>IF(SUM(M31:M34)&gt;SUM(N31:N34),0,SUM(N31:N34)-SUM(M31:M34))</f>
        <v>0</v>
      </c>
      <c r="N35" s="1260">
        <f>IF(SUM(M31:M34)&gt;SUM(N31:N34),SUM(M31:M34)-SUM(N31:N34),0)</f>
        <v>0</v>
      </c>
      <c r="O35" s="1246"/>
      <c r="Q35" s="1220"/>
      <c r="R35" s="1219"/>
    </row>
    <row r="36" spans="1:25" ht="17.25" customHeight="1">
      <c r="B36" s="1248"/>
      <c r="C36" s="1247" t="s">
        <v>546</v>
      </c>
      <c r="D36" s="1227"/>
      <c r="E36" s="1227"/>
      <c r="F36" s="1227"/>
      <c r="G36" s="1227"/>
      <c r="H36" s="1227"/>
      <c r="I36" s="1259">
        <f>SUM(I24:I35)</f>
        <v>0</v>
      </c>
      <c r="J36" s="1227"/>
      <c r="K36" s="1227"/>
      <c r="L36" s="1227"/>
      <c r="M36" s="1227"/>
      <c r="N36" s="1227"/>
      <c r="O36" s="1246"/>
      <c r="Q36" s="1220"/>
      <c r="R36" s="1219"/>
    </row>
    <row r="37" spans="1:25" ht="17.25" customHeight="1">
      <c r="B37" s="1248"/>
      <c r="C37" s="1247" t="s">
        <v>281</v>
      </c>
      <c r="D37" s="1227"/>
      <c r="E37" s="1227"/>
      <c r="F37" s="1227"/>
      <c r="G37" s="1227"/>
      <c r="H37" s="1258"/>
      <c r="I37" s="1257">
        <f>Tm_TBBalance_ICAPayable-Tm_TBBalance_ICAReceivable</f>
        <v>0</v>
      </c>
      <c r="J37" s="1227"/>
      <c r="K37" s="1227"/>
      <c r="L37" s="1227"/>
      <c r="M37" s="1227"/>
      <c r="N37" s="1227"/>
      <c r="O37" s="1246"/>
      <c r="Q37" s="1220"/>
      <c r="R37" s="1219"/>
    </row>
    <row r="38" spans="1:25" ht="17.25" customHeight="1">
      <c r="B38" s="1248"/>
      <c r="C38" s="1247" t="s">
        <v>280</v>
      </c>
      <c r="D38" s="1227"/>
      <c r="E38" s="1227"/>
      <c r="F38" s="1227"/>
      <c r="G38" s="1227"/>
      <c r="H38" s="1227"/>
      <c r="I38" s="203">
        <f>I37-I36</f>
        <v>0</v>
      </c>
      <c r="J38" s="1227"/>
      <c r="K38" s="1227"/>
      <c r="L38" s="1227"/>
      <c r="M38" s="1227"/>
      <c r="N38" s="1227"/>
      <c r="O38" s="1246"/>
      <c r="Q38" s="1220"/>
      <c r="R38" s="1219"/>
    </row>
    <row r="39" spans="1:25" ht="17.25" customHeight="1">
      <c r="B39" s="1248"/>
      <c r="C39" s="1247"/>
      <c r="D39" s="1227"/>
      <c r="E39" s="1227"/>
      <c r="F39" s="1227"/>
      <c r="G39" s="1227"/>
      <c r="H39" s="1227"/>
      <c r="I39" s="1256" t="str">
        <f>IF(OR(AND(COUNTIF(I17:I34,"&gt;0")=0,SingleCB_01=0),OR(ISBLANK(Tm_TBBalance_ICAPayable),ISBLANK(Tm_TBBalance_ICAReceivable))),"Pending",IF(ABS(I38)&gt;Tm_Tolerance,"Out of Balance","Reconciled"))</f>
        <v>Pending</v>
      </c>
      <c r="J39" s="1227"/>
      <c r="K39" s="1227"/>
      <c r="L39" s="1227"/>
      <c r="M39" s="1227"/>
      <c r="N39" s="1227"/>
      <c r="O39" s="1246"/>
      <c r="Q39" s="1249"/>
      <c r="R39" s="1249"/>
    </row>
    <row r="40" spans="1:25" ht="22.5" customHeight="1">
      <c r="A40" s="1255" t="str">
        <f>IF(SUBTOTAL(103,Tm_StartRollUp_01),"-","+")</f>
        <v>+</v>
      </c>
      <c r="B40" s="1517" t="s">
        <v>1460</v>
      </c>
      <c r="C40" s="1518"/>
      <c r="D40" s="1518"/>
      <c r="E40" s="1518"/>
      <c r="F40" s="1518"/>
      <c r="G40" s="1518"/>
      <c r="H40" s="1518"/>
      <c r="I40" s="1519"/>
      <c r="J40" s="1227"/>
      <c r="K40" s="1227"/>
      <c r="L40" s="1227"/>
      <c r="M40" s="1227"/>
      <c r="N40" s="1227"/>
      <c r="O40" s="1246"/>
      <c r="Q40" s="1249"/>
      <c r="R40" s="1249"/>
    </row>
    <row r="41" spans="1:25" ht="7.5" hidden="1" customHeight="1">
      <c r="A41" s="1214" t="s">
        <v>58</v>
      </c>
      <c r="B41" s="1248"/>
      <c r="C41" s="1247"/>
      <c r="D41" s="1227"/>
      <c r="E41" s="1227"/>
      <c r="F41" s="1227"/>
      <c r="G41" s="1227"/>
      <c r="H41" s="1227"/>
      <c r="I41" s="1227"/>
      <c r="J41" s="1227"/>
      <c r="K41" s="1227"/>
      <c r="L41" s="1227"/>
      <c r="M41" s="1227"/>
      <c r="N41" s="1227"/>
      <c r="O41" s="1246"/>
      <c r="Q41" s="1249"/>
      <c r="R41" s="1249"/>
    </row>
    <row r="42" spans="1:25" ht="17.25" hidden="1" customHeight="1">
      <c r="B42" s="1248"/>
      <c r="C42" s="1254" t="s">
        <v>1459</v>
      </c>
      <c r="D42" s="1253"/>
      <c r="E42" s="1253"/>
      <c r="F42" s="1253"/>
      <c r="G42" s="1253"/>
      <c r="H42" s="1253"/>
      <c r="I42" s="1253"/>
      <c r="J42" s="1253"/>
      <c r="K42" s="1253"/>
      <c r="L42" s="1253"/>
      <c r="M42" s="1253"/>
      <c r="N42" s="1253"/>
      <c r="O42" s="1246"/>
      <c r="P42" s="1253"/>
      <c r="Q42" s="1249"/>
      <c r="R42" s="1249"/>
    </row>
    <row r="43" spans="1:25" ht="17.25" hidden="1" customHeight="1">
      <c r="B43" s="1248"/>
      <c r="C43" s="1522" t="s">
        <v>1458</v>
      </c>
      <c r="D43" s="1522"/>
      <c r="E43" s="1522"/>
      <c r="F43" s="1522"/>
      <c r="G43" s="1522"/>
      <c r="H43" s="1522"/>
      <c r="I43" s="1522"/>
      <c r="J43" s="1522"/>
      <c r="K43" s="1522"/>
      <c r="L43" s="1522"/>
      <c r="M43" s="1522"/>
      <c r="N43" s="1522"/>
      <c r="O43" s="1246"/>
      <c r="P43" s="1252"/>
      <c r="Q43" s="1249"/>
      <c r="R43" s="1249"/>
    </row>
    <row r="44" spans="1:25" ht="17.25" hidden="1" customHeight="1">
      <c r="B44" s="1248"/>
      <c r="C44" s="1522" t="s">
        <v>1457</v>
      </c>
      <c r="D44" s="1522"/>
      <c r="E44" s="1522"/>
      <c r="F44" s="1522"/>
      <c r="G44" s="1522"/>
      <c r="H44" s="1522"/>
      <c r="I44" s="1522"/>
      <c r="J44" s="1522"/>
      <c r="K44" s="1522"/>
      <c r="L44" s="1522"/>
      <c r="M44" s="1522"/>
      <c r="N44" s="1522"/>
      <c r="O44" s="1246"/>
      <c r="Q44" s="1249"/>
      <c r="R44" s="1249"/>
      <c r="S44" s="1249"/>
      <c r="T44" s="1249"/>
      <c r="U44" s="1249"/>
      <c r="V44" s="1249"/>
      <c r="W44" s="1249"/>
      <c r="X44" s="1249"/>
      <c r="Y44" s="1249"/>
    </row>
    <row r="45" spans="1:25" ht="17.25" hidden="1" customHeight="1">
      <c r="B45" s="1248"/>
      <c r="C45" s="1247"/>
      <c r="D45" s="1227"/>
      <c r="E45" s="1227"/>
      <c r="F45" s="1227"/>
      <c r="G45" s="1227"/>
      <c r="H45" s="1227"/>
      <c r="I45" s="1227"/>
      <c r="J45" s="1227"/>
      <c r="K45" s="1227"/>
      <c r="L45" s="1227"/>
      <c r="M45" s="1227"/>
      <c r="N45" s="1227"/>
      <c r="O45" s="1246"/>
      <c r="Q45" s="1249"/>
      <c r="R45" s="1249"/>
      <c r="S45" s="1249"/>
      <c r="T45" s="1249"/>
      <c r="U45" s="1249"/>
      <c r="V45" s="1249"/>
      <c r="W45" s="1249"/>
      <c r="X45" s="1249"/>
      <c r="Y45" s="1249"/>
    </row>
    <row r="46" spans="1:25" ht="17.25" hidden="1" customHeight="1">
      <c r="B46" s="1248"/>
      <c r="C46" s="1227" t="s">
        <v>1456</v>
      </c>
      <c r="D46" s="1227"/>
      <c r="E46" s="1227"/>
      <c r="F46" s="1227"/>
      <c r="G46" s="1227"/>
      <c r="H46" s="1251"/>
      <c r="I46" s="25">
        <f>IF(ISBLANK(H46)&lt;&gt;TRUE,H46,IFERROR(-SUMIF(SheetNamedRangesNames,"ITA_NetTransfers_ICA",SheetNamedRangesValues),H46))</f>
        <v>0</v>
      </c>
      <c r="J46" s="1227"/>
      <c r="K46" s="1227"/>
      <c r="L46" s="1227"/>
      <c r="M46" s="1227"/>
      <c r="N46" s="1227"/>
      <c r="O46" s="1246"/>
      <c r="Q46" s="1220"/>
      <c r="R46" s="1219"/>
      <c r="S46" s="1249"/>
      <c r="T46" s="1249"/>
      <c r="U46" s="1249"/>
      <c r="V46" s="1249"/>
      <c r="W46" s="1249"/>
      <c r="X46" s="1249"/>
      <c r="Y46" s="1249"/>
    </row>
    <row r="47" spans="1:25" ht="17.25" hidden="1" customHeight="1">
      <c r="B47" s="1248"/>
      <c r="C47" s="1227" t="s">
        <v>1455</v>
      </c>
      <c r="D47" s="1227"/>
      <c r="E47" s="1227"/>
      <c r="F47" s="1227"/>
      <c r="G47" s="1227"/>
      <c r="H47" s="1227"/>
      <c r="I47" s="1251"/>
      <c r="J47" s="1227"/>
      <c r="K47" s="1227"/>
      <c r="L47" s="1227"/>
      <c r="M47" s="1227"/>
      <c r="N47" s="1227"/>
      <c r="O47" s="1246"/>
      <c r="Q47" s="1220"/>
      <c r="R47" s="1219"/>
      <c r="S47" s="1249"/>
      <c r="T47" s="1249"/>
      <c r="U47" s="1249"/>
      <c r="V47" s="1249"/>
      <c r="W47" s="1249"/>
      <c r="X47" s="1249"/>
      <c r="Y47" s="1249"/>
    </row>
    <row r="48" spans="1:25" ht="17.25" hidden="1" customHeight="1">
      <c r="B48" s="1248"/>
      <c r="C48" s="1227" t="s">
        <v>1454</v>
      </c>
      <c r="D48" s="1227"/>
      <c r="E48" s="1227"/>
      <c r="F48" s="1227"/>
      <c r="G48" s="1227"/>
      <c r="H48" s="1227"/>
      <c r="I48" s="1251"/>
      <c r="J48" s="1227"/>
      <c r="K48" s="1227"/>
      <c r="L48" s="1227"/>
      <c r="M48" s="1227"/>
      <c r="N48" s="1227"/>
      <c r="O48" s="1246"/>
      <c r="Q48" s="1220"/>
      <c r="R48" s="1219"/>
    </row>
    <row r="49" spans="2:24" ht="17.25" hidden="1" customHeight="1">
      <c r="B49" s="1248"/>
      <c r="C49" s="1227" t="s">
        <v>1453</v>
      </c>
      <c r="D49" s="1227"/>
      <c r="E49" s="1227"/>
      <c r="F49" s="1227"/>
      <c r="G49" s="1227"/>
      <c r="H49" s="1227"/>
      <c r="I49" s="1251"/>
      <c r="J49" s="1227"/>
      <c r="K49" s="1227"/>
      <c r="L49" s="1227"/>
      <c r="M49" s="1227"/>
      <c r="N49" s="1227"/>
      <c r="O49" s="1246"/>
      <c r="Q49" s="1220"/>
      <c r="R49" s="1219"/>
    </row>
    <row r="50" spans="2:24" ht="7.5" hidden="1" customHeight="1">
      <c r="B50" s="1248"/>
      <c r="C50" s="1227"/>
      <c r="D50" s="1227"/>
      <c r="E50" s="1227"/>
      <c r="F50" s="1227"/>
      <c r="G50" s="1227"/>
      <c r="H50" s="1227"/>
      <c r="I50" s="1250"/>
      <c r="J50" s="1227"/>
      <c r="K50" s="1227"/>
      <c r="L50" s="1227"/>
      <c r="M50" s="1227"/>
      <c r="N50" s="1227"/>
      <c r="O50" s="1246"/>
      <c r="Q50" s="1249"/>
      <c r="R50" s="1249"/>
    </row>
    <row r="51" spans="2:24" ht="17.25" hidden="1" customHeight="1">
      <c r="B51" s="1248"/>
      <c r="C51" s="1247" t="s">
        <v>1452</v>
      </c>
      <c r="D51" s="1227"/>
      <c r="E51" s="1227"/>
      <c r="F51" s="1227"/>
      <c r="G51" s="1227"/>
      <c r="H51" s="1227"/>
      <c r="I51" s="208">
        <f>SUM(I46:I49)</f>
        <v>0</v>
      </c>
      <c r="J51" s="1227"/>
      <c r="K51" s="1227"/>
      <c r="L51" s="1227"/>
      <c r="M51" s="1227"/>
      <c r="N51" s="1227"/>
      <c r="O51" s="1246"/>
      <c r="Q51" s="1220"/>
      <c r="R51" s="1219"/>
    </row>
    <row r="52" spans="2:24" ht="17.25" hidden="1" customHeight="1">
      <c r="B52" s="1248"/>
      <c r="C52" s="1247" t="s">
        <v>1451</v>
      </c>
      <c r="D52" s="1227"/>
      <c r="E52" s="1227"/>
      <c r="F52" s="1227"/>
      <c r="G52" s="1227"/>
      <c r="H52" s="1227"/>
      <c r="I52" s="208">
        <f>I28</f>
        <v>0</v>
      </c>
      <c r="J52" s="1227"/>
      <c r="K52" s="1227"/>
      <c r="L52" s="1227"/>
      <c r="M52" s="1227"/>
      <c r="N52" s="1227"/>
      <c r="O52" s="1246"/>
      <c r="Q52" s="1220"/>
      <c r="R52" s="1219"/>
    </row>
    <row r="53" spans="2:24" ht="17.25" hidden="1" customHeight="1">
      <c r="B53" s="1248"/>
      <c r="C53" s="1247" t="s">
        <v>280</v>
      </c>
      <c r="D53" s="1227"/>
      <c r="E53" s="1227"/>
      <c r="F53" s="1227"/>
      <c r="G53" s="1227"/>
      <c r="H53" s="1227"/>
      <c r="I53" s="203">
        <f>I52-I51</f>
        <v>0</v>
      </c>
      <c r="J53" s="1227"/>
      <c r="K53" s="1227"/>
      <c r="L53" s="1227"/>
      <c r="M53" s="1227"/>
      <c r="N53" s="1227"/>
      <c r="O53" s="1246"/>
      <c r="Q53" s="1220"/>
      <c r="R53" s="1219"/>
    </row>
    <row r="54" spans="2:24" ht="7.5" customHeight="1">
      <c r="B54" s="1245"/>
      <c r="C54" s="1243"/>
      <c r="D54" s="1243"/>
      <c r="E54" s="1243"/>
      <c r="F54" s="1243"/>
      <c r="G54" s="1243"/>
      <c r="H54" s="1243"/>
      <c r="I54" s="1244" t="str">
        <f>IF(AND(I51=0,I52=0),"Pending",IF(ABS(I53)&gt;Tm_Tolerance,"Out of Balance","Reconciled"))</f>
        <v>Pending</v>
      </c>
      <c r="J54" s="1243"/>
      <c r="K54" s="1243"/>
      <c r="L54" s="1243"/>
      <c r="M54" s="1243"/>
      <c r="N54" s="1243"/>
      <c r="O54" s="1242"/>
      <c r="U54" s="1241"/>
    </row>
    <row r="55" spans="2:24" ht="22.5" customHeight="1">
      <c r="B55" s="1227"/>
      <c r="C55" s="1227"/>
      <c r="D55" s="1227"/>
      <c r="E55" s="1227"/>
      <c r="F55" s="1227"/>
      <c r="G55" s="1227"/>
      <c r="H55" s="1227"/>
      <c r="I55" s="1227"/>
      <c r="J55" s="1227"/>
      <c r="K55" s="1227"/>
      <c r="L55" s="1227"/>
      <c r="M55" s="1227"/>
      <c r="N55" s="1227"/>
    </row>
    <row r="56" spans="2:24" ht="22.5" customHeight="1">
      <c r="B56" s="1517" t="s">
        <v>1450</v>
      </c>
      <c r="C56" s="1518"/>
      <c r="D56" s="1518"/>
      <c r="E56" s="1518"/>
      <c r="F56" s="1518"/>
      <c r="G56" s="1518"/>
      <c r="H56" s="1518"/>
      <c r="I56" s="1519"/>
      <c r="J56" s="1227"/>
      <c r="K56" s="1227"/>
      <c r="L56" s="1227"/>
      <c r="M56" s="1227"/>
      <c r="N56" s="1227"/>
    </row>
    <row r="57" spans="2:24" ht="7.5" customHeight="1">
      <c r="B57" s="1240"/>
      <c r="C57" s="1227"/>
      <c r="D57" s="1227"/>
      <c r="E57" s="1227"/>
      <c r="F57" s="1227"/>
      <c r="G57" s="1227"/>
      <c r="H57" s="1227"/>
      <c r="I57" s="1227"/>
      <c r="J57" s="1239"/>
      <c r="K57" s="1239"/>
      <c r="L57" s="1238"/>
      <c r="M57" s="1238"/>
      <c r="N57" s="1238"/>
      <c r="O57" s="1237"/>
    </row>
    <row r="58" spans="2:24" ht="22.5" customHeight="1">
      <c r="B58" s="1228"/>
      <c r="C58" s="1526" t="s">
        <v>1449</v>
      </c>
      <c r="D58" s="1527"/>
      <c r="E58" s="1236"/>
      <c r="F58" s="1236"/>
      <c r="G58" s="1236"/>
      <c r="H58" s="1227"/>
      <c r="I58" s="1227"/>
      <c r="J58" s="1227"/>
      <c r="K58" s="1235"/>
      <c r="L58" s="1227"/>
      <c r="M58" s="1227"/>
      <c r="N58" s="1227"/>
      <c r="O58" s="1221"/>
      <c r="T58" s="133" t="s">
        <v>1448</v>
      </c>
      <c r="V58" s="65"/>
      <c r="W58" s="65"/>
      <c r="X58" s="25">
        <f>SUMIF(Model_CATS.List.Description,"*Income Tax Account*",ICA_NetTransactionAmount)</f>
        <v>0</v>
      </c>
    </row>
    <row r="59" spans="2:24" ht="7.5" customHeight="1">
      <c r="B59" s="1228"/>
      <c r="C59" s="1227"/>
      <c r="D59" s="1227"/>
      <c r="E59" s="1227"/>
      <c r="F59" s="1227"/>
      <c r="G59" s="1227"/>
      <c r="H59" s="1227"/>
      <c r="I59" s="1227"/>
      <c r="J59" s="1227"/>
      <c r="K59" s="1227"/>
      <c r="L59" s="1227"/>
      <c r="M59" s="1227"/>
      <c r="N59" s="1227"/>
      <c r="O59" s="1221"/>
    </row>
    <row r="60" spans="2:24" ht="34.9" customHeight="1">
      <c r="B60" s="1226"/>
      <c r="C60" s="1234" t="s">
        <v>1447</v>
      </c>
      <c r="D60" s="1233" t="s">
        <v>1446</v>
      </c>
      <c r="E60" s="1233"/>
      <c r="F60" s="1233"/>
      <c r="G60" s="1233"/>
      <c r="H60" s="1514" t="s">
        <v>359</v>
      </c>
      <c r="I60" s="1514"/>
      <c r="J60" s="1514"/>
      <c r="K60" s="1233" t="s">
        <v>1445</v>
      </c>
      <c r="L60" s="1233" t="s">
        <v>1444</v>
      </c>
      <c r="M60" s="1233" t="s">
        <v>1443</v>
      </c>
      <c r="N60" s="1229" t="s">
        <v>1442</v>
      </c>
      <c r="O60" s="1232"/>
      <c r="T60" s="1231" t="s">
        <v>1441</v>
      </c>
      <c r="U60" s="1230" t="s">
        <v>1440</v>
      </c>
      <c r="V60" s="1229" t="s">
        <v>1439</v>
      </c>
      <c r="W60" s="1229" t="s">
        <v>1438</v>
      </c>
      <c r="X60" s="1229" t="s">
        <v>1437</v>
      </c>
    </row>
    <row r="61" spans="2:24" ht="7.15" customHeight="1">
      <c r="B61" s="1228"/>
      <c r="C61" s="1227"/>
      <c r="D61" s="1227"/>
      <c r="E61" s="1227"/>
      <c r="F61" s="1227"/>
      <c r="G61" s="1227"/>
      <c r="H61" s="1227"/>
      <c r="I61" s="1227"/>
      <c r="J61" s="1227"/>
      <c r="K61" s="1227"/>
      <c r="L61" s="1227"/>
      <c r="M61" s="1227"/>
      <c r="N61" s="1227"/>
      <c r="O61" s="1221"/>
    </row>
    <row r="62" spans="2:24" ht="17.25" customHeight="1">
      <c r="B62" s="1226"/>
      <c r="C62" s="1225"/>
      <c r="D62" s="1224"/>
      <c r="E62" s="1223"/>
      <c r="F62" s="1223"/>
      <c r="G62" s="1223"/>
      <c r="H62" s="1511"/>
      <c r="I62" s="1512"/>
      <c r="J62" s="1512"/>
      <c r="K62" s="1222"/>
      <c r="L62" s="25"/>
      <c r="M62" s="25"/>
      <c r="N62" s="25"/>
      <c r="O62" s="1221"/>
      <c r="Q62" s="1220"/>
      <c r="R62" s="1219"/>
      <c r="T62" s="1218"/>
      <c r="U62" s="1218"/>
      <c r="V62" s="1218"/>
      <c r="W62" s="1218" cm="1">
        <f t="array" ref="W62">IF(SUM(COUNTIF(H62,{"*transfer*"})),"Transfer",IF(T62="",V62,T62))</f>
        <v>0</v>
      </c>
      <c r="X62" s="25">
        <f t="shared" ref="X62:X82" si="2">L62-M62</f>
        <v>0</v>
      </c>
    </row>
    <row r="63" spans="2:24" ht="17.25" customHeight="1">
      <c r="B63" s="1226"/>
      <c r="C63" s="1225"/>
      <c r="D63" s="1224"/>
      <c r="E63" s="1223"/>
      <c r="F63" s="1223"/>
      <c r="G63" s="1223"/>
      <c r="H63" s="1511"/>
      <c r="I63" s="1512"/>
      <c r="J63" s="1512"/>
      <c r="K63" s="1222"/>
      <c r="L63" s="25"/>
      <c r="M63" s="25"/>
      <c r="N63" s="25"/>
      <c r="O63" s="1221"/>
      <c r="Q63" s="1220"/>
      <c r="R63" s="1219"/>
      <c r="T63" s="1218"/>
      <c r="U63" s="1218"/>
      <c r="V63" s="1218"/>
      <c r="W63" s="1218" cm="1">
        <f t="array" ref="W63">IF(SUM(COUNTIF(H63,{"*transfer*"})),"Transfer",IF(T63="",V63,T63))</f>
        <v>0</v>
      </c>
      <c r="X63" s="25">
        <f t="shared" si="2"/>
        <v>0</v>
      </c>
    </row>
    <row r="64" spans="2:24" ht="17.25" customHeight="1">
      <c r="B64" s="1226"/>
      <c r="C64" s="1225"/>
      <c r="D64" s="1224"/>
      <c r="E64" s="1223"/>
      <c r="F64" s="1223"/>
      <c r="G64" s="1223"/>
      <c r="H64" s="1511"/>
      <c r="I64" s="1512"/>
      <c r="J64" s="1512"/>
      <c r="K64" s="1222"/>
      <c r="L64" s="25"/>
      <c r="M64" s="25"/>
      <c r="N64" s="25"/>
      <c r="O64" s="1221"/>
      <c r="Q64" s="1220"/>
      <c r="R64" s="1219"/>
      <c r="T64" s="1218"/>
      <c r="U64" s="1218"/>
      <c r="V64" s="1218"/>
      <c r="W64" s="1218" cm="1">
        <f t="array" ref="W64">IF(SUM(COUNTIF(H64,{"*transfer*"})),"Transfer",IF(T64="",V64,T64))</f>
        <v>0</v>
      </c>
      <c r="X64" s="25">
        <f t="shared" si="2"/>
        <v>0</v>
      </c>
    </row>
    <row r="65" spans="2:24" ht="17.25" customHeight="1">
      <c r="B65" s="1226"/>
      <c r="C65" s="1225"/>
      <c r="D65" s="1224"/>
      <c r="E65" s="1223"/>
      <c r="F65" s="1223"/>
      <c r="G65" s="1223"/>
      <c r="H65" s="1511"/>
      <c r="I65" s="1512"/>
      <c r="J65" s="1512"/>
      <c r="K65" s="1222"/>
      <c r="L65" s="25"/>
      <c r="M65" s="25"/>
      <c r="N65" s="25"/>
      <c r="O65" s="1221"/>
      <c r="Q65" s="1220"/>
      <c r="R65" s="1219"/>
      <c r="T65" s="1218"/>
      <c r="U65" s="1218"/>
      <c r="V65" s="1218"/>
      <c r="W65" s="1218" cm="1">
        <f t="array" ref="W65">IF(SUM(COUNTIF(H65,{"*transfer*"})),"Transfer",IF(T65="",V65,T65))</f>
        <v>0</v>
      </c>
      <c r="X65" s="25">
        <f t="shared" si="2"/>
        <v>0</v>
      </c>
    </row>
    <row r="66" spans="2:24" ht="17.25" customHeight="1">
      <c r="B66" s="1226"/>
      <c r="C66" s="1225"/>
      <c r="D66" s="1224"/>
      <c r="E66" s="1223"/>
      <c r="F66" s="1223"/>
      <c r="G66" s="1223"/>
      <c r="H66" s="1511"/>
      <c r="I66" s="1512"/>
      <c r="J66" s="1512"/>
      <c r="K66" s="1222"/>
      <c r="L66" s="25"/>
      <c r="M66" s="25"/>
      <c r="N66" s="25"/>
      <c r="O66" s="1221"/>
      <c r="Q66" s="1220"/>
      <c r="R66" s="1219"/>
      <c r="T66" s="1218"/>
      <c r="U66" s="1218"/>
      <c r="V66" s="1218"/>
      <c r="W66" s="1218" cm="1">
        <f t="array" ref="W66">IF(SUM(COUNTIF(H66,{"*transfer*"})),"Transfer",IF(T66="",V66,T66))</f>
        <v>0</v>
      </c>
      <c r="X66" s="25">
        <f t="shared" si="2"/>
        <v>0</v>
      </c>
    </row>
    <row r="67" spans="2:24" ht="17.25" customHeight="1">
      <c r="B67" s="1226"/>
      <c r="C67" s="1225"/>
      <c r="D67" s="1224"/>
      <c r="E67" s="1223"/>
      <c r="F67" s="1223"/>
      <c r="G67" s="1223"/>
      <c r="H67" s="1511"/>
      <c r="I67" s="1512"/>
      <c r="J67" s="1512"/>
      <c r="K67" s="1222"/>
      <c r="L67" s="25"/>
      <c r="M67" s="25"/>
      <c r="N67" s="25"/>
      <c r="O67" s="1221"/>
      <c r="Q67" s="1220"/>
      <c r="R67" s="1219"/>
      <c r="T67" s="1218"/>
      <c r="U67" s="1218"/>
      <c r="V67" s="1218"/>
      <c r="W67" s="1218" cm="1">
        <f t="array" ref="W67">IF(SUM(COUNTIF(H67,{"*transfer*"})),"Transfer",IF(T67="",V67,T67))</f>
        <v>0</v>
      </c>
      <c r="X67" s="25">
        <f t="shared" si="2"/>
        <v>0</v>
      </c>
    </row>
    <row r="68" spans="2:24" ht="17.25" customHeight="1">
      <c r="B68" s="1226"/>
      <c r="C68" s="1225"/>
      <c r="D68" s="1224"/>
      <c r="E68" s="1223"/>
      <c r="F68" s="1223"/>
      <c r="G68" s="1223"/>
      <c r="H68" s="1511"/>
      <c r="I68" s="1512"/>
      <c r="J68" s="1512"/>
      <c r="K68" s="1222"/>
      <c r="L68" s="25"/>
      <c r="M68" s="25"/>
      <c r="N68" s="25"/>
      <c r="O68" s="1221"/>
      <c r="Q68" s="1220"/>
      <c r="R68" s="1219"/>
      <c r="T68" s="1218"/>
      <c r="U68" s="1218"/>
      <c r="V68" s="1218"/>
      <c r="W68" s="1218" cm="1">
        <f t="array" ref="W68">IF(SUM(COUNTIF(H68,{"*transfer*"})),"Transfer",IF(T68="",V68,T68))</f>
        <v>0</v>
      </c>
      <c r="X68" s="25">
        <f t="shared" si="2"/>
        <v>0</v>
      </c>
    </row>
    <row r="69" spans="2:24" ht="17.25" customHeight="1">
      <c r="B69" s="1226"/>
      <c r="C69" s="1225"/>
      <c r="D69" s="1224"/>
      <c r="E69" s="1223"/>
      <c r="F69" s="1223"/>
      <c r="G69" s="1223"/>
      <c r="H69" s="1511"/>
      <c r="I69" s="1512"/>
      <c r="J69" s="1512"/>
      <c r="K69" s="1222"/>
      <c r="L69" s="25"/>
      <c r="M69" s="25"/>
      <c r="N69" s="25"/>
      <c r="O69" s="1221"/>
      <c r="Q69" s="1220"/>
      <c r="R69" s="1219"/>
      <c r="T69" s="1218"/>
      <c r="U69" s="1218"/>
      <c r="V69" s="1218"/>
      <c r="W69" s="1218" cm="1">
        <f t="array" ref="W69">IF(SUM(COUNTIF(H69,{"*transfer*"})),"Transfer",IF(T69="",V69,T69))</f>
        <v>0</v>
      </c>
      <c r="X69" s="25">
        <f t="shared" si="2"/>
        <v>0</v>
      </c>
    </row>
    <row r="70" spans="2:24" ht="17.25" customHeight="1">
      <c r="B70" s="1226"/>
      <c r="C70" s="1225"/>
      <c r="D70" s="1224"/>
      <c r="E70" s="1223"/>
      <c r="F70" s="1223"/>
      <c r="G70" s="1223"/>
      <c r="H70" s="1511"/>
      <c r="I70" s="1512"/>
      <c r="J70" s="1512"/>
      <c r="K70" s="1222"/>
      <c r="L70" s="25"/>
      <c r="M70" s="25"/>
      <c r="N70" s="25"/>
      <c r="O70" s="1221"/>
      <c r="Q70" s="1220"/>
      <c r="R70" s="1219"/>
      <c r="T70" s="1218"/>
      <c r="U70" s="1218"/>
      <c r="V70" s="1218"/>
      <c r="W70" s="1218" cm="1">
        <f t="array" ref="W70">IF(SUM(COUNTIF(H70,{"*transfer*"})),"Transfer",IF(T70="",V70,T70))</f>
        <v>0</v>
      </c>
      <c r="X70" s="25">
        <f t="shared" si="2"/>
        <v>0</v>
      </c>
    </row>
    <row r="71" spans="2:24" ht="17.25" customHeight="1">
      <c r="B71" s="1226"/>
      <c r="C71" s="1225"/>
      <c r="D71" s="1224"/>
      <c r="E71" s="1223"/>
      <c r="F71" s="1223"/>
      <c r="G71" s="1223"/>
      <c r="H71" s="1511"/>
      <c r="I71" s="1512"/>
      <c r="J71" s="1512"/>
      <c r="K71" s="1222"/>
      <c r="L71" s="25"/>
      <c r="M71" s="25"/>
      <c r="N71" s="25"/>
      <c r="O71" s="1221"/>
      <c r="Q71" s="1220"/>
      <c r="R71" s="1219"/>
      <c r="T71" s="1218"/>
      <c r="U71" s="1218"/>
      <c r="V71" s="1218"/>
      <c r="W71" s="1218" cm="1">
        <f t="array" ref="W71">IF(SUM(COUNTIF(H71,{"*transfer*"})),"Transfer",IF(T71="",V71,T71))</f>
        <v>0</v>
      </c>
      <c r="X71" s="25">
        <f t="shared" si="2"/>
        <v>0</v>
      </c>
    </row>
    <row r="72" spans="2:24" ht="17.25" customHeight="1">
      <c r="B72" s="1226"/>
      <c r="C72" s="1225"/>
      <c r="D72" s="1224"/>
      <c r="E72" s="1223"/>
      <c r="F72" s="1223"/>
      <c r="G72" s="1223"/>
      <c r="H72" s="1511"/>
      <c r="I72" s="1512"/>
      <c r="J72" s="1512"/>
      <c r="K72" s="1222"/>
      <c r="L72" s="25"/>
      <c r="M72" s="25"/>
      <c r="N72" s="25"/>
      <c r="O72" s="1221"/>
      <c r="Q72" s="1220"/>
      <c r="R72" s="1219"/>
      <c r="T72" s="1218"/>
      <c r="U72" s="1218"/>
      <c r="V72" s="1218"/>
      <c r="W72" s="1218" cm="1">
        <f t="array" ref="W72">IF(SUM(COUNTIF(H72,{"*transfer*"})),"Transfer",IF(T72="",V72,T72))</f>
        <v>0</v>
      </c>
      <c r="X72" s="25">
        <f t="shared" si="2"/>
        <v>0</v>
      </c>
    </row>
    <row r="73" spans="2:24" ht="17.25" customHeight="1">
      <c r="B73" s="1226"/>
      <c r="C73" s="1225"/>
      <c r="D73" s="1224"/>
      <c r="E73" s="1223"/>
      <c r="F73" s="1223"/>
      <c r="G73" s="1223"/>
      <c r="H73" s="1511"/>
      <c r="I73" s="1512"/>
      <c r="J73" s="1512"/>
      <c r="K73" s="1222"/>
      <c r="L73" s="25"/>
      <c r="M73" s="25"/>
      <c r="N73" s="25"/>
      <c r="O73" s="1221"/>
      <c r="Q73" s="1220"/>
      <c r="R73" s="1219"/>
      <c r="T73" s="1218"/>
      <c r="U73" s="1218"/>
      <c r="V73" s="1218"/>
      <c r="W73" s="1218" cm="1">
        <f t="array" ref="W73">IF(SUM(COUNTIF(H73,{"*transfer*"})),"Transfer",IF(T73="",V73,T73))</f>
        <v>0</v>
      </c>
      <c r="X73" s="25">
        <f t="shared" si="2"/>
        <v>0</v>
      </c>
    </row>
    <row r="74" spans="2:24" ht="17.25" customHeight="1">
      <c r="B74" s="1226"/>
      <c r="C74" s="1225"/>
      <c r="D74" s="1224"/>
      <c r="E74" s="1223"/>
      <c r="F74" s="1223"/>
      <c r="G74" s="1223"/>
      <c r="H74" s="1511"/>
      <c r="I74" s="1512"/>
      <c r="J74" s="1512"/>
      <c r="K74" s="1222"/>
      <c r="L74" s="25"/>
      <c r="M74" s="25"/>
      <c r="N74" s="25"/>
      <c r="O74" s="1221"/>
      <c r="Q74" s="1220"/>
      <c r="R74" s="1219"/>
      <c r="T74" s="1218"/>
      <c r="U74" s="1218"/>
      <c r="V74" s="1218"/>
      <c r="W74" s="1218" cm="1">
        <f t="array" ref="W74">IF(SUM(COUNTIF(H74,{"*transfer*"})),"Transfer",IF(T74="",V74,T74))</f>
        <v>0</v>
      </c>
      <c r="X74" s="25">
        <f t="shared" si="2"/>
        <v>0</v>
      </c>
    </row>
    <row r="75" spans="2:24" ht="17.25" customHeight="1">
      <c r="B75" s="1226"/>
      <c r="C75" s="1225"/>
      <c r="D75" s="1224"/>
      <c r="E75" s="1223"/>
      <c r="F75" s="1223"/>
      <c r="G75" s="1223"/>
      <c r="H75" s="1511"/>
      <c r="I75" s="1512"/>
      <c r="J75" s="1512"/>
      <c r="K75" s="1222"/>
      <c r="L75" s="25"/>
      <c r="M75" s="25"/>
      <c r="N75" s="25"/>
      <c r="O75" s="1221"/>
      <c r="Q75" s="1220"/>
      <c r="R75" s="1219"/>
      <c r="T75" s="1218"/>
      <c r="U75" s="1218"/>
      <c r="V75" s="1218"/>
      <c r="W75" s="1218" cm="1">
        <f t="array" ref="W75">IF(SUM(COUNTIF(H75,{"*transfer*"})),"Transfer",IF(T75="",V75,T75))</f>
        <v>0</v>
      </c>
      <c r="X75" s="25">
        <f t="shared" si="2"/>
        <v>0</v>
      </c>
    </row>
    <row r="76" spans="2:24" ht="17.25" customHeight="1">
      <c r="B76" s="1226"/>
      <c r="C76" s="1225"/>
      <c r="D76" s="1224"/>
      <c r="E76" s="1223"/>
      <c r="F76" s="1223"/>
      <c r="G76" s="1223"/>
      <c r="H76" s="1511"/>
      <c r="I76" s="1512"/>
      <c r="J76" s="1512"/>
      <c r="K76" s="1222"/>
      <c r="L76" s="25"/>
      <c r="M76" s="25"/>
      <c r="N76" s="25"/>
      <c r="O76" s="1221"/>
      <c r="Q76" s="1220"/>
      <c r="R76" s="1219"/>
      <c r="T76" s="1218"/>
      <c r="U76" s="1218"/>
      <c r="V76" s="1218"/>
      <c r="W76" s="1218" cm="1">
        <f t="array" ref="W76">IF(SUM(COUNTIF(H76,{"*transfer*"})),"Transfer",IF(T76="",V76,T76))</f>
        <v>0</v>
      </c>
      <c r="X76" s="25">
        <f t="shared" si="2"/>
        <v>0</v>
      </c>
    </row>
    <row r="77" spans="2:24" ht="17.25" customHeight="1">
      <c r="B77" s="1226"/>
      <c r="C77" s="1225"/>
      <c r="D77" s="1224"/>
      <c r="E77" s="1223"/>
      <c r="F77" s="1223"/>
      <c r="G77" s="1223"/>
      <c r="H77" s="1511"/>
      <c r="I77" s="1512"/>
      <c r="J77" s="1512"/>
      <c r="K77" s="1222"/>
      <c r="L77" s="25"/>
      <c r="M77" s="25"/>
      <c r="N77" s="25"/>
      <c r="O77" s="1221"/>
      <c r="Q77" s="1220"/>
      <c r="R77" s="1219"/>
      <c r="T77" s="1218"/>
      <c r="U77" s="1218"/>
      <c r="V77" s="1218"/>
      <c r="W77" s="1218" cm="1">
        <f t="array" ref="W77">IF(SUM(COUNTIF(H77,{"*transfer*"})),"Transfer",IF(T77="",V77,T77))</f>
        <v>0</v>
      </c>
      <c r="X77" s="25">
        <f t="shared" si="2"/>
        <v>0</v>
      </c>
    </row>
    <row r="78" spans="2:24" ht="17.25" customHeight="1">
      <c r="B78" s="1226"/>
      <c r="C78" s="1225"/>
      <c r="D78" s="1224"/>
      <c r="E78" s="1223"/>
      <c r="F78" s="1223"/>
      <c r="G78" s="1223"/>
      <c r="H78" s="1511"/>
      <c r="I78" s="1512"/>
      <c r="J78" s="1512"/>
      <c r="K78" s="1222"/>
      <c r="L78" s="25"/>
      <c r="M78" s="25"/>
      <c r="N78" s="25"/>
      <c r="O78" s="1221"/>
      <c r="Q78" s="1220"/>
      <c r="R78" s="1219"/>
      <c r="T78" s="1218"/>
      <c r="U78" s="1218"/>
      <c r="V78" s="1218"/>
      <c r="W78" s="1218" cm="1">
        <f t="array" ref="W78">IF(SUM(COUNTIF(H78,{"*transfer*"})),"Transfer",IF(T78="",V78,T78))</f>
        <v>0</v>
      </c>
      <c r="X78" s="25">
        <f t="shared" si="2"/>
        <v>0</v>
      </c>
    </row>
    <row r="79" spans="2:24" ht="17.25" customHeight="1">
      <c r="B79" s="1226"/>
      <c r="C79" s="1225"/>
      <c r="D79" s="1224"/>
      <c r="E79" s="1223"/>
      <c r="F79" s="1223"/>
      <c r="G79" s="1223"/>
      <c r="H79" s="1511"/>
      <c r="I79" s="1512"/>
      <c r="J79" s="1512"/>
      <c r="K79" s="1222"/>
      <c r="L79" s="25"/>
      <c r="M79" s="25"/>
      <c r="N79" s="25"/>
      <c r="O79" s="1221"/>
      <c r="Q79" s="1220"/>
      <c r="R79" s="1219"/>
      <c r="T79" s="1218"/>
      <c r="U79" s="1218"/>
      <c r="V79" s="1218"/>
      <c r="W79" s="1218" cm="1">
        <f t="array" ref="W79">IF(SUM(COUNTIF(H79,{"*transfer*"})),"Transfer",IF(T79="",V79,T79))</f>
        <v>0</v>
      </c>
      <c r="X79" s="25">
        <f t="shared" si="2"/>
        <v>0</v>
      </c>
    </row>
    <row r="80" spans="2:24" ht="17.25" customHeight="1">
      <c r="B80" s="1226"/>
      <c r="C80" s="1225"/>
      <c r="D80" s="1224"/>
      <c r="E80" s="1223"/>
      <c r="F80" s="1223"/>
      <c r="G80" s="1223"/>
      <c r="H80" s="1511"/>
      <c r="I80" s="1512"/>
      <c r="J80" s="1512"/>
      <c r="K80" s="1222"/>
      <c r="L80" s="25"/>
      <c r="M80" s="25"/>
      <c r="N80" s="25"/>
      <c r="O80" s="1221"/>
      <c r="Q80" s="1220"/>
      <c r="R80" s="1219"/>
      <c r="T80" s="1218"/>
      <c r="U80" s="1218"/>
      <c r="V80" s="1218"/>
      <c r="W80" s="1218" cm="1">
        <f t="array" ref="W80">IF(SUM(COUNTIF(H80,{"*transfer*"})),"Transfer",IF(T80="",V80,T80))</f>
        <v>0</v>
      </c>
      <c r="X80" s="25">
        <f t="shared" si="2"/>
        <v>0</v>
      </c>
    </row>
    <row r="81" spans="2:24" ht="17.25" customHeight="1">
      <c r="B81" s="1226"/>
      <c r="C81" s="1225"/>
      <c r="D81" s="1224"/>
      <c r="E81" s="1223"/>
      <c r="F81" s="1223"/>
      <c r="G81" s="1223"/>
      <c r="H81" s="1511"/>
      <c r="I81" s="1512"/>
      <c r="J81" s="1512"/>
      <c r="K81" s="1222"/>
      <c r="L81" s="25"/>
      <c r="M81" s="25"/>
      <c r="N81" s="25"/>
      <c r="O81" s="1221"/>
      <c r="Q81" s="1220"/>
      <c r="R81" s="1219"/>
      <c r="T81" s="1218"/>
      <c r="U81" s="1218"/>
      <c r="V81" s="1218"/>
      <c r="W81" s="1218" cm="1">
        <f t="array" ref="W81">IF(SUM(COUNTIF(H81,{"*transfer*"})),"Transfer",IF(T81="",V81,T81))</f>
        <v>0</v>
      </c>
      <c r="X81" s="25">
        <f t="shared" si="2"/>
        <v>0</v>
      </c>
    </row>
    <row r="82" spans="2:24" ht="17.25" customHeight="1">
      <c r="B82" s="1226"/>
      <c r="C82" s="1225"/>
      <c r="D82" s="1224"/>
      <c r="E82" s="1223"/>
      <c r="F82" s="1223"/>
      <c r="G82" s="1223"/>
      <c r="H82" s="1511"/>
      <c r="I82" s="1512"/>
      <c r="J82" s="1512"/>
      <c r="K82" s="1222"/>
      <c r="L82" s="25"/>
      <c r="M82" s="25"/>
      <c r="N82" s="25"/>
      <c r="O82" s="1221"/>
      <c r="Q82" s="1220"/>
      <c r="R82" s="1219"/>
      <c r="T82" s="1218"/>
      <c r="U82" s="1218"/>
      <c r="V82" s="1218"/>
      <c r="W82" s="1218" cm="1">
        <f t="array" ref="W82">IF(SUM(COUNTIF(H82,{"*transfer*"})),"Transfer",IF(T82="",V82,T82))</f>
        <v>0</v>
      </c>
      <c r="X82" s="25">
        <f t="shared" si="2"/>
        <v>0</v>
      </c>
    </row>
    <row r="83" spans="2:24" ht="7.5" customHeight="1">
      <c r="B83" s="1217"/>
      <c r="C83" s="1216"/>
      <c r="D83" s="1216"/>
      <c r="E83" s="1216"/>
      <c r="F83" s="1216"/>
      <c r="G83" s="1216"/>
      <c r="H83" s="1216"/>
      <c r="I83" s="1216"/>
      <c r="J83" s="1216"/>
      <c r="K83" s="1216"/>
      <c r="L83" s="1216"/>
      <c r="M83" s="1216"/>
      <c r="N83" s="1216"/>
      <c r="O83" s="1215"/>
    </row>
  </sheetData>
  <sheetProtection sheet="1" formatCells="0" formatColumns="0" formatRows="0" insertColumns="0" insertRows="0" insertHyperlinks="0"/>
  <mergeCells count="33">
    <mergeCell ref="H74:J74"/>
    <mergeCell ref="H75:J75"/>
    <mergeCell ref="B56:I56"/>
    <mergeCell ref="H72:J72"/>
    <mergeCell ref="H73:J73"/>
    <mergeCell ref="H65:J65"/>
    <mergeCell ref="H66:J66"/>
    <mergeCell ref="H67:J67"/>
    <mergeCell ref="H68:J68"/>
    <mergeCell ref="H69:J69"/>
    <mergeCell ref="H70:J70"/>
    <mergeCell ref="H71:J71"/>
    <mergeCell ref="H64:J64"/>
    <mergeCell ref="E12:G12"/>
    <mergeCell ref="Q3:R4"/>
    <mergeCell ref="H60:J60"/>
    <mergeCell ref="H62:J62"/>
    <mergeCell ref="H63:J63"/>
    <mergeCell ref="Q12:R12"/>
    <mergeCell ref="C8:N8"/>
    <mergeCell ref="B40:I40"/>
    <mergeCell ref="C5:D5"/>
    <mergeCell ref="C43:N43"/>
    <mergeCell ref="C44:N44"/>
    <mergeCell ref="B10:I10"/>
    <mergeCell ref="C58:D58"/>
    <mergeCell ref="H81:J81"/>
    <mergeCell ref="H82:J82"/>
    <mergeCell ref="H76:J76"/>
    <mergeCell ref="H77:J77"/>
    <mergeCell ref="H78:J78"/>
    <mergeCell ref="H79:J79"/>
    <mergeCell ref="H80:J80"/>
  </mergeCells>
  <conditionalFormatting sqref="I36">
    <cfRule type="expression" dxfId="341" priority="9">
      <formula>$I$39="Reconciled"</formula>
    </cfRule>
    <cfRule type="expression" dxfId="340" priority="10">
      <formula>$I$39="Out of Balance"</formula>
    </cfRule>
  </conditionalFormatting>
  <conditionalFormatting sqref="I37">
    <cfRule type="expression" dxfId="339" priority="11">
      <formula>$I$39="Reconciled"</formula>
    </cfRule>
    <cfRule type="expression" dxfId="338" priority="12">
      <formula>$I$39="Out of Balance"</formula>
    </cfRule>
  </conditionalFormatting>
  <conditionalFormatting sqref="I38">
    <cfRule type="expression" dxfId="337" priority="13">
      <formula>$I$39="Reconciled"</formula>
    </cfRule>
    <cfRule type="expression" dxfId="336" priority="14">
      <formula>$I$39="Out of Balance"</formula>
    </cfRule>
  </conditionalFormatting>
  <conditionalFormatting sqref="I51">
    <cfRule type="expression" dxfId="335" priority="1">
      <formula>$I$54="Reconciled"</formula>
    </cfRule>
    <cfRule type="expression" dxfId="334" priority="2">
      <formula>$I$54="Out of Balance"</formula>
    </cfRule>
  </conditionalFormatting>
  <conditionalFormatting sqref="I52">
    <cfRule type="expression" dxfId="333" priority="5">
      <formula>$I$54="Reconciled"</formula>
    </cfRule>
    <cfRule type="expression" dxfId="332" priority="6">
      <formula>$I$54="Out of Balance"</formula>
    </cfRule>
  </conditionalFormatting>
  <conditionalFormatting sqref="I53">
    <cfRule type="expression" dxfId="331" priority="3">
      <formula>$I$54="Reconciled"</formula>
    </cfRule>
    <cfRule type="expression" dxfId="330" priority="4">
      <formula>$I$54="Out of Balance"</formula>
    </cfRule>
  </conditionalFormatting>
  <conditionalFormatting sqref="N5">
    <cfRule type="expression" dxfId="329" priority="7">
      <formula>Tm_BalanceStatus="Reconciled"</formula>
    </cfRule>
    <cfRule type="expression" dxfId="328" priority="8">
      <formula>Tm_BalanceStatus="Out of Balance"</formula>
    </cfRule>
  </conditionalFormatting>
  <dataValidations count="2">
    <dataValidation allowBlank="1" showErrorMessage="1" prompt="Transactions are automatically determined. Use this column to override the allocation if necessary." sqref="K60" xr:uid="{7B54C6FE-34A1-4FF4-B868-C622F3AF83C8}"/>
    <dataValidation type="list" allowBlank="1" showInputMessage="1" showErrorMessage="1" sqref="K62:K82" xr:uid="{35CEA16A-92FE-485E-844E-A5FC0E79725A}">
      <formula1>"Interest Expense, Interest Income, Transfer, Penalties, Other"</formula1>
    </dataValidation>
  </dataValidations>
  <hyperlinks>
    <hyperlink ref="N3" location="'H50 ICA'!Go_Index" tooltip="Go to Record" display="Show Record" xr:uid="{6432040B-81F3-4F3B-A592-6FD5B948B51F}"/>
    <hyperlink ref="C58:D58" location="'H50 ICA'!Go_Command.GetATOIntegratedClientAccount" tooltip="Refresh Integrated Client Account Data from the ATO" display="P Refresh Data Feed" xr:uid="{0940BCBB-9AAF-4A2F-9AAB-46CCAC1C98A3}"/>
    <hyperlink ref="C28" location="'H50 ICA'!Go_NetTransfersReconciliation" tooltip="Go to Net Transfers Reconciliation" display="Net Transfers i" xr:uid="{95AB9F8E-DE37-48B4-94A3-2ABC6ABBA873}"/>
    <hyperlink ref="A40:I40" location="'H50 ICA'!Go_RollUp_01" tooltip="Show/Hide" display="'H50 ICA'!Go_RollUp_01" xr:uid="{C52FE4BC-CAE4-474F-9CE5-EE192919D690}"/>
  </hyperlinks>
  <pageMargins left="0.7" right="0.7" top="0.75" bottom="0.75" header="0.3" footer="0.3"/>
  <pageSetup paperSize="9" scale="67" fitToHeight="0" orientation="portrait" horizontalDpi="4294967293" verticalDpi="0" r:id="rId1"/>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D711C2E6-C71B-4CEC-8619-307DF4A63A44}">
          <xm:f>'H50 ICA'!Reconcile_Asset_ICAReceivable</xm:f>
        </x15:webExtension>
        <x15:webExtension appRef="{67F24229-9336-42EA-B90D-E296408E1156}">
          <xm:f>'H50 ICA'!Reconcile_Liability_ICAPayable</xm:f>
        </x15:webExtension>
      </x15:webExtens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BAA79-EEE4-42B0-B85B-C47AE2972D34}">
  <sheetPr>
    <pageSetUpPr fitToPage="1"/>
  </sheetPr>
  <dimension ref="A1:W75"/>
  <sheetViews>
    <sheetView showGridLines="0" topLeftCell="A2" zoomScaleNormal="100" workbookViewId="0">
      <selection activeCell="A2" sqref="A2"/>
    </sheetView>
  </sheetViews>
  <sheetFormatPr defaultRowHeight="15"/>
  <cols>
    <col min="1" max="1" width="4.28515625" style="1214" customWidth="1"/>
    <col min="2" max="2" width="1.42578125" style="1214" customWidth="1"/>
    <col min="3" max="4" width="15.28515625" style="1214" customWidth="1"/>
    <col min="5" max="6" width="15.28515625" style="1214" hidden="1" customWidth="1"/>
    <col min="7" max="8" width="15.28515625" style="1214" customWidth="1"/>
    <col min="9" max="9" width="3.7109375" style="1214" customWidth="1"/>
    <col min="10" max="13" width="15.28515625" style="1214" customWidth="1"/>
    <col min="14" max="14" width="1.42578125" style="1214" customWidth="1"/>
    <col min="15" max="15" width="4.28515625" style="1214" customWidth="1"/>
    <col min="16" max="17" width="15.7109375" style="1214" customWidth="1"/>
    <col min="18" max="18" width="1.42578125" style="1214" customWidth="1"/>
    <col min="19" max="19" width="12.28515625" style="1214" hidden="1" customWidth="1"/>
    <col min="20" max="20" width="24.7109375" style="1214" hidden="1" customWidth="1"/>
    <col min="21" max="22" width="12.28515625" style="1214" hidden="1" customWidth="1"/>
    <col min="23" max="23" width="15.85546875" style="1214" hidden="1" customWidth="1"/>
    <col min="24" max="16384" width="9.140625" style="1214"/>
  </cols>
  <sheetData>
    <row r="1" spans="1:19" hidden="1">
      <c r="C1" s="1286" t="s">
        <v>1493</v>
      </c>
      <c r="D1" s="1286" t="s">
        <v>1492</v>
      </c>
      <c r="E1" s="1286"/>
      <c r="F1" s="1286"/>
      <c r="G1" s="1286"/>
      <c r="H1" s="1286"/>
      <c r="I1" s="1286"/>
      <c r="J1" s="1285" t="s">
        <v>319</v>
      </c>
      <c r="K1" s="1214" t="s">
        <v>691</v>
      </c>
      <c r="N1" s="1284"/>
      <c r="O1" s="1284"/>
      <c r="P1" s="1284"/>
    </row>
    <row r="2" spans="1:19" ht="7.5" customHeight="1"/>
    <row r="3" spans="1:19" ht="24.95" customHeight="1">
      <c r="C3" s="735" t="s">
        <v>1456</v>
      </c>
      <c r="L3"/>
      <c r="M3" s="1292" t="s">
        <v>174</v>
      </c>
    </row>
    <row r="4" spans="1:19" ht="22.5" customHeight="1" thickBot="1">
      <c r="C4" s="734" t="str">
        <f>_xlfn.TEXTJOIN(" ",1,IFERROR(_xlfn.SINGLE(Cl_Name),"Client Name"),IF(IFERROR(_xlfn.SINGLE(Cl_Code),"")="","","("&amp;_xlfn.SINGLE(Cl_Code)&amp;")"))</f>
        <v>Springrange Holdings Pty Ltd (MuM001)</v>
      </c>
      <c r="D4" s="733"/>
      <c r="E4" s="733"/>
      <c r="F4" s="733"/>
      <c r="G4" s="733"/>
      <c r="L4" s="1276"/>
      <c r="M4" s="1291"/>
    </row>
    <row r="5" spans="1:19" ht="22.5" customHeight="1">
      <c r="C5" s="1520">
        <f>IFERROR(_xlfn.SINGLE(PeriodEndDate),DATE(1901,6,30))</f>
        <v>45473</v>
      </c>
      <c r="D5" s="1521"/>
      <c r="K5" s="1281"/>
      <c r="L5" s="1280"/>
      <c r="M5" s="1279" t="str">
        <f>H31</f>
        <v>Pending</v>
      </c>
      <c r="N5" s="1214">
        <f>IFERROR(_xlfn.XLOOKUP("905bc057-66e4-4536-957e-ef485e182cc5",RecordInfo.RecordId,RecordInfo.Tolerances),0)</f>
        <v>0.01</v>
      </c>
    </row>
    <row r="6" spans="1:19" s="1276" customFormat="1" ht="7.5" customHeight="1">
      <c r="A6" s="118"/>
      <c r="B6" s="726"/>
      <c r="C6" s="117"/>
      <c r="D6" s="117"/>
      <c r="E6" s="117"/>
      <c r="F6" s="117"/>
      <c r="G6" s="117"/>
      <c r="H6" s="117"/>
      <c r="I6" s="117"/>
      <c r="J6" s="117"/>
      <c r="K6" s="1278"/>
      <c r="L6" s="1278"/>
      <c r="M6" s="1278"/>
      <c r="N6" s="1278"/>
    </row>
    <row r="7" spans="1:19" ht="7.15" customHeight="1">
      <c r="B7" s="1277"/>
      <c r="C7" s="1276"/>
      <c r="D7" s="1276"/>
      <c r="E7" s="1276"/>
      <c r="F7" s="1276"/>
      <c r="G7" s="1276"/>
      <c r="H7" s="1276"/>
      <c r="I7" s="1276"/>
      <c r="J7" s="1276"/>
      <c r="K7" s="1276"/>
      <c r="L7" s="1276"/>
      <c r="M7" s="1276"/>
      <c r="N7" s="1276"/>
      <c r="O7" s="1276"/>
      <c r="P7" s="1276"/>
      <c r="Q7" s="1276"/>
      <c r="R7" s="1276"/>
      <c r="S7" s="1276"/>
    </row>
    <row r="8" spans="1:19" ht="17.25" customHeight="1">
      <c r="B8" s="1277"/>
      <c r="C8" s="1516" t="s">
        <v>1514</v>
      </c>
      <c r="D8" s="1516"/>
      <c r="E8" s="1516"/>
      <c r="F8" s="1516"/>
      <c r="G8" s="1516"/>
      <c r="H8" s="1516"/>
      <c r="I8" s="1516"/>
      <c r="J8" s="1516"/>
      <c r="K8" s="1516"/>
      <c r="L8" s="1516"/>
      <c r="M8" s="1516"/>
      <c r="N8" s="1276"/>
      <c r="O8" s="1276"/>
      <c r="P8" s="1276"/>
      <c r="Q8" s="1276"/>
      <c r="R8" s="1276"/>
      <c r="S8" s="1276"/>
    </row>
    <row r="9" spans="1:19" ht="22.5" customHeight="1">
      <c r="B9" s="1277"/>
      <c r="C9" s="1276"/>
      <c r="D9" s="1276"/>
      <c r="E9" s="1276"/>
      <c r="F9" s="1276"/>
      <c r="G9" s="1276"/>
      <c r="H9" s="1276"/>
      <c r="I9" s="1276"/>
      <c r="J9" s="1276"/>
      <c r="K9" s="1276"/>
      <c r="L9" s="1276"/>
      <c r="M9" s="1276"/>
      <c r="N9" s="1276"/>
      <c r="O9" s="1276"/>
      <c r="P9" s="1276"/>
      <c r="Q9" s="1276"/>
      <c r="R9" s="1276"/>
      <c r="S9" s="1276"/>
    </row>
    <row r="10" spans="1:19" ht="22.5" customHeight="1">
      <c r="B10" s="1523" t="s">
        <v>1351</v>
      </c>
      <c r="C10" s="1524"/>
      <c r="D10" s="1524"/>
      <c r="E10" s="1524"/>
      <c r="F10" s="1524"/>
      <c r="G10" s="1524"/>
      <c r="H10" s="1525"/>
      <c r="I10" s="1227"/>
      <c r="J10" s="1227"/>
      <c r="K10" s="1227"/>
      <c r="L10" s="1227"/>
      <c r="M10" s="1227"/>
    </row>
    <row r="11" spans="1:19" ht="14.45" customHeight="1">
      <c r="B11" s="1275"/>
      <c r="C11" s="1274"/>
      <c r="D11" s="1274"/>
      <c r="E11" s="1274"/>
      <c r="F11" s="1274"/>
      <c r="G11" s="1274"/>
      <c r="H11" s="1274"/>
      <c r="I11" s="1274"/>
      <c r="J11" s="1274"/>
      <c r="K11" s="1274"/>
      <c r="L11" s="1274"/>
      <c r="M11" s="1274"/>
      <c r="N11" s="1273"/>
    </row>
    <row r="12" spans="1:19" ht="39" customHeight="1">
      <c r="B12" s="1248"/>
      <c r="C12" s="1272"/>
      <c r="D12" s="1271"/>
      <c r="E12" s="1528" t="s">
        <v>1488</v>
      </c>
      <c r="F12" s="1528"/>
      <c r="G12" s="1172" t="s">
        <v>1487</v>
      </c>
      <c r="H12" s="669" t="s">
        <v>1486</v>
      </c>
      <c r="I12" s="669"/>
      <c r="J12" s="1270" t="s">
        <v>151</v>
      </c>
      <c r="K12" s="1260"/>
      <c r="L12" s="1260"/>
      <c r="M12" s="1269"/>
      <c r="N12" s="1268"/>
      <c r="P12" s="1515" t="s">
        <v>155</v>
      </c>
      <c r="Q12" s="1413"/>
    </row>
    <row r="13" spans="1:19" ht="7.9" customHeight="1">
      <c r="B13" s="1248"/>
      <c r="C13" s="1227"/>
      <c r="D13" s="1227"/>
      <c r="E13" s="1227"/>
      <c r="F13" s="1227"/>
      <c r="G13" s="1227"/>
      <c r="H13" s="1227"/>
      <c r="I13" s="1227"/>
      <c r="J13" s="1260"/>
      <c r="K13" s="1260"/>
      <c r="L13" s="1260"/>
      <c r="M13" s="1227"/>
      <c r="N13" s="1246"/>
    </row>
    <row r="14" spans="1:19" ht="17.25" customHeight="1">
      <c r="B14" s="1248"/>
      <c r="C14" s="1247" t="s">
        <v>514</v>
      </c>
      <c r="D14" s="1227"/>
      <c r="E14" s="1227"/>
      <c r="F14" s="1227"/>
      <c r="G14" s="1227"/>
      <c r="H14" s="1251"/>
      <c r="I14" s="1227"/>
      <c r="J14" s="1260"/>
      <c r="K14" s="1260"/>
      <c r="L14" s="1260"/>
      <c r="M14" s="1227"/>
      <c r="N14" s="1246"/>
      <c r="P14" s="1220"/>
      <c r="Q14" s="1219"/>
    </row>
    <row r="15" spans="1:19" ht="17.25" customHeight="1">
      <c r="B15" s="1248"/>
      <c r="C15" s="1247"/>
      <c r="D15" s="1227"/>
      <c r="E15" s="1227"/>
      <c r="F15" s="1227"/>
      <c r="G15" s="1227"/>
      <c r="H15" s="1227"/>
      <c r="I15" s="1227"/>
      <c r="J15" s="1260"/>
      <c r="K15" s="1260"/>
      <c r="L15" s="1260"/>
      <c r="M15" s="1227"/>
      <c r="N15" s="1246"/>
    </row>
    <row r="16" spans="1:19" ht="17.25" customHeight="1">
      <c r="B16" s="1248"/>
      <c r="C16" s="1247" t="s">
        <v>1485</v>
      </c>
      <c r="D16" s="1227"/>
      <c r="E16" s="1227"/>
      <c r="F16" s="1227"/>
      <c r="G16" s="1227"/>
      <c r="H16" s="1227"/>
      <c r="I16" s="1227"/>
      <c r="J16" s="1260"/>
      <c r="K16" s="1260"/>
      <c r="L16" s="1260"/>
      <c r="M16" s="1227"/>
      <c r="N16" s="1246"/>
    </row>
    <row r="17" spans="1:20" ht="17.25" customHeight="1">
      <c r="B17" s="1248"/>
      <c r="C17" s="1227" t="s">
        <v>1513</v>
      </c>
      <c r="D17" s="1227"/>
      <c r="E17" s="133"/>
      <c r="F17" s="133"/>
      <c r="G17" s="1251"/>
      <c r="H17" s="25">
        <f>SUMIF(Model_CATS.List.Description,"*Tax return*",ITA_NetTransactionAmount)</f>
        <v>0</v>
      </c>
      <c r="I17" s="1227"/>
      <c r="J17" s="25">
        <f>SUM(G17:H17)</f>
        <v>0</v>
      </c>
      <c r="K17" s="1260"/>
      <c r="L17" s="1260"/>
      <c r="M17" s="1227"/>
      <c r="N17" s="1246"/>
      <c r="P17" s="1220"/>
      <c r="Q17" s="1219"/>
    </row>
    <row r="18" spans="1:20" ht="17.25" customHeight="1">
      <c r="B18" s="1248"/>
      <c r="C18" s="1227" t="s">
        <v>1476</v>
      </c>
      <c r="D18" s="1227"/>
      <c r="E18" s="133" t="s">
        <v>1475</v>
      </c>
      <c r="F18" s="133" t="s">
        <v>1474</v>
      </c>
      <c r="G18" s="1260"/>
      <c r="H18" s="25">
        <f>SUMIFS(ITA_NetTransactionAmount,Model_CATS.List.AdjRoleCode,E18)+SUMIFS(ITA_NetTransactionAmount,Model_CATS.List.AdjRoleCode,F18)</f>
        <v>0</v>
      </c>
      <c r="I18" s="1227"/>
      <c r="J18" s="1260"/>
      <c r="K18" s="1227"/>
      <c r="L18" s="1260"/>
      <c r="M18" s="1227"/>
      <c r="N18" s="1246"/>
      <c r="P18" s="1220"/>
      <c r="Q18" s="1219"/>
    </row>
    <row r="19" spans="1:20" ht="17.25" customHeight="1">
      <c r="B19" s="1248"/>
      <c r="C19" s="1227" t="s">
        <v>1473</v>
      </c>
      <c r="D19" s="1227"/>
      <c r="E19" s="133" t="s">
        <v>1472</v>
      </c>
      <c r="F19" s="133"/>
      <c r="G19" s="1260"/>
      <c r="H19" s="25">
        <f>SUMIFS(ITA_NetTransactionAmount,Model_CATS.List.AdjRoleCode,E19)</f>
        <v>0</v>
      </c>
      <c r="I19" s="1227"/>
      <c r="J19" s="1260"/>
      <c r="K19" s="1227"/>
      <c r="L19" s="1260"/>
      <c r="M19" s="1227"/>
      <c r="N19" s="1246"/>
      <c r="P19" s="1220"/>
      <c r="Q19" s="1219"/>
    </row>
    <row r="20" spans="1:20" ht="17.25" customHeight="1">
      <c r="B20" s="1248"/>
      <c r="C20" s="1227" t="s">
        <v>1471</v>
      </c>
      <c r="D20" s="1227"/>
      <c r="E20" s="1227" t="s">
        <v>1470</v>
      </c>
      <c r="F20" s="1227"/>
      <c r="G20" s="1260"/>
      <c r="H20" s="25">
        <f>SUMIFS(ITA_NetTransactionAmount,ITA_AllocationList,E20)</f>
        <v>0</v>
      </c>
      <c r="I20" s="1227"/>
      <c r="J20" s="1260"/>
      <c r="K20" s="1227"/>
      <c r="L20" s="1260"/>
      <c r="M20" s="1227"/>
      <c r="N20" s="1246"/>
      <c r="P20" s="1220"/>
      <c r="Q20" s="1219"/>
    </row>
    <row r="21" spans="1:20" ht="17.25" customHeight="1">
      <c r="B21" s="1248"/>
      <c r="C21" s="1227"/>
      <c r="D21" s="1227"/>
      <c r="E21" s="1227"/>
      <c r="F21" s="1227"/>
      <c r="G21" s="1260"/>
      <c r="H21" s="1260"/>
      <c r="I21" s="1227"/>
      <c r="J21" s="1227"/>
      <c r="K21" s="1227"/>
      <c r="L21" s="1260"/>
      <c r="M21" s="1227"/>
      <c r="N21" s="1246"/>
    </row>
    <row r="22" spans="1:20" ht="17.25" customHeight="1">
      <c r="B22" s="1248"/>
      <c r="C22" s="1262" t="s">
        <v>517</v>
      </c>
      <c r="D22" s="1227"/>
      <c r="E22" s="1227"/>
      <c r="F22" s="1227"/>
      <c r="G22" s="1260"/>
      <c r="H22" s="1260"/>
      <c r="I22" s="1227"/>
      <c r="J22" s="1247" t="s">
        <v>1469</v>
      </c>
      <c r="K22" s="1227"/>
      <c r="L22" s="1261" t="s">
        <v>1414</v>
      </c>
      <c r="M22" s="1247" t="s">
        <v>1413</v>
      </c>
      <c r="N22" s="1246"/>
    </row>
    <row r="23" spans="1:20" ht="17.25" customHeight="1">
      <c r="B23" s="1248"/>
      <c r="C23" s="1227" t="s">
        <v>1468</v>
      </c>
      <c r="D23" s="1227"/>
      <c r="E23" s="1227" t="s">
        <v>1467</v>
      </c>
      <c r="F23" s="1227" t="s">
        <v>399</v>
      </c>
      <c r="G23" s="1260"/>
      <c r="H23" s="25">
        <f>SUMIF(Model_CATS.List.AdjRoleCode,E23,Model_CATS.List.Debit)+SUMIF(Model_CATS.List.AdjRoleCode,F23,Model_CATS.List.Debit)+SUMIF(ITA_AllocationList,C23,Model_CATS.List.Debit)</f>
        <v>0</v>
      </c>
      <c r="I23" s="1227"/>
      <c r="J23" s="1227" t="s">
        <v>1468</v>
      </c>
      <c r="L23" s="1260">
        <f>IF($H23&gt;0,H23,0)</f>
        <v>0</v>
      </c>
      <c r="M23" s="1260">
        <f>IF(H23&lt;0,-H23,0)</f>
        <v>0</v>
      </c>
      <c r="N23" s="1246"/>
      <c r="P23" s="1220"/>
      <c r="Q23" s="1219"/>
    </row>
    <row r="24" spans="1:20" ht="17.25" customHeight="1">
      <c r="B24" s="1248"/>
      <c r="C24" s="1227" t="s">
        <v>1464</v>
      </c>
      <c r="D24" s="1227"/>
      <c r="E24" s="1227" t="s">
        <v>1467</v>
      </c>
      <c r="F24" s="1227" t="s">
        <v>399</v>
      </c>
      <c r="G24" s="1260"/>
      <c r="H24" s="25">
        <f>-SUMIF(Model_CATS.List.AdjRoleCode,E24,Model_CATS.List.Credit)-SUMIF(Model_CATS.List.AdjRoleCode,F24,Model_CATS.List.Credit)-SUMIF(ITA_AllocationList,C24,Model_CATS.List.Credit)</f>
        <v>0</v>
      </c>
      <c r="I24" s="1227"/>
      <c r="J24" s="1227" t="s">
        <v>1464</v>
      </c>
      <c r="L24" s="1260">
        <f>IF($H24&gt;0,H24,0)</f>
        <v>0</v>
      </c>
      <c r="M24" s="1260">
        <f>IF(H24&lt;0,-H24,0)</f>
        <v>0</v>
      </c>
      <c r="N24" s="1246"/>
      <c r="P24" s="1220"/>
      <c r="Q24" s="1219"/>
    </row>
    <row r="25" spans="1:20" ht="17.25" customHeight="1">
      <c r="B25" s="1248"/>
      <c r="C25" s="1227" t="s">
        <v>1463</v>
      </c>
      <c r="D25" s="1227"/>
      <c r="E25" s="1227"/>
      <c r="F25" s="1227"/>
      <c r="G25" s="1260"/>
      <c r="H25" s="25">
        <f>SUMIFS(ITA_NetTransactionAmount,ITA_AllocationList,C25)</f>
        <v>0</v>
      </c>
      <c r="I25" s="1227"/>
      <c r="J25" s="1227" t="s">
        <v>1462</v>
      </c>
      <c r="L25" s="1260">
        <f>IF($H25&gt;0,H25,0)</f>
        <v>0</v>
      </c>
      <c r="M25" s="1260">
        <f>IF(H25&lt;0,-H25,0)</f>
        <v>0</v>
      </c>
      <c r="N25" s="1246"/>
      <c r="P25" s="1220"/>
      <c r="Q25" s="1219"/>
    </row>
    <row r="26" spans="1:20" ht="17.25" customHeight="1">
      <c r="B26" s="1248"/>
      <c r="C26" s="1227" t="s">
        <v>1453</v>
      </c>
      <c r="D26" s="1227"/>
      <c r="E26" s="1227"/>
      <c r="F26" s="1227"/>
      <c r="G26" s="1260"/>
      <c r="H26" s="25">
        <f>SUMIFS(ITA_NetTransactionAmount,ITA_AllocationList,C26)</f>
        <v>0</v>
      </c>
      <c r="I26" s="1227"/>
      <c r="J26" s="1227" t="s">
        <v>1453</v>
      </c>
      <c r="L26" s="1260">
        <f>IF($H26&gt;0,H26,0)</f>
        <v>0</v>
      </c>
      <c r="M26" s="1260">
        <f>IF(H26&lt;0,-H26,0)</f>
        <v>0</v>
      </c>
      <c r="N26" s="1246"/>
      <c r="P26" s="1220"/>
      <c r="Q26" s="1219"/>
    </row>
    <row r="27" spans="1:20" ht="17.25" customHeight="1">
      <c r="B27" s="1248"/>
      <c r="C27" s="1227"/>
      <c r="D27" s="1227"/>
      <c r="E27" s="1227"/>
      <c r="F27" s="1227"/>
      <c r="G27" s="1260"/>
      <c r="H27" s="1227"/>
      <c r="I27" s="1227"/>
      <c r="J27" s="1227" t="s">
        <v>1461</v>
      </c>
      <c r="K27" s="1260"/>
      <c r="L27" s="1260">
        <f>IF(SUM(L23:L26)&gt;SUM(M23:M26),0,SUM(M23:M26)-SUM(L23:L26))</f>
        <v>0</v>
      </c>
      <c r="M27" s="1260">
        <f>IF(SUM(L23:L26)&gt;SUM(M23:M26),SUM(L23:L26)-SUM(M23:M26),0)</f>
        <v>0</v>
      </c>
      <c r="N27" s="1246"/>
      <c r="P27" s="1220"/>
      <c r="Q27" s="1219"/>
    </row>
    <row r="28" spans="1:20" ht="17.25" customHeight="1">
      <c r="B28" s="1248"/>
      <c r="C28" s="1247" t="s">
        <v>546</v>
      </c>
      <c r="D28" s="1227"/>
      <c r="E28" s="1227"/>
      <c r="F28" s="1227"/>
      <c r="G28" s="1227"/>
      <c r="H28" s="1259">
        <f>SUM(H14:H27)</f>
        <v>0</v>
      </c>
      <c r="I28" s="1227"/>
      <c r="J28" s="1227"/>
      <c r="K28" s="1227"/>
      <c r="L28" s="1227"/>
      <c r="M28" s="1227"/>
      <c r="N28" s="1246"/>
      <c r="P28" s="1220"/>
      <c r="Q28" s="1219"/>
    </row>
    <row r="29" spans="1:20" ht="17.25" customHeight="1">
      <c r="B29" s="1248"/>
      <c r="C29" s="1247" t="s">
        <v>281</v>
      </c>
      <c r="D29" s="1227"/>
      <c r="E29" s="1227"/>
      <c r="F29" s="1227"/>
      <c r="G29" s="1227"/>
      <c r="H29" s="1257">
        <f>Tm_TBBalance_ITAPayable-Tm_TBBalance_ITAReceivable</f>
        <v>0</v>
      </c>
      <c r="I29" s="1227"/>
      <c r="J29" s="1227"/>
      <c r="K29" s="1227"/>
      <c r="L29" s="1227"/>
      <c r="M29" s="1227"/>
      <c r="N29" s="1246"/>
      <c r="P29" s="1220"/>
      <c r="Q29" s="1219"/>
    </row>
    <row r="30" spans="1:20" ht="17.25" customHeight="1">
      <c r="B30" s="1248"/>
      <c r="C30" s="1247" t="s">
        <v>280</v>
      </c>
      <c r="D30" s="1227"/>
      <c r="E30" s="1227"/>
      <c r="F30" s="1227"/>
      <c r="G30" s="1227"/>
      <c r="H30" s="203">
        <f>H29-H28</f>
        <v>0</v>
      </c>
      <c r="I30" s="1227"/>
      <c r="J30" s="1227"/>
      <c r="K30" s="1227"/>
      <c r="L30" s="1227"/>
      <c r="M30" s="1227"/>
      <c r="N30" s="1246"/>
      <c r="P30" s="1220"/>
      <c r="Q30" s="1219"/>
    </row>
    <row r="31" spans="1:20" ht="17.25" customHeight="1">
      <c r="B31" s="1290"/>
      <c r="C31" s="1227"/>
      <c r="D31" s="1227"/>
      <c r="E31" s="1227"/>
      <c r="F31" s="1227"/>
      <c r="G31" s="1227"/>
      <c r="H31" s="1258" t="str">
        <f>IF(OR(AND(COUNTIF(H17:H26,"&gt;0")=0,SingleCB_01=0),OR(ISBLANK(Tm_TBBalance_ITAPayable),ISBLANK(Tm_TBBalance_ITAReceivable))),"Pending",IF(ABS(H30)&gt;Tm_Tolerance,"Out of Balance","Reconciled"))</f>
        <v>Pending</v>
      </c>
      <c r="I31" s="1227"/>
      <c r="J31" s="1227"/>
      <c r="K31" s="1227"/>
      <c r="L31" s="1227"/>
      <c r="M31" s="1227"/>
      <c r="N31" s="1246"/>
      <c r="T31" s="1241"/>
    </row>
    <row r="32" spans="1:20" ht="22.5" customHeight="1">
      <c r="A32" s="1255" t="str">
        <f>IF(SUBTOTAL(103,Tm_StartRollUp_01),"-","+")</f>
        <v>+</v>
      </c>
      <c r="B32" s="1517" t="s">
        <v>1460</v>
      </c>
      <c r="C32" s="1518"/>
      <c r="D32" s="1518"/>
      <c r="E32" s="1518"/>
      <c r="F32" s="1518"/>
      <c r="G32" s="1518"/>
      <c r="H32" s="1519"/>
      <c r="I32" s="1227"/>
      <c r="J32" s="1227"/>
      <c r="K32" s="1227"/>
      <c r="L32" s="1227"/>
      <c r="M32" s="1227"/>
      <c r="N32" s="1246"/>
      <c r="P32" s="1249"/>
      <c r="Q32" s="1249"/>
    </row>
    <row r="33" spans="1:20" ht="7.5" hidden="1" customHeight="1">
      <c r="A33" s="1214" t="s">
        <v>58</v>
      </c>
      <c r="B33" s="1290"/>
      <c r="C33" s="1227"/>
      <c r="D33" s="1227"/>
      <c r="E33" s="1227"/>
      <c r="F33" s="1227"/>
      <c r="G33" s="1227"/>
      <c r="H33" s="1258"/>
      <c r="I33" s="1227"/>
      <c r="J33" s="1227"/>
      <c r="K33" s="1227"/>
      <c r="L33" s="1227"/>
      <c r="M33" s="1227"/>
      <c r="N33" s="1246"/>
      <c r="P33" s="1249"/>
      <c r="Q33" s="1249"/>
    </row>
    <row r="34" spans="1:20" ht="17.25" hidden="1" customHeight="1">
      <c r="B34" s="1290"/>
      <c r="C34" s="1254" t="s">
        <v>1459</v>
      </c>
      <c r="D34" s="1253"/>
      <c r="E34" s="1253"/>
      <c r="F34" s="1253"/>
      <c r="G34" s="1253"/>
      <c r="H34" s="1253"/>
      <c r="I34" s="1227"/>
      <c r="J34" s="1227"/>
      <c r="K34" s="1227"/>
      <c r="L34" s="1227"/>
      <c r="M34" s="1227"/>
      <c r="N34" s="1246"/>
      <c r="T34" s="1241"/>
    </row>
    <row r="35" spans="1:20" ht="17.25" hidden="1" customHeight="1">
      <c r="B35" s="1290"/>
      <c r="C35" s="1252" t="s">
        <v>1512</v>
      </c>
      <c r="D35" s="1252"/>
      <c r="E35" s="1252"/>
      <c r="F35" s="1252"/>
      <c r="G35" s="1252"/>
      <c r="H35" s="1252"/>
      <c r="I35" s="1227"/>
      <c r="J35" s="1227"/>
      <c r="K35" s="1227"/>
      <c r="L35" s="1227"/>
      <c r="M35" s="1227"/>
      <c r="N35" s="1246"/>
      <c r="T35" s="1241"/>
    </row>
    <row r="36" spans="1:20" ht="17.25" hidden="1" customHeight="1">
      <c r="B36" s="1290"/>
      <c r="C36" s="1252" t="s">
        <v>1457</v>
      </c>
      <c r="D36" s="1227"/>
      <c r="E36" s="1227"/>
      <c r="F36" s="1227"/>
      <c r="G36" s="1227"/>
      <c r="H36" s="1227"/>
      <c r="I36" s="1227"/>
      <c r="J36" s="1227"/>
      <c r="K36" s="1227"/>
      <c r="L36" s="1227"/>
      <c r="M36" s="1227"/>
      <c r="N36" s="1246"/>
      <c r="T36" s="1241"/>
    </row>
    <row r="37" spans="1:20" ht="17.25" hidden="1" customHeight="1">
      <c r="B37" s="1290"/>
      <c r="C37" s="1247"/>
      <c r="D37" s="1227"/>
      <c r="E37" s="1227"/>
      <c r="F37" s="1227"/>
      <c r="G37" s="1227"/>
      <c r="H37" s="1227"/>
      <c r="I37" s="1227"/>
      <c r="J37" s="1227"/>
      <c r="K37" s="1227"/>
      <c r="L37" s="1227"/>
      <c r="M37" s="1227"/>
      <c r="N37" s="1246"/>
      <c r="T37" s="1241"/>
    </row>
    <row r="38" spans="1:20" ht="17.25" hidden="1" customHeight="1">
      <c r="B38" s="1290"/>
      <c r="C38" s="1227" t="s">
        <v>1490</v>
      </c>
      <c r="D38" s="1227"/>
      <c r="E38" s="1227"/>
      <c r="F38" s="1227"/>
      <c r="G38" s="1251"/>
      <c r="H38" s="25">
        <f>IF(ISBLANK(G38)&lt;&gt;TRUE,G38,IFERROR(-SUMIF(SheetNamedRangesNames,"ICA_NetTransfers_ITA",SheetNamedRangesValues),G38))</f>
        <v>0</v>
      </c>
      <c r="I38" s="1227"/>
      <c r="J38" s="1227"/>
      <c r="K38" s="1227"/>
      <c r="L38" s="1227"/>
      <c r="M38" s="1227"/>
      <c r="N38" s="1246"/>
      <c r="T38" s="1241"/>
    </row>
    <row r="39" spans="1:20" ht="17.25" hidden="1" customHeight="1">
      <c r="B39" s="1290"/>
      <c r="C39" s="1227" t="s">
        <v>1455</v>
      </c>
      <c r="D39" s="1227"/>
      <c r="E39" s="1227"/>
      <c r="F39" s="1227"/>
      <c r="G39" s="1227"/>
      <c r="H39" s="1251"/>
      <c r="I39" s="1227"/>
      <c r="J39" s="1227"/>
      <c r="K39" s="1227"/>
      <c r="L39" s="1227"/>
      <c r="M39" s="1227"/>
      <c r="N39" s="1246"/>
      <c r="T39" s="1241"/>
    </row>
    <row r="40" spans="1:20" ht="17.25" hidden="1" customHeight="1">
      <c r="B40" s="1290"/>
      <c r="C40" s="1227" t="s">
        <v>1454</v>
      </c>
      <c r="D40" s="1227"/>
      <c r="E40" s="1227"/>
      <c r="F40" s="1227"/>
      <c r="G40" s="1227"/>
      <c r="H40" s="1251"/>
      <c r="I40" s="1227"/>
      <c r="J40" s="1227"/>
      <c r="K40" s="1227"/>
      <c r="L40" s="1227"/>
      <c r="M40" s="1227"/>
      <c r="N40" s="1246"/>
      <c r="T40" s="1241"/>
    </row>
    <row r="41" spans="1:20" ht="17.25" hidden="1" customHeight="1">
      <c r="B41" s="1290"/>
      <c r="C41" s="1227" t="s">
        <v>1453</v>
      </c>
      <c r="D41" s="1227"/>
      <c r="E41" s="1227"/>
      <c r="F41" s="1227"/>
      <c r="G41" s="1227"/>
      <c r="H41" s="1251"/>
      <c r="I41" s="1227"/>
      <c r="J41" s="1227"/>
      <c r="K41" s="1227"/>
      <c r="L41" s="1227"/>
      <c r="M41" s="1227"/>
      <c r="N41" s="1246"/>
      <c r="T41" s="1241"/>
    </row>
    <row r="42" spans="1:20" ht="17.25" hidden="1" customHeight="1">
      <c r="B42" s="1290"/>
      <c r="C42" s="1227"/>
      <c r="D42" s="1227"/>
      <c r="E42" s="1227"/>
      <c r="F42" s="1227"/>
      <c r="G42" s="1227"/>
      <c r="H42" s="1250"/>
      <c r="I42" s="1227"/>
      <c r="J42" s="1227"/>
      <c r="K42" s="1227"/>
      <c r="L42" s="1227"/>
      <c r="M42" s="1227"/>
      <c r="N42" s="1246"/>
      <c r="T42" s="1241"/>
    </row>
    <row r="43" spans="1:20" ht="17.25" hidden="1" customHeight="1">
      <c r="B43" s="1290"/>
      <c r="C43" s="1247" t="s">
        <v>1452</v>
      </c>
      <c r="D43" s="1227"/>
      <c r="E43" s="1227"/>
      <c r="F43" s="1227"/>
      <c r="G43" s="1227"/>
      <c r="H43" s="208">
        <f>SUM(H38:H41)</f>
        <v>0</v>
      </c>
      <c r="I43" s="1227"/>
      <c r="J43" s="1227"/>
      <c r="K43" s="1227"/>
      <c r="L43" s="1227"/>
      <c r="M43" s="1227"/>
      <c r="N43" s="1246"/>
      <c r="T43" s="1241"/>
    </row>
    <row r="44" spans="1:20" ht="17.25" hidden="1" customHeight="1">
      <c r="B44" s="1290"/>
      <c r="C44" s="1247" t="s">
        <v>1511</v>
      </c>
      <c r="D44" s="1227"/>
      <c r="E44" s="1227"/>
      <c r="F44" s="1227"/>
      <c r="G44" s="1227"/>
      <c r="H44" s="208">
        <f>H20</f>
        <v>0</v>
      </c>
      <c r="I44" s="1227"/>
      <c r="J44" s="1227"/>
      <c r="K44" s="1227"/>
      <c r="L44" s="1227"/>
      <c r="M44" s="1227"/>
      <c r="N44" s="1246"/>
      <c r="T44" s="1241"/>
    </row>
    <row r="45" spans="1:20" ht="17.25" hidden="1" customHeight="1">
      <c r="B45" s="1290"/>
      <c r="C45" s="1247" t="s">
        <v>280</v>
      </c>
      <c r="D45" s="1227"/>
      <c r="E45" s="1227"/>
      <c r="F45" s="1227"/>
      <c r="G45" s="1227"/>
      <c r="H45" s="203">
        <f>H44-H43</f>
        <v>0</v>
      </c>
      <c r="I45" s="1227"/>
      <c r="J45" s="1227"/>
      <c r="K45" s="1227"/>
      <c r="L45" s="1227"/>
      <c r="M45" s="1227"/>
      <c r="N45" s="1246"/>
      <c r="T45" s="1241"/>
    </row>
    <row r="46" spans="1:20" ht="7.5" customHeight="1">
      <c r="B46" s="1289"/>
      <c r="C46" s="1243"/>
      <c r="D46" s="1243"/>
      <c r="E46" s="1243"/>
      <c r="F46" s="1243"/>
      <c r="G46" s="1243"/>
      <c r="H46" s="1288" t="str">
        <f>IF(AND(H43=0,H44=0),"Pending",IF(ABS(H45)&gt;Tm_Tolerance,"Out of Balance","Reconciled"))</f>
        <v>Pending</v>
      </c>
      <c r="I46" s="1243"/>
      <c r="J46" s="1243"/>
      <c r="K46" s="1243"/>
      <c r="L46" s="1243"/>
      <c r="M46" s="1243"/>
      <c r="N46" s="1242"/>
      <c r="T46" s="1241"/>
    </row>
    <row r="47" spans="1:20" ht="22.5" customHeight="1">
      <c r="B47" s="1227"/>
      <c r="C47" s="1227"/>
      <c r="D47" s="1227"/>
      <c r="E47" s="1227"/>
      <c r="F47" s="1227"/>
      <c r="G47" s="1227"/>
      <c r="H47" s="1227"/>
      <c r="I47" s="1227"/>
      <c r="J47" s="1227"/>
      <c r="K47" s="1227"/>
      <c r="L47" s="1227"/>
      <c r="M47" s="1227"/>
    </row>
    <row r="48" spans="1:20" ht="22.5" customHeight="1">
      <c r="B48" s="1517" t="s">
        <v>1510</v>
      </c>
      <c r="C48" s="1518"/>
      <c r="D48" s="1518"/>
      <c r="E48" s="1518"/>
      <c r="F48" s="1518"/>
      <c r="G48" s="1518"/>
      <c r="H48" s="1519"/>
      <c r="I48" s="1227"/>
      <c r="J48" s="1227"/>
      <c r="K48" s="1227"/>
      <c r="L48" s="1227"/>
      <c r="M48" s="1227"/>
    </row>
    <row r="49" spans="2:23" ht="7.15" customHeight="1">
      <c r="B49" s="1240"/>
      <c r="C49" s="1227"/>
      <c r="D49" s="1227"/>
      <c r="E49" s="1227"/>
      <c r="F49" s="1227"/>
      <c r="G49" s="1227"/>
      <c r="H49" s="1227"/>
      <c r="I49" s="1239"/>
      <c r="J49" s="1239"/>
      <c r="K49" s="1238"/>
      <c r="L49" s="1238"/>
      <c r="M49" s="1238"/>
      <c r="N49" s="1237"/>
    </row>
    <row r="50" spans="2:23" ht="22.5" customHeight="1">
      <c r="B50" s="1228"/>
      <c r="C50" s="1526" t="s">
        <v>1509</v>
      </c>
      <c r="D50" s="1527"/>
      <c r="E50" s="1236"/>
      <c r="F50" s="1236"/>
      <c r="G50" s="1227"/>
      <c r="H50" s="1227"/>
      <c r="I50" s="1227"/>
      <c r="J50" s="1227"/>
      <c r="K50" s="1227"/>
      <c r="L50" s="1227"/>
      <c r="M50" s="1227"/>
      <c r="N50" s="1221"/>
      <c r="Q50" s="1530"/>
      <c r="R50" s="1531"/>
      <c r="S50" s="65" t="s">
        <v>1508</v>
      </c>
      <c r="W50" s="25">
        <f>SUMIF(Model_CATS.List.Description,"*Integrated Client Account*",ITA_NetTransactionAmount)</f>
        <v>0</v>
      </c>
    </row>
    <row r="51" spans="2:23" ht="7.15" customHeight="1">
      <c r="B51" s="1228"/>
      <c r="C51" s="1227"/>
      <c r="D51" s="1227"/>
      <c r="E51" s="1227"/>
      <c r="F51" s="1227"/>
      <c r="G51" s="1227"/>
      <c r="H51" s="1227"/>
      <c r="I51" s="1227"/>
      <c r="J51" s="1227"/>
      <c r="K51" s="1227"/>
      <c r="L51" s="1227"/>
      <c r="M51" s="1227"/>
      <c r="N51" s="1221"/>
    </row>
    <row r="52" spans="2:23" ht="34.9" customHeight="1">
      <c r="B52" s="1226"/>
      <c r="C52" s="1234" t="s">
        <v>1447</v>
      </c>
      <c r="D52" s="1233" t="s">
        <v>1446</v>
      </c>
      <c r="E52" s="1233"/>
      <c r="F52" s="1233"/>
      <c r="G52" s="1514" t="s">
        <v>359</v>
      </c>
      <c r="H52" s="1514"/>
      <c r="I52" s="1514"/>
      <c r="J52" s="1233" t="s">
        <v>1445</v>
      </c>
      <c r="K52" s="1233" t="s">
        <v>1444</v>
      </c>
      <c r="L52" s="1233" t="s">
        <v>1443</v>
      </c>
      <c r="M52" s="1229" t="s">
        <v>1442</v>
      </c>
      <c r="N52" s="1232"/>
      <c r="S52" s="1231" t="s">
        <v>1441</v>
      </c>
      <c r="T52" s="1230" t="s">
        <v>1440</v>
      </c>
      <c r="U52" s="1229" t="s">
        <v>1439</v>
      </c>
      <c r="V52" s="1229" t="s">
        <v>1438</v>
      </c>
      <c r="W52" s="1229" t="s">
        <v>1437</v>
      </c>
    </row>
    <row r="53" spans="2:23" ht="7.15" customHeight="1">
      <c r="B53" s="1228"/>
      <c r="C53" s="1287"/>
      <c r="D53" s="1227"/>
      <c r="E53" s="1227"/>
      <c r="F53" s="1227"/>
      <c r="G53" s="1227"/>
      <c r="H53" s="1227"/>
      <c r="I53" s="1227"/>
      <c r="J53" s="1227"/>
      <c r="K53" s="1227"/>
      <c r="L53" s="1227"/>
      <c r="M53" s="1227"/>
      <c r="N53" s="1221"/>
    </row>
    <row r="54" spans="2:23" ht="17.25" customHeight="1">
      <c r="B54" s="1226"/>
      <c r="C54" s="1225"/>
      <c r="D54" s="1224"/>
      <c r="E54" s="1223"/>
      <c r="F54" s="1223"/>
      <c r="G54" s="1511"/>
      <c r="H54" s="1512"/>
      <c r="I54" s="1512"/>
      <c r="J54" s="1222"/>
      <c r="K54" s="25"/>
      <c r="L54" s="25"/>
      <c r="M54" s="25"/>
      <c r="N54" s="1221"/>
      <c r="P54" s="1220"/>
      <c r="Q54" s="1219"/>
      <c r="S54" s="1218"/>
      <c r="T54" s="1218"/>
      <c r="U54" s="1218"/>
      <c r="V54" s="1218" cm="1">
        <f t="array" ref="V54">IF(SUM(COUNTIF(G54,{"*transfer*"})),"Transfer",IF(S54="",U54,S54))</f>
        <v>0</v>
      </c>
      <c r="W54" s="25">
        <f t="shared" ref="W54:W74" si="0">K54-L54</f>
        <v>0</v>
      </c>
    </row>
    <row r="55" spans="2:23" ht="17.25" customHeight="1">
      <c r="B55" s="1226"/>
      <c r="C55" s="1225"/>
      <c r="D55" s="1224"/>
      <c r="E55" s="1223"/>
      <c r="F55" s="1223"/>
      <c r="G55" s="1511"/>
      <c r="H55" s="1512"/>
      <c r="I55" s="1512"/>
      <c r="J55" s="1222"/>
      <c r="K55" s="25"/>
      <c r="L55" s="25"/>
      <c r="M55" s="25"/>
      <c r="N55" s="1221"/>
      <c r="P55" s="1220"/>
      <c r="Q55" s="1219"/>
      <c r="S55" s="1218"/>
      <c r="T55" s="1218"/>
      <c r="U55" s="1218"/>
      <c r="V55" s="1218" cm="1">
        <f t="array" ref="V55">IF(SUM(COUNTIF(G55,{"*transfer*"})),"Transfer",IF(S55="",U55,S55))</f>
        <v>0</v>
      </c>
      <c r="W55" s="25">
        <f t="shared" si="0"/>
        <v>0</v>
      </c>
    </row>
    <row r="56" spans="2:23" ht="17.25" customHeight="1">
      <c r="B56" s="1226"/>
      <c r="C56" s="1225"/>
      <c r="D56" s="1224"/>
      <c r="E56" s="1223"/>
      <c r="F56" s="1223"/>
      <c r="G56" s="1511"/>
      <c r="H56" s="1512"/>
      <c r="I56" s="1512"/>
      <c r="J56" s="1222"/>
      <c r="K56" s="25"/>
      <c r="L56" s="25"/>
      <c r="M56" s="25"/>
      <c r="N56" s="1221"/>
      <c r="P56" s="1220"/>
      <c r="Q56" s="1219"/>
      <c r="S56" s="1218"/>
      <c r="T56" s="1218"/>
      <c r="U56" s="1218"/>
      <c r="V56" s="1218" cm="1">
        <f t="array" ref="V56">IF(SUM(COUNTIF(G56,{"*transfer*"})),"Transfer",IF(S56="",U56,S56))</f>
        <v>0</v>
      </c>
      <c r="W56" s="25">
        <f t="shared" si="0"/>
        <v>0</v>
      </c>
    </row>
    <row r="57" spans="2:23" ht="17.25" customHeight="1">
      <c r="B57" s="1226"/>
      <c r="C57" s="1225"/>
      <c r="D57" s="1224"/>
      <c r="E57" s="1223"/>
      <c r="F57" s="1223"/>
      <c r="G57" s="1511"/>
      <c r="H57" s="1512"/>
      <c r="I57" s="1512"/>
      <c r="J57" s="1222"/>
      <c r="K57" s="25"/>
      <c r="L57" s="25"/>
      <c r="M57" s="25"/>
      <c r="N57" s="1221"/>
      <c r="P57" s="1220"/>
      <c r="Q57" s="1219"/>
      <c r="S57" s="1218"/>
      <c r="T57" s="1218"/>
      <c r="U57" s="1218"/>
      <c r="V57" s="1218" cm="1">
        <f t="array" ref="V57">IF(SUM(COUNTIF(G57,{"*transfer*"})),"Transfer",IF(S57="",U57,S57))</f>
        <v>0</v>
      </c>
      <c r="W57" s="25">
        <f t="shared" si="0"/>
        <v>0</v>
      </c>
    </row>
    <row r="58" spans="2:23" ht="17.25" customHeight="1">
      <c r="B58" s="1226"/>
      <c r="C58" s="1225"/>
      <c r="D58" s="1224"/>
      <c r="E58" s="1223"/>
      <c r="F58" s="1223"/>
      <c r="G58" s="1511"/>
      <c r="H58" s="1512"/>
      <c r="I58" s="1512"/>
      <c r="J58" s="1222"/>
      <c r="K58" s="25"/>
      <c r="L58" s="25"/>
      <c r="M58" s="25"/>
      <c r="N58" s="1221"/>
      <c r="P58" s="1220"/>
      <c r="Q58" s="1219"/>
      <c r="S58" s="1218"/>
      <c r="T58" s="1218"/>
      <c r="U58" s="1218"/>
      <c r="V58" s="1218" cm="1">
        <f t="array" ref="V58">IF(SUM(COUNTIF(G58,{"*transfer*"})),"Transfer",IF(S58="",U58,S58))</f>
        <v>0</v>
      </c>
      <c r="W58" s="25">
        <f t="shared" si="0"/>
        <v>0</v>
      </c>
    </row>
    <row r="59" spans="2:23" ht="17.25" customHeight="1">
      <c r="B59" s="1226"/>
      <c r="C59" s="1225"/>
      <c r="D59" s="1224"/>
      <c r="E59" s="1223"/>
      <c r="F59" s="1223"/>
      <c r="G59" s="1511"/>
      <c r="H59" s="1512"/>
      <c r="I59" s="1512"/>
      <c r="J59" s="1222"/>
      <c r="K59" s="25"/>
      <c r="L59" s="25"/>
      <c r="M59" s="25"/>
      <c r="N59" s="1221"/>
      <c r="P59" s="1220"/>
      <c r="Q59" s="1219"/>
      <c r="S59" s="1218"/>
      <c r="T59" s="1218"/>
      <c r="U59" s="1218"/>
      <c r="V59" s="1218" cm="1">
        <f t="array" ref="V59">IF(SUM(COUNTIF(G59,{"*transfer*"})),"Transfer",IF(S59="",U59,S59))</f>
        <v>0</v>
      </c>
      <c r="W59" s="25">
        <f t="shared" si="0"/>
        <v>0</v>
      </c>
    </row>
    <row r="60" spans="2:23" ht="17.25" customHeight="1">
      <c r="B60" s="1226"/>
      <c r="C60" s="1225"/>
      <c r="D60" s="1224"/>
      <c r="E60" s="1223"/>
      <c r="F60" s="1223"/>
      <c r="G60" s="1511"/>
      <c r="H60" s="1512"/>
      <c r="I60" s="1512"/>
      <c r="J60" s="1222"/>
      <c r="K60" s="25"/>
      <c r="L60" s="25"/>
      <c r="M60" s="25"/>
      <c r="N60" s="1221"/>
      <c r="P60" s="1220"/>
      <c r="Q60" s="1219"/>
      <c r="S60" s="1218"/>
      <c r="T60" s="1218"/>
      <c r="U60" s="1218"/>
      <c r="V60" s="1218" cm="1">
        <f t="array" ref="V60">IF(SUM(COUNTIF(G60,{"*transfer*"})),"Transfer",IF(S60="",U60,S60))</f>
        <v>0</v>
      </c>
      <c r="W60" s="25">
        <f t="shared" si="0"/>
        <v>0</v>
      </c>
    </row>
    <row r="61" spans="2:23" ht="17.25" customHeight="1">
      <c r="B61" s="1226"/>
      <c r="C61" s="1225"/>
      <c r="D61" s="1224"/>
      <c r="E61" s="1223"/>
      <c r="F61" s="1223"/>
      <c r="G61" s="1511"/>
      <c r="H61" s="1512"/>
      <c r="I61" s="1512"/>
      <c r="J61" s="1222"/>
      <c r="K61" s="25"/>
      <c r="L61" s="25"/>
      <c r="M61" s="25"/>
      <c r="N61" s="1221"/>
      <c r="P61" s="1220"/>
      <c r="Q61" s="1219"/>
      <c r="S61" s="1218"/>
      <c r="T61" s="1218"/>
      <c r="U61" s="1218"/>
      <c r="V61" s="1218" cm="1">
        <f t="array" ref="V61">IF(SUM(COUNTIF(G61,{"*transfer*"})),"Transfer",IF(S61="",U61,S61))</f>
        <v>0</v>
      </c>
      <c r="W61" s="25">
        <f t="shared" si="0"/>
        <v>0</v>
      </c>
    </row>
    <row r="62" spans="2:23" ht="17.25" customHeight="1">
      <c r="B62" s="1226"/>
      <c r="C62" s="1225"/>
      <c r="D62" s="1224"/>
      <c r="E62" s="1223"/>
      <c r="F62" s="1223"/>
      <c r="G62" s="1511"/>
      <c r="H62" s="1512"/>
      <c r="I62" s="1512"/>
      <c r="J62" s="1222"/>
      <c r="K62" s="25"/>
      <c r="L62" s="25"/>
      <c r="M62" s="25"/>
      <c r="N62" s="1221"/>
      <c r="P62" s="1220"/>
      <c r="Q62" s="1219"/>
      <c r="S62" s="1218"/>
      <c r="T62" s="1218"/>
      <c r="U62" s="1218"/>
      <c r="V62" s="1218" cm="1">
        <f t="array" ref="V62">IF(SUM(COUNTIF(G62,{"*transfer*"})),"Transfer",IF(S62="",U62,S62))</f>
        <v>0</v>
      </c>
      <c r="W62" s="25">
        <f t="shared" si="0"/>
        <v>0</v>
      </c>
    </row>
    <row r="63" spans="2:23" ht="17.25" customHeight="1">
      <c r="B63" s="1226"/>
      <c r="C63" s="1225"/>
      <c r="D63" s="1224"/>
      <c r="E63" s="1223"/>
      <c r="F63" s="1223"/>
      <c r="G63" s="1511"/>
      <c r="H63" s="1512"/>
      <c r="I63" s="1512"/>
      <c r="J63" s="1222"/>
      <c r="K63" s="25"/>
      <c r="L63" s="25"/>
      <c r="M63" s="25"/>
      <c r="N63" s="1221"/>
      <c r="P63" s="1220"/>
      <c r="Q63" s="1219"/>
      <c r="S63" s="1218"/>
      <c r="T63" s="1218"/>
      <c r="U63" s="1218"/>
      <c r="V63" s="1218" cm="1">
        <f t="array" ref="V63">IF(SUM(COUNTIF(G63,{"*transfer*"})),"Transfer",IF(S63="",U63,S63))</f>
        <v>0</v>
      </c>
      <c r="W63" s="25">
        <f t="shared" si="0"/>
        <v>0</v>
      </c>
    </row>
    <row r="64" spans="2:23" ht="17.25" customHeight="1">
      <c r="B64" s="1226"/>
      <c r="C64" s="1225"/>
      <c r="D64" s="1224"/>
      <c r="E64" s="1223"/>
      <c r="F64" s="1223"/>
      <c r="G64" s="1511"/>
      <c r="H64" s="1512"/>
      <c r="I64" s="1512"/>
      <c r="J64" s="1222"/>
      <c r="K64" s="25"/>
      <c r="L64" s="25"/>
      <c r="M64" s="25"/>
      <c r="N64" s="1221"/>
      <c r="P64" s="1220"/>
      <c r="Q64" s="1219"/>
      <c r="S64" s="1218"/>
      <c r="T64" s="1218"/>
      <c r="U64" s="1218"/>
      <c r="V64" s="1218" cm="1">
        <f t="array" ref="V64">IF(SUM(COUNTIF(G64,{"*transfer*"})),"Transfer",IF(S64="",U64,S64))</f>
        <v>0</v>
      </c>
      <c r="W64" s="25">
        <f t="shared" si="0"/>
        <v>0</v>
      </c>
    </row>
    <row r="65" spans="2:23" ht="17.25" customHeight="1">
      <c r="B65" s="1226"/>
      <c r="C65" s="1225"/>
      <c r="D65" s="1224"/>
      <c r="E65" s="1223"/>
      <c r="F65" s="1223"/>
      <c r="G65" s="1511"/>
      <c r="H65" s="1512"/>
      <c r="I65" s="1512"/>
      <c r="J65" s="1222"/>
      <c r="K65" s="25"/>
      <c r="L65" s="25"/>
      <c r="M65" s="25"/>
      <c r="N65" s="1221"/>
      <c r="P65" s="1220"/>
      <c r="Q65" s="1219"/>
      <c r="S65" s="1218"/>
      <c r="T65" s="1218"/>
      <c r="U65" s="1218"/>
      <c r="V65" s="1218" cm="1">
        <f t="array" ref="V65">IF(SUM(COUNTIF(G65,{"*transfer*"})),"Transfer",IF(S65="",U65,S65))</f>
        <v>0</v>
      </c>
      <c r="W65" s="25">
        <f t="shared" si="0"/>
        <v>0</v>
      </c>
    </row>
    <row r="66" spans="2:23" ht="17.25" customHeight="1">
      <c r="B66" s="1226"/>
      <c r="C66" s="1225"/>
      <c r="D66" s="1224"/>
      <c r="E66" s="1223"/>
      <c r="F66" s="1223"/>
      <c r="G66" s="1511"/>
      <c r="H66" s="1512"/>
      <c r="I66" s="1512"/>
      <c r="J66" s="1222"/>
      <c r="K66" s="25"/>
      <c r="L66" s="25"/>
      <c r="M66" s="25"/>
      <c r="N66" s="1221"/>
      <c r="P66" s="1220"/>
      <c r="Q66" s="1219"/>
      <c r="S66" s="1218"/>
      <c r="T66" s="1218"/>
      <c r="U66" s="1218"/>
      <c r="V66" s="1218" cm="1">
        <f t="array" ref="V66">IF(SUM(COUNTIF(G66,{"*transfer*"})),"Transfer",IF(S66="",U66,S66))</f>
        <v>0</v>
      </c>
      <c r="W66" s="25">
        <f t="shared" si="0"/>
        <v>0</v>
      </c>
    </row>
    <row r="67" spans="2:23" ht="17.25" customHeight="1">
      <c r="B67" s="1226"/>
      <c r="C67" s="1225"/>
      <c r="D67" s="1224"/>
      <c r="E67" s="1223"/>
      <c r="F67" s="1223"/>
      <c r="G67" s="1511"/>
      <c r="H67" s="1512"/>
      <c r="I67" s="1512"/>
      <c r="J67" s="1222"/>
      <c r="K67" s="25"/>
      <c r="L67" s="25"/>
      <c r="M67" s="25"/>
      <c r="N67" s="1221"/>
      <c r="P67" s="1220"/>
      <c r="Q67" s="1219"/>
      <c r="S67" s="1218"/>
      <c r="T67" s="1218"/>
      <c r="U67" s="1218"/>
      <c r="V67" s="1218" cm="1">
        <f t="array" ref="V67">IF(SUM(COUNTIF(G67,{"*transfer*"})),"Transfer",IF(S67="",U67,S67))</f>
        <v>0</v>
      </c>
      <c r="W67" s="25">
        <f t="shared" si="0"/>
        <v>0</v>
      </c>
    </row>
    <row r="68" spans="2:23" ht="17.25" customHeight="1">
      <c r="B68" s="1226"/>
      <c r="C68" s="1225"/>
      <c r="D68" s="1224"/>
      <c r="E68" s="1223"/>
      <c r="F68" s="1223"/>
      <c r="G68" s="1511"/>
      <c r="H68" s="1512"/>
      <c r="I68" s="1512"/>
      <c r="J68" s="1222"/>
      <c r="K68" s="25"/>
      <c r="L68" s="25"/>
      <c r="M68" s="25"/>
      <c r="N68" s="1221"/>
      <c r="P68" s="1220"/>
      <c r="Q68" s="1219"/>
      <c r="S68" s="1218"/>
      <c r="T68" s="1218"/>
      <c r="U68" s="1218"/>
      <c r="V68" s="1218" cm="1">
        <f t="array" ref="V68">IF(SUM(COUNTIF(G68,{"*transfer*"})),"Transfer",IF(S68="",U68,S68))</f>
        <v>0</v>
      </c>
      <c r="W68" s="25">
        <f t="shared" si="0"/>
        <v>0</v>
      </c>
    </row>
    <row r="69" spans="2:23" ht="17.25" customHeight="1">
      <c r="B69" s="1226"/>
      <c r="C69" s="1225"/>
      <c r="D69" s="1224"/>
      <c r="E69" s="1223"/>
      <c r="F69" s="1223"/>
      <c r="G69" s="1511"/>
      <c r="H69" s="1512"/>
      <c r="I69" s="1512"/>
      <c r="J69" s="1222"/>
      <c r="K69" s="25"/>
      <c r="L69" s="25"/>
      <c r="M69" s="25"/>
      <c r="N69" s="1221"/>
      <c r="P69" s="1220"/>
      <c r="Q69" s="1219"/>
      <c r="S69" s="1218"/>
      <c r="T69" s="1218"/>
      <c r="U69" s="1218"/>
      <c r="V69" s="1218" cm="1">
        <f t="array" ref="V69">IF(SUM(COUNTIF(G69,{"*transfer*"})),"Transfer",IF(S69="",U69,S69))</f>
        <v>0</v>
      </c>
      <c r="W69" s="25">
        <f t="shared" si="0"/>
        <v>0</v>
      </c>
    </row>
    <row r="70" spans="2:23" ht="17.25" customHeight="1">
      <c r="B70" s="1226"/>
      <c r="C70" s="1225"/>
      <c r="D70" s="1224"/>
      <c r="E70" s="1223"/>
      <c r="F70" s="1223"/>
      <c r="G70" s="1511"/>
      <c r="H70" s="1512"/>
      <c r="I70" s="1512"/>
      <c r="J70" s="1222"/>
      <c r="K70" s="25"/>
      <c r="L70" s="25"/>
      <c r="M70" s="25"/>
      <c r="N70" s="1221"/>
      <c r="P70" s="1220"/>
      <c r="Q70" s="1219"/>
      <c r="S70" s="1218"/>
      <c r="T70" s="1218"/>
      <c r="U70" s="1218"/>
      <c r="V70" s="1218" cm="1">
        <f t="array" ref="V70">IF(SUM(COUNTIF(G70,{"*transfer*"})),"Transfer",IF(S70="",U70,S70))</f>
        <v>0</v>
      </c>
      <c r="W70" s="25">
        <f t="shared" si="0"/>
        <v>0</v>
      </c>
    </row>
    <row r="71" spans="2:23" ht="17.25" customHeight="1">
      <c r="B71" s="1226"/>
      <c r="C71" s="1225"/>
      <c r="D71" s="1224"/>
      <c r="E71" s="1223"/>
      <c r="F71" s="1223"/>
      <c r="G71" s="1511"/>
      <c r="H71" s="1512"/>
      <c r="I71" s="1529"/>
      <c r="J71" s="1222"/>
      <c r="K71" s="25"/>
      <c r="L71" s="25"/>
      <c r="M71" s="25"/>
      <c r="N71" s="1221"/>
      <c r="P71" s="1220"/>
      <c r="Q71" s="1219"/>
      <c r="S71" s="1218"/>
      <c r="T71" s="1218"/>
      <c r="U71" s="1218"/>
      <c r="V71" s="1218" cm="1">
        <f t="array" ref="V71">IF(SUM(COUNTIF(G71,{"*transfer*"})),"Transfer",IF(S71="",U71,S71))</f>
        <v>0</v>
      </c>
      <c r="W71" s="25">
        <f t="shared" si="0"/>
        <v>0</v>
      </c>
    </row>
    <row r="72" spans="2:23" ht="17.25" customHeight="1">
      <c r="B72" s="1226"/>
      <c r="C72" s="1225"/>
      <c r="D72" s="1224"/>
      <c r="E72" s="1223"/>
      <c r="F72" s="1223"/>
      <c r="G72" s="1511"/>
      <c r="H72" s="1512"/>
      <c r="I72" s="1529"/>
      <c r="J72" s="1222"/>
      <c r="K72" s="25"/>
      <c r="L72" s="25"/>
      <c r="M72" s="25"/>
      <c r="N72" s="1221"/>
      <c r="P72" s="1220"/>
      <c r="Q72" s="1219"/>
      <c r="S72" s="1218"/>
      <c r="T72" s="1218"/>
      <c r="U72" s="1218"/>
      <c r="V72" s="1218" cm="1">
        <f t="array" ref="V72">IF(SUM(COUNTIF(G72,{"*transfer*"})),"Transfer",IF(S72="",U72,S72))</f>
        <v>0</v>
      </c>
      <c r="W72" s="25">
        <f t="shared" si="0"/>
        <v>0</v>
      </c>
    </row>
    <row r="73" spans="2:23" ht="17.25" customHeight="1">
      <c r="B73" s="1226"/>
      <c r="C73" s="1225"/>
      <c r="D73" s="1224"/>
      <c r="E73" s="1223"/>
      <c r="F73" s="1223"/>
      <c r="G73" s="1511"/>
      <c r="H73" s="1512"/>
      <c r="I73" s="1529"/>
      <c r="J73" s="1222"/>
      <c r="K73" s="25"/>
      <c r="L73" s="25"/>
      <c r="M73" s="25"/>
      <c r="N73" s="1221"/>
      <c r="P73" s="1220"/>
      <c r="Q73" s="1219"/>
      <c r="S73" s="1218"/>
      <c r="T73" s="1218"/>
      <c r="U73" s="1218"/>
      <c r="V73" s="1218" cm="1">
        <f t="array" ref="V73">IF(SUM(COUNTIF(G73,{"*transfer*"})),"Transfer",IF(S73="",U73,S73))</f>
        <v>0</v>
      </c>
      <c r="W73" s="25">
        <f t="shared" si="0"/>
        <v>0</v>
      </c>
    </row>
    <row r="74" spans="2:23" ht="17.25" customHeight="1">
      <c r="B74" s="1226"/>
      <c r="C74" s="1225"/>
      <c r="D74" s="1224"/>
      <c r="E74" s="1223"/>
      <c r="F74" s="1223"/>
      <c r="G74" s="1511"/>
      <c r="H74" s="1512"/>
      <c r="I74" s="1529"/>
      <c r="J74" s="1222"/>
      <c r="K74" s="25"/>
      <c r="L74" s="25"/>
      <c r="M74" s="25"/>
      <c r="N74" s="1221"/>
      <c r="P74" s="1220"/>
      <c r="Q74" s="1219"/>
      <c r="S74" s="1218"/>
      <c r="T74" s="1218"/>
      <c r="U74" s="1218"/>
      <c r="V74" s="1218" cm="1">
        <f t="array" ref="V74">IF(SUM(COUNTIF(G74,{"*transfer*"})),"Transfer",IF(S74="",U74,S74))</f>
        <v>0</v>
      </c>
      <c r="W74" s="25">
        <f t="shared" si="0"/>
        <v>0</v>
      </c>
    </row>
    <row r="75" spans="2:23" ht="7.5" customHeight="1">
      <c r="B75" s="1217"/>
      <c r="C75" s="1216"/>
      <c r="D75" s="1216"/>
      <c r="E75" s="1216"/>
      <c r="F75" s="1216"/>
      <c r="G75" s="1216"/>
      <c r="H75" s="1216"/>
      <c r="I75" s="1216"/>
      <c r="J75" s="1216"/>
      <c r="K75" s="1216"/>
      <c r="L75" s="1216"/>
      <c r="M75" s="1216"/>
      <c r="N75" s="1215"/>
    </row>
  </sheetData>
  <sheetProtection sheet="1" formatCells="0" formatColumns="0" formatRows="0" insertColumns="0" insertRows="0" insertHyperlinks="0"/>
  <mergeCells count="31">
    <mergeCell ref="C5:D5"/>
    <mergeCell ref="G58:I58"/>
    <mergeCell ref="G59:I59"/>
    <mergeCell ref="G60:I60"/>
    <mergeCell ref="G56:I56"/>
    <mergeCell ref="B32:H32"/>
    <mergeCell ref="G57:I57"/>
    <mergeCell ref="B10:H10"/>
    <mergeCell ref="C50:D50"/>
    <mergeCell ref="E12:F12"/>
    <mergeCell ref="Q50:R50"/>
    <mergeCell ref="C8:M8"/>
    <mergeCell ref="G52:I52"/>
    <mergeCell ref="G54:I54"/>
    <mergeCell ref="G55:I55"/>
    <mergeCell ref="P12:Q12"/>
    <mergeCell ref="B48:H48"/>
    <mergeCell ref="G73:I73"/>
    <mergeCell ref="G74:I74"/>
    <mergeCell ref="G68:I68"/>
    <mergeCell ref="G69:I69"/>
    <mergeCell ref="G70:I70"/>
    <mergeCell ref="G71:I71"/>
    <mergeCell ref="G72:I72"/>
    <mergeCell ref="G66:I66"/>
    <mergeCell ref="G67:I67"/>
    <mergeCell ref="G61:I61"/>
    <mergeCell ref="G62:I62"/>
    <mergeCell ref="G63:I63"/>
    <mergeCell ref="G64:I64"/>
    <mergeCell ref="G65:I65"/>
  </mergeCells>
  <conditionalFormatting sqref="H28">
    <cfRule type="expression" dxfId="327" priority="11">
      <formula>$H$31="Reconciled"</formula>
    </cfRule>
    <cfRule type="expression" dxfId="326" priority="12">
      <formula>$H$31="Out of Balance"</formula>
    </cfRule>
  </conditionalFormatting>
  <conditionalFormatting sqref="H29">
    <cfRule type="expression" dxfId="325" priority="10">
      <formula>$H$31="Reconciled"</formula>
    </cfRule>
    <cfRule type="expression" dxfId="324" priority="13">
      <formula>$H$31="Out of Balance"</formula>
    </cfRule>
  </conditionalFormatting>
  <conditionalFormatting sqref="H30">
    <cfRule type="expression" dxfId="323" priority="9">
      <formula>$H$31="Reconciled"</formula>
    </cfRule>
    <cfRule type="expression" dxfId="322" priority="14">
      <formula>$H$31="Out of Balance"</formula>
    </cfRule>
  </conditionalFormatting>
  <conditionalFormatting sqref="H43">
    <cfRule type="expression" dxfId="321" priority="1">
      <formula>$H$46="Reconciled"</formula>
    </cfRule>
    <cfRule type="expression" dxfId="320" priority="2">
      <formula>$H$46="Out of Balance"</formula>
    </cfRule>
  </conditionalFormatting>
  <conditionalFormatting sqref="H44">
    <cfRule type="expression" dxfId="319" priority="5">
      <formula>$H$46="Reconciled"</formula>
    </cfRule>
    <cfRule type="expression" dxfId="318" priority="6">
      <formula>$H$46="Out of Balance"</formula>
    </cfRule>
  </conditionalFormatting>
  <conditionalFormatting sqref="H45">
    <cfRule type="expression" dxfId="317" priority="3">
      <formula>$H$46="Reconciled"</formula>
    </cfRule>
    <cfRule type="expression" dxfId="316" priority="4">
      <formula>$H$46="Out of Balance"</formula>
    </cfRule>
  </conditionalFormatting>
  <conditionalFormatting sqref="M5">
    <cfRule type="expression" dxfId="315" priority="7">
      <formula>Tm_BalanceStatus="Reconciled"</formula>
    </cfRule>
    <cfRule type="expression" dxfId="314" priority="8">
      <formula>Tm_BalanceStatus="Out of Balance"</formula>
    </cfRule>
  </conditionalFormatting>
  <dataValidations count="2">
    <dataValidation allowBlank="1" showErrorMessage="1" prompt="Transactions are automatically determined. Use this column to override the allocation if necessary." sqref="J52" xr:uid="{171E7ECA-6F6C-4784-9C3E-BBC0BDA90412}"/>
    <dataValidation type="list" allowBlank="1" showInputMessage="1" showErrorMessage="1" sqref="J54:J74" xr:uid="{99E72A8B-A1DB-4DE0-BB35-89F88F371F04}">
      <formula1>"Interest Expense, Interest Income, Transfer, Penalties, Other"</formula1>
    </dataValidation>
  </dataValidations>
  <hyperlinks>
    <hyperlink ref="M3" location="'C50 ITA'!Go_Index" tooltip="Go to Record" display="Show Record" xr:uid="{5542FAD7-FB05-4183-9206-455AD50FF7D6}"/>
    <hyperlink ref="C50:D50" location="'C50 ITA'!Go_Command.GetATOIncomeTaxAccount" tooltip="Refresh Income Tax Account Data from the ATO" display="P Refresh Data Feed" xr:uid="{414DD023-1527-4B31-817D-5DD9C43BC887}"/>
    <hyperlink ref="A32:H32" location="'C50 ITA'!Go_RollUp_01" tooltip="Show/Hide" display="'C50 ITA'!Go_RollUp_01" xr:uid="{3C530EF6-D307-4B39-BE3A-3376426D893F}"/>
    <hyperlink ref="C20" location="'C50 ITA'!Go_NetTransfersReconciliation" tooltip="Go to Net Transfers Reconciliation" display="Net Transfers i" xr:uid="{CA58759A-87F4-454C-96B0-48ED50B95AC5}"/>
  </hyperlinks>
  <pageMargins left="0.7" right="0.7" top="0.75" bottom="0.75" header="0.3" footer="0.3"/>
  <pageSetup paperSize="9" scale="67" fitToHeight="0" orientation="portrait" horizontalDpi="4294967293" verticalDpi="0" r:id="rId1"/>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812737D4-3346-40FB-BC6A-598C141858DC}">
          <xm:f>'C50 ITA'!Reconcile_Asset_ITAReceivable</xm:f>
        </x15:webExtension>
        <x15:webExtension appRef="{2E3B41AF-2386-43F1-8886-2D6060A09824}">
          <xm:f>'C50 ITA'!Reconcile_Liability_ITAPayable</xm:f>
        </x15:webExtension>
      </x15:webExtens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C1B8-48C3-4DB3-A93F-31088AB5717C}">
  <dimension ref="A1:P165"/>
  <sheetViews>
    <sheetView showGridLines="0" topLeftCell="A5" zoomScaleNormal="100" zoomScaleSheetLayoutView="70" workbookViewId="0">
      <selection activeCell="F65" sqref="F65"/>
    </sheetView>
  </sheetViews>
  <sheetFormatPr defaultRowHeight="15"/>
  <cols>
    <col min="1" max="1" width="4.28515625" style="1214" customWidth="1"/>
    <col min="2" max="2" width="1.42578125" style="1214" customWidth="1"/>
    <col min="3" max="4" width="15.7109375" style="1214" hidden="1" customWidth="1"/>
    <col min="5" max="5" width="13" style="1214" customWidth="1"/>
    <col min="6" max="6" width="15.7109375" style="1214" customWidth="1"/>
    <col min="7" max="10" width="17.7109375" style="1214" customWidth="1"/>
    <col min="11" max="12" width="18.140625" style="1214" customWidth="1"/>
    <col min="13" max="13" width="1.42578125" style="1214" customWidth="1"/>
    <col min="14" max="14" width="4.28515625" style="1214" customWidth="1"/>
    <col min="15" max="16" width="15.7109375" style="1214" customWidth="1"/>
    <col min="17" max="17" width="9.140625" style="1214"/>
    <col min="18" max="18" width="13.7109375" style="1214" bestFit="1" customWidth="1"/>
    <col min="19" max="16384" width="9.140625" style="1214"/>
  </cols>
  <sheetData>
    <row r="1" spans="1:16" ht="22.5" hidden="1" customHeight="1">
      <c r="D1" s="1379" t="s">
        <v>1528</v>
      </c>
      <c r="G1" s="1379" t="s">
        <v>1565</v>
      </c>
      <c r="H1" s="1379" t="s">
        <v>395</v>
      </c>
      <c r="I1" s="1379" t="s">
        <v>1564</v>
      </c>
      <c r="J1" s="1379" t="s">
        <v>1563</v>
      </c>
      <c r="K1" s="1379" t="s">
        <v>399</v>
      </c>
      <c r="L1" s="1379" t="s">
        <v>1562</v>
      </c>
    </row>
    <row r="2" spans="1:16" ht="24" hidden="1" customHeight="1">
      <c r="C2" s="417"/>
      <c r="D2" s="417"/>
      <c r="E2" s="1378" t="s">
        <v>181</v>
      </c>
      <c r="F2" s="1377" t="s">
        <v>1561</v>
      </c>
      <c r="G2" s="417"/>
      <c r="H2" s="417"/>
      <c r="I2" s="1262"/>
      <c r="J2" s="1376"/>
      <c r="K2" s="1262" t="s">
        <v>177</v>
      </c>
      <c r="L2" s="1376" t="str">
        <f>IFERROR(Jurisdiction,"AU")</f>
        <v>AU</v>
      </c>
    </row>
    <row r="3" spans="1:16" ht="7.5" customHeight="1">
      <c r="C3" s="417"/>
      <c r="D3" s="417"/>
      <c r="E3" s="1378"/>
      <c r="F3" s="1377"/>
      <c r="G3" s="417"/>
      <c r="H3" s="417"/>
      <c r="I3" s="1262"/>
      <c r="J3" s="1376"/>
    </row>
    <row r="4" spans="1:16" ht="24.95" customHeight="1">
      <c r="C4" s="417"/>
      <c r="D4" s="417"/>
      <c r="E4" s="1547" t="s">
        <v>1560</v>
      </c>
      <c r="F4" s="1547"/>
      <c r="G4" s="1547"/>
      <c r="H4" s="1547"/>
      <c r="I4" s="1547"/>
      <c r="K4"/>
      <c r="L4" s="1380" t="s">
        <v>174</v>
      </c>
      <c r="O4" s="1375" t="s">
        <v>179</v>
      </c>
      <c r="P4" s="1374" t="s">
        <v>1559</v>
      </c>
    </row>
    <row r="5" spans="1:16" ht="22.5" customHeight="1">
      <c r="B5" s="417"/>
      <c r="C5" s="417"/>
      <c r="D5" s="417"/>
      <c r="E5" s="1548" t="str">
        <f>_xlfn.TEXTJOIN(" ",1,IFERROR(_xlfn.SINGLE(Cl_Name),"Client Name"),IF(IFERROR(_xlfn.SINGLE(Cl_Code),"")="","","("&amp;_xlfn.SINGLE(Cl_Code)&amp;")"))</f>
        <v>Springrange Holdings Pty Ltd (MuM001)</v>
      </c>
      <c r="F5" s="1548"/>
      <c r="G5" s="1548"/>
      <c r="H5" s="1548"/>
      <c r="I5" s="1548"/>
      <c r="K5" s="1371"/>
      <c r="L5" s="1373" t="str">
        <f>IF(ISBLANK(_xlfn.SINGLE(Tm_TBAccount)),_xlfn.TEXTJOIN("-",1,K7:L7),TEXT(_xlfn.SINGLE(Tm_TBAccount),"0"))</f>
        <v/>
      </c>
    </row>
    <row r="6" spans="1:16" ht="22.5" customHeight="1">
      <c r="B6" s="417"/>
      <c r="C6" s="417"/>
      <c r="D6" s="417"/>
      <c r="E6" s="1541">
        <f>IFERROR(_xlfn.SINGLE(PeriodEndDate),DATE(2024,6,30))</f>
        <v>45473</v>
      </c>
      <c r="F6" s="1542"/>
      <c r="G6" s="1542"/>
      <c r="H6" s="1542"/>
      <c r="K6" s="1371"/>
      <c r="L6" s="771" t="str">
        <f>J53</f>
        <v>Out of Balance</v>
      </c>
      <c r="M6" s="1372">
        <f>IFERROR(_xlfn.XLOOKUP("a172f9ef-94ce-42b9-845b-b670d9d6cfe3",RecordInfo.RecordId,RecordInfo.Tolerances),0)</f>
        <v>0.01</v>
      </c>
      <c r="O6" s="1545" t="s">
        <v>307</v>
      </c>
      <c r="P6" s="1546"/>
    </row>
    <row r="7" spans="1:16" ht="17.25" hidden="1" customHeight="1">
      <c r="B7" s="417"/>
      <c r="C7" s="417"/>
      <c r="D7" s="417"/>
      <c r="E7" s="1370"/>
      <c r="F7" s="417"/>
      <c r="G7" s="417"/>
      <c r="H7" s="417"/>
      <c r="J7" s="1369"/>
      <c r="K7" s="1368"/>
      <c r="L7" s="1368"/>
    </row>
    <row r="8" spans="1:16" ht="7.5" customHeight="1">
      <c r="B8" s="411"/>
      <c r="C8" s="411"/>
      <c r="D8" s="411"/>
      <c r="E8" s="411"/>
      <c r="F8" s="411"/>
      <c r="G8" s="411"/>
      <c r="H8" s="411"/>
      <c r="I8" s="1367"/>
      <c r="J8" s="1367"/>
      <c r="K8" s="1367"/>
      <c r="L8" s="1367"/>
      <c r="M8" s="1367"/>
    </row>
    <row r="9" spans="1:16" ht="7.5" customHeight="1"/>
    <row r="10" spans="1:16" ht="30" customHeight="1">
      <c r="A10" s="1366" t="str">
        <f>IF(SUBTOTAL(103,A11),"-","+")</f>
        <v>+</v>
      </c>
      <c r="C10" s="1498" t="s">
        <v>1558</v>
      </c>
      <c r="D10" s="1498"/>
      <c r="E10" s="1498"/>
      <c r="F10" s="1498"/>
      <c r="G10" s="1498"/>
      <c r="H10" s="1498"/>
      <c r="I10" s="1498"/>
      <c r="J10" s="1498"/>
      <c r="K10" s="1498"/>
      <c r="L10" s="1498"/>
    </row>
    <row r="11" spans="1:16" ht="17.25" hidden="1" customHeight="1">
      <c r="A11" s="1214" t="s">
        <v>58</v>
      </c>
      <c r="E11" s="1365" t="s">
        <v>1557</v>
      </c>
      <c r="F11" s="1561" t="s">
        <v>1556</v>
      </c>
      <c r="G11" s="1561"/>
      <c r="H11" s="1561"/>
      <c r="I11" s="1561"/>
      <c r="J11" s="1561"/>
      <c r="K11" s="1561"/>
      <c r="L11" s="1561"/>
    </row>
    <row r="12" spans="1:16" ht="17.25" hidden="1" customHeight="1">
      <c r="E12" s="1364"/>
      <c r="F12" s="1561" t="s">
        <v>1555</v>
      </c>
      <c r="G12" s="1561"/>
      <c r="H12" s="1561"/>
      <c r="I12" s="1561"/>
      <c r="J12" s="1561"/>
      <c r="K12" s="1561"/>
      <c r="L12" s="1561"/>
    </row>
    <row r="13" spans="1:16" ht="17.25" hidden="1" customHeight="1">
      <c r="E13" s="1364"/>
      <c r="F13" s="1561" t="s">
        <v>1554</v>
      </c>
      <c r="G13" s="1561"/>
      <c r="H13" s="1561"/>
      <c r="I13" s="1561"/>
      <c r="J13" s="1561"/>
      <c r="K13" s="1561"/>
      <c r="L13" s="1561"/>
    </row>
    <row r="14" spans="1:16" ht="24.95" customHeight="1"/>
    <row r="15" spans="1:16" ht="22.5" customHeight="1">
      <c r="A15" s="1317" t="str">
        <f>IF(SUBTOTAL(103,A16),"-","+")</f>
        <v>+</v>
      </c>
      <c r="B15" s="1538" t="s">
        <v>1553</v>
      </c>
      <c r="C15" s="1539"/>
      <c r="D15" s="1539"/>
      <c r="E15" s="1539"/>
      <c r="F15" s="1539"/>
      <c r="G15" s="1539"/>
      <c r="H15" s="1540"/>
      <c r="I15" s="355"/>
      <c r="J15" s="355"/>
      <c r="K15" s="355"/>
      <c r="L15" s="355"/>
    </row>
    <row r="16" spans="1:16" ht="7.5" hidden="1" customHeight="1">
      <c r="A16" s="1214" t="s">
        <v>58</v>
      </c>
      <c r="B16" s="1325"/>
      <c r="C16" s="1324"/>
      <c r="D16" s="1324"/>
      <c r="E16" s="1324"/>
      <c r="F16" s="1324"/>
      <c r="G16" s="1324"/>
      <c r="H16" s="1324"/>
      <c r="I16" s="1324"/>
      <c r="J16" s="1324"/>
      <c r="K16" s="1324"/>
      <c r="L16" s="1324"/>
      <c r="M16" s="1323"/>
    </row>
    <row r="17" spans="2:16" ht="17.25" hidden="1" customHeight="1">
      <c r="B17" s="1306"/>
      <c r="G17" s="1321">
        <v>41091</v>
      </c>
      <c r="H17" s="1360" t="s">
        <v>747</v>
      </c>
      <c r="I17" s="1321">
        <v>41455</v>
      </c>
      <c r="J17" s="1361">
        <v>7.0499999999999993E-2</v>
      </c>
      <c r="M17" s="1246"/>
    </row>
    <row r="18" spans="2:16" ht="17.25" hidden="1" customHeight="1">
      <c r="B18" s="1306"/>
      <c r="G18" s="1321">
        <v>41456</v>
      </c>
      <c r="H18" s="1360" t="s">
        <v>747</v>
      </c>
      <c r="I18" s="1321">
        <v>41820</v>
      </c>
      <c r="J18" s="1361">
        <v>6.2E-2</v>
      </c>
      <c r="M18" s="1246"/>
    </row>
    <row r="19" spans="2:16" ht="17.25" hidden="1" customHeight="1">
      <c r="B19" s="1306"/>
      <c r="G19" s="1321">
        <v>41821</v>
      </c>
      <c r="H19" s="1360" t="s">
        <v>747</v>
      </c>
      <c r="I19" s="1321">
        <v>42185</v>
      </c>
      <c r="J19" s="1361">
        <v>5.9499999999999997E-2</v>
      </c>
      <c r="M19" s="1246"/>
      <c r="N19" s="1363"/>
    </row>
    <row r="20" spans="2:16" ht="17.25" hidden="1" customHeight="1">
      <c r="B20" s="1306"/>
      <c r="G20" s="1321">
        <v>42186</v>
      </c>
      <c r="H20" s="1360" t="s">
        <v>747</v>
      </c>
      <c r="I20" s="1321">
        <v>42551</v>
      </c>
      <c r="J20" s="1361">
        <v>5.45E-2</v>
      </c>
      <c r="M20" s="1246"/>
      <c r="N20" s="1352"/>
    </row>
    <row r="21" spans="2:16" ht="17.25" hidden="1" customHeight="1">
      <c r="B21" s="1306"/>
      <c r="G21" s="1321">
        <v>42552</v>
      </c>
      <c r="H21" s="1360" t="s">
        <v>747</v>
      </c>
      <c r="I21" s="1321">
        <v>42916</v>
      </c>
      <c r="J21" s="1361">
        <v>5.3999999999999999E-2</v>
      </c>
      <c r="M21" s="1246"/>
      <c r="N21" s="1352"/>
    </row>
    <row r="22" spans="2:16" ht="17.25" hidden="1" customHeight="1">
      <c r="B22" s="1306"/>
      <c r="G22" s="1321">
        <v>42917</v>
      </c>
      <c r="H22" s="1360" t="s">
        <v>747</v>
      </c>
      <c r="I22" s="1321">
        <v>43281</v>
      </c>
      <c r="J22" s="1361">
        <v>5.2999999999999999E-2</v>
      </c>
      <c r="M22" s="1246"/>
      <c r="N22" s="1362"/>
    </row>
    <row r="23" spans="2:16" ht="17.25" hidden="1" customHeight="1">
      <c r="B23" s="1306"/>
      <c r="G23" s="1321">
        <v>43282</v>
      </c>
      <c r="H23" s="1360" t="s">
        <v>747</v>
      </c>
      <c r="I23" s="1321">
        <v>43646</v>
      </c>
      <c r="J23" s="1361">
        <v>5.1999999999999998E-2</v>
      </c>
      <c r="M23" s="1246"/>
      <c r="N23" s="1352"/>
    </row>
    <row r="24" spans="2:16" ht="17.25" hidden="1" customHeight="1">
      <c r="B24" s="1306"/>
      <c r="G24" s="1321">
        <v>43647</v>
      </c>
      <c r="H24" s="1360" t="s">
        <v>747</v>
      </c>
      <c r="I24" s="1321">
        <v>44012</v>
      </c>
      <c r="J24" s="1359">
        <v>5.3699999999999998E-2</v>
      </c>
      <c r="M24" s="1246"/>
      <c r="N24" s="1352"/>
    </row>
    <row r="25" spans="2:16" ht="17.25" hidden="1" customHeight="1">
      <c r="B25" s="1306"/>
      <c r="G25" s="1321">
        <v>44013</v>
      </c>
      <c r="H25" s="1360" t="s">
        <v>747</v>
      </c>
      <c r="I25" s="1321">
        <v>44377</v>
      </c>
      <c r="J25" s="1359">
        <v>4.5199999999999997E-2</v>
      </c>
      <c r="M25" s="1246"/>
      <c r="N25" s="1352"/>
    </row>
    <row r="26" spans="2:16" ht="17.25" hidden="1" customHeight="1">
      <c r="B26" s="1306"/>
      <c r="G26" s="1321">
        <v>44378</v>
      </c>
      <c r="H26" s="1360" t="s">
        <v>747</v>
      </c>
      <c r="I26" s="1321">
        <v>44742</v>
      </c>
      <c r="J26" s="1359">
        <v>4.5199999999999997E-2</v>
      </c>
      <c r="M26" s="1246"/>
      <c r="N26" s="1352"/>
    </row>
    <row r="27" spans="2:16" ht="17.25" hidden="1" customHeight="1">
      <c r="B27" s="1306"/>
      <c r="G27" s="1321">
        <v>44743</v>
      </c>
      <c r="H27" s="1360" t="s">
        <v>747</v>
      </c>
      <c r="I27" s="1321">
        <v>45107</v>
      </c>
      <c r="J27" s="1359">
        <v>4.7699999999999999E-2</v>
      </c>
      <c r="M27" s="1246"/>
      <c r="N27" s="1352"/>
    </row>
    <row r="28" spans="2:16" ht="17.25" hidden="1" customHeight="1">
      <c r="B28" s="1306"/>
      <c r="G28" s="1321">
        <v>45108</v>
      </c>
      <c r="H28" s="1360" t="s">
        <v>747</v>
      </c>
      <c r="I28" s="1321">
        <v>45473</v>
      </c>
      <c r="J28" s="1359">
        <v>8.2699999999999996E-2</v>
      </c>
      <c r="M28" s="1246"/>
      <c r="N28" s="1352"/>
    </row>
    <row r="29" spans="2:16" ht="17.25" hidden="1" customHeight="1">
      <c r="B29" s="1306"/>
      <c r="G29" s="1321">
        <v>45474</v>
      </c>
      <c r="H29" s="1360" t="s">
        <v>747</v>
      </c>
      <c r="I29" s="1321">
        <v>45838</v>
      </c>
      <c r="J29" s="1359">
        <v>8.77E-2</v>
      </c>
      <c r="M29" s="1246"/>
      <c r="N29" s="1352"/>
    </row>
    <row r="30" spans="2:16" ht="7.5" hidden="1" customHeight="1">
      <c r="B30" s="1301"/>
      <c r="C30" s="1300"/>
      <c r="D30" s="1300"/>
      <c r="E30" s="1300"/>
      <c r="F30" s="1358"/>
      <c r="G30" s="1357"/>
      <c r="H30" s="1300"/>
      <c r="I30" s="1356"/>
      <c r="J30" s="1300"/>
      <c r="K30" s="1300"/>
      <c r="L30" s="1300"/>
      <c r="M30" s="1299"/>
      <c r="N30" s="1352"/>
    </row>
    <row r="31" spans="2:16" ht="22.5" customHeight="1"/>
    <row r="32" spans="2:16" ht="22.5" customHeight="1">
      <c r="B32" s="1554" t="s">
        <v>410</v>
      </c>
      <c r="C32" s="1555"/>
      <c r="D32" s="1555"/>
      <c r="E32" s="1555"/>
      <c r="F32" s="1555"/>
      <c r="G32" s="1555"/>
      <c r="H32" s="1556"/>
      <c r="O32" s="1552" t="s">
        <v>155</v>
      </c>
      <c r="P32" s="1553"/>
    </row>
    <row r="33" spans="2:16" ht="7.5" customHeight="1">
      <c r="B33" s="1355"/>
      <c r="C33" s="1354"/>
      <c r="D33" s="1354"/>
      <c r="E33" s="1354"/>
      <c r="F33" s="1354"/>
      <c r="G33" s="1354"/>
      <c r="H33" s="1354"/>
      <c r="I33" s="1354"/>
      <c r="J33" s="1354"/>
      <c r="K33" s="1354"/>
      <c r="L33" s="1354"/>
      <c r="M33" s="1353"/>
    </row>
    <row r="34" spans="2:16" ht="17.25" customHeight="1">
      <c r="B34" s="1306"/>
      <c r="E34" s="523" t="s">
        <v>1552</v>
      </c>
      <c r="F34" s="1549" t="s">
        <v>1915</v>
      </c>
      <c r="G34" s="1550"/>
      <c r="H34" s="1550"/>
      <c r="I34" s="1550"/>
      <c r="J34" s="1551"/>
      <c r="K34" s="1543"/>
      <c r="L34" s="1543"/>
      <c r="M34" s="1544"/>
      <c r="N34" s="1352"/>
      <c r="O34" s="436"/>
      <c r="P34" s="1302"/>
    </row>
    <row r="35" spans="2:16" ht="17.25" customHeight="1">
      <c r="B35" s="1306"/>
      <c r="E35" s="1559" t="s">
        <v>1551</v>
      </c>
      <c r="F35" s="1559"/>
      <c r="G35" s="1559"/>
      <c r="H35" s="1559"/>
      <c r="I35" s="1338"/>
      <c r="J35" s="1350"/>
      <c r="K35" s="1349"/>
      <c r="L35" s="1349"/>
      <c r="M35" s="1246"/>
      <c r="N35" s="1352"/>
      <c r="O35" s="436"/>
      <c r="P35" s="1302"/>
    </row>
    <row r="36" spans="2:16" ht="17.25" customHeight="1">
      <c r="B36" s="1306"/>
      <c r="E36" s="1559" t="s">
        <v>1550</v>
      </c>
      <c r="F36" s="1559"/>
      <c r="G36" s="1559"/>
      <c r="H36" s="1559"/>
      <c r="I36" s="1338"/>
      <c r="J36" s="1350" t="s">
        <v>1916</v>
      </c>
      <c r="K36" s="1349"/>
      <c r="L36" s="1349"/>
      <c r="M36" s="1246"/>
      <c r="N36" s="1326"/>
      <c r="O36" s="436"/>
      <c r="P36" s="1302"/>
    </row>
    <row r="37" spans="2:16" ht="17.25" customHeight="1">
      <c r="B37" s="1306"/>
      <c r="E37" s="1559" t="s">
        <v>1549</v>
      </c>
      <c r="F37" s="1559"/>
      <c r="G37" s="1559"/>
      <c r="H37" s="1559"/>
      <c r="I37" s="1338"/>
      <c r="J37" s="1350">
        <v>2023</v>
      </c>
      <c r="K37" s="1349"/>
      <c r="L37" s="1349"/>
      <c r="M37" s="1246"/>
      <c r="N37" s="1326"/>
      <c r="O37" s="436"/>
      <c r="P37" s="1302"/>
    </row>
    <row r="38" spans="2:16" ht="17.25" hidden="1" customHeight="1">
      <c r="B38" s="1306"/>
      <c r="E38" s="1559" t="s">
        <v>1519</v>
      </c>
      <c r="F38" s="1559"/>
      <c r="G38" s="1559"/>
      <c r="H38" s="1559"/>
      <c r="I38" s="1338"/>
      <c r="J38" s="1351">
        <f>IF(MOD(YEAR(E6),4)=0,366,365)</f>
        <v>366</v>
      </c>
      <c r="K38" s="1349"/>
      <c r="L38" s="1349"/>
      <c r="M38" s="1246"/>
      <c r="N38" s="1326"/>
      <c r="O38" s="436"/>
      <c r="P38" s="1302"/>
    </row>
    <row r="39" spans="2:16" ht="17.25" customHeight="1">
      <c r="B39" s="1306"/>
      <c r="E39" s="1559" t="s">
        <v>1548</v>
      </c>
      <c r="F39" s="1559"/>
      <c r="G39" s="1559"/>
      <c r="H39" s="1559"/>
      <c r="I39" s="1338"/>
      <c r="J39" s="1350">
        <v>3</v>
      </c>
      <c r="L39" s="1349"/>
      <c r="M39" s="1246"/>
      <c r="N39" s="1326"/>
      <c r="O39" s="436"/>
      <c r="P39" s="1302"/>
    </row>
    <row r="40" spans="2:16" ht="17.25" customHeight="1">
      <c r="B40" s="1306"/>
      <c r="E40" s="1559" t="s">
        <v>1547</v>
      </c>
      <c r="F40" s="1559"/>
      <c r="G40" s="1559"/>
      <c r="H40" s="1559"/>
      <c r="I40" s="1338"/>
      <c r="J40" s="1348">
        <f>IF(YEAR(E6)=J37,"Year of Loan",MAX(0,$J$39-(YEAR($E$6)-$J$37)+1))</f>
        <v>3</v>
      </c>
      <c r="L40" s="1284"/>
      <c r="M40" s="1246"/>
      <c r="N40" s="1326"/>
      <c r="O40" s="436"/>
      <c r="P40" s="1302"/>
    </row>
    <row r="41" spans="2:16" ht="17.25" customHeight="1">
      <c r="B41" s="1306"/>
      <c r="E41" s="1559" t="str">
        <f>IF(J39=J40,"Sum of the Loans Made in FY"&amp;J37&amp;" Year Before any Repayments were Made","Amount of the Loan Not Repaid by the End of the Prior Year")</f>
        <v>Sum of the Loans Made in FY2023 Year Before any Repayments were Made</v>
      </c>
      <c r="F41" s="1559"/>
      <c r="G41" s="1559"/>
      <c r="H41" s="1559"/>
      <c r="I41" s="71"/>
      <c r="J41" s="1347">
        <v>100000</v>
      </c>
      <c r="K41" s="1346"/>
      <c r="L41" s="1346"/>
      <c r="M41" s="1246"/>
      <c r="N41" s="1326"/>
      <c r="O41" s="436"/>
      <c r="P41" s="1302"/>
    </row>
    <row r="42" spans="2:16" ht="17.25" customHeight="1">
      <c r="B42" s="1306"/>
      <c r="E42" s="1559" t="s">
        <v>1546</v>
      </c>
      <c r="F42" s="1559"/>
      <c r="G42" s="1559"/>
      <c r="H42" s="1559"/>
      <c r="I42" s="1345"/>
      <c r="J42" s="1344"/>
      <c r="M42" s="1246"/>
      <c r="N42" s="1326"/>
      <c r="O42" s="436"/>
      <c r="P42" s="1302"/>
    </row>
    <row r="43" spans="2:16" ht="30" customHeight="1">
      <c r="B43" s="1306"/>
      <c r="E43" s="1559" t="s">
        <v>1545</v>
      </c>
      <c r="F43" s="1559"/>
      <c r="G43" s="1559"/>
      <c r="H43" s="1559"/>
      <c r="I43" s="1338"/>
      <c r="J43" s="1343">
        <f>IF($E$6="",0,VLOOKUP($E$6,Interest_Rate,4))</f>
        <v>8.2699999999999996E-2</v>
      </c>
      <c r="K43" s="1564" t="s">
        <v>1544</v>
      </c>
      <c r="L43" s="1565"/>
      <c r="M43" s="1246"/>
      <c r="N43" s="1326"/>
      <c r="O43" s="436"/>
      <c r="P43" s="1302"/>
    </row>
    <row r="44" spans="2:16" ht="17.25" customHeight="1">
      <c r="B44" s="1306"/>
      <c r="E44" s="1559" t="s">
        <v>1543</v>
      </c>
      <c r="F44" s="1559"/>
      <c r="G44" s="1559"/>
      <c r="H44" s="1559"/>
      <c r="I44" s="1338"/>
      <c r="J44" s="1303">
        <f>IF(J40=J40,ROUNDDOWN(IF(OR($J$43=0,$J$45&lt;=0,$J$40=0,$J$41&lt;=0),0,($J$45*$J$43)/(1-(1/(1+$J$43)^$J$40))),2),"")</f>
        <v>38992.53</v>
      </c>
      <c r="M44" s="1246"/>
      <c r="N44" s="1326"/>
      <c r="O44" s="436"/>
      <c r="P44" s="1302"/>
    </row>
    <row r="45" spans="2:16" ht="17.25" customHeight="1">
      <c r="B45" s="1306"/>
      <c r="E45" s="1559" t="s">
        <v>1542</v>
      </c>
      <c r="F45" s="1559"/>
      <c r="G45" s="1559"/>
      <c r="H45" s="1559"/>
      <c r="I45" s="1338"/>
      <c r="J45" s="1303">
        <f>IF(J40="Year of Loan",0,IF(J39=J40,$J$41-SUMIF($F$63:$F$88,"&lt;"&amp;$J$42,$H$63:$H$88),J41))</f>
        <v>100000</v>
      </c>
      <c r="M45" s="1246"/>
      <c r="N45" s="1326"/>
      <c r="O45" s="436"/>
      <c r="P45" s="1302"/>
    </row>
    <row r="46" spans="2:16" ht="16.899999999999999" customHeight="1">
      <c r="B46" s="1306"/>
      <c r="E46" s="1559" t="s">
        <v>1541</v>
      </c>
      <c r="F46" s="1559"/>
      <c r="G46" s="1559"/>
      <c r="H46" s="1559"/>
      <c r="I46" s="1338"/>
      <c r="J46" s="1303">
        <f>IF(J40="Year of Loan",(G90-H90),ROUNDDOWN($J$41-$H$90+$I$90,2))</f>
        <v>108269.99</v>
      </c>
      <c r="K46" s="1557" t="str">
        <f>IF(J46=0,"",IF(J46&lt;=0.01,"Credit Account",""))</f>
        <v/>
      </c>
      <c r="L46" s="1558"/>
      <c r="M46" s="1246"/>
      <c r="N46" s="1326"/>
      <c r="O46" s="436"/>
      <c r="P46" s="1302"/>
    </row>
    <row r="47" spans="2:16" ht="7.5" customHeight="1">
      <c r="B47" s="1306"/>
      <c r="E47" s="1559"/>
      <c r="F47" s="1559"/>
      <c r="G47" s="1559"/>
      <c r="H47" s="1559"/>
      <c r="I47" s="71"/>
      <c r="J47" s="1342"/>
      <c r="K47" s="1341"/>
      <c r="M47" s="1246"/>
      <c r="N47" s="1326"/>
      <c r="O47" s="1340"/>
      <c r="P47" s="1339"/>
    </row>
    <row r="48" spans="2:16" ht="17.25" customHeight="1">
      <c r="B48" s="1306"/>
      <c r="E48" s="1559" t="s">
        <v>1540</v>
      </c>
      <c r="F48" s="1559"/>
      <c r="G48" s="1559"/>
      <c r="H48" s="1559"/>
      <c r="I48" s="1338"/>
      <c r="J48" s="1303">
        <f>IF(J40="Year of Loan", "",G90)</f>
        <v>75000</v>
      </c>
      <c r="K48" s="1562" t="s">
        <v>1539</v>
      </c>
      <c r="L48" s="1563"/>
      <c r="M48" s="1246"/>
      <c r="N48" s="1326"/>
      <c r="O48" s="436"/>
      <c r="P48" s="1302"/>
    </row>
    <row r="49" spans="1:16" ht="17.25" customHeight="1">
      <c r="B49" s="1306"/>
      <c r="E49" s="1559"/>
      <c r="F49" s="1559"/>
      <c r="G49" s="1559"/>
      <c r="H49" s="1559"/>
      <c r="I49" s="71"/>
      <c r="J49" s="1227"/>
      <c r="K49" s="1332"/>
      <c r="L49" s="1331"/>
      <c r="M49" s="1246"/>
      <c r="N49" s="1326"/>
      <c r="O49" s="1337"/>
      <c r="P49" s="1336"/>
    </row>
    <row r="50" spans="1:16" ht="17.25" customHeight="1">
      <c r="B50" s="1306"/>
      <c r="E50" s="1566" t="s">
        <v>1538</v>
      </c>
      <c r="F50" s="1566"/>
      <c r="G50" s="1566"/>
      <c r="H50" s="1566"/>
      <c r="I50" s="71"/>
      <c r="J50" s="1335">
        <f>SingleCB_1</f>
        <v>108269.99</v>
      </c>
      <c r="K50" s="1332"/>
      <c r="L50" s="1331"/>
      <c r="M50" s="1246"/>
      <c r="N50" s="1326"/>
      <c r="O50" s="436"/>
      <c r="P50" s="1302"/>
    </row>
    <row r="51" spans="1:16" ht="17.25" customHeight="1">
      <c r="B51" s="1306"/>
      <c r="E51" s="1566" t="s">
        <v>356</v>
      </c>
      <c r="F51" s="1566"/>
      <c r="G51" s="1566"/>
      <c r="H51" s="1566"/>
      <c r="J51" s="1334"/>
      <c r="K51" s="1332"/>
      <c r="L51" s="1331"/>
      <c r="M51" s="1246"/>
      <c r="N51" s="1326"/>
      <c r="O51" s="436"/>
      <c r="P51" s="1302"/>
    </row>
    <row r="52" spans="1:16" ht="17.25" customHeight="1">
      <c r="B52" s="1306"/>
      <c r="E52" s="1566" t="s">
        <v>280</v>
      </c>
      <c r="F52" s="1566"/>
      <c r="G52" s="1566"/>
      <c r="H52" s="1566"/>
      <c r="I52" s="71"/>
      <c r="J52" s="1333">
        <f>IF(AND(J50=0,J51=0),"",J51-J50)</f>
        <v>-108269.99</v>
      </c>
      <c r="K52" s="1332"/>
      <c r="L52" s="1331"/>
      <c r="M52" s="1246"/>
      <c r="N52" s="1326"/>
      <c r="O52" s="436"/>
      <c r="P52" s="1302"/>
    </row>
    <row r="53" spans="1:16" ht="7.5" customHeight="1">
      <c r="B53" s="1330"/>
      <c r="C53" s="1328"/>
      <c r="D53" s="1328"/>
      <c r="E53" s="1328"/>
      <c r="F53" s="1328"/>
      <c r="G53" s="1328"/>
      <c r="H53" s="1328"/>
      <c r="I53" s="1328"/>
      <c r="J53" s="1329" t="str" cm="1">
        <f t="array" ref="J53">IF(J52="","Pending",IF(ABS(J52)&gt;Tm_Tolerance,"Out of Balance","Reconciled"))</f>
        <v>Out of Balance</v>
      </c>
      <c r="K53" s="1328"/>
      <c r="L53" s="1328"/>
      <c r="M53" s="1327"/>
      <c r="N53" s="1326"/>
    </row>
    <row r="54" spans="1:16" ht="22.5" customHeight="1">
      <c r="N54" s="1326"/>
    </row>
    <row r="55" spans="1:16" ht="22.5" customHeight="1">
      <c r="A55" s="1317" t="str">
        <f>IF(SUBTOTAL(103,A56),"-","+")</f>
        <v>-</v>
      </c>
      <c r="B55" s="1538" t="s">
        <v>1537</v>
      </c>
      <c r="C55" s="1539"/>
      <c r="D55" s="1539"/>
      <c r="E55" s="1539"/>
      <c r="F55" s="1539"/>
      <c r="G55" s="1539"/>
      <c r="H55" s="1540"/>
    </row>
    <row r="56" spans="1:16" ht="7.5" customHeight="1">
      <c r="A56" s="1214" t="s">
        <v>58</v>
      </c>
      <c r="B56" s="1325"/>
      <c r="C56" s="1324"/>
      <c r="D56" s="1324"/>
      <c r="E56" s="1324"/>
      <c r="F56" s="1324"/>
      <c r="G56" s="1324"/>
      <c r="H56" s="1324"/>
      <c r="I56" s="1324"/>
      <c r="J56" s="1324"/>
      <c r="K56" s="1324"/>
      <c r="L56" s="1324"/>
      <c r="M56" s="1323"/>
    </row>
    <row r="57" spans="1:16" ht="17.25" customHeight="1">
      <c r="B57" s="1306"/>
      <c r="E57" s="1533" t="s">
        <v>1536</v>
      </c>
      <c r="F57" s="1534"/>
      <c r="G57" s="1534"/>
      <c r="H57" s="1534"/>
      <c r="I57" s="1534"/>
      <c r="J57" s="1534"/>
      <c r="K57" s="1534"/>
      <c r="L57" s="1534"/>
      <c r="M57" s="1311"/>
    </row>
    <row r="58" spans="1:16" ht="30" customHeight="1">
      <c r="B58" s="1306"/>
      <c r="E58" s="1560" t="s">
        <v>1535</v>
      </c>
      <c r="F58" s="1560"/>
      <c r="G58" s="1560"/>
      <c r="H58" s="1560"/>
      <c r="I58" s="1560"/>
      <c r="J58" s="1560"/>
      <c r="K58" s="1560"/>
      <c r="L58" s="1560"/>
      <c r="M58" s="1311"/>
    </row>
    <row r="59" spans="1:16" ht="7.5" customHeight="1">
      <c r="B59" s="1306"/>
      <c r="M59" s="1246"/>
    </row>
    <row r="60" spans="1:16" ht="45" customHeight="1">
      <c r="B60" s="1306"/>
      <c r="F60" s="406" t="s">
        <v>1534</v>
      </c>
      <c r="G60" s="405" t="s">
        <v>1533</v>
      </c>
      <c r="H60" s="405" t="s">
        <v>395</v>
      </c>
      <c r="I60" s="405" t="s">
        <v>1532</v>
      </c>
      <c r="J60" s="404" t="s">
        <v>1531</v>
      </c>
      <c r="M60" s="1246"/>
    </row>
    <row r="61" spans="1:16" ht="7.5" customHeight="1">
      <c r="B61" s="1306"/>
      <c r="F61" s="1310"/>
      <c r="G61" s="1310"/>
      <c r="H61" s="1310"/>
      <c r="I61" s="1310"/>
      <c r="J61" s="1310"/>
      <c r="M61" s="1246"/>
    </row>
    <row r="62" spans="1:16" ht="17.25" customHeight="1">
      <c r="B62" s="1306"/>
      <c r="F62" s="399">
        <f>IF($E$6="","",DATE(YEAR($E$6)-1,MONTH($E$6),DAY($E$6)+1))</f>
        <v>45108</v>
      </c>
      <c r="G62" s="1535" t="s">
        <v>514</v>
      </c>
      <c r="H62" s="1535"/>
      <c r="I62" s="1535"/>
      <c r="J62" s="1322">
        <f>J41</f>
        <v>100000</v>
      </c>
      <c r="K62" s="1318"/>
      <c r="L62" s="1318"/>
      <c r="M62" s="1307"/>
      <c r="O62" s="436"/>
      <c r="P62" s="1302"/>
    </row>
    <row r="63" spans="1:16" ht="16.899999999999999" customHeight="1">
      <c r="B63" s="1306"/>
      <c r="F63" s="351">
        <v>45139</v>
      </c>
      <c r="G63" s="347">
        <v>40000</v>
      </c>
      <c r="H63" s="347"/>
      <c r="I63" s="1303">
        <f t="shared" ref="I63:I88" si="0">ROUND(IF(OR($J$43=0,$J$41=0,F63=0,F63&lt;$F$62,J62&lt;=0,$J$45&lt;=0),0,IF(AND($F$62&gt;=0,$J$41&gt;=0),($J$43*J62)/$J$38*(F63-F62),IF(AND(F63&lt;=$E$6,F62&gt;=$E$6-$J$38),0,$J$43*J62/$J$38*(F63-F62)))),2)</f>
        <v>700.46</v>
      </c>
      <c r="J63" s="1303">
        <f>IF(J40="Year of Loan",(G63-H63),IF($J$41=0,IF(F63=0,0,J62+G63),IF(OR(F63=0,H63=0),J62,IF($J$62-SUM($H$63:H63)&lt;=0,0,J62-H63))))</f>
        <v>100000</v>
      </c>
      <c r="L63" s="1318"/>
      <c r="M63" s="1307"/>
      <c r="O63" s="436"/>
      <c r="P63" s="1302"/>
    </row>
    <row r="64" spans="1:16" ht="16.899999999999999" customHeight="1">
      <c r="B64" s="1306"/>
      <c r="F64" s="351">
        <v>45200</v>
      </c>
      <c r="G64" s="347">
        <v>35000</v>
      </c>
      <c r="H64" s="347"/>
      <c r="I64" s="1303">
        <f t="shared" si="0"/>
        <v>1378.33</v>
      </c>
      <c r="J64" s="1303">
        <f>IF($J$40="Year of Loan",(J63+G64-H64),IF($J$41=0,IF(F64=0,0,J63+G64),IF(OR(F64=0,H64=0),J63,IF($J$62-SUM($H$63:H64)&lt;=0,0,J63-H64))))</f>
        <v>100000</v>
      </c>
      <c r="K64" s="1320"/>
      <c r="L64" s="1318"/>
      <c r="M64" s="1307"/>
      <c r="O64" s="436"/>
      <c r="P64" s="1302"/>
    </row>
    <row r="65" spans="2:16" ht="16.899999999999999" customHeight="1">
      <c r="B65" s="1306"/>
      <c r="F65" s="351"/>
      <c r="G65" s="347"/>
      <c r="H65" s="347"/>
      <c r="I65" s="1303">
        <f t="shared" si="0"/>
        <v>0</v>
      </c>
      <c r="J65" s="1303">
        <f>IF($J$40="Year of Loan",(J64+G65-H65),IF($J$41=0,IF(F65=0,0,J64+G65),IF(OR(F65=0,H65=0),J64,IF($J$62-SUM($H$63:H65)&lt;=0,0,J64-H65))))</f>
        <v>100000</v>
      </c>
      <c r="K65" s="1320"/>
      <c r="L65" s="1318"/>
      <c r="M65" s="1307"/>
      <c r="O65" s="436"/>
      <c r="P65" s="1302"/>
    </row>
    <row r="66" spans="2:16" ht="16.899999999999999" customHeight="1">
      <c r="B66" s="1306"/>
      <c r="F66" s="351"/>
      <c r="G66" s="347"/>
      <c r="H66" s="347"/>
      <c r="I66" s="1303">
        <f t="shared" si="0"/>
        <v>0</v>
      </c>
      <c r="J66" s="1303">
        <f>IF($J$40="Year of Loan",(J65+G66-H66),IF($J$41=0,IF(F66=0,0,J65+G66),IF(OR(F66=0,H66=0),J65,IF($J$62-SUM($H$63:H66)&lt;=0,0,J65-H66))))</f>
        <v>100000</v>
      </c>
      <c r="K66" s="1320"/>
      <c r="L66" s="1318"/>
      <c r="M66" s="1307"/>
      <c r="O66" s="436"/>
      <c r="P66" s="1302"/>
    </row>
    <row r="67" spans="2:16" ht="16.899999999999999" customHeight="1">
      <c r="B67" s="1306"/>
      <c r="F67" s="351"/>
      <c r="G67" s="347"/>
      <c r="H67" s="347"/>
      <c r="I67" s="1303">
        <f t="shared" si="0"/>
        <v>0</v>
      </c>
      <c r="J67" s="1303">
        <f>IF($J$40="Year of Loan",(J66+G67-H67),IF($J$41=0,IF(F67=0,0,J66+G67),IF(OR(F67=0,H67=0),J66,IF($J$62-SUM($H$63:H67)&lt;=0,0,J66-H67))))</f>
        <v>100000</v>
      </c>
      <c r="K67" s="1320"/>
      <c r="L67" s="1318"/>
      <c r="M67" s="1307"/>
      <c r="O67" s="436"/>
      <c r="P67" s="1302"/>
    </row>
    <row r="68" spans="2:16" ht="16.899999999999999" customHeight="1">
      <c r="B68" s="1306"/>
      <c r="F68" s="351"/>
      <c r="G68" s="347"/>
      <c r="H68" s="347"/>
      <c r="I68" s="1303">
        <f t="shared" si="0"/>
        <v>0</v>
      </c>
      <c r="J68" s="1303">
        <f>IF($J$40="Year of Loan",(J67+G68-H68),IF($J$41=0,IF(F68=0,0,J67+G68),IF(OR(F68=0,H68=0),J67,IF($J$62-SUM($H$63:H68)&lt;=0,0,J67-H68))))</f>
        <v>100000</v>
      </c>
      <c r="K68" s="1320"/>
      <c r="L68" s="1318"/>
      <c r="M68" s="1307"/>
      <c r="O68" s="436"/>
      <c r="P68" s="1302"/>
    </row>
    <row r="69" spans="2:16" ht="16.899999999999999" customHeight="1">
      <c r="B69" s="1306"/>
      <c r="F69" s="351"/>
      <c r="G69" s="347"/>
      <c r="H69" s="347"/>
      <c r="I69" s="1303">
        <f t="shared" si="0"/>
        <v>0</v>
      </c>
      <c r="J69" s="1303">
        <f>IF($J$40="Year of Loan",(J68+G69-H69),IF($J$41=0,IF(F69=0,0,J68+G69),IF(OR(F69=0,H69=0),J68,IF($J$62-SUM($H$63:H69)&lt;=0,0,J68-H69))))</f>
        <v>100000</v>
      </c>
      <c r="L69" s="1318"/>
      <c r="M69" s="1307"/>
      <c r="O69" s="436"/>
      <c r="P69" s="1302"/>
    </row>
    <row r="70" spans="2:16" ht="16.899999999999999" customHeight="1">
      <c r="B70" s="1306"/>
      <c r="F70" s="351"/>
      <c r="G70" s="347"/>
      <c r="H70" s="347"/>
      <c r="I70" s="1303">
        <f t="shared" si="0"/>
        <v>0</v>
      </c>
      <c r="J70" s="1303">
        <f>IF($J$40="Year of Loan",(J69+G70-H70),IF($J$41=0,IF(F70=0,0,J69+G70),IF(OR(F70=0,H70=0),J69,IF($J$62-SUM($H$63:H70)&lt;=0,0,J69-H70))))</f>
        <v>100000</v>
      </c>
      <c r="K70" s="1320"/>
      <c r="L70" s="1318"/>
      <c r="M70" s="1246"/>
      <c r="O70" s="436"/>
      <c r="P70" s="1302"/>
    </row>
    <row r="71" spans="2:16" ht="16.899999999999999" customHeight="1">
      <c r="B71" s="1306"/>
      <c r="F71" s="351"/>
      <c r="G71" s="347"/>
      <c r="H71" s="347"/>
      <c r="I71" s="1303">
        <f t="shared" si="0"/>
        <v>0</v>
      </c>
      <c r="J71" s="1303">
        <f>IF($J$40="Year of Loan",(J70+G71-H71),IF($J$41=0,IF(F71=0,0,J70+G71),IF(OR(F71=0,H71=0),J70,IF($J$62-SUM($H$63:H71)&lt;=0,0,J70-H71))))</f>
        <v>100000</v>
      </c>
      <c r="K71" s="1320"/>
      <c r="L71" s="1318"/>
      <c r="M71" s="1246"/>
      <c r="O71" s="436"/>
      <c r="P71" s="1302"/>
    </row>
    <row r="72" spans="2:16" ht="16.899999999999999" customHeight="1">
      <c r="B72" s="1306"/>
      <c r="F72" s="351"/>
      <c r="G72" s="347"/>
      <c r="H72" s="347"/>
      <c r="I72" s="1303">
        <f t="shared" si="0"/>
        <v>0</v>
      </c>
      <c r="J72" s="1303">
        <f>IF($J$40="Year of Loan",(J71+G72-H72),IF($J$41=0,IF(F72=0,0,J71+G72),IF(OR(F72=0,H72=0),J71,IF($J$62-SUM($H$63:H72)&lt;=0,0,J71-H72))))</f>
        <v>100000</v>
      </c>
      <c r="K72" s="1320"/>
      <c r="L72" s="1318"/>
      <c r="M72" s="1246"/>
      <c r="O72" s="436"/>
      <c r="P72" s="1302"/>
    </row>
    <row r="73" spans="2:16" ht="16.899999999999999" customHeight="1">
      <c r="B73" s="1306"/>
      <c r="F73" s="351"/>
      <c r="G73" s="347"/>
      <c r="H73" s="347"/>
      <c r="I73" s="1303">
        <f t="shared" si="0"/>
        <v>0</v>
      </c>
      <c r="J73" s="1303">
        <f>IF($J$40="Year of Loan",(J72+G73-H73),IF($J$41=0,IF(F73=0,0,J72+G73),IF(OR(F73=0,H73=0),J72,IF($J$62-SUM($H$63:H73)&lt;=0,0,J72-H73))))</f>
        <v>100000</v>
      </c>
      <c r="K73" s="1320"/>
      <c r="L73" s="1318"/>
      <c r="M73" s="1246"/>
      <c r="O73" s="436"/>
      <c r="P73" s="1302"/>
    </row>
    <row r="74" spans="2:16" ht="16.899999999999999" customHeight="1">
      <c r="B74" s="1306"/>
      <c r="F74" s="351"/>
      <c r="G74" s="347"/>
      <c r="H74" s="347"/>
      <c r="I74" s="1303">
        <f t="shared" si="0"/>
        <v>0</v>
      </c>
      <c r="J74" s="1303">
        <f>IF($J$40="Year of Loan",(J73+G74-H74),IF($J$41=0,IF(F74=0,0,J73+G74),IF(OR(F74=0,H74=0),J73,IF($J$62-SUM($H$63:H74)&lt;=0,0,J73-H74))))</f>
        <v>100000</v>
      </c>
      <c r="K74" s="1320"/>
      <c r="L74" s="1318"/>
      <c r="M74" s="1246"/>
      <c r="O74" s="436"/>
      <c r="P74" s="1302"/>
    </row>
    <row r="75" spans="2:16" ht="16.899999999999999" customHeight="1">
      <c r="B75" s="1306"/>
      <c r="F75" s="351"/>
      <c r="G75" s="347"/>
      <c r="H75" s="347"/>
      <c r="I75" s="1303">
        <f t="shared" si="0"/>
        <v>0</v>
      </c>
      <c r="J75" s="1303">
        <f>IF($J$40="Year of Loan",(J74+G75-H75),IF($J$41=0,IF(F75=0,0,J74+G75),IF(OR(F75=0,H75=0),J74,IF($J$62-SUM($H$63:H75)&lt;=0,0,J74-H75))))</f>
        <v>100000</v>
      </c>
      <c r="K75" s="1320"/>
      <c r="L75" s="1318"/>
      <c r="M75" s="1246"/>
      <c r="O75" s="436"/>
      <c r="P75" s="1302"/>
    </row>
    <row r="76" spans="2:16" ht="16.899999999999999" customHeight="1">
      <c r="B76" s="1306"/>
      <c r="F76" s="351"/>
      <c r="G76" s="347"/>
      <c r="H76" s="347"/>
      <c r="I76" s="1303">
        <f t="shared" si="0"/>
        <v>0</v>
      </c>
      <c r="J76" s="1303">
        <f>IF($J$40="Year of Loan",(J75+G76-H76),IF($J$41=0,IF(F76=0,0,J75+G76),IF(OR(F76=0,H76=0),J75,IF($J$62-SUM($H$63:H76)&lt;=0,0,J75-H76))))</f>
        <v>100000</v>
      </c>
      <c r="K76" s="1320"/>
      <c r="L76" s="1318"/>
      <c r="M76" s="1246"/>
      <c r="O76" s="436"/>
      <c r="P76" s="1302"/>
    </row>
    <row r="77" spans="2:16" ht="16.899999999999999" customHeight="1">
      <c r="B77" s="1306"/>
      <c r="F77" s="351"/>
      <c r="G77" s="347"/>
      <c r="H77" s="347"/>
      <c r="I77" s="1303">
        <f t="shared" si="0"/>
        <v>0</v>
      </c>
      <c r="J77" s="1303">
        <f>IF($J$40="Year of Loan",(J76+G77-H77),IF($J$41=0,IF(F77=0,0,J76+G77),IF(OR(F77=0,H77=0),J76,IF($J$62-SUM($H$63:H77)&lt;=0,0,J76-H77))))</f>
        <v>100000</v>
      </c>
      <c r="K77" s="1320"/>
      <c r="L77" s="1318"/>
      <c r="M77" s="1246"/>
      <c r="O77" s="436"/>
      <c r="P77" s="1302"/>
    </row>
    <row r="78" spans="2:16" ht="16.899999999999999" customHeight="1">
      <c r="B78" s="1306"/>
      <c r="F78" s="351"/>
      <c r="G78" s="347"/>
      <c r="H78" s="347"/>
      <c r="I78" s="1303">
        <f t="shared" si="0"/>
        <v>0</v>
      </c>
      <c r="J78" s="1303">
        <f>IF($J$40="Year of Loan",(J77+G78-H78),IF($J$41=0,IF(F78=0,0,J77+G78),IF(OR(F78=0,H78=0),J77,IF($J$62-SUM($H$63:H78)&lt;=0,0,J77-H78))))</f>
        <v>100000</v>
      </c>
      <c r="K78" s="1320"/>
      <c r="L78" s="1318"/>
      <c r="M78" s="1246"/>
      <c r="O78" s="436"/>
      <c r="P78" s="1302"/>
    </row>
    <row r="79" spans="2:16" ht="16.899999999999999" customHeight="1">
      <c r="B79" s="1306"/>
      <c r="F79" s="351"/>
      <c r="G79" s="347"/>
      <c r="H79" s="347"/>
      <c r="I79" s="1303">
        <f t="shared" si="0"/>
        <v>0</v>
      </c>
      <c r="J79" s="1303">
        <f>IF($J$40="Year of Loan",(J78+G79-H79),IF($J$41=0,IF(F79=0,0,J78+G79),IF(OR(F79=0,H79=0),J78,IF($J$62-SUM($H$63:H79)&lt;=0,0,J78-H79))))</f>
        <v>100000</v>
      </c>
      <c r="K79" s="1320"/>
      <c r="L79" s="1318"/>
      <c r="M79" s="1246"/>
      <c r="O79" s="436"/>
      <c r="P79" s="1302"/>
    </row>
    <row r="80" spans="2:16" ht="16.899999999999999" customHeight="1">
      <c r="B80" s="1306"/>
      <c r="F80" s="351"/>
      <c r="G80" s="347"/>
      <c r="H80" s="347"/>
      <c r="I80" s="1303">
        <f t="shared" si="0"/>
        <v>0</v>
      </c>
      <c r="J80" s="1303">
        <f>IF($J$40="Year of Loan",(J79+G80-H80),IF($J$41=0,IF(F80=0,0,J79+G80),IF(OR(F80=0,H80=0),J79,IF($J$62-SUM($H$63:H80)&lt;=0,0,J79-H80))))</f>
        <v>100000</v>
      </c>
      <c r="K80" s="1320"/>
      <c r="L80" s="1318"/>
      <c r="M80" s="1246"/>
      <c r="O80" s="436"/>
      <c r="P80" s="1302"/>
    </row>
    <row r="81" spans="1:16" ht="16.899999999999999" customHeight="1">
      <c r="B81" s="1306"/>
      <c r="F81" s="351"/>
      <c r="G81" s="347"/>
      <c r="H81" s="347"/>
      <c r="I81" s="1303">
        <f t="shared" si="0"/>
        <v>0</v>
      </c>
      <c r="J81" s="1303">
        <f>IF($J$40="Year of Loan",(J80+G81-H81),IF($J$41=0,IF(F81=0,0,J80+G81),IF(OR(F81=0,H81=0),J80,IF($J$62-SUM($H$63:H81)&lt;=0,0,J80-H81))))</f>
        <v>100000</v>
      </c>
      <c r="K81" s="1320"/>
      <c r="L81" s="1318"/>
      <c r="M81" s="1311"/>
      <c r="O81" s="436"/>
      <c r="P81" s="1302"/>
    </row>
    <row r="82" spans="1:16" ht="16.899999999999999" customHeight="1">
      <c r="B82" s="1306"/>
      <c r="F82" s="351"/>
      <c r="G82" s="347"/>
      <c r="H82" s="347"/>
      <c r="I82" s="1303">
        <f t="shared" si="0"/>
        <v>0</v>
      </c>
      <c r="J82" s="1303">
        <f>IF($J$40="Year of Loan",(J81+G82-H82),IF($J$41=0,IF(F82=0,0,J81+G82),IF(OR(F82=0,H82=0),J81,IF($J$62-SUM($H$63:H82)&lt;=0,0,J81-H82))))</f>
        <v>100000</v>
      </c>
      <c r="K82" s="1320"/>
      <c r="L82" s="1318"/>
      <c r="M82" s="1311"/>
      <c r="O82" s="436"/>
      <c r="P82" s="1302"/>
    </row>
    <row r="83" spans="1:16" ht="16.899999999999999" customHeight="1">
      <c r="B83" s="1306"/>
      <c r="F83" s="351"/>
      <c r="G83" s="347"/>
      <c r="H83" s="347"/>
      <c r="I83" s="1303">
        <f t="shared" si="0"/>
        <v>0</v>
      </c>
      <c r="J83" s="1303">
        <f>IF($J$40="Year of Loan",(J82+G83-H83),IF($J$41=0,IF(F83=0,0,J82+G83),IF(OR(F83=0,H83=0),J82,IF($J$62-SUM($H$63:H83)&lt;=0,0,J82-H83))))</f>
        <v>100000</v>
      </c>
      <c r="K83" s="1320"/>
      <c r="L83" s="1318"/>
      <c r="M83" s="1246"/>
      <c r="O83" s="436"/>
      <c r="P83" s="1302"/>
    </row>
    <row r="84" spans="1:16" ht="16.899999999999999" customHeight="1">
      <c r="B84" s="1306"/>
      <c r="F84" s="351"/>
      <c r="G84" s="347"/>
      <c r="H84" s="347"/>
      <c r="I84" s="1303">
        <f t="shared" si="0"/>
        <v>0</v>
      </c>
      <c r="J84" s="1303">
        <f>IF($J$40="Year of Loan",(J83+G84-H84),IF($J$41=0,IF(F84=0,0,J83+G84),IF(OR(F84=0,H84=0),J83,IF($J$62-SUM($H$63:H84)&lt;=0,0,J83-H84))))</f>
        <v>100000</v>
      </c>
      <c r="K84" s="1320"/>
      <c r="L84" s="1318"/>
      <c r="M84" s="1246"/>
      <c r="O84" s="436"/>
      <c r="P84" s="1302"/>
    </row>
    <row r="85" spans="1:16" ht="16.899999999999999" customHeight="1">
      <c r="B85" s="1306"/>
      <c r="F85" s="351"/>
      <c r="G85" s="347"/>
      <c r="H85" s="347"/>
      <c r="I85" s="1303">
        <f t="shared" si="0"/>
        <v>0</v>
      </c>
      <c r="J85" s="1303">
        <f>IF($J$40="Year of Loan",(J84+G85-H85),IF($J$41=0,IF(F85=0,0,J84+G85),IF(OR(F85=0,H85=0),J84,IF($J$62-SUM($H$63:H85)&lt;=0,0,J84-H85))))</f>
        <v>100000</v>
      </c>
      <c r="K85" s="1320"/>
      <c r="L85" s="1318"/>
      <c r="M85" s="1246"/>
      <c r="O85" s="436"/>
      <c r="P85" s="1302"/>
    </row>
    <row r="86" spans="1:16" ht="16.899999999999999" customHeight="1">
      <c r="B86" s="1306"/>
      <c r="F86" s="351"/>
      <c r="G86" s="347"/>
      <c r="H86" s="347"/>
      <c r="I86" s="1303">
        <f t="shared" si="0"/>
        <v>0</v>
      </c>
      <c r="J86" s="1303">
        <f>IF($J$40="Year of Loan",(J85+G86-H86),IF($J$41=0,IF(F86=0,0,J85+G86),IF(OR(F86=0,H86=0),J85,IF($J$62-SUM($H$63:H86)&lt;=0,0,J85-H86))))</f>
        <v>100000</v>
      </c>
      <c r="K86" s="1320"/>
      <c r="L86" s="1318"/>
      <c r="M86" s="1246"/>
      <c r="O86" s="436"/>
      <c r="P86" s="1302"/>
    </row>
    <row r="87" spans="1:16" ht="16.899999999999999" customHeight="1">
      <c r="B87" s="1306"/>
      <c r="F87" s="351"/>
      <c r="G87" s="347"/>
      <c r="H87" s="347"/>
      <c r="I87" s="1303">
        <f t="shared" si="0"/>
        <v>0</v>
      </c>
      <c r="J87" s="1303">
        <f>IF($J$40="Year of Loan",(J86+G87-H87),IF($J$41=0,IF(F87=0,0,J86+G87),IF(OR(F87=0,H87=0),J86,IF($J$62-SUM($H$63:H87)&lt;=0,0,J86-H87))))</f>
        <v>100000</v>
      </c>
      <c r="K87" s="1320"/>
      <c r="L87" s="1318"/>
      <c r="M87" s="1246"/>
      <c r="O87" s="436"/>
      <c r="P87" s="1302"/>
    </row>
    <row r="88" spans="1:16" ht="16.899999999999999" customHeight="1">
      <c r="B88" s="1306"/>
      <c r="F88" s="351"/>
      <c r="G88" s="347"/>
      <c r="H88" s="347"/>
      <c r="I88" s="1303">
        <f t="shared" si="0"/>
        <v>0</v>
      </c>
      <c r="J88" s="1303">
        <f>IF($J$40="Year of Loan",(J87+G88-H88),IF($J$41=0,IF(F88=0,0,J87+G88),IF(OR(F88=0,H88=0),J87,IF($J$62-SUM($H$63:H88)&lt;=0,0,J87-H88))))</f>
        <v>100000</v>
      </c>
      <c r="K88" s="1320"/>
      <c r="L88" s="1318"/>
      <c r="M88" s="1246"/>
      <c r="O88" s="436"/>
      <c r="P88" s="1302"/>
    </row>
    <row r="89" spans="1:16" ht="16.899999999999999" customHeight="1">
      <c r="B89" s="1306"/>
      <c r="F89" s="1321">
        <f>$E$6</f>
        <v>45473</v>
      </c>
      <c r="I89" s="1303">
        <f>IF(J40="Year of Loan", 0, IF($J$41=0,0,IF(ISERROR(IF($J$43=0,0,($J$43*VLOOKUP(F89,F63:J88,5)/J38))),IF($J$62&gt;0,$J$62*$J$43,0),IF($J$43=0,0,($J$43*(VLOOKUP(F89,F63:J88,5)/J38)*(F89-VLOOKUP(F89,F63:J88,1)+1))))))</f>
        <v>6191.2021857923492</v>
      </c>
      <c r="K89" s="1320"/>
      <c r="L89" s="1318"/>
      <c r="M89" s="1246"/>
      <c r="O89" s="436"/>
      <c r="P89" s="1302"/>
    </row>
    <row r="90" spans="1:16" ht="16.899999999999999" customHeight="1">
      <c r="B90" s="1306"/>
      <c r="G90" s="1319">
        <f>SUM(G63:G89)</f>
        <v>75000</v>
      </c>
      <c r="H90" s="1319">
        <f>SUM(H63:H89)</f>
        <v>0</v>
      </c>
      <c r="I90" s="1319">
        <f>ROUNDDOWN(SUM(I63:I89),2)</f>
        <v>8269.99</v>
      </c>
      <c r="J90" s="1318"/>
      <c r="M90" s="1246"/>
      <c r="O90" s="436"/>
      <c r="P90" s="1302"/>
    </row>
    <row r="91" spans="1:16" ht="7.5" customHeight="1">
      <c r="B91" s="1301"/>
      <c r="C91" s="1300"/>
      <c r="D91" s="1300"/>
      <c r="E91" s="1300"/>
      <c r="F91" s="1300"/>
      <c r="G91" s="1300"/>
      <c r="H91" s="1300"/>
      <c r="I91" s="1300"/>
      <c r="J91" s="1300"/>
      <c r="K91" s="1300"/>
      <c r="L91" s="1300"/>
      <c r="M91" s="1299"/>
    </row>
    <row r="92" spans="1:16" ht="22.5" customHeight="1"/>
    <row r="93" spans="1:16" ht="22.5" customHeight="1">
      <c r="A93" s="1317" t="str">
        <f>IF(SUBTOTAL(103,A94),"-","+")</f>
        <v>-</v>
      </c>
      <c r="B93" s="1538" t="s">
        <v>1530</v>
      </c>
      <c r="C93" s="1539"/>
      <c r="D93" s="1539"/>
      <c r="E93" s="1539"/>
      <c r="F93" s="1539"/>
      <c r="G93" s="1539"/>
      <c r="H93" s="1540"/>
      <c r="I93" s="355"/>
      <c r="J93" s="355"/>
      <c r="K93" s="355"/>
      <c r="L93" s="355"/>
      <c r="M93" s="1316"/>
    </row>
    <row r="94" spans="1:16" ht="7.5" customHeight="1">
      <c r="A94" s="1214" t="s">
        <v>58</v>
      </c>
      <c r="B94" s="1315"/>
      <c r="C94" s="1314"/>
      <c r="D94" s="1314"/>
      <c r="E94" s="1314"/>
      <c r="F94" s="1314"/>
      <c r="G94" s="1314"/>
      <c r="H94" s="1313"/>
      <c r="I94" s="1313"/>
      <c r="J94" s="1313"/>
      <c r="K94" s="1313"/>
      <c r="L94" s="1313"/>
      <c r="M94" s="1312"/>
    </row>
    <row r="95" spans="1:16" ht="30" customHeight="1">
      <c r="B95" s="1306"/>
      <c r="E95" s="1536" t="s">
        <v>1529</v>
      </c>
      <c r="F95" s="1537"/>
      <c r="G95" s="1537"/>
      <c r="H95" s="1537"/>
      <c r="I95" s="1537"/>
      <c r="J95" s="1537"/>
      <c r="K95" s="1537"/>
      <c r="L95" s="1537"/>
      <c r="M95" s="1311"/>
    </row>
    <row r="96" spans="1:16" ht="17.25" customHeight="1">
      <c r="B96" s="1306"/>
      <c r="M96" s="1246"/>
    </row>
    <row r="97" spans="2:16" ht="35.1" customHeight="1">
      <c r="B97" s="1306"/>
      <c r="C97" s="1246"/>
      <c r="D97" s="405" t="s">
        <v>1528</v>
      </c>
      <c r="E97" s="1477" t="s">
        <v>1527</v>
      </c>
      <c r="F97" s="1532"/>
      <c r="G97" s="405" t="s">
        <v>514</v>
      </c>
      <c r="H97" s="405" t="s">
        <v>1526</v>
      </c>
      <c r="I97" s="405" t="s">
        <v>1525</v>
      </c>
      <c r="J97" s="405" t="s">
        <v>1524</v>
      </c>
      <c r="K97" s="405" t="s">
        <v>399</v>
      </c>
      <c r="L97" s="404" t="s">
        <v>546</v>
      </c>
      <c r="M97" s="1246"/>
    </row>
    <row r="98" spans="2:16" ht="7.5" customHeight="1">
      <c r="B98" s="1306"/>
      <c r="E98" s="1310"/>
      <c r="F98" s="1310"/>
      <c r="G98" s="1310"/>
      <c r="H98" s="1310"/>
      <c r="I98" s="1310"/>
      <c r="J98" s="1310"/>
      <c r="K98" s="1310"/>
      <c r="L98" s="1310"/>
      <c r="M98" s="1246"/>
    </row>
    <row r="99" spans="2:16" ht="17.25" customHeight="1">
      <c r="B99" s="1306"/>
      <c r="C99" s="1309" t="str">
        <f>$F$34</f>
        <v>Director Loan 2023</v>
      </c>
      <c r="D99" s="1308">
        <f>J35</f>
        <v>0</v>
      </c>
      <c r="E99" s="399">
        <f>IF(AND(J40="Year of Loan",SingleCB_1&gt;0),$E$6,IF(OR($J$40=0,$J$41&lt;=0,$E$6=""),"",$E$6))</f>
        <v>45473</v>
      </c>
      <c r="F99" s="1305">
        <f>IF(E99="","",IF($J$41&gt;0,J39-J40+1,IF(J40="year of Loan",0,0)))</f>
        <v>1</v>
      </c>
      <c r="G99" s="1303">
        <f>IF(J40="Year of Loan",0,IF($J$41&lt;=0,0,$J$41))</f>
        <v>100000</v>
      </c>
      <c r="H99" s="1303">
        <f>IF(J40="Year of Loan",0,IF($J$41=0,0,$H$90))</f>
        <v>0</v>
      </c>
      <c r="I99" s="1303">
        <f>IF(J40="Year of Loan", 0, ROUND(IF(E99=0,0,IF(J99=0,0,H99-J99)),2))</f>
        <v>-38992.53</v>
      </c>
      <c r="J99" s="1303">
        <f>IF(J40="Year of Loan",0,J44)</f>
        <v>38992.53</v>
      </c>
      <c r="K99" s="1303">
        <f>IF(J40="Year of Loan",0,IF($J$45&lt;=0,0,$I$90))</f>
        <v>8269.99</v>
      </c>
      <c r="L99" s="1303">
        <f>SingleCB_1</f>
        <v>108269.99</v>
      </c>
      <c r="M99" s="1307"/>
      <c r="O99" s="436"/>
      <c r="P99" s="1302"/>
    </row>
    <row r="100" spans="2:16" ht="17.25" customHeight="1">
      <c r="B100" s="1306"/>
      <c r="E100" s="399">
        <f t="shared" ref="E100:E110" si="1">IF(OR(E99="",L99=0),"",IF($J$40&lt;2,"",E99+J129))</f>
        <v>45838</v>
      </c>
      <c r="F100" s="1305">
        <f t="shared" ref="F100:F123" si="2">IF(E100="","",F99+1)</f>
        <v>2</v>
      </c>
      <c r="G100" s="1303">
        <f t="shared" ref="G100:G123" si="3">IF(L99&lt;=1,0,IF($J$40="year of Loan",L99,IF(OR($J$45=0,E100=""),0,L99)))</f>
        <v>108269.99</v>
      </c>
      <c r="H100" s="1304"/>
      <c r="I100" s="1304"/>
      <c r="J100" s="1303">
        <f t="shared" ref="J100:J110" si="4">IFERROR(IF($J$40&lt;H129,0,IF($J$40="year of Loan",(G100*I129)/(1-(1/(1+I129)^($J$39-(H129-1)*1))),IF($J$40=H129,G100+K100,(G100*I129)/(1-(1/(1+I129))^($J$40-(H129-1)*1))))),0)</f>
        <v>61356.172887573535</v>
      </c>
      <c r="K100" s="1303">
        <f t="shared" ref="K100:K110" si="5">IF(G100=0,0,G100*I129)</f>
        <v>9495.2781230000001</v>
      </c>
      <c r="L100" s="1303">
        <f t="shared" ref="L100:L123" si="6">IF(ISBLANK($J$40),0,IF(AND(G100=0,K100=0),0,ROUND(IF(G100+K100&lt;=0.01,0,G100-J100+K100),2)))</f>
        <v>56409.1</v>
      </c>
      <c r="M100" s="1246"/>
      <c r="O100" s="436"/>
      <c r="P100" s="1302"/>
    </row>
    <row r="101" spans="2:16" ht="17.25" customHeight="1">
      <c r="B101" s="1306"/>
      <c r="E101" s="399">
        <f t="shared" si="1"/>
        <v>46203</v>
      </c>
      <c r="F101" s="1305">
        <f t="shared" si="2"/>
        <v>3</v>
      </c>
      <c r="G101" s="1303">
        <f t="shared" si="3"/>
        <v>56409.1</v>
      </c>
      <c r="I101" s="1304"/>
      <c r="J101" s="1303">
        <f t="shared" si="4"/>
        <v>61356.178069999994</v>
      </c>
      <c r="K101" s="1303">
        <f t="shared" si="5"/>
        <v>4947.0780699999996</v>
      </c>
      <c r="L101" s="1303">
        <f t="shared" si="6"/>
        <v>0</v>
      </c>
      <c r="M101" s="1246"/>
      <c r="O101" s="436"/>
      <c r="P101" s="1302"/>
    </row>
    <row r="102" spans="2:16" ht="17.25" customHeight="1">
      <c r="B102" s="1306"/>
      <c r="E102" s="399" t="str">
        <f t="shared" si="1"/>
        <v/>
      </c>
      <c r="F102" s="1305" t="str">
        <f t="shared" si="2"/>
        <v/>
      </c>
      <c r="G102" s="1303">
        <f t="shared" si="3"/>
        <v>0</v>
      </c>
      <c r="I102" s="1304"/>
      <c r="J102" s="1303">
        <f t="shared" si="4"/>
        <v>0</v>
      </c>
      <c r="K102" s="1303">
        <f t="shared" si="5"/>
        <v>0</v>
      </c>
      <c r="L102" s="1303">
        <f t="shared" si="6"/>
        <v>0</v>
      </c>
      <c r="M102" s="1246"/>
      <c r="O102" s="436"/>
      <c r="P102" s="1302"/>
    </row>
    <row r="103" spans="2:16" ht="17.25" customHeight="1">
      <c r="B103" s="1306"/>
      <c r="E103" s="399" t="str">
        <f t="shared" si="1"/>
        <v/>
      </c>
      <c r="F103" s="1305" t="str">
        <f t="shared" si="2"/>
        <v/>
      </c>
      <c r="G103" s="1303">
        <f t="shared" si="3"/>
        <v>0</v>
      </c>
      <c r="I103" s="1304"/>
      <c r="J103" s="1303">
        <f t="shared" si="4"/>
        <v>0</v>
      </c>
      <c r="K103" s="1303">
        <f t="shared" si="5"/>
        <v>0</v>
      </c>
      <c r="L103" s="1303">
        <f t="shared" si="6"/>
        <v>0</v>
      </c>
      <c r="M103" s="1246"/>
      <c r="O103" s="436"/>
      <c r="P103" s="1302"/>
    </row>
    <row r="104" spans="2:16" ht="17.25" customHeight="1">
      <c r="B104" s="1306"/>
      <c r="E104" s="399" t="str">
        <f t="shared" si="1"/>
        <v/>
      </c>
      <c r="F104" s="1305" t="str">
        <f t="shared" si="2"/>
        <v/>
      </c>
      <c r="G104" s="1303">
        <f t="shared" si="3"/>
        <v>0</v>
      </c>
      <c r="I104" s="1304"/>
      <c r="J104" s="1303">
        <f t="shared" si="4"/>
        <v>0</v>
      </c>
      <c r="K104" s="1303">
        <f t="shared" si="5"/>
        <v>0</v>
      </c>
      <c r="L104" s="1303">
        <f t="shared" si="6"/>
        <v>0</v>
      </c>
      <c r="M104" s="1246"/>
      <c r="O104" s="436"/>
      <c r="P104" s="1302"/>
    </row>
    <row r="105" spans="2:16" ht="17.25" customHeight="1">
      <c r="B105" s="1306"/>
      <c r="E105" s="399" t="str">
        <f t="shared" si="1"/>
        <v/>
      </c>
      <c r="F105" s="1305" t="str">
        <f t="shared" si="2"/>
        <v/>
      </c>
      <c r="G105" s="1303">
        <f t="shared" si="3"/>
        <v>0</v>
      </c>
      <c r="I105" s="1304"/>
      <c r="J105" s="1303">
        <f t="shared" si="4"/>
        <v>0</v>
      </c>
      <c r="K105" s="1303">
        <f t="shared" si="5"/>
        <v>0</v>
      </c>
      <c r="L105" s="1303">
        <f t="shared" si="6"/>
        <v>0</v>
      </c>
      <c r="M105" s="1246"/>
      <c r="O105" s="436"/>
      <c r="P105" s="1302"/>
    </row>
    <row r="106" spans="2:16" ht="17.25" customHeight="1">
      <c r="B106" s="1306"/>
      <c r="E106" s="399" t="str">
        <f t="shared" si="1"/>
        <v/>
      </c>
      <c r="F106" s="1305" t="str">
        <f t="shared" si="2"/>
        <v/>
      </c>
      <c r="G106" s="1303">
        <f t="shared" si="3"/>
        <v>0</v>
      </c>
      <c r="I106" s="1304"/>
      <c r="J106" s="1303">
        <f t="shared" si="4"/>
        <v>0</v>
      </c>
      <c r="K106" s="1303">
        <f t="shared" si="5"/>
        <v>0</v>
      </c>
      <c r="L106" s="1303">
        <f t="shared" si="6"/>
        <v>0</v>
      </c>
      <c r="M106" s="1246"/>
      <c r="O106" s="436"/>
      <c r="P106" s="1302"/>
    </row>
    <row r="107" spans="2:16" ht="17.25" customHeight="1">
      <c r="B107" s="1306"/>
      <c r="E107" s="399" t="str">
        <f t="shared" si="1"/>
        <v/>
      </c>
      <c r="F107" s="1305" t="str">
        <f t="shared" si="2"/>
        <v/>
      </c>
      <c r="G107" s="1303">
        <f t="shared" si="3"/>
        <v>0</v>
      </c>
      <c r="I107" s="1304"/>
      <c r="J107" s="1303">
        <f t="shared" si="4"/>
        <v>0</v>
      </c>
      <c r="K107" s="1303">
        <f t="shared" si="5"/>
        <v>0</v>
      </c>
      <c r="L107" s="1303">
        <f t="shared" si="6"/>
        <v>0</v>
      </c>
      <c r="M107" s="1246"/>
      <c r="O107" s="436"/>
      <c r="P107" s="1302"/>
    </row>
    <row r="108" spans="2:16" ht="17.25" customHeight="1">
      <c r="B108" s="1306"/>
      <c r="E108" s="399" t="str">
        <f t="shared" si="1"/>
        <v/>
      </c>
      <c r="F108" s="1305" t="str">
        <f t="shared" si="2"/>
        <v/>
      </c>
      <c r="G108" s="1303">
        <f t="shared" si="3"/>
        <v>0</v>
      </c>
      <c r="I108" s="1304"/>
      <c r="J108" s="1303">
        <f t="shared" si="4"/>
        <v>0</v>
      </c>
      <c r="K108" s="1303">
        <f t="shared" si="5"/>
        <v>0</v>
      </c>
      <c r="L108" s="1303">
        <f t="shared" si="6"/>
        <v>0</v>
      </c>
      <c r="M108" s="1246"/>
      <c r="O108" s="436"/>
      <c r="P108" s="1302"/>
    </row>
    <row r="109" spans="2:16" ht="17.25" customHeight="1">
      <c r="B109" s="1306"/>
      <c r="E109" s="399" t="str">
        <f t="shared" si="1"/>
        <v/>
      </c>
      <c r="F109" s="1305" t="str">
        <f t="shared" si="2"/>
        <v/>
      </c>
      <c r="G109" s="1303">
        <f t="shared" si="3"/>
        <v>0</v>
      </c>
      <c r="I109" s="1304"/>
      <c r="J109" s="1303">
        <f t="shared" si="4"/>
        <v>0</v>
      </c>
      <c r="K109" s="1303">
        <f t="shared" si="5"/>
        <v>0</v>
      </c>
      <c r="L109" s="1303">
        <f t="shared" si="6"/>
        <v>0</v>
      </c>
      <c r="M109" s="1246"/>
      <c r="O109" s="436"/>
      <c r="P109" s="1302"/>
    </row>
    <row r="110" spans="2:16" ht="17.25" customHeight="1">
      <c r="B110" s="1306"/>
      <c r="E110" s="399" t="str">
        <f t="shared" si="1"/>
        <v/>
      </c>
      <c r="F110" s="1305" t="str">
        <f t="shared" si="2"/>
        <v/>
      </c>
      <c r="G110" s="1303">
        <f t="shared" si="3"/>
        <v>0</v>
      </c>
      <c r="I110" s="1304"/>
      <c r="J110" s="1303">
        <f t="shared" si="4"/>
        <v>0</v>
      </c>
      <c r="K110" s="1303">
        <f t="shared" si="5"/>
        <v>0</v>
      </c>
      <c r="L110" s="1303">
        <f t="shared" si="6"/>
        <v>0</v>
      </c>
      <c r="M110" s="1246"/>
      <c r="O110" s="436"/>
      <c r="P110" s="1302"/>
    </row>
    <row r="111" spans="2:16" ht="17.25" customHeight="1">
      <c r="B111" s="1306"/>
      <c r="E111" s="399" t="str">
        <f t="shared" ref="E111:E123" si="7">IF(OR(E110="",L110=0),"",IF($J$40&lt;2,"",E110+J141))</f>
        <v/>
      </c>
      <c r="F111" s="1305" t="str">
        <f t="shared" si="2"/>
        <v/>
      </c>
      <c r="G111" s="1303">
        <f t="shared" si="3"/>
        <v>0</v>
      </c>
      <c r="I111" s="1304"/>
      <c r="J111" s="1303">
        <f t="shared" ref="J111:J123" si="8">IFERROR(IF($J$40&lt;H141,0,IF($J$40="year of Loan",(G111*I141)/(1-(1/(1+I141)^($J$39-(H141-1)*1))),IF($J$40=H141,G111+K111,(G111*I141)/(1-(1/(1+I141))^($J$40-(H141-1)*1))))),0)</f>
        <v>0</v>
      </c>
      <c r="K111" s="1303">
        <f t="shared" ref="K111:K123" si="9">IF(G111=0,0,G111*I141)</f>
        <v>0</v>
      </c>
      <c r="L111" s="1303">
        <f t="shared" si="6"/>
        <v>0</v>
      </c>
      <c r="M111" s="1246"/>
      <c r="O111" s="436"/>
      <c r="P111" s="1302"/>
    </row>
    <row r="112" spans="2:16" ht="17.25" customHeight="1">
      <c r="B112" s="1306"/>
      <c r="E112" s="399" t="str">
        <f t="shared" si="7"/>
        <v/>
      </c>
      <c r="F112" s="1305" t="str">
        <f t="shared" si="2"/>
        <v/>
      </c>
      <c r="G112" s="1303">
        <f t="shared" si="3"/>
        <v>0</v>
      </c>
      <c r="I112" s="1304"/>
      <c r="J112" s="1303">
        <f t="shared" si="8"/>
        <v>0</v>
      </c>
      <c r="K112" s="1303">
        <f t="shared" si="9"/>
        <v>0</v>
      </c>
      <c r="L112" s="1303">
        <f t="shared" si="6"/>
        <v>0</v>
      </c>
      <c r="M112" s="1246"/>
      <c r="O112" s="436"/>
      <c r="P112" s="1302"/>
    </row>
    <row r="113" spans="2:16" ht="17.25" customHeight="1">
      <c r="B113" s="1306"/>
      <c r="E113" s="399" t="str">
        <f t="shared" si="7"/>
        <v/>
      </c>
      <c r="F113" s="1305" t="str">
        <f t="shared" si="2"/>
        <v/>
      </c>
      <c r="G113" s="1303">
        <f t="shared" si="3"/>
        <v>0</v>
      </c>
      <c r="I113" s="1304"/>
      <c r="J113" s="1303">
        <f t="shared" si="8"/>
        <v>0</v>
      </c>
      <c r="K113" s="1303">
        <f t="shared" si="9"/>
        <v>0</v>
      </c>
      <c r="L113" s="1303">
        <f t="shared" si="6"/>
        <v>0</v>
      </c>
      <c r="M113" s="1246"/>
      <c r="O113" s="436"/>
      <c r="P113" s="1302"/>
    </row>
    <row r="114" spans="2:16" ht="17.25" customHeight="1">
      <c r="B114" s="1306"/>
      <c r="E114" s="399" t="str">
        <f t="shared" si="7"/>
        <v/>
      </c>
      <c r="F114" s="1305" t="str">
        <f t="shared" si="2"/>
        <v/>
      </c>
      <c r="G114" s="1303">
        <f t="shared" si="3"/>
        <v>0</v>
      </c>
      <c r="I114" s="1304"/>
      <c r="J114" s="1303">
        <f t="shared" si="8"/>
        <v>0</v>
      </c>
      <c r="K114" s="1303">
        <f t="shared" si="9"/>
        <v>0</v>
      </c>
      <c r="L114" s="1303">
        <f t="shared" si="6"/>
        <v>0</v>
      </c>
      <c r="M114" s="1246"/>
      <c r="O114" s="436"/>
      <c r="P114" s="1302"/>
    </row>
    <row r="115" spans="2:16" ht="17.25" customHeight="1">
      <c r="B115" s="1306"/>
      <c r="E115" s="399" t="str">
        <f t="shared" si="7"/>
        <v/>
      </c>
      <c r="F115" s="1305" t="str">
        <f t="shared" si="2"/>
        <v/>
      </c>
      <c r="G115" s="1303">
        <f t="shared" si="3"/>
        <v>0</v>
      </c>
      <c r="I115" s="1304"/>
      <c r="J115" s="1303">
        <f t="shared" si="8"/>
        <v>0</v>
      </c>
      <c r="K115" s="1303">
        <f t="shared" si="9"/>
        <v>0</v>
      </c>
      <c r="L115" s="1303">
        <f t="shared" si="6"/>
        <v>0</v>
      </c>
      <c r="M115" s="1246"/>
      <c r="O115" s="436"/>
      <c r="P115" s="1302"/>
    </row>
    <row r="116" spans="2:16" ht="17.25" customHeight="1">
      <c r="B116" s="1306"/>
      <c r="E116" s="399" t="str">
        <f t="shared" si="7"/>
        <v/>
      </c>
      <c r="F116" s="1305" t="str">
        <f t="shared" si="2"/>
        <v/>
      </c>
      <c r="G116" s="1303">
        <f t="shared" si="3"/>
        <v>0</v>
      </c>
      <c r="I116" s="1304"/>
      <c r="J116" s="1303">
        <f t="shared" si="8"/>
        <v>0</v>
      </c>
      <c r="K116" s="1303">
        <f t="shared" si="9"/>
        <v>0</v>
      </c>
      <c r="L116" s="1303">
        <f t="shared" si="6"/>
        <v>0</v>
      </c>
      <c r="M116" s="1246"/>
      <c r="O116" s="436"/>
      <c r="P116" s="1302"/>
    </row>
    <row r="117" spans="2:16" ht="17.25" customHeight="1">
      <c r="B117" s="1306"/>
      <c r="E117" s="399" t="str">
        <f t="shared" si="7"/>
        <v/>
      </c>
      <c r="F117" s="1305" t="str">
        <f t="shared" si="2"/>
        <v/>
      </c>
      <c r="G117" s="1303">
        <f t="shared" si="3"/>
        <v>0</v>
      </c>
      <c r="I117" s="1304"/>
      <c r="J117" s="1303">
        <f t="shared" si="8"/>
        <v>0</v>
      </c>
      <c r="K117" s="1303">
        <f t="shared" si="9"/>
        <v>0</v>
      </c>
      <c r="L117" s="1303">
        <f t="shared" si="6"/>
        <v>0</v>
      </c>
      <c r="M117" s="1246"/>
      <c r="O117" s="436"/>
      <c r="P117" s="1302"/>
    </row>
    <row r="118" spans="2:16" ht="17.25" customHeight="1">
      <c r="B118" s="1306"/>
      <c r="E118" s="399" t="str">
        <f t="shared" si="7"/>
        <v/>
      </c>
      <c r="F118" s="1305" t="str">
        <f t="shared" si="2"/>
        <v/>
      </c>
      <c r="G118" s="1303">
        <f t="shared" si="3"/>
        <v>0</v>
      </c>
      <c r="I118" s="1304"/>
      <c r="J118" s="1303">
        <f t="shared" si="8"/>
        <v>0</v>
      </c>
      <c r="K118" s="1303">
        <f t="shared" si="9"/>
        <v>0</v>
      </c>
      <c r="L118" s="1303">
        <f t="shared" si="6"/>
        <v>0</v>
      </c>
      <c r="M118" s="1246"/>
      <c r="O118" s="436"/>
      <c r="P118" s="1302"/>
    </row>
    <row r="119" spans="2:16" ht="17.25" customHeight="1">
      <c r="B119" s="1306"/>
      <c r="E119" s="399" t="str">
        <f t="shared" si="7"/>
        <v/>
      </c>
      <c r="F119" s="1305" t="str">
        <f t="shared" si="2"/>
        <v/>
      </c>
      <c r="G119" s="1303">
        <f t="shared" si="3"/>
        <v>0</v>
      </c>
      <c r="I119" s="1304"/>
      <c r="J119" s="1303">
        <f t="shared" si="8"/>
        <v>0</v>
      </c>
      <c r="K119" s="1303">
        <f t="shared" si="9"/>
        <v>0</v>
      </c>
      <c r="L119" s="1303">
        <f t="shared" si="6"/>
        <v>0</v>
      </c>
      <c r="M119" s="1246"/>
      <c r="O119" s="436"/>
      <c r="P119" s="1302"/>
    </row>
    <row r="120" spans="2:16" ht="17.25" customHeight="1">
      <c r="B120" s="1306"/>
      <c r="E120" s="399" t="str">
        <f t="shared" si="7"/>
        <v/>
      </c>
      <c r="F120" s="1305" t="str">
        <f t="shared" si="2"/>
        <v/>
      </c>
      <c r="G120" s="1303">
        <f t="shared" si="3"/>
        <v>0</v>
      </c>
      <c r="I120" s="1304"/>
      <c r="J120" s="1303">
        <f t="shared" si="8"/>
        <v>0</v>
      </c>
      <c r="K120" s="1303">
        <f t="shared" si="9"/>
        <v>0</v>
      </c>
      <c r="L120" s="1303">
        <f t="shared" si="6"/>
        <v>0</v>
      </c>
      <c r="M120" s="1246"/>
      <c r="O120" s="436"/>
      <c r="P120" s="1302"/>
    </row>
    <row r="121" spans="2:16" ht="17.25" customHeight="1">
      <c r="B121" s="1306"/>
      <c r="E121" s="399" t="str">
        <f t="shared" si="7"/>
        <v/>
      </c>
      <c r="F121" s="1305" t="str">
        <f t="shared" si="2"/>
        <v/>
      </c>
      <c r="G121" s="1303">
        <f t="shared" si="3"/>
        <v>0</v>
      </c>
      <c r="I121" s="1304"/>
      <c r="J121" s="1303">
        <f t="shared" si="8"/>
        <v>0</v>
      </c>
      <c r="K121" s="1303">
        <f t="shared" si="9"/>
        <v>0</v>
      </c>
      <c r="L121" s="1303">
        <f t="shared" si="6"/>
        <v>0</v>
      </c>
      <c r="M121" s="1246"/>
      <c r="O121" s="436"/>
      <c r="P121" s="1302"/>
    </row>
    <row r="122" spans="2:16" ht="17.25" customHeight="1">
      <c r="B122" s="1306"/>
      <c r="E122" s="399" t="str">
        <f t="shared" si="7"/>
        <v/>
      </c>
      <c r="F122" s="1305" t="str">
        <f t="shared" si="2"/>
        <v/>
      </c>
      <c r="G122" s="1303">
        <f t="shared" si="3"/>
        <v>0</v>
      </c>
      <c r="I122" s="1304"/>
      <c r="J122" s="1303">
        <f t="shared" si="8"/>
        <v>0</v>
      </c>
      <c r="K122" s="1303">
        <f t="shared" si="9"/>
        <v>0</v>
      </c>
      <c r="L122" s="1303">
        <f t="shared" si="6"/>
        <v>0</v>
      </c>
      <c r="M122" s="1246"/>
      <c r="O122" s="436"/>
      <c r="P122" s="1302"/>
    </row>
    <row r="123" spans="2:16" ht="17.25" customHeight="1">
      <c r="B123" s="1306"/>
      <c r="E123" s="399" t="str">
        <f t="shared" si="7"/>
        <v/>
      </c>
      <c r="F123" s="1305" t="str">
        <f t="shared" si="2"/>
        <v/>
      </c>
      <c r="G123" s="1303">
        <f t="shared" si="3"/>
        <v>0</v>
      </c>
      <c r="I123" s="1304"/>
      <c r="J123" s="1303">
        <f t="shared" si="8"/>
        <v>0</v>
      </c>
      <c r="K123" s="1303">
        <f t="shared" si="9"/>
        <v>0</v>
      </c>
      <c r="L123" s="1303">
        <f t="shared" si="6"/>
        <v>0</v>
      </c>
      <c r="M123" s="1246"/>
      <c r="O123" s="436"/>
      <c r="P123" s="1302"/>
    </row>
    <row r="124" spans="2:16" ht="7.5" customHeight="1">
      <c r="B124" s="1301"/>
      <c r="C124" s="1300"/>
      <c r="D124" s="1300"/>
      <c r="E124" s="1300"/>
      <c r="F124" s="1300"/>
      <c r="G124" s="1300"/>
      <c r="H124" s="1300"/>
      <c r="I124" s="1300"/>
      <c r="J124" s="1300"/>
      <c r="K124" s="1300"/>
      <c r="L124" s="1300"/>
      <c r="M124" s="1299"/>
    </row>
    <row r="125" spans="2:16" ht="12.75" customHeight="1"/>
    <row r="126" spans="2:16" hidden="1">
      <c r="E126" s="1298" t="s">
        <v>1523</v>
      </c>
      <c r="F126" s="1297"/>
    </row>
    <row r="127" spans="2:16" hidden="1">
      <c r="E127" s="1296" t="s">
        <v>1522</v>
      </c>
      <c r="F127" s="1296" t="s">
        <v>1520</v>
      </c>
      <c r="G127" s="1296" t="s">
        <v>1522</v>
      </c>
      <c r="H127" s="1296" t="s">
        <v>1521</v>
      </c>
      <c r="I127" s="1296" t="s">
        <v>1520</v>
      </c>
      <c r="J127" s="1296" t="s">
        <v>1519</v>
      </c>
    </row>
    <row r="128" spans="2:16" hidden="1">
      <c r="E128" s="1296"/>
      <c r="F128" s="1296"/>
      <c r="G128" s="1294">
        <f t="shared" ref="G128:G140" si="10">IF(E99="","",YEAR(E99))</f>
        <v>2024</v>
      </c>
      <c r="H128" s="1294">
        <f>IF(E99="","",IF($J$41&gt;0,1,IF(J40="year of Loan",0,0)))</f>
        <v>1</v>
      </c>
      <c r="I128" s="1295">
        <f t="shared" ref="I128:I153" si="11">IF(G128&gt;$E$141,$F$141,INDEX($F$129:$F$141,MATCH(G128,$E$129:$E$141,0)))</f>
        <v>8.2699999999999996E-2</v>
      </c>
      <c r="J128" s="1294">
        <f>IFERROR(IF(MOD((YEAR(E99)),4)=3,366,365),"")</f>
        <v>365</v>
      </c>
    </row>
    <row r="129" spans="5:10" hidden="1">
      <c r="E129" s="1294">
        <f t="shared" ref="E129:E141" si="12">YEAR(I17)</f>
        <v>2013</v>
      </c>
      <c r="F129" s="1295">
        <f t="shared" ref="F129:F141" si="13">J17</f>
        <v>7.0499999999999993E-2</v>
      </c>
      <c r="G129" s="1294">
        <f t="shared" si="10"/>
        <v>2025</v>
      </c>
      <c r="H129" s="1294">
        <f t="shared" ref="H129:H140" si="14">IF(E100="","",H128+1)</f>
        <v>2</v>
      </c>
      <c r="I129" s="1295">
        <f t="shared" si="11"/>
        <v>8.77E-2</v>
      </c>
      <c r="J129" s="1294">
        <f t="shared" ref="J129:J140" si="15">IFERROR(IF(MOD((YEAR(E99)),4)=3,366,365),"")</f>
        <v>365</v>
      </c>
    </row>
    <row r="130" spans="5:10" hidden="1">
      <c r="E130" s="1294">
        <f t="shared" si="12"/>
        <v>2014</v>
      </c>
      <c r="F130" s="1295">
        <f t="shared" si="13"/>
        <v>6.2E-2</v>
      </c>
      <c r="G130" s="1294">
        <f t="shared" si="10"/>
        <v>2026</v>
      </c>
      <c r="H130" s="1294">
        <f t="shared" si="14"/>
        <v>3</v>
      </c>
      <c r="I130" s="1295">
        <f t="shared" si="11"/>
        <v>8.77E-2</v>
      </c>
      <c r="J130" s="1294">
        <f t="shared" si="15"/>
        <v>365</v>
      </c>
    </row>
    <row r="131" spans="5:10" hidden="1">
      <c r="E131" s="1294">
        <f t="shared" si="12"/>
        <v>2015</v>
      </c>
      <c r="F131" s="1295">
        <f t="shared" si="13"/>
        <v>5.9499999999999997E-2</v>
      </c>
      <c r="G131" s="1294" t="str">
        <f t="shared" si="10"/>
        <v/>
      </c>
      <c r="H131" s="1294" t="str">
        <f t="shared" si="14"/>
        <v/>
      </c>
      <c r="I131" s="1295">
        <f t="shared" si="11"/>
        <v>8.77E-2</v>
      </c>
      <c r="J131" s="1294">
        <f t="shared" si="15"/>
        <v>365</v>
      </c>
    </row>
    <row r="132" spans="5:10" hidden="1">
      <c r="E132" s="1294">
        <f t="shared" si="12"/>
        <v>2016</v>
      </c>
      <c r="F132" s="1295">
        <f t="shared" si="13"/>
        <v>5.45E-2</v>
      </c>
      <c r="G132" s="1294" t="str">
        <f t="shared" si="10"/>
        <v/>
      </c>
      <c r="H132" s="1294" t="str">
        <f t="shared" si="14"/>
        <v/>
      </c>
      <c r="I132" s="1295">
        <f t="shared" si="11"/>
        <v>8.77E-2</v>
      </c>
      <c r="J132" s="1294" t="str">
        <f t="shared" si="15"/>
        <v/>
      </c>
    </row>
    <row r="133" spans="5:10" hidden="1">
      <c r="E133" s="1294">
        <f t="shared" si="12"/>
        <v>2017</v>
      </c>
      <c r="F133" s="1295">
        <f t="shared" si="13"/>
        <v>5.3999999999999999E-2</v>
      </c>
      <c r="G133" s="1294" t="str">
        <f t="shared" si="10"/>
        <v/>
      </c>
      <c r="H133" s="1294" t="str">
        <f t="shared" si="14"/>
        <v/>
      </c>
      <c r="I133" s="1295">
        <f t="shared" si="11"/>
        <v>8.77E-2</v>
      </c>
      <c r="J133" s="1294" t="str">
        <f t="shared" si="15"/>
        <v/>
      </c>
    </row>
    <row r="134" spans="5:10" hidden="1">
      <c r="E134" s="1294">
        <f t="shared" si="12"/>
        <v>2018</v>
      </c>
      <c r="F134" s="1295">
        <f t="shared" si="13"/>
        <v>5.2999999999999999E-2</v>
      </c>
      <c r="G134" s="1294" t="str">
        <f t="shared" si="10"/>
        <v/>
      </c>
      <c r="H134" s="1294" t="str">
        <f t="shared" si="14"/>
        <v/>
      </c>
      <c r="I134" s="1295">
        <f t="shared" si="11"/>
        <v>8.77E-2</v>
      </c>
      <c r="J134" s="1294" t="str">
        <f t="shared" si="15"/>
        <v/>
      </c>
    </row>
    <row r="135" spans="5:10" hidden="1">
      <c r="E135" s="1294">
        <f t="shared" si="12"/>
        <v>2019</v>
      </c>
      <c r="F135" s="1295">
        <f t="shared" si="13"/>
        <v>5.1999999999999998E-2</v>
      </c>
      <c r="G135" s="1294" t="str">
        <f t="shared" si="10"/>
        <v/>
      </c>
      <c r="H135" s="1294" t="str">
        <f t="shared" si="14"/>
        <v/>
      </c>
      <c r="I135" s="1295">
        <f t="shared" si="11"/>
        <v>8.77E-2</v>
      </c>
      <c r="J135" s="1294" t="str">
        <f t="shared" si="15"/>
        <v/>
      </c>
    </row>
    <row r="136" spans="5:10" hidden="1">
      <c r="E136" s="1294">
        <f t="shared" si="12"/>
        <v>2020</v>
      </c>
      <c r="F136" s="1295">
        <f t="shared" si="13"/>
        <v>5.3699999999999998E-2</v>
      </c>
      <c r="G136" s="1294" t="str">
        <f t="shared" si="10"/>
        <v/>
      </c>
      <c r="H136" s="1294" t="str">
        <f t="shared" si="14"/>
        <v/>
      </c>
      <c r="I136" s="1295">
        <f t="shared" si="11"/>
        <v>8.77E-2</v>
      </c>
      <c r="J136" s="1294" t="str">
        <f t="shared" si="15"/>
        <v/>
      </c>
    </row>
    <row r="137" spans="5:10" hidden="1">
      <c r="E137" s="1294">
        <f t="shared" si="12"/>
        <v>2021</v>
      </c>
      <c r="F137" s="1295">
        <f t="shared" si="13"/>
        <v>4.5199999999999997E-2</v>
      </c>
      <c r="G137" s="1294" t="str">
        <f t="shared" si="10"/>
        <v/>
      </c>
      <c r="H137" s="1294" t="str">
        <f t="shared" si="14"/>
        <v/>
      </c>
      <c r="I137" s="1295">
        <f t="shared" si="11"/>
        <v>8.77E-2</v>
      </c>
      <c r="J137" s="1294" t="str">
        <f t="shared" si="15"/>
        <v/>
      </c>
    </row>
    <row r="138" spans="5:10" hidden="1">
      <c r="E138" s="1294">
        <f t="shared" si="12"/>
        <v>2022</v>
      </c>
      <c r="F138" s="1295">
        <f t="shared" si="13"/>
        <v>4.5199999999999997E-2</v>
      </c>
      <c r="G138" s="1294" t="str">
        <f t="shared" si="10"/>
        <v/>
      </c>
      <c r="H138" s="1294" t="str">
        <f t="shared" si="14"/>
        <v/>
      </c>
      <c r="I138" s="1295">
        <f t="shared" si="11"/>
        <v>8.77E-2</v>
      </c>
      <c r="J138" s="1294" t="str">
        <f t="shared" si="15"/>
        <v/>
      </c>
    </row>
    <row r="139" spans="5:10" hidden="1">
      <c r="E139" s="1294">
        <f t="shared" si="12"/>
        <v>2023</v>
      </c>
      <c r="F139" s="1295">
        <f t="shared" si="13"/>
        <v>4.7699999999999999E-2</v>
      </c>
      <c r="G139" s="1294" t="str">
        <f t="shared" si="10"/>
        <v/>
      </c>
      <c r="H139" s="1294" t="str">
        <f t="shared" si="14"/>
        <v/>
      </c>
      <c r="I139" s="1295">
        <f t="shared" si="11"/>
        <v>8.77E-2</v>
      </c>
      <c r="J139" s="1294" t="str">
        <f t="shared" si="15"/>
        <v/>
      </c>
    </row>
    <row r="140" spans="5:10" hidden="1">
      <c r="E140" s="1294">
        <f t="shared" si="12"/>
        <v>2024</v>
      </c>
      <c r="F140" s="1295">
        <f t="shared" si="13"/>
        <v>8.2699999999999996E-2</v>
      </c>
      <c r="G140" s="1294" t="str">
        <f t="shared" si="10"/>
        <v/>
      </c>
      <c r="H140" s="1294" t="str">
        <f t="shared" si="14"/>
        <v/>
      </c>
      <c r="I140" s="1295">
        <f t="shared" si="11"/>
        <v>8.77E-2</v>
      </c>
      <c r="J140" s="1294" t="str">
        <f t="shared" si="15"/>
        <v/>
      </c>
    </row>
    <row r="141" spans="5:10" hidden="1">
      <c r="E141" s="1294">
        <f t="shared" si="12"/>
        <v>2025</v>
      </c>
      <c r="F141" s="1295">
        <f t="shared" si="13"/>
        <v>8.77E-2</v>
      </c>
      <c r="G141" s="1294" t="str">
        <f t="shared" ref="G141:G153" si="16">IF(E111="","",YEAR(E111))</f>
        <v/>
      </c>
      <c r="H141" s="1294" t="str">
        <f>IF(E111="","",H139+1)</f>
        <v/>
      </c>
      <c r="I141" s="1295">
        <f t="shared" si="11"/>
        <v>8.77E-2</v>
      </c>
      <c r="J141" s="1294" t="str">
        <f t="shared" ref="J141:J153" si="17">IFERROR(IF(MOD((YEAR(E110)),4)=3,366,365),"")</f>
        <v/>
      </c>
    </row>
    <row r="142" spans="5:10" hidden="1">
      <c r="G142" s="1294" t="str">
        <f t="shared" si="16"/>
        <v/>
      </c>
      <c r="H142" s="1294" t="str">
        <f t="shared" ref="H142:H153" si="18">IF(E112="","",H141+1)</f>
        <v/>
      </c>
      <c r="I142" s="1295">
        <f t="shared" si="11"/>
        <v>8.77E-2</v>
      </c>
      <c r="J142" s="1294" t="str">
        <f t="shared" si="17"/>
        <v/>
      </c>
    </row>
    <row r="143" spans="5:10" hidden="1">
      <c r="G143" s="1294" t="str">
        <f t="shared" si="16"/>
        <v/>
      </c>
      <c r="H143" s="1294" t="str">
        <f t="shared" si="18"/>
        <v/>
      </c>
      <c r="I143" s="1295">
        <f t="shared" si="11"/>
        <v>8.77E-2</v>
      </c>
      <c r="J143" s="1294" t="str">
        <f t="shared" si="17"/>
        <v/>
      </c>
    </row>
    <row r="144" spans="5:10" hidden="1">
      <c r="G144" s="1294" t="str">
        <f t="shared" si="16"/>
        <v/>
      </c>
      <c r="H144" s="1294" t="str">
        <f t="shared" si="18"/>
        <v/>
      </c>
      <c r="I144" s="1295">
        <f t="shared" si="11"/>
        <v>8.77E-2</v>
      </c>
      <c r="J144" s="1294" t="str">
        <f t="shared" si="17"/>
        <v/>
      </c>
    </row>
    <row r="145" spans="7:10" hidden="1">
      <c r="G145" s="1294" t="str">
        <f t="shared" si="16"/>
        <v/>
      </c>
      <c r="H145" s="1294" t="str">
        <f t="shared" si="18"/>
        <v/>
      </c>
      <c r="I145" s="1295">
        <f t="shared" si="11"/>
        <v>8.77E-2</v>
      </c>
      <c r="J145" s="1294" t="str">
        <f t="shared" si="17"/>
        <v/>
      </c>
    </row>
    <row r="146" spans="7:10" hidden="1">
      <c r="G146" s="1294" t="str">
        <f t="shared" si="16"/>
        <v/>
      </c>
      <c r="H146" s="1294" t="str">
        <f t="shared" si="18"/>
        <v/>
      </c>
      <c r="I146" s="1295">
        <f t="shared" si="11"/>
        <v>8.77E-2</v>
      </c>
      <c r="J146" s="1294" t="str">
        <f t="shared" si="17"/>
        <v/>
      </c>
    </row>
    <row r="147" spans="7:10" hidden="1">
      <c r="G147" s="1294" t="str">
        <f t="shared" si="16"/>
        <v/>
      </c>
      <c r="H147" s="1294" t="str">
        <f t="shared" si="18"/>
        <v/>
      </c>
      <c r="I147" s="1295">
        <f t="shared" si="11"/>
        <v>8.77E-2</v>
      </c>
      <c r="J147" s="1294" t="str">
        <f t="shared" si="17"/>
        <v/>
      </c>
    </row>
    <row r="148" spans="7:10" hidden="1">
      <c r="G148" s="1294" t="str">
        <f t="shared" si="16"/>
        <v/>
      </c>
      <c r="H148" s="1294" t="str">
        <f t="shared" si="18"/>
        <v/>
      </c>
      <c r="I148" s="1295">
        <f t="shared" si="11"/>
        <v>8.77E-2</v>
      </c>
      <c r="J148" s="1294" t="str">
        <f t="shared" si="17"/>
        <v/>
      </c>
    </row>
    <row r="149" spans="7:10" hidden="1">
      <c r="G149" s="1294" t="str">
        <f t="shared" si="16"/>
        <v/>
      </c>
      <c r="H149" s="1294" t="str">
        <f t="shared" si="18"/>
        <v/>
      </c>
      <c r="I149" s="1295">
        <f t="shared" si="11"/>
        <v>8.77E-2</v>
      </c>
      <c r="J149" s="1294" t="str">
        <f t="shared" si="17"/>
        <v/>
      </c>
    </row>
    <row r="150" spans="7:10" hidden="1">
      <c r="G150" s="1294" t="str">
        <f t="shared" si="16"/>
        <v/>
      </c>
      <c r="H150" s="1294" t="str">
        <f t="shared" si="18"/>
        <v/>
      </c>
      <c r="I150" s="1295">
        <f t="shared" si="11"/>
        <v>8.77E-2</v>
      </c>
      <c r="J150" s="1294" t="str">
        <f t="shared" si="17"/>
        <v/>
      </c>
    </row>
    <row r="151" spans="7:10" hidden="1">
      <c r="G151" s="1294" t="str">
        <f t="shared" si="16"/>
        <v/>
      </c>
      <c r="H151" s="1294" t="str">
        <f t="shared" si="18"/>
        <v/>
      </c>
      <c r="I151" s="1295">
        <f t="shared" si="11"/>
        <v>8.77E-2</v>
      </c>
      <c r="J151" s="1294" t="str">
        <f t="shared" si="17"/>
        <v/>
      </c>
    </row>
    <row r="152" spans="7:10" hidden="1">
      <c r="G152" s="1294" t="str">
        <f t="shared" si="16"/>
        <v/>
      </c>
      <c r="H152" s="1294" t="str">
        <f t="shared" si="18"/>
        <v/>
      </c>
      <c r="I152" s="1295">
        <f t="shared" si="11"/>
        <v>8.77E-2</v>
      </c>
      <c r="J152" s="1294" t="str">
        <f t="shared" si="17"/>
        <v/>
      </c>
    </row>
    <row r="153" spans="7:10" hidden="1">
      <c r="G153" s="1294" t="str">
        <f t="shared" si="16"/>
        <v/>
      </c>
      <c r="H153" s="1294" t="str">
        <f t="shared" si="18"/>
        <v/>
      </c>
      <c r="I153" s="1295">
        <f t="shared" si="11"/>
        <v>8.77E-2</v>
      </c>
      <c r="J153" s="1294" t="str">
        <f t="shared" si="17"/>
        <v/>
      </c>
    </row>
    <row r="154" spans="7:10">
      <c r="G154" s="1293"/>
      <c r="H154" s="1293"/>
    </row>
    <row r="155" spans="7:10">
      <c r="G155" s="1293"/>
      <c r="H155" s="1293"/>
    </row>
    <row r="156" spans="7:10">
      <c r="H156" s="1293"/>
    </row>
    <row r="157" spans="7:10">
      <c r="H157" s="1293"/>
    </row>
    <row r="158" spans="7:10">
      <c r="H158" s="1293"/>
    </row>
    <row r="159" spans="7:10">
      <c r="H159" s="1293"/>
    </row>
    <row r="160" spans="7:10">
      <c r="H160" s="1293"/>
    </row>
    <row r="161" spans="8:8">
      <c r="H161" s="1293"/>
    </row>
    <row r="162" spans="8:8">
      <c r="H162" s="1293"/>
    </row>
    <row r="163" spans="8:8">
      <c r="H163" s="1293"/>
    </row>
    <row r="164" spans="8:8">
      <c r="H164" s="1293"/>
    </row>
    <row r="165" spans="8:8">
      <c r="H165" s="1293"/>
    </row>
  </sheetData>
  <sheetProtection sheet="1" formatCells="0" formatColumns="0" formatRows="0" insertColumns="0" insertRows="0" insertHyperlinks="0"/>
  <mergeCells count="41">
    <mergeCell ref="E43:H43"/>
    <mergeCell ref="E44:H44"/>
    <mergeCell ref="E45:H45"/>
    <mergeCell ref="E51:H51"/>
    <mergeCell ref="E46:H46"/>
    <mergeCell ref="E47:H47"/>
    <mergeCell ref="E48:H48"/>
    <mergeCell ref="E49:H49"/>
    <mergeCell ref="E50:H50"/>
    <mergeCell ref="K46:L46"/>
    <mergeCell ref="E35:H35"/>
    <mergeCell ref="E42:H42"/>
    <mergeCell ref="E58:L58"/>
    <mergeCell ref="F11:L11"/>
    <mergeCell ref="F12:L12"/>
    <mergeCell ref="F13:L13"/>
    <mergeCell ref="E36:H36"/>
    <mergeCell ref="E37:H37"/>
    <mergeCell ref="E38:H38"/>
    <mergeCell ref="E39:H39"/>
    <mergeCell ref="E40:H40"/>
    <mergeCell ref="E41:H41"/>
    <mergeCell ref="K48:L48"/>
    <mergeCell ref="K43:L43"/>
    <mergeCell ref="E52:H52"/>
    <mergeCell ref="E6:H6"/>
    <mergeCell ref="C10:L10"/>
    <mergeCell ref="K34:M34"/>
    <mergeCell ref="O6:P6"/>
    <mergeCell ref="E4:I4"/>
    <mergeCell ref="E5:I5"/>
    <mergeCell ref="F34:J34"/>
    <mergeCell ref="O32:P32"/>
    <mergeCell ref="B15:H15"/>
    <mergeCell ref="B32:H32"/>
    <mergeCell ref="E97:F97"/>
    <mergeCell ref="E57:L57"/>
    <mergeCell ref="G62:I62"/>
    <mergeCell ref="E95:L95"/>
    <mergeCell ref="B55:H55"/>
    <mergeCell ref="B93:H93"/>
  </mergeCells>
  <conditionalFormatting sqref="F63:F88">
    <cfRule type="cellIs" dxfId="313" priority="21" stopIfTrue="1" operator="equal">
      <formula>0</formula>
    </cfRule>
    <cfRule type="cellIs" dxfId="312" priority="22" stopIfTrue="1" operator="lessThan">
      <formula>$F$62</formula>
    </cfRule>
    <cfRule type="cellIs" dxfId="311" priority="23" stopIfTrue="1" operator="greaterThan">
      <formula>$E$6</formula>
    </cfRule>
  </conditionalFormatting>
  <conditionalFormatting sqref="J41">
    <cfRule type="expression" dxfId="310" priority="3">
      <formula>$J$40="Year of Loan"</formula>
    </cfRule>
  </conditionalFormatting>
  <conditionalFormatting sqref="J44:J45">
    <cfRule type="expression" dxfId="309" priority="1">
      <formula>$J$40="Year of Loan"</formula>
    </cfRule>
  </conditionalFormatting>
  <conditionalFormatting sqref="J47">
    <cfRule type="cellIs" dxfId="308" priority="8" stopIfTrue="1" operator="equal">
      <formula>"Credit Account"</formula>
    </cfRule>
  </conditionalFormatting>
  <conditionalFormatting sqref="J48">
    <cfRule type="expression" dxfId="307" priority="2">
      <formula>$J$40="Year of Loan"</formula>
    </cfRule>
  </conditionalFormatting>
  <conditionalFormatting sqref="J50">
    <cfRule type="expression" dxfId="306" priority="24">
      <formula>J53="Reconciled"</formula>
    </cfRule>
    <cfRule type="expression" dxfId="305" priority="25">
      <formula>J53="Out of Balance"</formula>
    </cfRule>
  </conditionalFormatting>
  <conditionalFormatting sqref="J51">
    <cfRule type="expression" dxfId="304" priority="26">
      <formula>J53="Reconciled"</formula>
    </cfRule>
    <cfRule type="expression" dxfId="303" priority="27">
      <formula>J53="Out of Balance"</formula>
    </cfRule>
  </conditionalFormatting>
  <conditionalFormatting sqref="J52">
    <cfRule type="expression" dxfId="302" priority="28">
      <formula>J53="Reconciled"</formula>
    </cfRule>
    <cfRule type="expression" dxfId="301" priority="29">
      <formula>J53="Out of Balance"</formula>
    </cfRule>
  </conditionalFormatting>
  <conditionalFormatting sqref="K5:K6 J7">
    <cfRule type="cellIs" dxfId="300" priority="11" operator="equal">
      <formula>"Partner Approved"</formula>
    </cfRule>
    <cfRule type="cellIs" dxfId="299" priority="12" operator="equal">
      <formula>"Reviewed"</formula>
    </cfRule>
    <cfRule type="cellIs" dxfId="298" priority="13" operator="equal">
      <formula>"Rework Complete"</formula>
    </cfRule>
    <cfRule type="cellIs" dxfId="297" priority="14" operator="equal">
      <formula>"Client Query"</formula>
    </cfRule>
    <cfRule type="cellIs" dxfId="296" priority="15" operator="equal">
      <formula>"Started"</formula>
    </cfRule>
    <cfRule type="cellIs" dxfId="295" priority="16" operator="equal">
      <formula>"Ready for Review"</formula>
    </cfRule>
    <cfRule type="cellIs" dxfId="294" priority="17" operator="equal">
      <formula>"Rework Required"</formula>
    </cfRule>
    <cfRule type="cellIs" dxfId="293" priority="18" operator="equal">
      <formula>"Complete"</formula>
    </cfRule>
  </conditionalFormatting>
  <conditionalFormatting sqref="K43:L43">
    <cfRule type="expression" dxfId="292" priority="4">
      <formula>$J$40="Year of Loan"</formula>
    </cfRule>
  </conditionalFormatting>
  <conditionalFormatting sqref="K46:L46">
    <cfRule type="cellIs" dxfId="291" priority="9" stopIfTrue="1" operator="equal">
      <formula>"Credit Account"</formula>
    </cfRule>
  </conditionalFormatting>
  <conditionalFormatting sqref="K48:L48">
    <cfRule type="expression" dxfId="290" priority="5">
      <formula>AND($J$40&lt;&gt;"Year of Loan",$J$48&gt;0)</formula>
    </cfRule>
  </conditionalFormatting>
  <conditionalFormatting sqref="L6">
    <cfRule type="expression" dxfId="289" priority="6">
      <formula>$J$53="Reconciled"</formula>
    </cfRule>
    <cfRule type="expression" dxfId="288" priority="7">
      <formula>$J$53="Out of Balance"</formula>
    </cfRule>
  </conditionalFormatting>
  <dataValidations count="8">
    <dataValidation allowBlank="1" showInputMessage="1" showErrorMessage="1" prompt="The earlier of the due date for lodgement and the date of lodgement for company's tax return for the applicable income year." sqref="J42" xr:uid="{1A4164A9-4682-4775-AE23-171A738774D9}"/>
    <dataValidation type="whole" operator="lessThanOrEqual" allowBlank="1" showInputMessage="1" showErrorMessage="1" error="Maximum term is 7 years for unsecured loans and 25 years for secured loans." sqref="J39" xr:uid="{F551D566-7EB5-4E72-A90E-7C3229CD827A}">
      <formula1>IF(J36="Unsecured",7,25)</formula1>
    </dataValidation>
    <dataValidation type="list" allowBlank="1" showInputMessage="1" showErrorMessage="1" sqref="J36" xr:uid="{B213D377-E953-4CB0-BFF2-B7D203C72938}">
      <formula1>"Secured,Unsecured"</formula1>
    </dataValidation>
    <dataValidation allowBlank="1" showInputMessage="1" showErrorMessage="1" prompt="The ATO interprets Div 7A to mean that repayments take effect at the beginning of the day of repayment. A repayment on 30 June should be entered in the table as normal. This row calculates interest from the last repayment to the end of 30 June." sqref="I89" xr:uid="{D58AD333-E62C-433B-A052-191F947CCBA0}"/>
    <dataValidation allowBlank="1" showInputMessage="1" showErrorMessage="1" prompt="As interest is not payable for the remainder of the year where a loan is fully repaid, there may be a shortfall compared to the minimum repayment.  That under-repayment does not breach Division 7A and can be ignored." sqref="I99" xr:uid="{CE4CB806-84D1-4450-B6B6-D71BE17C26BA}"/>
    <dataValidation allowBlank="1" showInputMessage="1" showErrorMessage="1" prompt="If the loan is an existing loan at the beginning of the year, any drawdowns will become a new loan. Use these cells for new loans only._x000a_" sqref="G63:G88" xr:uid="{81F96081-E0ED-4594-B861-5E238F3C6B68}"/>
    <dataValidation allowBlank="1" showInputMessage="1" showErrorMessage="1" prompt="If the loan is repaid in full before the end of the year, the minimum repayment is the principal plus interest calculated to the date of the repayment. That amount will be less than the amount shown here." sqref="J44" xr:uid="{04C31422-A90D-4EB0-BA03-6FDFCC120342}"/>
    <dataValidation type="list" allowBlank="1" showInputMessage="1" showErrorMessage="1" sqref="I34:J34 F34:H35" xr:uid="{D4658813-3572-4924-801E-3191BAEB732A}">
      <formula1>CategoryList</formula1>
    </dataValidation>
  </dataValidations>
  <hyperlinks>
    <hyperlink ref="L4" location="'G31 Div 7A Loan Calculator'!Go_Index" tooltip="Go to Record" display="Show Record" xr:uid="{F5E9C090-A985-4365-8A9B-F2684203E9B3}"/>
    <hyperlink ref="O6" location="'G31 Div 7A Loan Calculator'!Go_RefreshSummary" tooltip="Refresh Summary" display="Refresh" xr:uid="{5760B192-8030-45B8-BBDE-839E2D0E735D}"/>
    <hyperlink ref="F11:L11" r:id="rId1" tooltip="Go to ITAA Act 1936 s109R" display="ATO Section 109R Some Payments Relating to Loans not Taken into Account" xr:uid="{8B05873A-C95D-4569-8A54-745D64CDBC81}"/>
    <hyperlink ref="F12:L12" r:id="rId2" tooltip="Go to ATO website" display="ATO Division 7A and trusts" xr:uid="{C53902D3-ED69-46E3-841A-1722DC27C71A}"/>
    <hyperlink ref="F13:L13" r:id="rId3" tooltip="Go to ATO website" display="ATO Division 7A calculator and decision tool" xr:uid="{ACD0B09F-825E-451C-B2CF-02DEB8A11DCD}"/>
    <hyperlink ref="A15:G15" location="'G31 Div 7A Loan Calculator'!Go_RollUp_03" tooltip="Show/hide cells" display="'Div 7A Calculator'!Go_RollUp_03" xr:uid="{8C0864F4-B4E4-4784-9AE5-98A6583C9634}"/>
    <hyperlink ref="A55:G55" location="'G31 Div 7A Loan Calculator'!Go_RollUp_06" tooltip="Show/hide cells" display="'Div 7A Calculator'!Go_RollUp_06" xr:uid="{EB29CB09-5EF9-4AD4-ABB8-AE3DB6016B8C}"/>
    <hyperlink ref="A93:G93" location="'G31 Div 7A Loan Calculator'!Go_RollUp_07" tooltip="Show/hide cells" display="'Div 7A Calculator'!Go_RollUp_07" xr:uid="{2AD9D3DD-1F39-4756-AEE7-BB9349876466}"/>
    <hyperlink ref="A10" location="'G31 Div 7A Loan Calculator'!Go_RollUp_01" tooltip="Show/hide" display="'Div 7A Calculator'!Go_RollUp_01" xr:uid="{6E055F7F-7CF6-4C51-9EAC-18FD4629FDEE}"/>
    <hyperlink ref="L6" location="'G31 Div 7A Loan Calculator'!Go_Variance_01" tooltip="Go to Reconciliation" display="'Div 7A Calculator'!Go_Variance_01" xr:uid="{186F9430-0152-4F55-BE78-DEE49FF42EE1}"/>
    <hyperlink ref="O6:P6" location="'G31 Div 7A Loan Calculator'!Go_RefreshSummary" tooltip="Refresh the G32 Division 7A Summary worksheet" display="P Refresh" xr:uid="{4C1BCCBD-0B6D-44EE-9DD4-60A8A6C32E0C}"/>
  </hyperlinks>
  <pageMargins left="0.74803149606299213" right="0.74803149606299213" top="0.98425196850393704" bottom="0.98425196850393704" header="0.51181102362204722" footer="0.51181102362204722"/>
  <pageSetup paperSize="9" scale="59" fitToHeight="3" orientation="portrait" horizontalDpi="300" verticalDpi="300" r:id="rId4"/>
  <headerFooter alignWithMargins="0">
    <oddFooter>&amp;L&amp;F
Copyright(c) 2005-Present Business Fitness Pty Ltd&amp;R&amp;A  Page   &amp;"Arial,Regular"&amp;P</oddFooter>
  </headerFooter>
  <rowBreaks count="2" manualBreakCount="2">
    <brk id="54" min="1" max="11" man="1"/>
    <brk id="92" min="1" max="11" man="1"/>
  </rowBreaks>
  <customProperties>
    <customPr name="SheetId" r:id="rId5"/>
    <customPr name="SheetName" r:id="rId6"/>
  </customProperties>
  <extLst>
    <ext xmlns:x15="http://schemas.microsoft.com/office/spreadsheetml/2010/11/main" uri="{F7C9EE02-42E1-4005-9D12-6889AFFD525C}">
      <x15:webExtensions xmlns:xm="http://schemas.microsoft.com/office/excel/2006/main">
        <x15:webExtension appRef="{E1327695-7DC2-4910-BE36-8CF1E6740453}">
          <xm:f>'G31 Div 7A Loan Calculator'!G31_LoanBalance</xm:f>
        </x15:webExtension>
        <x15:webExtension appRef="{A69E62F2-BC62-459B-B8B8-B59BED12A90D}">
          <xm:f>'G31 Div 7A Loan Calculator'!Reconcile_LoanBalance</xm:f>
        </x15:webExtension>
      </x15:webExtens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067A5-40BD-41A4-9421-E9A6C9194783}">
  <sheetPr>
    <pageSetUpPr autoPageBreaks="0" fitToPage="1"/>
  </sheetPr>
  <dimension ref="A1:P249"/>
  <sheetViews>
    <sheetView showGridLines="0" topLeftCell="A2" zoomScaleNormal="100" workbookViewId="0">
      <selection activeCell="A2" sqref="A2"/>
    </sheetView>
  </sheetViews>
  <sheetFormatPr defaultRowHeight="15"/>
  <cols>
    <col min="1" max="1" width="4.28515625" style="65" customWidth="1"/>
    <col min="2" max="2" width="1.42578125" style="65" customWidth="1"/>
    <col min="3" max="3" width="12.7109375" style="65" customWidth="1"/>
    <col min="4" max="4" width="18.28515625" style="65" customWidth="1"/>
    <col min="5" max="10" width="15.7109375" style="65" customWidth="1"/>
    <col min="11" max="11" width="1.42578125" style="65" customWidth="1"/>
    <col min="12" max="12" width="4.28515625" style="65" customWidth="1"/>
    <col min="13" max="13" width="15.7109375" style="308" customWidth="1"/>
    <col min="14" max="14" width="15.7109375" style="133" customWidth="1"/>
    <col min="15" max="16384" width="9.140625" style="65"/>
  </cols>
  <sheetData>
    <row r="1" spans="1:16" hidden="1">
      <c r="C1" s="389" t="s">
        <v>181</v>
      </c>
      <c r="D1" s="65" t="s">
        <v>386</v>
      </c>
      <c r="G1" s="156" t="s">
        <v>319</v>
      </c>
      <c r="H1" s="65" t="s">
        <v>385</v>
      </c>
      <c r="I1" s="156" t="s">
        <v>177</v>
      </c>
      <c r="J1" s="65" t="str">
        <f>IFERROR(Jurisdiction,"AU")</f>
        <v>AU</v>
      </c>
    </row>
    <row r="2" spans="1:16" s="17" customFormat="1" ht="7.5" customHeight="1" thickBot="1">
      <c r="A2" s="388"/>
      <c r="C2" s="129"/>
      <c r="D2" s="129"/>
      <c r="M2" s="223"/>
      <c r="N2" s="18"/>
      <c r="P2" s="111"/>
    </row>
    <row r="3" spans="1:16" s="17" customFormat="1" ht="24.95" customHeight="1" thickTop="1">
      <c r="A3" s="118"/>
      <c r="C3" s="128" t="s">
        <v>384</v>
      </c>
      <c r="D3" s="127"/>
      <c r="E3" s="127"/>
      <c r="F3" s="127"/>
      <c r="H3" s="387"/>
      <c r="I3"/>
      <c r="J3" s="390" t="s">
        <v>174</v>
      </c>
      <c r="K3" s="65"/>
      <c r="M3" s="223"/>
    </row>
    <row r="4" spans="1:16" s="17" customFormat="1" ht="22.5" customHeight="1">
      <c r="A4" s="118"/>
      <c r="B4" s="127"/>
      <c r="C4" s="304" t="str">
        <f>_xlfn.TEXTJOIN(" ",1,IFERROR(_xlfn.SINGLE(Cl_Name),"Client Name"),IF(IFERROR(_xlfn.SINGLE(Cl_Code),"")="","","("&amp;_xlfn.SINGLE(Cl_Code)&amp;")"))</f>
        <v>Springrange Holdings Pty Ltd (MuM001)</v>
      </c>
      <c r="D4" s="127"/>
      <c r="E4" s="127"/>
      <c r="F4" s="127"/>
      <c r="J4" s="126"/>
      <c r="M4" s="223"/>
    </row>
    <row r="5" spans="1:16" s="17" customFormat="1" ht="22.5" customHeight="1">
      <c r="A5" s="118"/>
      <c r="C5" s="1495">
        <f>IFERROR(_xlfn.SINGLE(PeriodEndDate),DATE(1900,1,1))</f>
        <v>45473</v>
      </c>
      <c r="D5" s="1496"/>
      <c r="E5" s="124"/>
      <c r="J5" s="123"/>
      <c r="K5" s="123"/>
      <c r="M5" s="223"/>
      <c r="N5" s="18"/>
    </row>
    <row r="6" spans="1:16" s="17" customFormat="1" ht="7.5" customHeight="1">
      <c r="A6" s="118"/>
      <c r="B6" s="117"/>
      <c r="C6" s="117"/>
      <c r="D6" s="117"/>
      <c r="E6" s="117"/>
      <c r="F6" s="117"/>
      <c r="G6" s="90"/>
      <c r="H6" s="90"/>
      <c r="I6" s="90"/>
      <c r="J6" s="90"/>
      <c r="K6" s="90"/>
      <c r="M6" s="223"/>
      <c r="N6" s="18"/>
    </row>
    <row r="7" spans="1:16" s="17" customFormat="1" ht="7.5" customHeight="1">
      <c r="M7" s="223"/>
      <c r="N7" s="18"/>
    </row>
    <row r="8" spans="1:16" ht="17.25" customHeight="1">
      <c r="C8" s="1516" t="s">
        <v>383</v>
      </c>
      <c r="D8" s="1516"/>
      <c r="E8" s="1516"/>
      <c r="F8" s="1516"/>
      <c r="G8" s="1516"/>
      <c r="H8" s="1516"/>
      <c r="I8" s="1516"/>
      <c r="J8" s="1516"/>
    </row>
    <row r="9" spans="1:16" s="133" customFormat="1" ht="17.25" customHeight="1">
      <c r="C9" s="1447" t="s">
        <v>382</v>
      </c>
      <c r="D9" s="1447"/>
      <c r="E9" s="1447"/>
      <c r="F9" s="1447"/>
      <c r="G9" s="1447"/>
      <c r="H9" s="1447"/>
      <c r="I9" s="1447"/>
      <c r="J9" s="1447"/>
      <c r="M9" s="308"/>
    </row>
    <row r="10" spans="1:16" ht="7.5" customHeight="1">
      <c r="B10" s="289"/>
      <c r="C10" s="289"/>
      <c r="D10" s="289"/>
      <c r="E10" s="289"/>
      <c r="F10" s="289"/>
      <c r="G10" s="289"/>
      <c r="H10" s="386"/>
      <c r="I10" s="386"/>
    </row>
    <row r="11" spans="1:16" ht="22.5" customHeight="1">
      <c r="C11" s="385" t="s">
        <v>381</v>
      </c>
      <c r="D11" s="32"/>
      <c r="E11" s="32"/>
      <c r="F11" s="32"/>
    </row>
    <row r="12" spans="1:16" ht="7.5" customHeight="1">
      <c r="B12" s="156"/>
      <c r="C12" s="32"/>
      <c r="D12" s="32"/>
      <c r="E12" s="32"/>
      <c r="F12" s="32"/>
    </row>
    <row r="13" spans="1:16" s="380" customFormat="1" ht="22.5" customHeight="1">
      <c r="C13" s="1590" t="s">
        <v>68</v>
      </c>
      <c r="D13" s="1591"/>
      <c r="E13" s="1591"/>
      <c r="F13" s="384" t="s">
        <v>380</v>
      </c>
      <c r="G13" s="384" t="s">
        <v>379</v>
      </c>
      <c r="H13" s="384" t="s">
        <v>280</v>
      </c>
      <c r="I13" s="383"/>
      <c r="J13" s="372"/>
      <c r="M13" s="382"/>
      <c r="N13" s="381"/>
    </row>
    <row r="14" spans="1:16" ht="7.5" customHeight="1">
      <c r="D14" s="284"/>
      <c r="E14" s="284"/>
      <c r="F14" s="32"/>
      <c r="G14" s="32"/>
      <c r="J14" s="372"/>
      <c r="M14" s="335"/>
      <c r="N14" s="18"/>
    </row>
    <row r="15" spans="1:16" ht="22.5" customHeight="1">
      <c r="C15" s="1587" t="str">
        <f>Tm_TBAccount_01</f>
        <v>600 Miss U Motel General Transaction</v>
      </c>
      <c r="D15" s="1588"/>
      <c r="E15" s="1589"/>
      <c r="F15" s="375">
        <f>Reconcile_BankAccount1</f>
        <v>0</v>
      </c>
      <c r="G15" s="375">
        <f>Tm_TBBalance_01</f>
        <v>28029.55</v>
      </c>
      <c r="H15" s="379">
        <f t="shared" ref="H15:H20" si="0">IF(G15="",0,G15)-IF(F15="",0,F15)</f>
        <v>28029.55</v>
      </c>
      <c r="I15" s="378" t="str">
        <f>G23</f>
        <v>Out of Balance</v>
      </c>
      <c r="J15" s="372"/>
      <c r="M15" s="335"/>
      <c r="N15" s="18"/>
    </row>
    <row r="16" spans="1:16" ht="22.5" customHeight="1">
      <c r="C16" s="1587" t="str">
        <f>Tm_TBAccount_02</f>
        <v>SQ-000000 Square Balance</v>
      </c>
      <c r="D16" s="1588"/>
      <c r="E16" s="1589"/>
      <c r="F16" s="375">
        <f>Reconcile_BankAccount2</f>
        <v>0</v>
      </c>
      <c r="G16" s="375">
        <f>Tm_TBBalance_02</f>
        <v>-314.52</v>
      </c>
      <c r="H16" s="377">
        <f t="shared" si="0"/>
        <v>-314.52</v>
      </c>
      <c r="I16" s="376" t="str">
        <f>G61</f>
        <v>Out of Balance</v>
      </c>
      <c r="J16" s="372"/>
      <c r="M16" s="335"/>
      <c r="N16" s="18"/>
    </row>
    <row r="17" spans="1:14" ht="22.5" customHeight="1">
      <c r="C17" s="1587" t="str">
        <f>Tm_TBAccount_03</f>
        <v>SQ-600008 Square Cash Clearing</v>
      </c>
      <c r="D17" s="1588"/>
      <c r="E17" s="1589"/>
      <c r="F17" s="375">
        <f>Reconcile_BankAccount3</f>
        <v>0</v>
      </c>
      <c r="G17" s="375">
        <f>Tm_TBBalance_03</f>
        <v>1237.25</v>
      </c>
      <c r="H17" s="377">
        <f t="shared" si="0"/>
        <v>1237.25</v>
      </c>
      <c r="I17" s="376" t="str">
        <f>G99</f>
        <v>Out of Balance</v>
      </c>
      <c r="J17" s="372"/>
      <c r="M17" s="335"/>
      <c r="N17" s="18"/>
    </row>
    <row r="18" spans="1:14" ht="22.5" customHeight="1">
      <c r="C18" s="1587" t="str">
        <f>Tm_TBAccount_04</f>
        <v>Enter account name…</v>
      </c>
      <c r="D18" s="1588"/>
      <c r="E18" s="1589"/>
      <c r="F18" s="375">
        <f>Reconcile_BankAccount4</f>
        <v>0</v>
      </c>
      <c r="G18" s="375">
        <f>Tm_TBBalance_04</f>
        <v>0</v>
      </c>
      <c r="H18" s="377">
        <f t="shared" si="0"/>
        <v>0</v>
      </c>
      <c r="I18" s="376" t="str">
        <f>G137</f>
        <v>Pending</v>
      </c>
      <c r="J18" s="372"/>
      <c r="M18" s="335"/>
      <c r="N18" s="18"/>
    </row>
    <row r="19" spans="1:14" ht="22.5" customHeight="1">
      <c r="C19" s="1587" t="str">
        <f>Tm_TBAccount_05</f>
        <v>Enter account name…</v>
      </c>
      <c r="D19" s="1588"/>
      <c r="E19" s="1589"/>
      <c r="F19" s="375">
        <f>Reconcile_BankAccount5</f>
        <v>0</v>
      </c>
      <c r="G19" s="375">
        <f>Tm_TBBalance_05</f>
        <v>0</v>
      </c>
      <c r="H19" s="377">
        <f t="shared" si="0"/>
        <v>0</v>
      </c>
      <c r="I19" s="376" t="str">
        <f>G175</f>
        <v>Pending</v>
      </c>
      <c r="J19" s="372"/>
      <c r="M19" s="335"/>
      <c r="N19" s="18"/>
    </row>
    <row r="20" spans="1:14" ht="22.5" customHeight="1">
      <c r="C20" s="1587" t="str">
        <f>Tm_TBAccount_06</f>
        <v>Enter account name…</v>
      </c>
      <c r="D20" s="1588"/>
      <c r="E20" s="1589"/>
      <c r="F20" s="375">
        <f>Reconcile_BankAccount6</f>
        <v>0</v>
      </c>
      <c r="G20" s="375">
        <f>Tm_TBBalance_06</f>
        <v>0</v>
      </c>
      <c r="H20" s="374">
        <f t="shared" si="0"/>
        <v>0</v>
      </c>
      <c r="I20" s="373" t="str">
        <f>G213</f>
        <v>Pending</v>
      </c>
      <c r="J20" s="372"/>
      <c r="M20" s="335"/>
      <c r="N20" s="18"/>
    </row>
    <row r="21" spans="1:14" ht="17.25" hidden="1" customHeight="1">
      <c r="B21" s="371"/>
      <c r="C21" s="370" t="s">
        <v>18</v>
      </c>
      <c r="D21" s="369"/>
      <c r="E21" s="368">
        <f>IFERROR(_xlfn.XLOOKUP("759697b5-8809-49d5-bde3-48023e91033b",RecordInfo.RecordId,RecordInfo.Tolerances),0)</f>
        <v>1</v>
      </c>
      <c r="F21" s="367"/>
      <c r="G21" s="366"/>
      <c r="H21" s="133"/>
      <c r="I21" s="133"/>
      <c r="J21" s="133"/>
    </row>
    <row r="22" spans="1:14" ht="22.5" customHeight="1"/>
    <row r="23" spans="1:14" ht="22.5" customHeight="1">
      <c r="A23" s="61" t="str">
        <f>IF(SUBTOTAL(103,A24),"-","+")</f>
        <v>-</v>
      </c>
      <c r="B23" s="1582" t="s">
        <v>377</v>
      </c>
      <c r="C23" s="1583"/>
      <c r="D23" s="1583"/>
      <c r="E23" s="1584" t="str">
        <f>D27</f>
        <v>600 Miss U Motel General Transaction</v>
      </c>
      <c r="F23" s="1585"/>
      <c r="G23" s="357" t="str">
        <f>J59</f>
        <v>Out of Balance</v>
      </c>
      <c r="H23" s="356"/>
      <c r="I23" s="355"/>
      <c r="J23" s="355"/>
      <c r="M23" s="1412" t="s">
        <v>155</v>
      </c>
      <c r="N23" s="1413"/>
    </row>
    <row r="24" spans="1:14" ht="7.5" customHeight="1">
      <c r="A24" s="65" t="s">
        <v>58</v>
      </c>
      <c r="B24" s="359"/>
      <c r="C24" s="165"/>
      <c r="D24" s="165"/>
      <c r="G24" s="165"/>
      <c r="H24" s="165"/>
      <c r="I24" s="165"/>
      <c r="J24" s="165"/>
      <c r="K24" s="358"/>
    </row>
    <row r="25" spans="1:14" ht="17.25" customHeight="1">
      <c r="B25" s="204"/>
      <c r="C25" s="156" t="s">
        <v>371</v>
      </c>
      <c r="K25" s="201"/>
    </row>
    <row r="26" spans="1:14" ht="7.5" customHeight="1">
      <c r="B26" s="204"/>
      <c r="K26" s="201"/>
    </row>
    <row r="27" spans="1:14" ht="17.25" customHeight="1">
      <c r="B27" s="204"/>
      <c r="C27" s="344" t="s">
        <v>370</v>
      </c>
      <c r="D27" s="1586" t="s">
        <v>387</v>
      </c>
      <c r="E27" s="1586"/>
      <c r="F27" s="1586"/>
      <c r="G27" s="1586"/>
      <c r="H27" s="1586"/>
      <c r="I27" s="1586"/>
      <c r="J27" s="1586"/>
      <c r="K27" s="201"/>
      <c r="M27" s="310"/>
      <c r="N27" s="22"/>
    </row>
    <row r="28" spans="1:14" ht="7.5" customHeight="1">
      <c r="B28" s="204"/>
      <c r="K28" s="201"/>
      <c r="M28" s="354"/>
      <c r="N28" s="353"/>
    </row>
    <row r="29" spans="1:14" ht="17.25" customHeight="1">
      <c r="B29" s="204"/>
      <c r="C29" s="71" t="str">
        <f>IF(Tm_Jurisdiction="AU", "BSB", IF(Tm_Jurisdiction="GB", "Sort Code", IF(Tm_Jurisdiction="NZ", "Bank Code", "")))</f>
        <v>BSB</v>
      </c>
      <c r="D29" s="1576"/>
      <c r="E29" s="1577"/>
      <c r="F29" s="352" t="s">
        <v>368</v>
      </c>
      <c r="G29" s="1578"/>
      <c r="H29" s="1578"/>
      <c r="I29" s="1578"/>
      <c r="J29" s="1578"/>
      <c r="K29" s="201"/>
      <c r="M29" s="310"/>
      <c r="N29" s="22"/>
    </row>
    <row r="30" spans="1:14" ht="7.5" customHeight="1">
      <c r="B30" s="204"/>
      <c r="K30" s="201"/>
      <c r="M30" s="223"/>
      <c r="N30" s="18"/>
    </row>
    <row r="31" spans="1:14" ht="17.25" customHeight="1">
      <c r="B31" s="204"/>
      <c r="C31" s="344" t="s">
        <v>367</v>
      </c>
      <c r="D31" s="351">
        <f>C5</f>
        <v>45473</v>
      </c>
      <c r="K31" s="201"/>
      <c r="M31" s="310"/>
      <c r="N31" s="22"/>
    </row>
    <row r="32" spans="1:14" ht="17.25" customHeight="1">
      <c r="B32" s="204"/>
      <c r="K32" s="201"/>
      <c r="M32" s="354"/>
      <c r="N32" s="353"/>
    </row>
    <row r="33" spans="2:14" ht="17.25" customHeight="1">
      <c r="B33" s="204"/>
      <c r="C33" s="344" t="s">
        <v>366</v>
      </c>
      <c r="E33" s="350"/>
      <c r="J33" s="347"/>
      <c r="K33" s="201"/>
      <c r="M33" s="310"/>
      <c r="N33" s="22"/>
    </row>
    <row r="34" spans="2:14" ht="7.5" customHeight="1">
      <c r="B34" s="204"/>
      <c r="C34" s="71"/>
      <c r="E34" s="77"/>
      <c r="G34" s="349"/>
      <c r="K34" s="201"/>
    </row>
    <row r="35" spans="2:14" ht="17.25" customHeight="1">
      <c r="B35" s="204"/>
      <c r="C35" s="348" t="s">
        <v>365</v>
      </c>
      <c r="E35" s="342"/>
      <c r="J35" s="347"/>
      <c r="K35" s="201"/>
      <c r="M35" s="310"/>
      <c r="N35" s="22"/>
    </row>
    <row r="36" spans="2:14" ht="7.5" customHeight="1">
      <c r="B36" s="204"/>
      <c r="C36" s="346"/>
      <c r="E36" s="341"/>
      <c r="J36" s="345"/>
      <c r="K36" s="201"/>
    </row>
    <row r="37" spans="2:14" ht="17.25" customHeight="1">
      <c r="B37" s="204"/>
      <c r="C37" s="344" t="s">
        <v>364</v>
      </c>
      <c r="J37" s="343">
        <f>SUM(J33:J35)</f>
        <v>0</v>
      </c>
      <c r="K37" s="201"/>
      <c r="M37" s="310"/>
      <c r="N37" s="22"/>
    </row>
    <row r="38" spans="2:14" ht="7.5" customHeight="1">
      <c r="B38" s="204"/>
      <c r="C38" s="156"/>
      <c r="J38" s="343"/>
      <c r="K38" s="201"/>
    </row>
    <row r="39" spans="2:14" ht="17.25" customHeight="1">
      <c r="B39" s="204"/>
      <c r="C39" s="109" t="s">
        <v>363</v>
      </c>
      <c r="E39" s="342"/>
      <c r="F39" s="341"/>
      <c r="K39" s="201"/>
    </row>
    <row r="40" spans="2:14" ht="7.5" customHeight="1">
      <c r="B40" s="204"/>
      <c r="C40" s="109"/>
      <c r="E40" s="342"/>
      <c r="F40" s="341"/>
      <c r="K40" s="201"/>
    </row>
    <row r="41" spans="2:14" ht="22.5" customHeight="1">
      <c r="B41" s="204"/>
      <c r="C41" s="340" t="s">
        <v>361</v>
      </c>
      <c r="D41" s="339" t="s">
        <v>360</v>
      </c>
      <c r="E41" s="1428" t="s">
        <v>359</v>
      </c>
      <c r="F41" s="1428"/>
      <c r="G41" s="1428"/>
      <c r="H41" s="1428"/>
      <c r="I41" s="1428"/>
      <c r="J41" s="338" t="s">
        <v>358</v>
      </c>
      <c r="K41" s="201"/>
      <c r="M41" s="335"/>
      <c r="N41" s="334"/>
    </row>
    <row r="42" spans="2:14" ht="7.5" customHeight="1">
      <c r="B42" s="204"/>
      <c r="C42" s="32"/>
      <c r="D42" s="32"/>
      <c r="E42" s="336"/>
      <c r="F42" s="337"/>
      <c r="G42" s="337"/>
      <c r="H42" s="336"/>
      <c r="J42" s="32"/>
      <c r="K42" s="201"/>
      <c r="M42" s="335"/>
      <c r="N42" s="334"/>
    </row>
    <row r="43" spans="2:14" ht="17.25" customHeight="1">
      <c r="B43" s="204"/>
      <c r="C43" s="319"/>
      <c r="D43" s="318"/>
      <c r="E43" s="1570"/>
      <c r="F43" s="1571"/>
      <c r="G43" s="1571"/>
      <c r="H43" s="1571"/>
      <c r="I43" s="1572"/>
      <c r="J43" s="317"/>
      <c r="K43" s="201"/>
      <c r="M43" s="310"/>
      <c r="N43" s="22"/>
    </row>
    <row r="44" spans="2:14" ht="17.25" customHeight="1">
      <c r="B44" s="204"/>
      <c r="C44" s="319"/>
      <c r="D44" s="318"/>
      <c r="E44" s="1570"/>
      <c r="F44" s="1571"/>
      <c r="G44" s="1571"/>
      <c r="H44" s="1571"/>
      <c r="I44" s="1572"/>
      <c r="J44" s="317"/>
      <c r="K44" s="201"/>
      <c r="M44" s="310"/>
      <c r="N44" s="22"/>
    </row>
    <row r="45" spans="2:14" ht="17.25" customHeight="1">
      <c r="B45" s="204"/>
      <c r="C45" s="319"/>
      <c r="D45" s="318"/>
      <c r="E45" s="1570"/>
      <c r="F45" s="1571"/>
      <c r="G45" s="1571"/>
      <c r="H45" s="1571"/>
      <c r="I45" s="1572"/>
      <c r="J45" s="317"/>
      <c r="K45" s="201"/>
      <c r="M45" s="310"/>
      <c r="N45" s="22"/>
    </row>
    <row r="46" spans="2:14" ht="17.25" customHeight="1">
      <c r="B46" s="204"/>
      <c r="C46" s="316"/>
      <c r="D46" s="316"/>
      <c r="E46" s="316"/>
      <c r="F46" s="316"/>
      <c r="G46" s="1573"/>
      <c r="H46" s="1574"/>
      <c r="I46" s="316"/>
      <c r="J46" s="315">
        <f>SUM(J43:J45)</f>
        <v>0</v>
      </c>
      <c r="K46" s="201"/>
      <c r="M46" s="310"/>
      <c r="N46" s="22"/>
    </row>
    <row r="47" spans="2:14" ht="17.25" customHeight="1">
      <c r="B47" s="204"/>
      <c r="C47" s="329" t="s">
        <v>362</v>
      </c>
      <c r="D47" s="316"/>
      <c r="E47" s="328"/>
      <c r="F47" s="327"/>
      <c r="G47" s="316"/>
      <c r="H47" s="316"/>
      <c r="I47" s="316"/>
      <c r="J47" s="316"/>
      <c r="K47" s="201"/>
    </row>
    <row r="48" spans="2:14" ht="7.5" customHeight="1">
      <c r="B48" s="204"/>
      <c r="C48" s="329"/>
      <c r="D48" s="316"/>
      <c r="E48" s="328"/>
      <c r="F48" s="327"/>
      <c r="G48" s="316"/>
      <c r="H48" s="316"/>
      <c r="I48" s="316"/>
      <c r="J48" s="316"/>
      <c r="K48" s="201"/>
    </row>
    <row r="49" spans="1:14" ht="22.5" customHeight="1">
      <c r="B49" s="204"/>
      <c r="C49" s="326" t="s">
        <v>361</v>
      </c>
      <c r="D49" s="325" t="s">
        <v>360</v>
      </c>
      <c r="E49" s="1569" t="s">
        <v>359</v>
      </c>
      <c r="F49" s="1569"/>
      <c r="G49" s="1569"/>
      <c r="H49" s="1569"/>
      <c r="I49" s="1569"/>
      <c r="J49" s="324" t="s">
        <v>358</v>
      </c>
      <c r="K49" s="201"/>
    </row>
    <row r="50" spans="1:14" ht="7.5" customHeight="1">
      <c r="B50" s="204"/>
      <c r="C50" s="321"/>
      <c r="D50" s="321"/>
      <c r="E50" s="322"/>
      <c r="F50" s="323"/>
      <c r="G50" s="323"/>
      <c r="H50" s="322"/>
      <c r="I50" s="316"/>
      <c r="J50" s="321"/>
      <c r="K50" s="201"/>
    </row>
    <row r="51" spans="1:14" ht="17.25" customHeight="1">
      <c r="B51" s="204"/>
      <c r="C51" s="319"/>
      <c r="D51" s="318"/>
      <c r="E51" s="1570"/>
      <c r="F51" s="1571"/>
      <c r="G51" s="1571"/>
      <c r="H51" s="1571"/>
      <c r="I51" s="1572"/>
      <c r="J51" s="317"/>
      <c r="K51" s="201"/>
      <c r="M51" s="310"/>
      <c r="N51" s="22"/>
    </row>
    <row r="52" spans="1:14" ht="17.25" customHeight="1">
      <c r="B52" s="204"/>
      <c r="C52" s="319"/>
      <c r="D52" s="318"/>
      <c r="E52" s="1570"/>
      <c r="F52" s="1571"/>
      <c r="G52" s="1571"/>
      <c r="H52" s="1571"/>
      <c r="I52" s="1572"/>
      <c r="J52" s="317"/>
      <c r="K52" s="201"/>
      <c r="M52" s="310"/>
      <c r="N52" s="22"/>
    </row>
    <row r="53" spans="1:14" ht="17.25" customHeight="1">
      <c r="B53" s="204"/>
      <c r="C53" s="319"/>
      <c r="D53" s="318"/>
      <c r="E53" s="1570"/>
      <c r="F53" s="1571"/>
      <c r="G53" s="1571"/>
      <c r="H53" s="1571"/>
      <c r="I53" s="1572"/>
      <c r="J53" s="317"/>
      <c r="K53" s="201"/>
      <c r="M53" s="310"/>
      <c r="N53" s="22"/>
    </row>
    <row r="54" spans="1:14" ht="17.25" customHeight="1">
      <c r="B54" s="204"/>
      <c r="C54" s="316"/>
      <c r="D54" s="316"/>
      <c r="E54" s="316"/>
      <c r="F54" s="316"/>
      <c r="G54" s="1573"/>
      <c r="H54" s="1574"/>
      <c r="I54" s="316"/>
      <c r="J54" s="315">
        <f>SUM(J51:J53)</f>
        <v>0</v>
      </c>
      <c r="K54" s="201"/>
      <c r="M54" s="310"/>
      <c r="N54" s="22"/>
    </row>
    <row r="55" spans="1:14" ht="7.5" customHeight="1">
      <c r="B55" s="204"/>
      <c r="G55" s="77"/>
      <c r="H55" s="282"/>
      <c r="J55" s="330"/>
      <c r="K55" s="201"/>
    </row>
    <row r="56" spans="1:14" ht="17.25" customHeight="1">
      <c r="B56" s="204"/>
      <c r="C56" s="287" t="s">
        <v>357</v>
      </c>
      <c r="E56" s="282"/>
      <c r="F56" s="313"/>
      <c r="G56" s="1567"/>
      <c r="H56" s="1568"/>
      <c r="J56" s="314">
        <f>J37-J46+J54</f>
        <v>0</v>
      </c>
      <c r="K56" s="201"/>
      <c r="M56" s="310"/>
      <c r="N56" s="22"/>
    </row>
    <row r="57" spans="1:14" ht="17.25" customHeight="1">
      <c r="B57" s="204"/>
      <c r="C57" s="287" t="s">
        <v>356</v>
      </c>
      <c r="G57" s="1567"/>
      <c r="H57" s="1568"/>
      <c r="J57" s="312">
        <f>IFERROR(_xlfn.XLOOKUP("a6bfd5c9-19b3-401d-b3ee-17542a00c6b3",Tx_LedgerReport.SourceAccountId,PrimaryBalances),0)</f>
        <v>28029.55</v>
      </c>
      <c r="K57" s="201"/>
      <c r="M57" s="310"/>
      <c r="N57" s="22"/>
    </row>
    <row r="58" spans="1:14" ht="16.899999999999999" customHeight="1">
      <c r="B58" s="204"/>
      <c r="C58" s="287" t="s">
        <v>280</v>
      </c>
      <c r="H58" s="77"/>
      <c r="J58" s="311">
        <f>J57-J56</f>
        <v>28029.55</v>
      </c>
      <c r="K58" s="201"/>
      <c r="M58" s="310"/>
      <c r="N58" s="22"/>
    </row>
    <row r="59" spans="1:14" ht="7.5" customHeight="1">
      <c r="B59" s="172"/>
      <c r="C59" s="286"/>
      <c r="D59" s="286"/>
      <c r="E59" s="286"/>
      <c r="F59" s="286"/>
      <c r="G59" s="286"/>
      <c r="H59" s="286"/>
      <c r="I59" s="286"/>
      <c r="J59" s="309" t="str">
        <f>IF(AND(J56=0,J57=0),"Pending",IF(ABS(J58)&gt;Tm_Tolerance,"Out of Balance","Reconciled"))</f>
        <v>Out of Balance</v>
      </c>
      <c r="K59" s="285"/>
    </row>
    <row r="60" spans="1:14" ht="17.25" customHeight="1"/>
    <row r="61" spans="1:14" ht="22.5" customHeight="1">
      <c r="A61" s="61" t="str">
        <f>IF(SUBTOTAL(103,A62),"-","+")</f>
        <v>+</v>
      </c>
      <c r="B61" s="1582" t="s">
        <v>376</v>
      </c>
      <c r="C61" s="1583"/>
      <c r="D61" s="1583"/>
      <c r="E61" s="1584" t="str">
        <f>D65</f>
        <v>SQ-000000 Square Balance</v>
      </c>
      <c r="F61" s="1585"/>
      <c r="G61" s="357" t="str">
        <f>J97</f>
        <v>Out of Balance</v>
      </c>
      <c r="H61" s="356"/>
      <c r="I61" s="355"/>
      <c r="J61" s="355"/>
    </row>
    <row r="62" spans="1:14" ht="7.5" hidden="1" customHeight="1">
      <c r="A62" s="65" t="s">
        <v>58</v>
      </c>
      <c r="B62" s="359"/>
      <c r="C62" s="165"/>
      <c r="D62" s="165"/>
      <c r="G62" s="165"/>
      <c r="H62" s="165"/>
      <c r="I62" s="165"/>
      <c r="J62" s="165"/>
      <c r="K62" s="358"/>
    </row>
    <row r="63" spans="1:14" ht="17.25" hidden="1" customHeight="1">
      <c r="B63" s="204"/>
      <c r="C63" s="156" t="s">
        <v>371</v>
      </c>
      <c r="K63" s="201"/>
      <c r="M63" s="1432"/>
      <c r="N63" s="1432"/>
    </row>
    <row r="64" spans="1:14" ht="7.5" hidden="1" customHeight="1">
      <c r="B64" s="204"/>
      <c r="K64" s="201"/>
    </row>
    <row r="65" spans="2:14" ht="17.25" hidden="1" customHeight="1">
      <c r="B65" s="204"/>
      <c r="C65" s="344" t="s">
        <v>370</v>
      </c>
      <c r="D65" s="1575" t="s">
        <v>388</v>
      </c>
      <c r="E65" s="1575"/>
      <c r="F65" s="1575"/>
      <c r="G65" s="1575"/>
      <c r="H65" s="1575"/>
      <c r="I65" s="1575"/>
      <c r="J65" s="1575"/>
      <c r="K65" s="201"/>
      <c r="M65" s="310"/>
      <c r="N65" s="22"/>
    </row>
    <row r="66" spans="2:14" ht="7.5" hidden="1" customHeight="1">
      <c r="B66" s="204"/>
      <c r="K66" s="201"/>
      <c r="M66" s="354"/>
      <c r="N66" s="353"/>
    </row>
    <row r="67" spans="2:14" ht="17.25" hidden="1" customHeight="1">
      <c r="B67" s="204"/>
      <c r="C67" s="71" t="str">
        <f>IF(Tm_Jurisdiction="AU", "BSB", IF(Tm_Jurisdiction="GB", "Sort Code", IF(Tm_Jurisdiction="NZ", "Bank Code", "")))</f>
        <v>BSB</v>
      </c>
      <c r="D67" s="1576"/>
      <c r="E67" s="1577"/>
      <c r="F67" s="352" t="s">
        <v>368</v>
      </c>
      <c r="G67" s="1578"/>
      <c r="H67" s="1578"/>
      <c r="I67" s="1578"/>
      <c r="J67" s="1578"/>
      <c r="K67" s="201"/>
      <c r="M67" s="310"/>
      <c r="N67" s="22"/>
    </row>
    <row r="68" spans="2:14" ht="7.5" hidden="1" customHeight="1">
      <c r="B68" s="204"/>
      <c r="K68" s="201"/>
      <c r="M68" s="223"/>
      <c r="N68" s="18"/>
    </row>
    <row r="69" spans="2:14" ht="17.25" hidden="1" customHeight="1">
      <c r="B69" s="204"/>
      <c r="C69" s="344" t="s">
        <v>367</v>
      </c>
      <c r="D69" s="351">
        <f>C5</f>
        <v>45473</v>
      </c>
      <c r="K69" s="201"/>
      <c r="M69" s="310"/>
      <c r="N69" s="22"/>
    </row>
    <row r="70" spans="2:14" ht="17.25" hidden="1" customHeight="1">
      <c r="B70" s="204"/>
      <c r="K70" s="201"/>
      <c r="M70" s="354"/>
      <c r="N70" s="353"/>
    </row>
    <row r="71" spans="2:14" ht="17.25" hidden="1" customHeight="1">
      <c r="B71" s="204"/>
      <c r="C71" s="344" t="s">
        <v>366</v>
      </c>
      <c r="E71" s="350"/>
      <c r="J71" s="347"/>
      <c r="K71" s="201"/>
      <c r="M71" s="310"/>
      <c r="N71" s="22"/>
    </row>
    <row r="72" spans="2:14" ht="7.5" hidden="1" customHeight="1">
      <c r="B72" s="204"/>
      <c r="C72" s="71"/>
      <c r="E72" s="77"/>
      <c r="G72" s="349"/>
      <c r="K72" s="201"/>
    </row>
    <row r="73" spans="2:14" ht="16.899999999999999" hidden="1" customHeight="1">
      <c r="B73" s="204"/>
      <c r="C73" s="348" t="s">
        <v>365</v>
      </c>
      <c r="E73" s="342"/>
      <c r="J73" s="347"/>
      <c r="K73" s="201"/>
      <c r="M73" s="310"/>
      <c r="N73" s="22"/>
    </row>
    <row r="74" spans="2:14" ht="7.5" hidden="1" customHeight="1">
      <c r="B74" s="204"/>
      <c r="C74" s="346"/>
      <c r="E74" s="341"/>
      <c r="J74" s="345"/>
      <c r="K74" s="201"/>
    </row>
    <row r="75" spans="2:14" hidden="1">
      <c r="B75" s="204"/>
      <c r="C75" s="344" t="s">
        <v>364</v>
      </c>
      <c r="J75" s="343">
        <f>SUM(J71:J73)</f>
        <v>0</v>
      </c>
      <c r="K75" s="201"/>
      <c r="M75" s="310"/>
      <c r="N75" s="22"/>
    </row>
    <row r="76" spans="2:14" ht="7.5" hidden="1" customHeight="1">
      <c r="B76" s="204"/>
      <c r="C76" s="156"/>
      <c r="J76" s="343"/>
      <c r="K76" s="201"/>
    </row>
    <row r="77" spans="2:14" hidden="1">
      <c r="B77" s="204"/>
      <c r="C77" s="109" t="s">
        <v>363</v>
      </c>
      <c r="E77" s="342"/>
      <c r="F77" s="341"/>
      <c r="K77" s="201"/>
    </row>
    <row r="78" spans="2:14" ht="7.5" hidden="1" customHeight="1">
      <c r="B78" s="204"/>
      <c r="C78" s="109"/>
      <c r="E78" s="342"/>
      <c r="F78" s="341"/>
      <c r="K78" s="201"/>
    </row>
    <row r="79" spans="2:14" ht="22.5" hidden="1" customHeight="1">
      <c r="B79" s="204"/>
      <c r="C79" s="340" t="s">
        <v>361</v>
      </c>
      <c r="D79" s="339" t="s">
        <v>360</v>
      </c>
      <c r="E79" s="1428" t="s">
        <v>359</v>
      </c>
      <c r="F79" s="1428"/>
      <c r="G79" s="1428"/>
      <c r="H79" s="1428"/>
      <c r="I79" s="1428"/>
      <c r="J79" s="338" t="s">
        <v>358</v>
      </c>
      <c r="K79" s="201"/>
      <c r="M79" s="335"/>
      <c r="N79" s="334"/>
    </row>
    <row r="80" spans="2:14" ht="7.5" hidden="1" customHeight="1">
      <c r="B80" s="204"/>
      <c r="C80" s="32"/>
      <c r="D80" s="32"/>
      <c r="E80" s="336"/>
      <c r="F80" s="337"/>
      <c r="G80" s="337"/>
      <c r="H80" s="336"/>
      <c r="J80" s="32"/>
      <c r="K80" s="201"/>
      <c r="M80" s="335"/>
      <c r="N80" s="334"/>
    </row>
    <row r="81" spans="2:14" ht="17.25" hidden="1" customHeight="1">
      <c r="B81" s="204"/>
      <c r="C81" s="333"/>
      <c r="D81" s="332"/>
      <c r="E81" s="1579"/>
      <c r="F81" s="1580"/>
      <c r="G81" s="1580"/>
      <c r="H81" s="1580"/>
      <c r="I81" s="1581"/>
      <c r="J81" s="331"/>
      <c r="K81" s="201"/>
      <c r="M81" s="310"/>
      <c r="N81" s="22"/>
    </row>
    <row r="82" spans="2:14" ht="17.25" hidden="1" customHeight="1">
      <c r="B82" s="204"/>
      <c r="C82" s="333"/>
      <c r="D82" s="332"/>
      <c r="E82" s="1579"/>
      <c r="F82" s="1580"/>
      <c r="G82" s="1580"/>
      <c r="H82" s="1580"/>
      <c r="I82" s="1581"/>
      <c r="J82" s="331"/>
      <c r="K82" s="201"/>
      <c r="M82" s="310"/>
      <c r="N82" s="22"/>
    </row>
    <row r="83" spans="2:14" ht="17.25" hidden="1" customHeight="1">
      <c r="B83" s="204"/>
      <c r="C83" s="333"/>
      <c r="D83" s="332"/>
      <c r="E83" s="1579"/>
      <c r="F83" s="1580"/>
      <c r="G83" s="1580"/>
      <c r="H83" s="1580"/>
      <c r="I83" s="1581"/>
      <c r="J83" s="331"/>
      <c r="K83" s="201"/>
      <c r="M83" s="310"/>
      <c r="N83" s="22"/>
    </row>
    <row r="84" spans="2:14" ht="17.25" hidden="1" customHeight="1">
      <c r="B84" s="204"/>
      <c r="G84" s="1423"/>
      <c r="H84" s="1405"/>
      <c r="J84" s="330">
        <f>SUM(J81:J83)</f>
        <v>0</v>
      </c>
      <c r="K84" s="201"/>
      <c r="M84" s="310"/>
      <c r="N84" s="22"/>
    </row>
    <row r="85" spans="2:14" ht="17.25" hidden="1" customHeight="1">
      <c r="B85" s="204"/>
      <c r="C85" s="329" t="s">
        <v>362</v>
      </c>
      <c r="D85" s="316"/>
      <c r="E85" s="328"/>
      <c r="F85" s="327"/>
      <c r="G85" s="316"/>
      <c r="H85" s="316"/>
      <c r="I85" s="316"/>
      <c r="J85" s="316"/>
      <c r="K85" s="201"/>
    </row>
    <row r="86" spans="2:14" ht="7.5" hidden="1" customHeight="1">
      <c r="B86" s="204"/>
      <c r="C86" s="329"/>
      <c r="D86" s="316"/>
      <c r="E86" s="328"/>
      <c r="F86" s="327"/>
      <c r="G86" s="316"/>
      <c r="H86" s="316"/>
      <c r="I86" s="316"/>
      <c r="J86" s="316"/>
      <c r="K86" s="201"/>
    </row>
    <row r="87" spans="2:14" ht="22.5" hidden="1" customHeight="1">
      <c r="B87" s="204"/>
      <c r="C87" s="326" t="s">
        <v>361</v>
      </c>
      <c r="D87" s="325" t="s">
        <v>360</v>
      </c>
      <c r="E87" s="1569" t="s">
        <v>359</v>
      </c>
      <c r="F87" s="1569"/>
      <c r="G87" s="1569"/>
      <c r="H87" s="1569"/>
      <c r="I87" s="1569"/>
      <c r="J87" s="324" t="s">
        <v>358</v>
      </c>
      <c r="K87" s="201"/>
    </row>
    <row r="88" spans="2:14" ht="7.5" hidden="1" customHeight="1">
      <c r="B88" s="204"/>
      <c r="C88" s="321"/>
      <c r="D88" s="321"/>
      <c r="E88" s="322"/>
      <c r="F88" s="323"/>
      <c r="G88" s="323"/>
      <c r="H88" s="322"/>
      <c r="I88" s="316"/>
      <c r="J88" s="321"/>
      <c r="K88" s="201"/>
    </row>
    <row r="89" spans="2:14" ht="17.25" hidden="1" customHeight="1">
      <c r="B89" s="204"/>
      <c r="C89" s="319"/>
      <c r="D89" s="318"/>
      <c r="E89" s="1570"/>
      <c r="F89" s="1571"/>
      <c r="G89" s="1571"/>
      <c r="H89" s="1571"/>
      <c r="I89" s="1572"/>
      <c r="J89" s="317"/>
      <c r="K89" s="201"/>
      <c r="M89" s="310"/>
      <c r="N89" s="22"/>
    </row>
    <row r="90" spans="2:14" ht="17.25" hidden="1" customHeight="1">
      <c r="B90" s="204"/>
      <c r="C90" s="319"/>
      <c r="D90" s="318"/>
      <c r="E90" s="1570"/>
      <c r="F90" s="1571"/>
      <c r="G90" s="1571"/>
      <c r="H90" s="1571"/>
      <c r="I90" s="1572"/>
      <c r="J90" s="317"/>
      <c r="K90" s="201"/>
      <c r="M90" s="310"/>
      <c r="N90" s="22"/>
    </row>
    <row r="91" spans="2:14" ht="17.25" hidden="1" customHeight="1">
      <c r="B91" s="204"/>
      <c r="C91" s="319"/>
      <c r="D91" s="318"/>
      <c r="E91" s="1570"/>
      <c r="F91" s="1571"/>
      <c r="G91" s="1571"/>
      <c r="H91" s="1571"/>
      <c r="I91" s="1572"/>
      <c r="J91" s="317"/>
      <c r="K91" s="201"/>
      <c r="M91" s="310"/>
      <c r="N91" s="22"/>
    </row>
    <row r="92" spans="2:14" ht="17.25" hidden="1" customHeight="1">
      <c r="B92" s="204"/>
      <c r="C92" s="316"/>
      <c r="D92" s="316"/>
      <c r="E92" s="316"/>
      <c r="F92" s="316"/>
      <c r="G92" s="1573"/>
      <c r="H92" s="1574"/>
      <c r="I92" s="316"/>
      <c r="J92" s="315">
        <f>SUM(J89:J91)</f>
        <v>0</v>
      </c>
      <c r="K92" s="201"/>
      <c r="M92" s="310"/>
      <c r="N92" s="22"/>
    </row>
    <row r="93" spans="2:14" ht="7.5" hidden="1" customHeight="1">
      <c r="B93" s="204"/>
      <c r="G93" s="77"/>
      <c r="H93" s="282"/>
      <c r="K93" s="201"/>
    </row>
    <row r="94" spans="2:14" ht="17.25" hidden="1" customHeight="1">
      <c r="B94" s="204"/>
      <c r="C94" s="287" t="s">
        <v>357</v>
      </c>
      <c r="E94" s="282"/>
      <c r="F94" s="313"/>
      <c r="G94" s="1567"/>
      <c r="H94" s="1568"/>
      <c r="J94" s="314">
        <f>J75-J84+J92</f>
        <v>0</v>
      </c>
      <c r="K94" s="201"/>
      <c r="M94" s="310"/>
      <c r="N94" s="22"/>
    </row>
    <row r="95" spans="2:14" ht="17.25" hidden="1" customHeight="1">
      <c r="B95" s="204"/>
      <c r="C95" s="287" t="s">
        <v>356</v>
      </c>
      <c r="G95" s="1567"/>
      <c r="H95" s="1568"/>
      <c r="J95" s="312">
        <f>IFERROR(_xlfn.XLOOKUP("479471b7-28c1-4404-aace-778b3ee3e32d",Tx_LedgerReport.SourceAccountId,PrimaryBalances),0)</f>
        <v>-314.52</v>
      </c>
      <c r="K95" s="201"/>
      <c r="M95" s="310"/>
      <c r="N95" s="22"/>
    </row>
    <row r="96" spans="2:14" ht="17.25" hidden="1" customHeight="1">
      <c r="B96" s="204"/>
      <c r="C96" s="287" t="s">
        <v>280</v>
      </c>
      <c r="H96" s="77"/>
      <c r="J96" s="311">
        <f>J95-J94</f>
        <v>-314.52</v>
      </c>
      <c r="K96" s="201"/>
      <c r="M96" s="310"/>
      <c r="N96" s="22"/>
    </row>
    <row r="97" spans="1:14" ht="7.5" hidden="1" customHeight="1">
      <c r="B97" s="172"/>
      <c r="C97" s="286"/>
      <c r="D97" s="286"/>
      <c r="E97" s="286"/>
      <c r="F97" s="286"/>
      <c r="G97" s="286"/>
      <c r="H97" s="286"/>
      <c r="I97" s="286"/>
      <c r="J97" s="309" t="str">
        <f>IF(AND(J94=0,J95=0),"Pending",IF(ABS(J96)&gt;Tm_Tolerance,"Out of Balance","Reconciled"))</f>
        <v>Out of Balance</v>
      </c>
      <c r="K97" s="285"/>
    </row>
    <row r="98" spans="1:14" ht="17.25" customHeight="1"/>
    <row r="99" spans="1:14" ht="22.5" customHeight="1">
      <c r="A99" s="61" t="str">
        <f>IF(SUBTOTAL(103,A100),"-","+")</f>
        <v>+</v>
      </c>
      <c r="B99" s="1582" t="s">
        <v>375</v>
      </c>
      <c r="C99" s="1583"/>
      <c r="D99" s="1583"/>
      <c r="E99" s="1592" t="str">
        <f>D103</f>
        <v>SQ-600008 Square Cash Clearing</v>
      </c>
      <c r="F99" s="1593"/>
      <c r="G99" s="357" t="str">
        <f>J135</f>
        <v>Out of Balance</v>
      </c>
      <c r="H99" s="356"/>
      <c r="I99" s="355"/>
      <c r="J99" s="355"/>
    </row>
    <row r="100" spans="1:14" ht="7.5" hidden="1" customHeight="1">
      <c r="A100" s="65" t="s">
        <v>58</v>
      </c>
      <c r="B100" s="359"/>
      <c r="C100" s="165"/>
      <c r="D100" s="165"/>
      <c r="E100" s="165"/>
      <c r="F100" s="165"/>
      <c r="G100" s="165"/>
      <c r="H100" s="165"/>
      <c r="I100" s="165"/>
      <c r="J100" s="165"/>
      <c r="K100" s="358"/>
    </row>
    <row r="101" spans="1:14" ht="17.25" hidden="1" customHeight="1">
      <c r="B101" s="204"/>
      <c r="C101" s="156" t="s">
        <v>371</v>
      </c>
      <c r="K101" s="201"/>
      <c r="M101" s="1432"/>
      <c r="N101" s="1432"/>
    </row>
    <row r="102" spans="1:14" ht="7.5" hidden="1" customHeight="1">
      <c r="B102" s="204"/>
      <c r="K102" s="201"/>
    </row>
    <row r="103" spans="1:14" ht="17.25" hidden="1" customHeight="1">
      <c r="B103" s="204"/>
      <c r="C103" s="344" t="s">
        <v>370</v>
      </c>
      <c r="D103" s="1575" t="s">
        <v>389</v>
      </c>
      <c r="E103" s="1575"/>
      <c r="F103" s="1575"/>
      <c r="G103" s="1575"/>
      <c r="H103" s="1575"/>
      <c r="I103" s="1575"/>
      <c r="J103" s="1575"/>
      <c r="K103" s="201"/>
      <c r="M103" s="310"/>
      <c r="N103" s="22"/>
    </row>
    <row r="104" spans="1:14" ht="7.5" hidden="1" customHeight="1">
      <c r="B104" s="204"/>
      <c r="K104" s="201"/>
      <c r="M104" s="354"/>
      <c r="N104" s="353"/>
    </row>
    <row r="105" spans="1:14" ht="17.25" hidden="1" customHeight="1">
      <c r="B105" s="204"/>
      <c r="C105" s="71" t="str">
        <f>IF(Tm_Jurisdiction="AU", "BSB", IF(Tm_Jurisdiction="GB", "Sort Code", IF(Tm_Jurisdiction="NZ", "Bank Code", "")))</f>
        <v>BSB</v>
      </c>
      <c r="D105" s="1576"/>
      <c r="E105" s="1577"/>
      <c r="F105" s="352" t="s">
        <v>368</v>
      </c>
      <c r="G105" s="1578"/>
      <c r="H105" s="1578"/>
      <c r="I105" s="1578"/>
      <c r="J105" s="1578"/>
      <c r="K105" s="201"/>
      <c r="M105" s="310"/>
      <c r="N105" s="22"/>
    </row>
    <row r="106" spans="1:14" ht="7.5" hidden="1" customHeight="1">
      <c r="B106" s="204"/>
      <c r="K106" s="201"/>
      <c r="M106" s="223"/>
      <c r="N106" s="18"/>
    </row>
    <row r="107" spans="1:14" ht="17.25" hidden="1" customHeight="1">
      <c r="B107" s="204"/>
      <c r="C107" s="344" t="s">
        <v>367</v>
      </c>
      <c r="D107" s="351">
        <f>C5</f>
        <v>45473</v>
      </c>
      <c r="K107" s="201"/>
      <c r="M107" s="310"/>
      <c r="N107" s="22"/>
    </row>
    <row r="108" spans="1:14" ht="17.25" hidden="1" customHeight="1">
      <c r="B108" s="204"/>
      <c r="K108" s="201"/>
      <c r="M108" s="223"/>
      <c r="N108" s="18"/>
    </row>
    <row r="109" spans="1:14" ht="17.25" hidden="1" customHeight="1">
      <c r="B109" s="204"/>
      <c r="C109" s="344" t="s">
        <v>366</v>
      </c>
      <c r="E109" s="350"/>
      <c r="J109" s="347"/>
      <c r="K109" s="201"/>
      <c r="M109" s="310"/>
      <c r="N109" s="22"/>
    </row>
    <row r="110" spans="1:14" ht="7.5" hidden="1" customHeight="1">
      <c r="B110" s="204"/>
      <c r="C110" s="71"/>
      <c r="E110" s="77"/>
      <c r="G110" s="349"/>
      <c r="K110" s="201"/>
    </row>
    <row r="111" spans="1:14" ht="17.25" hidden="1" customHeight="1">
      <c r="B111" s="204"/>
      <c r="C111" s="348" t="s">
        <v>365</v>
      </c>
      <c r="E111" s="342"/>
      <c r="J111" s="347"/>
      <c r="K111" s="201"/>
      <c r="M111" s="310"/>
      <c r="N111" s="22"/>
    </row>
    <row r="112" spans="1:14" ht="7.5" hidden="1" customHeight="1">
      <c r="B112" s="204"/>
      <c r="C112" s="346"/>
      <c r="E112" s="341"/>
      <c r="J112" s="345"/>
      <c r="K112" s="201"/>
    </row>
    <row r="113" spans="2:14" ht="17.25" hidden="1" customHeight="1">
      <c r="B113" s="204"/>
      <c r="C113" s="344" t="s">
        <v>364</v>
      </c>
      <c r="J113" s="343">
        <f>SUM(J109:J111)</f>
        <v>0</v>
      </c>
      <c r="K113" s="201"/>
      <c r="M113" s="310"/>
      <c r="N113" s="22"/>
    </row>
    <row r="114" spans="2:14" ht="7.5" hidden="1" customHeight="1">
      <c r="B114" s="204"/>
      <c r="C114" s="156"/>
      <c r="J114" s="343"/>
      <c r="K114" s="201"/>
    </row>
    <row r="115" spans="2:14" ht="17.25" hidden="1" customHeight="1">
      <c r="B115" s="204"/>
      <c r="C115" s="109" t="s">
        <v>363</v>
      </c>
      <c r="E115" s="342"/>
      <c r="F115" s="341"/>
      <c r="K115" s="201"/>
    </row>
    <row r="116" spans="2:14" ht="7.5" hidden="1" customHeight="1">
      <c r="B116" s="204"/>
      <c r="C116" s="109"/>
      <c r="E116" s="342"/>
      <c r="F116" s="341"/>
      <c r="K116" s="201"/>
    </row>
    <row r="117" spans="2:14" ht="22.5" hidden="1" customHeight="1">
      <c r="B117" s="204"/>
      <c r="C117" s="340" t="s">
        <v>361</v>
      </c>
      <c r="D117" s="339" t="s">
        <v>360</v>
      </c>
      <c r="E117" s="1428" t="s">
        <v>359</v>
      </c>
      <c r="F117" s="1428"/>
      <c r="G117" s="1428"/>
      <c r="H117" s="1428"/>
      <c r="I117" s="1428"/>
      <c r="J117" s="338" t="s">
        <v>358</v>
      </c>
      <c r="K117" s="201"/>
      <c r="M117" s="335"/>
      <c r="N117" s="334"/>
    </row>
    <row r="118" spans="2:14" ht="7.5" hidden="1" customHeight="1">
      <c r="B118" s="204"/>
      <c r="C118" s="32"/>
      <c r="D118" s="32"/>
      <c r="E118" s="336"/>
      <c r="F118" s="337"/>
      <c r="G118" s="337"/>
      <c r="H118" s="336"/>
      <c r="J118" s="32"/>
      <c r="K118" s="201"/>
      <c r="M118" s="335"/>
      <c r="N118" s="334"/>
    </row>
    <row r="119" spans="2:14" ht="17.25" hidden="1" customHeight="1">
      <c r="B119" s="204"/>
      <c r="C119" s="333"/>
      <c r="D119" s="332"/>
      <c r="E119" s="1579"/>
      <c r="F119" s="1580"/>
      <c r="G119" s="1580"/>
      <c r="H119" s="1580"/>
      <c r="I119" s="1581"/>
      <c r="J119" s="331"/>
      <c r="K119" s="201"/>
      <c r="M119" s="310"/>
      <c r="N119" s="22"/>
    </row>
    <row r="120" spans="2:14" ht="17.25" hidden="1" customHeight="1">
      <c r="B120" s="204"/>
      <c r="C120" s="333"/>
      <c r="D120" s="332"/>
      <c r="E120" s="1579"/>
      <c r="F120" s="1580"/>
      <c r="G120" s="1580"/>
      <c r="H120" s="1580"/>
      <c r="I120" s="1581"/>
      <c r="J120" s="331"/>
      <c r="K120" s="201"/>
      <c r="M120" s="310"/>
      <c r="N120" s="22"/>
    </row>
    <row r="121" spans="2:14" ht="17.25" hidden="1" customHeight="1">
      <c r="B121" s="204"/>
      <c r="C121" s="333"/>
      <c r="D121" s="332"/>
      <c r="E121" s="1579"/>
      <c r="F121" s="1580"/>
      <c r="G121" s="1580"/>
      <c r="H121" s="1580"/>
      <c r="I121" s="1581"/>
      <c r="J121" s="331"/>
      <c r="K121" s="201"/>
      <c r="M121" s="310"/>
      <c r="N121" s="22"/>
    </row>
    <row r="122" spans="2:14" ht="17.25" hidden="1" customHeight="1">
      <c r="B122" s="204"/>
      <c r="G122" s="1423"/>
      <c r="H122" s="1405"/>
      <c r="J122" s="330">
        <f>SUM(J119:J121)</f>
        <v>0</v>
      </c>
      <c r="K122" s="201"/>
      <c r="M122" s="310"/>
      <c r="N122" s="22"/>
    </row>
    <row r="123" spans="2:14" ht="17.25" hidden="1" customHeight="1">
      <c r="B123" s="204"/>
      <c r="C123" s="329" t="s">
        <v>362</v>
      </c>
      <c r="D123" s="316"/>
      <c r="E123" s="328"/>
      <c r="F123" s="327"/>
      <c r="G123" s="316"/>
      <c r="H123" s="316"/>
      <c r="I123" s="316"/>
      <c r="J123" s="316"/>
      <c r="K123" s="201"/>
    </row>
    <row r="124" spans="2:14" ht="7.5" hidden="1" customHeight="1">
      <c r="B124" s="204"/>
      <c r="C124" s="329"/>
      <c r="D124" s="316"/>
      <c r="E124" s="328"/>
      <c r="F124" s="327"/>
      <c r="G124" s="316"/>
      <c r="H124" s="316"/>
      <c r="I124" s="316"/>
      <c r="J124" s="316"/>
      <c r="K124" s="201"/>
    </row>
    <row r="125" spans="2:14" ht="22.5" hidden="1" customHeight="1">
      <c r="B125" s="204"/>
      <c r="C125" s="326" t="s">
        <v>361</v>
      </c>
      <c r="D125" s="325" t="s">
        <v>360</v>
      </c>
      <c r="E125" s="1569" t="s">
        <v>359</v>
      </c>
      <c r="F125" s="1569"/>
      <c r="G125" s="1569"/>
      <c r="H125" s="1569"/>
      <c r="I125" s="1569"/>
      <c r="J125" s="324" t="s">
        <v>358</v>
      </c>
      <c r="K125" s="201"/>
    </row>
    <row r="126" spans="2:14" ht="7.5" hidden="1" customHeight="1">
      <c r="B126" s="204"/>
      <c r="C126" s="321"/>
      <c r="D126" s="321"/>
      <c r="E126" s="322"/>
      <c r="F126" s="323"/>
      <c r="G126" s="323"/>
      <c r="H126" s="322"/>
      <c r="I126" s="316"/>
      <c r="J126" s="321"/>
      <c r="K126" s="201"/>
    </row>
    <row r="127" spans="2:14" ht="17.25" hidden="1" customHeight="1">
      <c r="B127" s="204"/>
      <c r="C127" s="319"/>
      <c r="D127" s="318"/>
      <c r="E127" s="1570"/>
      <c r="F127" s="1571"/>
      <c r="G127" s="1571"/>
      <c r="H127" s="1571"/>
      <c r="I127" s="1572"/>
      <c r="J127" s="317"/>
      <c r="K127" s="201"/>
      <c r="M127" s="310"/>
      <c r="N127" s="22"/>
    </row>
    <row r="128" spans="2:14" ht="17.25" hidden="1" customHeight="1">
      <c r="B128" s="204"/>
      <c r="C128" s="319"/>
      <c r="D128" s="318"/>
      <c r="E128" s="1570"/>
      <c r="F128" s="1571"/>
      <c r="G128" s="1571"/>
      <c r="H128" s="1571"/>
      <c r="I128" s="1572"/>
      <c r="J128" s="317"/>
      <c r="K128" s="201"/>
      <c r="M128" s="310"/>
      <c r="N128" s="22"/>
    </row>
    <row r="129" spans="1:14" ht="17.25" hidden="1" customHeight="1">
      <c r="B129" s="204"/>
      <c r="C129" s="319"/>
      <c r="D129" s="318"/>
      <c r="E129" s="1570"/>
      <c r="F129" s="1571"/>
      <c r="G129" s="1571"/>
      <c r="H129" s="1571"/>
      <c r="I129" s="1572"/>
      <c r="J129" s="317"/>
      <c r="K129" s="201"/>
      <c r="M129" s="310"/>
      <c r="N129" s="22"/>
    </row>
    <row r="130" spans="1:14" ht="17.25" hidden="1" customHeight="1">
      <c r="B130" s="204"/>
      <c r="C130" s="316"/>
      <c r="D130" s="316"/>
      <c r="E130" s="316"/>
      <c r="F130" s="316"/>
      <c r="G130" s="1573"/>
      <c r="H130" s="1574"/>
      <c r="I130" s="316"/>
      <c r="J130" s="315">
        <f>SUM(J127:J129)</f>
        <v>0</v>
      </c>
      <c r="K130" s="201"/>
      <c r="M130" s="310"/>
      <c r="N130" s="22"/>
    </row>
    <row r="131" spans="1:14" ht="7.5" hidden="1" customHeight="1">
      <c r="B131" s="204"/>
      <c r="G131" s="77"/>
      <c r="H131" s="282"/>
      <c r="K131" s="201"/>
    </row>
    <row r="132" spans="1:14" ht="17.25" hidden="1" customHeight="1">
      <c r="B132" s="204"/>
      <c r="C132" s="287" t="s">
        <v>357</v>
      </c>
      <c r="E132" s="282"/>
      <c r="F132" s="313"/>
      <c r="G132" s="1567"/>
      <c r="H132" s="1568"/>
      <c r="J132" s="314">
        <f>J113-J122+J130</f>
        <v>0</v>
      </c>
      <c r="K132" s="201"/>
      <c r="M132" s="310"/>
      <c r="N132" s="22"/>
    </row>
    <row r="133" spans="1:14" ht="17.25" hidden="1" customHeight="1">
      <c r="B133" s="204"/>
      <c r="C133" s="287" t="s">
        <v>356</v>
      </c>
      <c r="G133" s="1567"/>
      <c r="H133" s="1568"/>
      <c r="J133" s="312">
        <f>IFERROR(_xlfn.XLOOKUP("5624d777-b77b-4db0-b74d-17f6ad11f2d9",Tx_LedgerReport.SourceAccountId,PrimaryBalances),0)</f>
        <v>1237.25</v>
      </c>
      <c r="K133" s="201"/>
      <c r="M133" s="310"/>
      <c r="N133" s="22"/>
    </row>
    <row r="134" spans="1:14" ht="17.25" hidden="1" customHeight="1">
      <c r="B134" s="204"/>
      <c r="C134" s="287" t="s">
        <v>280</v>
      </c>
      <c r="H134" s="77"/>
      <c r="J134" s="311">
        <f>J133-J132</f>
        <v>1237.25</v>
      </c>
      <c r="K134" s="201"/>
      <c r="M134" s="310"/>
      <c r="N134" s="22"/>
    </row>
    <row r="135" spans="1:14" ht="7.5" hidden="1" customHeight="1">
      <c r="B135" s="172"/>
      <c r="C135" s="286"/>
      <c r="D135" s="286"/>
      <c r="E135" s="286"/>
      <c r="F135" s="286"/>
      <c r="G135" s="286"/>
      <c r="H135" s="286"/>
      <c r="I135" s="286"/>
      <c r="J135" s="309" t="str">
        <f>IF(AND(J132=0,J133=0),"Pending",IF(ABS(J134)&gt;Tm_Tolerance,"Out of Balance","Reconciled"))</f>
        <v>Out of Balance</v>
      </c>
      <c r="K135" s="285"/>
    </row>
    <row r="136" spans="1:14" ht="17.25" customHeight="1"/>
    <row r="137" spans="1:14" ht="22.5" customHeight="1">
      <c r="A137" s="61" t="str">
        <f>IF(SUBTOTAL(103,A138),"-","+")</f>
        <v>+</v>
      </c>
      <c r="B137" s="1582" t="s">
        <v>374</v>
      </c>
      <c r="C137" s="1583"/>
      <c r="D137" s="1583"/>
      <c r="E137" s="1584" t="str">
        <f>D141</f>
        <v>Enter account name…</v>
      </c>
      <c r="F137" s="1585"/>
      <c r="G137" s="357" t="str">
        <f>J173</f>
        <v>Pending</v>
      </c>
      <c r="H137" s="356"/>
      <c r="I137" s="355"/>
      <c r="J137" s="355"/>
    </row>
    <row r="138" spans="1:14" ht="7.15" hidden="1" customHeight="1">
      <c r="A138" s="65" t="s">
        <v>58</v>
      </c>
      <c r="B138" s="359"/>
      <c r="C138" s="165"/>
      <c r="D138" s="165"/>
      <c r="G138" s="165"/>
      <c r="H138" s="165"/>
      <c r="I138" s="165"/>
      <c r="J138" s="165"/>
      <c r="K138" s="358"/>
    </row>
    <row r="139" spans="1:14" ht="17.25" hidden="1" customHeight="1">
      <c r="B139" s="204"/>
      <c r="C139" s="156" t="s">
        <v>371</v>
      </c>
      <c r="K139" s="201"/>
      <c r="M139" s="1432"/>
      <c r="N139" s="1432"/>
    </row>
    <row r="140" spans="1:14" ht="7.5" hidden="1" customHeight="1">
      <c r="B140" s="204"/>
      <c r="K140" s="201"/>
    </row>
    <row r="141" spans="1:14" ht="17.25" hidden="1" customHeight="1">
      <c r="B141" s="204"/>
      <c r="C141" s="344" t="s">
        <v>370</v>
      </c>
      <c r="D141" s="1575" t="s">
        <v>369</v>
      </c>
      <c r="E141" s="1575"/>
      <c r="F141" s="1575"/>
      <c r="G141" s="1575"/>
      <c r="H141" s="1575"/>
      <c r="I141" s="1575"/>
      <c r="J141" s="1575"/>
      <c r="K141" s="201"/>
      <c r="M141" s="310"/>
      <c r="N141" s="22"/>
    </row>
    <row r="142" spans="1:14" ht="7.5" hidden="1" customHeight="1">
      <c r="B142" s="204"/>
      <c r="K142" s="201"/>
      <c r="M142" s="354"/>
      <c r="N142" s="353"/>
    </row>
    <row r="143" spans="1:14" ht="17.25" hidden="1" customHeight="1">
      <c r="B143" s="204"/>
      <c r="C143" s="71" t="str">
        <f>IF(Tm_Jurisdiction="AU", "BSB", IF(Tm_Jurisdiction="GB", "Sort Code", IF(Tm_Jurisdiction="NZ", "Bank Code", "")))</f>
        <v>BSB</v>
      </c>
      <c r="D143" s="1576"/>
      <c r="E143" s="1577"/>
      <c r="F143" s="352" t="s">
        <v>368</v>
      </c>
      <c r="G143" s="1578"/>
      <c r="H143" s="1578"/>
      <c r="I143" s="1578"/>
      <c r="J143" s="1578"/>
      <c r="K143" s="201"/>
      <c r="M143" s="310"/>
      <c r="N143" s="22"/>
    </row>
    <row r="144" spans="1:14" ht="7.5" hidden="1" customHeight="1">
      <c r="B144" s="204"/>
      <c r="K144" s="201"/>
      <c r="M144" s="223"/>
      <c r="N144" s="18"/>
    </row>
    <row r="145" spans="2:14" ht="17.25" hidden="1" customHeight="1">
      <c r="B145" s="204"/>
      <c r="C145" s="344" t="s">
        <v>367</v>
      </c>
      <c r="D145" s="351">
        <f>C5</f>
        <v>45473</v>
      </c>
      <c r="K145" s="201"/>
      <c r="M145" s="310"/>
      <c r="N145" s="22"/>
    </row>
    <row r="146" spans="2:14" hidden="1">
      <c r="B146" s="204"/>
      <c r="K146" s="201"/>
      <c r="M146" s="223"/>
      <c r="N146" s="18"/>
    </row>
    <row r="147" spans="2:14" ht="17.25" hidden="1" customHeight="1">
      <c r="B147" s="204"/>
      <c r="C147" s="344" t="s">
        <v>366</v>
      </c>
      <c r="E147" s="350"/>
      <c r="J147" s="347"/>
      <c r="K147" s="201"/>
      <c r="M147" s="310"/>
      <c r="N147" s="22"/>
    </row>
    <row r="148" spans="2:14" ht="7.5" hidden="1" customHeight="1">
      <c r="B148" s="204"/>
      <c r="C148" s="71"/>
      <c r="E148" s="77"/>
      <c r="G148" s="349"/>
      <c r="K148" s="201"/>
    </row>
    <row r="149" spans="2:14" ht="17.25" hidden="1" customHeight="1">
      <c r="B149" s="204"/>
      <c r="C149" s="348" t="s">
        <v>365</v>
      </c>
      <c r="E149" s="342"/>
      <c r="J149" s="347"/>
      <c r="K149" s="201"/>
      <c r="M149" s="310"/>
      <c r="N149" s="22"/>
    </row>
    <row r="150" spans="2:14" ht="7.5" hidden="1" customHeight="1">
      <c r="B150" s="204"/>
      <c r="C150" s="346"/>
      <c r="E150" s="341"/>
      <c r="J150" s="345"/>
      <c r="K150" s="201"/>
    </row>
    <row r="151" spans="2:14" ht="17.25" hidden="1" customHeight="1">
      <c r="B151" s="204"/>
      <c r="C151" s="344" t="s">
        <v>364</v>
      </c>
      <c r="J151" s="343">
        <f>SUM(J147:J149)</f>
        <v>0</v>
      </c>
      <c r="K151" s="201"/>
      <c r="M151" s="310"/>
      <c r="N151" s="22"/>
    </row>
    <row r="152" spans="2:14" ht="7.5" hidden="1" customHeight="1">
      <c r="B152" s="204"/>
      <c r="C152" s="156"/>
      <c r="J152" s="343"/>
      <c r="K152" s="201"/>
    </row>
    <row r="153" spans="2:14" ht="17.25" hidden="1" customHeight="1">
      <c r="B153" s="204"/>
      <c r="C153" s="109" t="s">
        <v>363</v>
      </c>
      <c r="E153" s="342"/>
      <c r="F153" s="341"/>
      <c r="K153" s="201"/>
    </row>
    <row r="154" spans="2:14" ht="7.5" hidden="1" customHeight="1">
      <c r="B154" s="204"/>
      <c r="C154" s="109"/>
      <c r="E154" s="342"/>
      <c r="F154" s="341"/>
      <c r="K154" s="201"/>
    </row>
    <row r="155" spans="2:14" ht="22.5" hidden="1" customHeight="1">
      <c r="B155" s="204"/>
      <c r="C155" s="340" t="s">
        <v>361</v>
      </c>
      <c r="D155" s="339" t="s">
        <v>360</v>
      </c>
      <c r="E155" s="1428" t="s">
        <v>359</v>
      </c>
      <c r="F155" s="1428"/>
      <c r="G155" s="1428"/>
      <c r="H155" s="1428"/>
      <c r="I155" s="1428"/>
      <c r="J155" s="338" t="s">
        <v>358</v>
      </c>
      <c r="K155" s="201"/>
      <c r="M155" s="335"/>
      <c r="N155" s="334"/>
    </row>
    <row r="156" spans="2:14" ht="7.5" hidden="1" customHeight="1">
      <c r="B156" s="204"/>
      <c r="C156" s="32"/>
      <c r="D156" s="32"/>
      <c r="E156" s="336"/>
      <c r="F156" s="337"/>
      <c r="G156" s="337"/>
      <c r="H156" s="336"/>
      <c r="J156" s="32"/>
      <c r="K156" s="201"/>
      <c r="M156" s="335"/>
      <c r="N156" s="334"/>
    </row>
    <row r="157" spans="2:14" ht="17.25" hidden="1" customHeight="1">
      <c r="B157" s="204"/>
      <c r="C157" s="333"/>
      <c r="D157" s="332"/>
      <c r="E157" s="1579"/>
      <c r="F157" s="1580"/>
      <c r="G157" s="1580"/>
      <c r="H157" s="1580"/>
      <c r="I157" s="1581"/>
      <c r="J157" s="331"/>
      <c r="K157" s="201"/>
      <c r="M157" s="310"/>
      <c r="N157" s="22"/>
    </row>
    <row r="158" spans="2:14" ht="17.25" hidden="1" customHeight="1">
      <c r="B158" s="204"/>
      <c r="C158" s="333"/>
      <c r="D158" s="332"/>
      <c r="E158" s="1579"/>
      <c r="F158" s="1580"/>
      <c r="G158" s="1580"/>
      <c r="H158" s="1580"/>
      <c r="I158" s="1581"/>
      <c r="J158" s="331"/>
      <c r="K158" s="201"/>
      <c r="M158" s="310"/>
      <c r="N158" s="22"/>
    </row>
    <row r="159" spans="2:14" ht="17.25" hidden="1" customHeight="1">
      <c r="B159" s="204"/>
      <c r="C159" s="333"/>
      <c r="D159" s="332"/>
      <c r="E159" s="1579"/>
      <c r="F159" s="1580"/>
      <c r="G159" s="1580"/>
      <c r="H159" s="1580"/>
      <c r="I159" s="1581"/>
      <c r="J159" s="331"/>
      <c r="K159" s="201"/>
      <c r="M159" s="310"/>
      <c r="N159" s="22"/>
    </row>
    <row r="160" spans="2:14" ht="17.25" hidden="1" customHeight="1">
      <c r="B160" s="204"/>
      <c r="G160" s="1423"/>
      <c r="H160" s="1405"/>
      <c r="J160" s="330">
        <f>SUM(J157:J159)</f>
        <v>0</v>
      </c>
      <c r="K160" s="201"/>
      <c r="M160" s="310"/>
      <c r="N160" s="22"/>
    </row>
    <row r="161" spans="1:14" ht="17.25" hidden="1" customHeight="1">
      <c r="B161" s="204"/>
      <c r="C161" s="329" t="s">
        <v>362</v>
      </c>
      <c r="D161" s="316"/>
      <c r="E161" s="328"/>
      <c r="F161" s="327"/>
      <c r="G161" s="316"/>
      <c r="H161" s="316"/>
      <c r="I161" s="316"/>
      <c r="J161" s="316"/>
      <c r="K161" s="201"/>
    </row>
    <row r="162" spans="1:14" ht="7.5" hidden="1" customHeight="1">
      <c r="B162" s="204"/>
      <c r="C162" s="329"/>
      <c r="D162" s="316"/>
      <c r="E162" s="328"/>
      <c r="F162" s="327"/>
      <c r="G162" s="316"/>
      <c r="H162" s="316"/>
      <c r="I162" s="316"/>
      <c r="J162" s="316"/>
      <c r="K162" s="201"/>
    </row>
    <row r="163" spans="1:14" ht="22.5" hidden="1" customHeight="1">
      <c r="B163" s="204"/>
      <c r="C163" s="326" t="s">
        <v>361</v>
      </c>
      <c r="D163" s="325" t="s">
        <v>360</v>
      </c>
      <c r="E163" s="1569" t="s">
        <v>359</v>
      </c>
      <c r="F163" s="1569"/>
      <c r="G163" s="1569"/>
      <c r="H163" s="1569"/>
      <c r="I163" s="1569"/>
      <c r="J163" s="324" t="s">
        <v>358</v>
      </c>
      <c r="K163" s="201"/>
    </row>
    <row r="164" spans="1:14" ht="7.5" hidden="1" customHeight="1">
      <c r="B164" s="204"/>
      <c r="C164" s="321"/>
      <c r="D164" s="321"/>
      <c r="E164" s="322"/>
      <c r="F164" s="323"/>
      <c r="G164" s="323"/>
      <c r="H164" s="322"/>
      <c r="I164" s="316"/>
      <c r="J164" s="321"/>
      <c r="K164" s="201"/>
    </row>
    <row r="165" spans="1:14" ht="17.25" hidden="1" customHeight="1">
      <c r="B165" s="204"/>
      <c r="C165" s="319"/>
      <c r="D165" s="318"/>
      <c r="E165" s="1570"/>
      <c r="F165" s="1571"/>
      <c r="G165" s="1571"/>
      <c r="H165" s="1571"/>
      <c r="I165" s="1572"/>
      <c r="J165" s="317"/>
      <c r="K165" s="201"/>
      <c r="M165" s="310"/>
      <c r="N165" s="22"/>
    </row>
    <row r="166" spans="1:14" ht="17.25" hidden="1" customHeight="1">
      <c r="B166" s="204"/>
      <c r="C166" s="319"/>
      <c r="D166" s="318"/>
      <c r="E166" s="1570"/>
      <c r="F166" s="1571"/>
      <c r="G166" s="1571"/>
      <c r="H166" s="1571"/>
      <c r="I166" s="1572"/>
      <c r="J166" s="317"/>
      <c r="K166" s="201"/>
      <c r="M166" s="310"/>
      <c r="N166" s="22"/>
    </row>
    <row r="167" spans="1:14" ht="17.25" hidden="1" customHeight="1">
      <c r="B167" s="204"/>
      <c r="C167" s="319"/>
      <c r="D167" s="318"/>
      <c r="E167" s="1570"/>
      <c r="F167" s="1571"/>
      <c r="G167" s="1571"/>
      <c r="H167" s="1571"/>
      <c r="I167" s="1572"/>
      <c r="J167" s="317"/>
      <c r="K167" s="201"/>
      <c r="M167" s="310"/>
      <c r="N167" s="22"/>
    </row>
    <row r="168" spans="1:14" ht="17.25" hidden="1" customHeight="1">
      <c r="B168" s="204"/>
      <c r="C168" s="316"/>
      <c r="D168" s="316"/>
      <c r="E168" s="316"/>
      <c r="F168" s="316"/>
      <c r="G168" s="1573"/>
      <c r="H168" s="1574"/>
      <c r="I168" s="316"/>
      <c r="J168" s="315">
        <f>SUM(J165:J167)</f>
        <v>0</v>
      </c>
      <c r="K168" s="201"/>
      <c r="M168" s="310"/>
      <c r="N168" s="22"/>
    </row>
    <row r="169" spans="1:14" ht="7.5" hidden="1" customHeight="1">
      <c r="B169" s="204"/>
      <c r="G169" s="77"/>
      <c r="H169" s="282"/>
      <c r="K169" s="201"/>
    </row>
    <row r="170" spans="1:14" ht="17.25" hidden="1" customHeight="1">
      <c r="B170" s="204"/>
      <c r="C170" s="287" t="s">
        <v>357</v>
      </c>
      <c r="E170" s="282"/>
      <c r="F170" s="313"/>
      <c r="G170" s="1567"/>
      <c r="H170" s="1568"/>
      <c r="J170" s="314">
        <f>J151-J160+J168</f>
        <v>0</v>
      </c>
      <c r="K170" s="201"/>
      <c r="M170" s="310"/>
      <c r="N170" s="22"/>
    </row>
    <row r="171" spans="1:14" ht="17.25" hidden="1" customHeight="1">
      <c r="B171" s="204"/>
      <c r="C171" s="287" t="s">
        <v>356</v>
      </c>
      <c r="G171" s="1567"/>
      <c r="H171" s="1568"/>
      <c r="J171" s="312"/>
      <c r="K171" s="201"/>
      <c r="M171" s="310"/>
      <c r="N171" s="22"/>
    </row>
    <row r="172" spans="1:14" ht="17.25" hidden="1" customHeight="1">
      <c r="B172" s="204"/>
      <c r="C172" s="287" t="s">
        <v>280</v>
      </c>
      <c r="H172" s="77"/>
      <c r="J172" s="311">
        <f>J171-J170</f>
        <v>0</v>
      </c>
      <c r="K172" s="201"/>
      <c r="M172" s="310"/>
      <c r="N172" s="22"/>
    </row>
    <row r="173" spans="1:14" ht="7.5" hidden="1" customHeight="1">
      <c r="B173" s="172"/>
      <c r="C173" s="286"/>
      <c r="D173" s="286"/>
      <c r="E173" s="286"/>
      <c r="F173" s="286"/>
      <c r="G173" s="286"/>
      <c r="H173" s="286"/>
      <c r="I173" s="286"/>
      <c r="J173" s="309" t="str">
        <f>IF(AND(J170=0,J171=0),"Pending",IF(ABS(J172)&gt;Tm_Tolerance,"Out of Balance","Reconciled"))</f>
        <v>Pending</v>
      </c>
      <c r="K173" s="285"/>
    </row>
    <row r="174" spans="1:14" ht="17.25" customHeight="1"/>
    <row r="175" spans="1:14" ht="22.5" customHeight="1">
      <c r="A175" s="61" t="str">
        <f>IF(SUBTOTAL(103,A176),"-","+")</f>
        <v>+</v>
      </c>
      <c r="B175" s="1582" t="s">
        <v>373</v>
      </c>
      <c r="C175" s="1583"/>
      <c r="D175" s="1583"/>
      <c r="E175" s="1584" t="str">
        <f>D179</f>
        <v>Enter account name…</v>
      </c>
      <c r="F175" s="1585"/>
      <c r="G175" s="357" t="str">
        <f>J211</f>
        <v>Pending</v>
      </c>
      <c r="H175" s="356"/>
      <c r="I175" s="355"/>
      <c r="J175" s="355"/>
    </row>
    <row r="176" spans="1:14" ht="7.5" hidden="1" customHeight="1">
      <c r="A176" s="65" t="s">
        <v>58</v>
      </c>
      <c r="B176" s="196"/>
      <c r="C176" s="193"/>
      <c r="D176" s="193"/>
      <c r="E176" s="193"/>
      <c r="F176" s="193"/>
      <c r="G176" s="193"/>
      <c r="H176" s="193"/>
      <c r="I176" s="193"/>
      <c r="J176" s="193"/>
      <c r="K176" s="192"/>
    </row>
    <row r="177" spans="2:14" ht="17.25" hidden="1" customHeight="1">
      <c r="B177" s="204"/>
      <c r="C177" s="156" t="s">
        <v>371</v>
      </c>
      <c r="K177" s="201"/>
      <c r="M177" s="1432"/>
      <c r="N177" s="1432"/>
    </row>
    <row r="178" spans="2:14" ht="7.5" hidden="1" customHeight="1">
      <c r="B178" s="204"/>
      <c r="K178" s="201"/>
    </row>
    <row r="179" spans="2:14" ht="17.25" hidden="1" customHeight="1">
      <c r="B179" s="204"/>
      <c r="C179" s="344" t="s">
        <v>370</v>
      </c>
      <c r="D179" s="1575" t="s">
        <v>369</v>
      </c>
      <c r="E179" s="1575"/>
      <c r="F179" s="1575"/>
      <c r="G179" s="1575"/>
      <c r="H179" s="1575"/>
      <c r="I179" s="1575"/>
      <c r="J179" s="1575"/>
      <c r="K179" s="201"/>
      <c r="M179" s="310"/>
      <c r="N179" s="22"/>
    </row>
    <row r="180" spans="2:14" ht="7.5" hidden="1" customHeight="1">
      <c r="B180" s="204"/>
      <c r="K180" s="201"/>
      <c r="M180" s="354"/>
      <c r="N180" s="353"/>
    </row>
    <row r="181" spans="2:14" ht="17.25" hidden="1" customHeight="1">
      <c r="B181" s="204"/>
      <c r="C181" s="71" t="str">
        <f>IF(Tm_Jurisdiction="AU", "BSB", IF(Tm_Jurisdiction="GB", "Sort Code", IF(Tm_Jurisdiction="NZ", "Bank Code", "")))</f>
        <v>BSB</v>
      </c>
      <c r="D181" s="1576"/>
      <c r="E181" s="1577"/>
      <c r="F181" s="352" t="s">
        <v>368</v>
      </c>
      <c r="G181" s="1578"/>
      <c r="H181" s="1578"/>
      <c r="I181" s="1578"/>
      <c r="J181" s="1578"/>
      <c r="K181" s="201"/>
      <c r="M181" s="310"/>
      <c r="N181" s="22"/>
    </row>
    <row r="182" spans="2:14" ht="7.5" hidden="1" customHeight="1">
      <c r="B182" s="204"/>
      <c r="K182" s="201"/>
      <c r="M182" s="223"/>
      <c r="N182" s="18"/>
    </row>
    <row r="183" spans="2:14" ht="17.25" hidden="1" customHeight="1">
      <c r="B183" s="204"/>
      <c r="C183" s="344" t="s">
        <v>367</v>
      </c>
      <c r="D183" s="351">
        <f>C5</f>
        <v>45473</v>
      </c>
      <c r="K183" s="201"/>
      <c r="M183" s="310"/>
      <c r="N183" s="22"/>
    </row>
    <row r="184" spans="2:14" hidden="1">
      <c r="B184" s="204"/>
      <c r="K184" s="201"/>
      <c r="M184" s="223"/>
      <c r="N184" s="18"/>
    </row>
    <row r="185" spans="2:14" ht="17.25" hidden="1" customHeight="1">
      <c r="B185" s="204"/>
      <c r="C185" s="344" t="s">
        <v>366</v>
      </c>
      <c r="E185" s="350"/>
      <c r="J185" s="347"/>
      <c r="K185" s="201"/>
      <c r="M185" s="310"/>
      <c r="N185" s="22"/>
    </row>
    <row r="186" spans="2:14" ht="7.5" hidden="1" customHeight="1">
      <c r="B186" s="204"/>
      <c r="C186" s="71"/>
      <c r="E186" s="77"/>
      <c r="G186" s="349"/>
      <c r="K186" s="201"/>
    </row>
    <row r="187" spans="2:14" ht="17.25" hidden="1" customHeight="1">
      <c r="B187" s="204"/>
      <c r="C187" s="348" t="s">
        <v>365</v>
      </c>
      <c r="E187" s="342"/>
      <c r="J187" s="347"/>
      <c r="K187" s="201"/>
      <c r="M187" s="310"/>
      <c r="N187" s="22"/>
    </row>
    <row r="188" spans="2:14" ht="7.5" hidden="1" customHeight="1">
      <c r="B188" s="204"/>
      <c r="C188" s="346"/>
      <c r="E188" s="341"/>
      <c r="J188" s="345"/>
      <c r="K188" s="201"/>
    </row>
    <row r="189" spans="2:14" ht="17.25" hidden="1" customHeight="1">
      <c r="B189" s="204"/>
      <c r="C189" s="344" t="s">
        <v>364</v>
      </c>
      <c r="J189" s="343">
        <f>SUM(J185:J187)</f>
        <v>0</v>
      </c>
      <c r="K189" s="201"/>
      <c r="M189" s="310"/>
      <c r="N189" s="22"/>
    </row>
    <row r="190" spans="2:14" ht="7.5" hidden="1" customHeight="1">
      <c r="B190" s="204"/>
      <c r="C190" s="156"/>
      <c r="J190" s="343"/>
      <c r="K190" s="201"/>
    </row>
    <row r="191" spans="2:14" ht="17.25" hidden="1" customHeight="1">
      <c r="B191" s="204"/>
      <c r="C191" s="109" t="s">
        <v>363</v>
      </c>
      <c r="E191" s="342"/>
      <c r="F191" s="341"/>
      <c r="K191" s="201"/>
    </row>
    <row r="192" spans="2:14" ht="7.5" hidden="1" customHeight="1">
      <c r="B192" s="204"/>
      <c r="C192" s="109"/>
      <c r="E192" s="342"/>
      <c r="F192" s="341"/>
      <c r="K192" s="201"/>
    </row>
    <row r="193" spans="2:14" ht="22.5" hidden="1" customHeight="1">
      <c r="B193" s="204"/>
      <c r="C193" s="340" t="s">
        <v>361</v>
      </c>
      <c r="D193" s="339" t="s">
        <v>360</v>
      </c>
      <c r="E193" s="1428" t="s">
        <v>359</v>
      </c>
      <c r="F193" s="1428"/>
      <c r="G193" s="1428"/>
      <c r="H193" s="1428"/>
      <c r="I193" s="1428"/>
      <c r="J193" s="338" t="s">
        <v>358</v>
      </c>
      <c r="K193" s="201"/>
      <c r="M193" s="335"/>
      <c r="N193" s="334"/>
    </row>
    <row r="194" spans="2:14" ht="7.5" hidden="1" customHeight="1">
      <c r="B194" s="204"/>
      <c r="C194" s="32"/>
      <c r="D194" s="32"/>
      <c r="E194" s="336"/>
      <c r="F194" s="337"/>
      <c r="G194" s="337"/>
      <c r="H194" s="336"/>
      <c r="J194" s="32"/>
      <c r="K194" s="201"/>
      <c r="M194" s="335"/>
      <c r="N194" s="334"/>
    </row>
    <row r="195" spans="2:14" ht="17.25" hidden="1" customHeight="1">
      <c r="B195" s="204"/>
      <c r="C195" s="333"/>
      <c r="D195" s="332"/>
      <c r="E195" s="1579"/>
      <c r="F195" s="1580"/>
      <c r="G195" s="1580"/>
      <c r="H195" s="1580"/>
      <c r="I195" s="1581"/>
      <c r="J195" s="331"/>
      <c r="K195" s="201"/>
      <c r="M195" s="310"/>
      <c r="N195" s="22"/>
    </row>
    <row r="196" spans="2:14" ht="17.25" hidden="1" customHeight="1">
      <c r="B196" s="204"/>
      <c r="C196" s="333"/>
      <c r="D196" s="332"/>
      <c r="E196" s="1579"/>
      <c r="F196" s="1580"/>
      <c r="G196" s="1580"/>
      <c r="H196" s="1580"/>
      <c r="I196" s="1581"/>
      <c r="J196" s="331"/>
      <c r="K196" s="201"/>
      <c r="M196" s="310"/>
      <c r="N196" s="22"/>
    </row>
    <row r="197" spans="2:14" ht="17.25" hidden="1" customHeight="1">
      <c r="B197" s="204"/>
      <c r="C197" s="333"/>
      <c r="D197" s="332"/>
      <c r="E197" s="1579"/>
      <c r="F197" s="1580"/>
      <c r="G197" s="1580"/>
      <c r="H197" s="1580"/>
      <c r="I197" s="1581"/>
      <c r="J197" s="331"/>
      <c r="K197" s="201"/>
      <c r="M197" s="310"/>
      <c r="N197" s="22"/>
    </row>
    <row r="198" spans="2:14" ht="17.25" hidden="1" customHeight="1">
      <c r="B198" s="204"/>
      <c r="G198" s="1423"/>
      <c r="H198" s="1405"/>
      <c r="J198" s="330">
        <f>SUM(J195:J197)</f>
        <v>0</v>
      </c>
      <c r="K198" s="201"/>
      <c r="M198" s="310"/>
      <c r="N198" s="22"/>
    </row>
    <row r="199" spans="2:14" ht="17.25" hidden="1" customHeight="1">
      <c r="B199" s="204"/>
      <c r="C199" s="329" t="s">
        <v>362</v>
      </c>
      <c r="D199" s="316"/>
      <c r="E199" s="328"/>
      <c r="F199" s="327"/>
      <c r="G199" s="316"/>
      <c r="H199" s="316"/>
      <c r="I199" s="316"/>
      <c r="J199" s="316"/>
      <c r="K199" s="201"/>
      <c r="M199" s="320"/>
      <c r="N199" s="73"/>
    </row>
    <row r="200" spans="2:14" ht="7.5" hidden="1" customHeight="1">
      <c r="B200" s="204"/>
      <c r="C200" s="329"/>
      <c r="D200" s="316"/>
      <c r="E200" s="328"/>
      <c r="F200" s="327"/>
      <c r="G200" s="316"/>
      <c r="H200" s="316"/>
      <c r="I200" s="316"/>
      <c r="J200" s="316"/>
      <c r="K200" s="201"/>
      <c r="M200" s="320"/>
      <c r="N200" s="73"/>
    </row>
    <row r="201" spans="2:14" ht="22.5" hidden="1" customHeight="1">
      <c r="B201" s="204"/>
      <c r="C201" s="326" t="s">
        <v>361</v>
      </c>
      <c r="D201" s="325" t="s">
        <v>360</v>
      </c>
      <c r="E201" s="1569" t="s">
        <v>359</v>
      </c>
      <c r="F201" s="1569"/>
      <c r="G201" s="1569"/>
      <c r="H201" s="1569"/>
      <c r="I201" s="1569"/>
      <c r="J201" s="324" t="s">
        <v>358</v>
      </c>
      <c r="K201" s="201"/>
      <c r="M201" s="320"/>
      <c r="N201" s="73"/>
    </row>
    <row r="202" spans="2:14" ht="7.5" hidden="1" customHeight="1">
      <c r="B202" s="204"/>
      <c r="C202" s="321"/>
      <c r="D202" s="321"/>
      <c r="E202" s="322"/>
      <c r="F202" s="323"/>
      <c r="G202" s="323"/>
      <c r="H202" s="322"/>
      <c r="I202" s="316"/>
      <c r="J202" s="321"/>
      <c r="K202" s="201"/>
      <c r="M202" s="320"/>
      <c r="N202" s="73"/>
    </row>
    <row r="203" spans="2:14" ht="17.25" hidden="1" customHeight="1">
      <c r="B203" s="204"/>
      <c r="C203" s="319"/>
      <c r="D203" s="318"/>
      <c r="E203" s="1570"/>
      <c r="F203" s="1571"/>
      <c r="G203" s="1571"/>
      <c r="H203" s="1571"/>
      <c r="I203" s="1572"/>
      <c r="J203" s="317"/>
      <c r="K203" s="201"/>
      <c r="M203" s="310"/>
      <c r="N203" s="22"/>
    </row>
    <row r="204" spans="2:14" ht="17.25" hidden="1" customHeight="1">
      <c r="B204" s="204"/>
      <c r="C204" s="319"/>
      <c r="D204" s="318"/>
      <c r="E204" s="1570"/>
      <c r="F204" s="1571"/>
      <c r="G204" s="1571"/>
      <c r="H204" s="1571"/>
      <c r="I204" s="1572"/>
      <c r="J204" s="317"/>
      <c r="K204" s="201"/>
      <c r="M204" s="310"/>
      <c r="N204" s="22"/>
    </row>
    <row r="205" spans="2:14" ht="17.25" hidden="1" customHeight="1">
      <c r="B205" s="204"/>
      <c r="C205" s="319"/>
      <c r="D205" s="318"/>
      <c r="E205" s="1570"/>
      <c r="F205" s="1571"/>
      <c r="G205" s="1571"/>
      <c r="H205" s="1571"/>
      <c r="I205" s="1572"/>
      <c r="J205" s="317"/>
      <c r="K205" s="201"/>
      <c r="M205" s="310"/>
      <c r="N205" s="22"/>
    </row>
    <row r="206" spans="2:14" ht="17.25" hidden="1" customHeight="1">
      <c r="B206" s="204"/>
      <c r="C206" s="316"/>
      <c r="D206" s="316"/>
      <c r="E206" s="316"/>
      <c r="F206" s="316"/>
      <c r="G206" s="1573"/>
      <c r="H206" s="1574"/>
      <c r="I206" s="316"/>
      <c r="J206" s="315">
        <f>SUM(J203:J205)</f>
        <v>0</v>
      </c>
      <c r="K206" s="201"/>
      <c r="M206" s="310"/>
      <c r="N206" s="22"/>
    </row>
    <row r="207" spans="2:14" ht="7.5" hidden="1" customHeight="1">
      <c r="B207" s="204"/>
      <c r="G207" s="77"/>
      <c r="H207" s="282"/>
      <c r="J207" s="330"/>
      <c r="K207" s="201"/>
      <c r="M207" s="320"/>
      <c r="N207" s="73"/>
    </row>
    <row r="208" spans="2:14" ht="17.25" hidden="1" customHeight="1">
      <c r="B208" s="204"/>
      <c r="C208" s="287" t="s">
        <v>357</v>
      </c>
      <c r="E208" s="282"/>
      <c r="F208" s="313"/>
      <c r="G208" s="1567"/>
      <c r="H208" s="1568"/>
      <c r="J208" s="314">
        <f>J189-J198+J206</f>
        <v>0</v>
      </c>
      <c r="K208" s="201"/>
      <c r="M208" s="310"/>
      <c r="N208" s="22"/>
    </row>
    <row r="209" spans="1:14" ht="17.25" hidden="1" customHeight="1">
      <c r="B209" s="204"/>
      <c r="C209" s="287" t="s">
        <v>356</v>
      </c>
      <c r="G209" s="1567"/>
      <c r="H209" s="1568"/>
      <c r="J209" s="312"/>
      <c r="K209" s="201"/>
      <c r="M209" s="310"/>
      <c r="N209" s="22"/>
    </row>
    <row r="210" spans="1:14" ht="17.25" hidden="1" customHeight="1">
      <c r="B210" s="204"/>
      <c r="C210" s="287" t="s">
        <v>280</v>
      </c>
      <c r="H210" s="77"/>
      <c r="J210" s="311">
        <f>J209-J208</f>
        <v>0</v>
      </c>
      <c r="K210" s="201"/>
      <c r="M210" s="310"/>
      <c r="N210" s="22"/>
    </row>
    <row r="211" spans="1:14" ht="7.5" hidden="1" customHeight="1">
      <c r="B211" s="172"/>
      <c r="C211" s="286"/>
      <c r="D211" s="286"/>
      <c r="E211" s="286"/>
      <c r="F211" s="286"/>
      <c r="G211" s="286"/>
      <c r="H211" s="286"/>
      <c r="I211" s="286"/>
      <c r="J211" s="309" t="str">
        <f>IF(AND(J208=0,J209=0),"Pending",IF(ABS(J210)&gt;Tm_Tolerance,"Out of Balance","Reconciled"))</f>
        <v>Pending</v>
      </c>
      <c r="K211" s="285"/>
    </row>
    <row r="212" spans="1:14" ht="17.25" customHeight="1"/>
    <row r="213" spans="1:14" ht="22.5" customHeight="1">
      <c r="A213" s="61" t="str">
        <f>IF(SUBTOTAL(103,A214),"-","+")</f>
        <v>+</v>
      </c>
      <c r="B213" s="1582" t="s">
        <v>372</v>
      </c>
      <c r="C213" s="1583"/>
      <c r="D213" s="1583"/>
      <c r="E213" s="1584" t="str">
        <f>D217</f>
        <v>Enter account name…</v>
      </c>
      <c r="F213" s="1585"/>
      <c r="G213" s="357" t="str">
        <f>J249</f>
        <v>Pending</v>
      </c>
      <c r="H213" s="356"/>
      <c r="I213" s="355"/>
      <c r="J213" s="355"/>
    </row>
    <row r="214" spans="1:14" ht="7.5" hidden="1" customHeight="1">
      <c r="A214" s="65" t="s">
        <v>58</v>
      </c>
      <c r="B214" s="196"/>
      <c r="C214" s="193"/>
      <c r="D214" s="193"/>
      <c r="E214" s="193"/>
      <c r="F214" s="193"/>
      <c r="G214" s="193"/>
      <c r="H214" s="193"/>
      <c r="I214" s="193"/>
      <c r="J214" s="193"/>
      <c r="K214" s="192"/>
    </row>
    <row r="215" spans="1:14" ht="17.25" hidden="1" customHeight="1">
      <c r="B215" s="204"/>
      <c r="C215" s="156" t="s">
        <v>371</v>
      </c>
      <c r="K215" s="201"/>
      <c r="M215" s="1432"/>
      <c r="N215" s="1432"/>
    </row>
    <row r="216" spans="1:14" ht="7.5" hidden="1" customHeight="1">
      <c r="B216" s="204"/>
      <c r="K216" s="201"/>
    </row>
    <row r="217" spans="1:14" ht="17.25" hidden="1" customHeight="1">
      <c r="B217" s="204"/>
      <c r="C217" s="344" t="s">
        <v>370</v>
      </c>
      <c r="D217" s="1575" t="s">
        <v>369</v>
      </c>
      <c r="E217" s="1575"/>
      <c r="F217" s="1575"/>
      <c r="G217" s="1575"/>
      <c r="H217" s="1575"/>
      <c r="I217" s="1575"/>
      <c r="J217" s="1575"/>
      <c r="K217" s="201"/>
      <c r="M217" s="310"/>
      <c r="N217" s="22"/>
    </row>
    <row r="218" spans="1:14" ht="7.5" hidden="1" customHeight="1">
      <c r="B218" s="204"/>
      <c r="K218" s="201"/>
      <c r="M218" s="354"/>
      <c r="N218" s="353"/>
    </row>
    <row r="219" spans="1:14" ht="17.25" hidden="1" customHeight="1">
      <c r="B219" s="204"/>
      <c r="C219" s="71" t="str">
        <f>IF(Tm_Jurisdiction="AU", "BSB", IF(Tm_Jurisdiction="GB", "Sort Code", IF(Tm_Jurisdiction="NZ", "Bank Code", "")))</f>
        <v>BSB</v>
      </c>
      <c r="D219" s="1576"/>
      <c r="E219" s="1577"/>
      <c r="F219" s="352" t="s">
        <v>368</v>
      </c>
      <c r="G219" s="1578"/>
      <c r="H219" s="1578"/>
      <c r="I219" s="1578"/>
      <c r="J219" s="1578"/>
      <c r="K219" s="201"/>
      <c r="M219" s="310"/>
      <c r="N219" s="22"/>
    </row>
    <row r="220" spans="1:14" ht="7.5" hidden="1" customHeight="1">
      <c r="B220" s="204"/>
      <c r="K220" s="201"/>
      <c r="M220" s="223"/>
      <c r="N220" s="18"/>
    </row>
    <row r="221" spans="1:14" ht="17.25" hidden="1" customHeight="1">
      <c r="B221" s="204"/>
      <c r="C221" s="344" t="s">
        <v>367</v>
      </c>
      <c r="D221" s="351">
        <f>C5</f>
        <v>45473</v>
      </c>
      <c r="K221" s="201"/>
      <c r="M221" s="310"/>
      <c r="N221" s="22"/>
    </row>
    <row r="222" spans="1:14" ht="17.25" hidden="1" customHeight="1">
      <c r="B222" s="204"/>
      <c r="K222" s="201"/>
      <c r="M222" s="223"/>
      <c r="N222" s="18"/>
    </row>
    <row r="223" spans="1:14" ht="17.25" hidden="1" customHeight="1">
      <c r="B223" s="204"/>
      <c r="C223" s="344" t="s">
        <v>366</v>
      </c>
      <c r="E223" s="350"/>
      <c r="J223" s="347"/>
      <c r="K223" s="201"/>
      <c r="M223" s="310"/>
      <c r="N223" s="22"/>
    </row>
    <row r="224" spans="1:14" ht="7.5" hidden="1" customHeight="1">
      <c r="B224" s="204"/>
      <c r="C224" s="71"/>
      <c r="E224" s="77"/>
      <c r="G224" s="349"/>
      <c r="K224" s="201"/>
    </row>
    <row r="225" spans="2:14" ht="17.25" hidden="1" customHeight="1">
      <c r="B225" s="204"/>
      <c r="C225" s="348" t="s">
        <v>365</v>
      </c>
      <c r="E225" s="342"/>
      <c r="J225" s="347"/>
      <c r="K225" s="201"/>
      <c r="M225" s="310"/>
      <c r="N225" s="22"/>
    </row>
    <row r="226" spans="2:14" ht="7.5" hidden="1" customHeight="1">
      <c r="B226" s="204"/>
      <c r="C226" s="346"/>
      <c r="E226" s="341"/>
      <c r="J226" s="345"/>
      <c r="K226" s="201"/>
    </row>
    <row r="227" spans="2:14" ht="17.25" hidden="1" customHeight="1">
      <c r="B227" s="204"/>
      <c r="C227" s="344" t="s">
        <v>364</v>
      </c>
      <c r="J227" s="343">
        <f>SUM(J223:J225)</f>
        <v>0</v>
      </c>
      <c r="K227" s="201"/>
      <c r="M227" s="310"/>
      <c r="N227" s="22"/>
    </row>
    <row r="228" spans="2:14" ht="7.5" hidden="1" customHeight="1">
      <c r="B228" s="204"/>
      <c r="C228" s="156"/>
      <c r="J228" s="343"/>
      <c r="K228" s="201"/>
    </row>
    <row r="229" spans="2:14" ht="17.25" hidden="1" customHeight="1">
      <c r="B229" s="204"/>
      <c r="C229" s="109" t="s">
        <v>363</v>
      </c>
      <c r="E229" s="342"/>
      <c r="F229" s="341"/>
      <c r="K229" s="201"/>
    </row>
    <row r="230" spans="2:14" ht="7.5" hidden="1" customHeight="1">
      <c r="B230" s="204"/>
      <c r="C230" s="109"/>
      <c r="E230" s="342"/>
      <c r="F230" s="341"/>
      <c r="K230" s="201"/>
    </row>
    <row r="231" spans="2:14" ht="22.5" hidden="1" customHeight="1">
      <c r="B231" s="204"/>
      <c r="C231" s="340" t="s">
        <v>361</v>
      </c>
      <c r="D231" s="339" t="s">
        <v>360</v>
      </c>
      <c r="E231" s="1428" t="s">
        <v>359</v>
      </c>
      <c r="F231" s="1428"/>
      <c r="G231" s="1428"/>
      <c r="H231" s="1428"/>
      <c r="I231" s="1428"/>
      <c r="J231" s="338" t="s">
        <v>358</v>
      </c>
      <c r="K231" s="201"/>
      <c r="M231" s="335"/>
      <c r="N231" s="334"/>
    </row>
    <row r="232" spans="2:14" ht="7.5" hidden="1" customHeight="1">
      <c r="B232" s="204"/>
      <c r="C232" s="32"/>
      <c r="D232" s="32"/>
      <c r="E232" s="336"/>
      <c r="F232" s="337"/>
      <c r="G232" s="337"/>
      <c r="H232" s="336"/>
      <c r="J232" s="32"/>
      <c r="K232" s="201"/>
      <c r="M232" s="335"/>
      <c r="N232" s="334"/>
    </row>
    <row r="233" spans="2:14" ht="17.25" hidden="1" customHeight="1">
      <c r="B233" s="204"/>
      <c r="C233" s="333"/>
      <c r="D233" s="332"/>
      <c r="E233" s="1579"/>
      <c r="F233" s="1580"/>
      <c r="G233" s="1580"/>
      <c r="H233" s="1580"/>
      <c r="I233" s="1581"/>
      <c r="J233" s="331"/>
      <c r="K233" s="201"/>
      <c r="M233" s="310"/>
      <c r="N233" s="22"/>
    </row>
    <row r="234" spans="2:14" ht="17.25" hidden="1" customHeight="1">
      <c r="B234" s="204"/>
      <c r="C234" s="333"/>
      <c r="D234" s="332"/>
      <c r="E234" s="1579"/>
      <c r="F234" s="1580"/>
      <c r="G234" s="1580"/>
      <c r="H234" s="1580"/>
      <c r="I234" s="1581"/>
      <c r="J234" s="331"/>
      <c r="K234" s="201"/>
      <c r="M234" s="310"/>
      <c r="N234" s="22"/>
    </row>
    <row r="235" spans="2:14" ht="17.25" hidden="1" customHeight="1">
      <c r="B235" s="204"/>
      <c r="C235" s="333"/>
      <c r="D235" s="332"/>
      <c r="E235" s="1579"/>
      <c r="F235" s="1580"/>
      <c r="G235" s="1580"/>
      <c r="H235" s="1580"/>
      <c r="I235" s="1581"/>
      <c r="J235" s="331"/>
      <c r="K235" s="201"/>
      <c r="M235" s="310"/>
      <c r="N235" s="22"/>
    </row>
    <row r="236" spans="2:14" ht="17.25" hidden="1" customHeight="1">
      <c r="B236" s="204"/>
      <c r="G236" s="1423"/>
      <c r="H236" s="1405"/>
      <c r="J236" s="330">
        <f>SUM(J233:J235)</f>
        <v>0</v>
      </c>
      <c r="K236" s="201"/>
      <c r="M236" s="310"/>
      <c r="N236" s="22"/>
    </row>
    <row r="237" spans="2:14" ht="17.25" hidden="1" customHeight="1">
      <c r="B237" s="204"/>
      <c r="C237" s="329" t="s">
        <v>362</v>
      </c>
      <c r="D237" s="316"/>
      <c r="E237" s="328"/>
      <c r="F237" s="327"/>
      <c r="G237" s="316"/>
      <c r="H237" s="316"/>
      <c r="I237" s="316"/>
      <c r="J237" s="316"/>
      <c r="K237" s="201"/>
      <c r="M237" s="320"/>
      <c r="N237" s="73"/>
    </row>
    <row r="238" spans="2:14" ht="7.5" hidden="1" customHeight="1">
      <c r="B238" s="204"/>
      <c r="C238" s="329"/>
      <c r="D238" s="316"/>
      <c r="E238" s="328"/>
      <c r="F238" s="327"/>
      <c r="G238" s="316"/>
      <c r="H238" s="316"/>
      <c r="I238" s="316"/>
      <c r="J238" s="316"/>
      <c r="K238" s="201"/>
      <c r="M238" s="320"/>
      <c r="N238" s="73"/>
    </row>
    <row r="239" spans="2:14" ht="22.5" hidden="1" customHeight="1">
      <c r="B239" s="204"/>
      <c r="C239" s="326" t="s">
        <v>361</v>
      </c>
      <c r="D239" s="325" t="s">
        <v>360</v>
      </c>
      <c r="E239" s="1569" t="s">
        <v>359</v>
      </c>
      <c r="F239" s="1569"/>
      <c r="G239" s="1569"/>
      <c r="H239" s="1569"/>
      <c r="I239" s="1569"/>
      <c r="J239" s="324" t="s">
        <v>358</v>
      </c>
      <c r="K239" s="201"/>
      <c r="M239" s="320"/>
      <c r="N239" s="73"/>
    </row>
    <row r="240" spans="2:14" ht="7.5" hidden="1" customHeight="1">
      <c r="B240" s="204"/>
      <c r="C240" s="321"/>
      <c r="D240" s="321"/>
      <c r="E240" s="322"/>
      <c r="F240" s="323"/>
      <c r="G240" s="323"/>
      <c r="H240" s="322"/>
      <c r="I240" s="316"/>
      <c r="J240" s="321"/>
      <c r="K240" s="201"/>
      <c r="M240" s="320"/>
      <c r="N240" s="73"/>
    </row>
    <row r="241" spans="2:14" ht="17.25" hidden="1" customHeight="1">
      <c r="B241" s="204"/>
      <c r="C241" s="319"/>
      <c r="D241" s="318"/>
      <c r="E241" s="1570"/>
      <c r="F241" s="1571"/>
      <c r="G241" s="1571"/>
      <c r="H241" s="1571"/>
      <c r="I241" s="1572"/>
      <c r="J241" s="317"/>
      <c r="K241" s="201"/>
      <c r="M241" s="310"/>
      <c r="N241" s="22"/>
    </row>
    <row r="242" spans="2:14" ht="17.25" hidden="1" customHeight="1">
      <c r="B242" s="204"/>
      <c r="C242" s="319"/>
      <c r="D242" s="318"/>
      <c r="E242" s="1570"/>
      <c r="F242" s="1571"/>
      <c r="G242" s="1571"/>
      <c r="H242" s="1571"/>
      <c r="I242" s="1572"/>
      <c r="J242" s="317"/>
      <c r="K242" s="201"/>
      <c r="M242" s="310"/>
      <c r="N242" s="22"/>
    </row>
    <row r="243" spans="2:14" ht="17.25" hidden="1" customHeight="1">
      <c r="B243" s="204"/>
      <c r="C243" s="319"/>
      <c r="D243" s="318"/>
      <c r="E243" s="1570"/>
      <c r="F243" s="1571"/>
      <c r="G243" s="1571"/>
      <c r="H243" s="1571"/>
      <c r="I243" s="1572"/>
      <c r="J243" s="317"/>
      <c r="K243" s="201"/>
      <c r="M243" s="310"/>
      <c r="N243" s="22"/>
    </row>
    <row r="244" spans="2:14" ht="17.25" hidden="1" customHeight="1">
      <c r="B244" s="204"/>
      <c r="C244" s="316"/>
      <c r="D244" s="316"/>
      <c r="E244" s="316"/>
      <c r="F244" s="316"/>
      <c r="G244" s="1573"/>
      <c r="H244" s="1574"/>
      <c r="I244" s="316"/>
      <c r="J244" s="315">
        <f>SUM(J241:J243)</f>
        <v>0</v>
      </c>
      <c r="K244" s="201"/>
      <c r="M244" s="310"/>
      <c r="N244" s="22"/>
    </row>
    <row r="245" spans="2:14" ht="7.5" hidden="1" customHeight="1">
      <c r="B245" s="204"/>
      <c r="G245" s="77"/>
      <c r="H245" s="282"/>
      <c r="K245" s="201"/>
    </row>
    <row r="246" spans="2:14" ht="17.25" hidden="1" customHeight="1">
      <c r="B246" s="204"/>
      <c r="C246" s="287" t="s">
        <v>357</v>
      </c>
      <c r="E246" s="282"/>
      <c r="F246" s="313"/>
      <c r="G246" s="1567"/>
      <c r="H246" s="1568"/>
      <c r="J246" s="314">
        <f>J227-J236+J244</f>
        <v>0</v>
      </c>
      <c r="K246" s="201"/>
      <c r="M246" s="310"/>
      <c r="N246" s="22"/>
    </row>
    <row r="247" spans="2:14" ht="17.25" hidden="1" customHeight="1">
      <c r="B247" s="204"/>
      <c r="C247" s="287" t="s">
        <v>356</v>
      </c>
      <c r="G247" s="1567"/>
      <c r="H247" s="1568"/>
      <c r="J247" s="312"/>
      <c r="K247" s="201"/>
      <c r="M247" s="310"/>
      <c r="N247" s="22"/>
    </row>
    <row r="248" spans="2:14" ht="17.25" hidden="1" customHeight="1">
      <c r="B248" s="204"/>
      <c r="C248" s="287" t="s">
        <v>280</v>
      </c>
      <c r="H248" s="77"/>
      <c r="J248" s="311">
        <f>J247-J246</f>
        <v>0</v>
      </c>
      <c r="K248" s="201"/>
      <c r="M248" s="310"/>
      <c r="N248" s="22"/>
    </row>
    <row r="249" spans="2:14" ht="7.5" hidden="1" customHeight="1">
      <c r="B249" s="172"/>
      <c r="C249" s="286"/>
      <c r="D249" s="286"/>
      <c r="E249" s="286"/>
      <c r="F249" s="286"/>
      <c r="G249" s="286"/>
      <c r="H249" s="286"/>
      <c r="I249" s="286"/>
      <c r="J249" s="309" t="str">
        <f>IF(AND(J246=0,J247=0),"Pending",IF(ABS(J248)&gt;Tm_Tolerance,"Out of Balance","Reconciled"))</f>
        <v>Pending</v>
      </c>
      <c r="K249" s="285"/>
    </row>
  </sheetData>
  <sheetProtection sheet="1" formatCells="0" formatColumns="0" formatRows="0" insertColumns="0" insertRows="0" insertHyperlinks="0"/>
  <mergeCells count="118">
    <mergeCell ref="E82:I82"/>
    <mergeCell ref="E83:I83"/>
    <mergeCell ref="G84:H84"/>
    <mergeCell ref="D67:E67"/>
    <mergeCell ref="G67:J67"/>
    <mergeCell ref="E79:I79"/>
    <mergeCell ref="E81:I81"/>
    <mergeCell ref="E120:I120"/>
    <mergeCell ref="B99:D99"/>
    <mergeCell ref="E99:F99"/>
    <mergeCell ref="C20:E20"/>
    <mergeCell ref="C13:E13"/>
    <mergeCell ref="C15:E15"/>
    <mergeCell ref="C16:E16"/>
    <mergeCell ref="C17:E17"/>
    <mergeCell ref="C18:E18"/>
    <mergeCell ref="C5:D5"/>
    <mergeCell ref="C8:J8"/>
    <mergeCell ref="C9:J9"/>
    <mergeCell ref="C19:E19"/>
    <mergeCell ref="M23:N23"/>
    <mergeCell ref="M63:N63"/>
    <mergeCell ref="G57:H57"/>
    <mergeCell ref="D29:E29"/>
    <mergeCell ref="D65:J65"/>
    <mergeCell ref="E49:I49"/>
    <mergeCell ref="E51:I51"/>
    <mergeCell ref="E52:I52"/>
    <mergeCell ref="E53:I53"/>
    <mergeCell ref="G54:H54"/>
    <mergeCell ref="E43:I43"/>
    <mergeCell ref="B61:D61"/>
    <mergeCell ref="E61:F61"/>
    <mergeCell ref="G56:H56"/>
    <mergeCell ref="G46:H46"/>
    <mergeCell ref="E44:I44"/>
    <mergeCell ref="E45:I45"/>
    <mergeCell ref="D27:J27"/>
    <mergeCell ref="G29:J29"/>
    <mergeCell ref="E41:I41"/>
    <mergeCell ref="B23:D23"/>
    <mergeCell ref="E23:F23"/>
    <mergeCell ref="M101:N101"/>
    <mergeCell ref="D103:J103"/>
    <mergeCell ref="D105:E105"/>
    <mergeCell ref="G105:J105"/>
    <mergeCell ref="E117:I117"/>
    <mergeCell ref="E119:I119"/>
    <mergeCell ref="E234:I234"/>
    <mergeCell ref="E235:I235"/>
    <mergeCell ref="G236:H236"/>
    <mergeCell ref="E121:I121"/>
    <mergeCell ref="G122:H122"/>
    <mergeCell ref="G132:H132"/>
    <mergeCell ref="G133:H133"/>
    <mergeCell ref="B137:D137"/>
    <mergeCell ref="E137:F137"/>
    <mergeCell ref="E125:I125"/>
    <mergeCell ref="M177:N177"/>
    <mergeCell ref="D179:J179"/>
    <mergeCell ref="E127:I127"/>
    <mergeCell ref="E128:I128"/>
    <mergeCell ref="E129:I129"/>
    <mergeCell ref="G130:H130"/>
    <mergeCell ref="E163:I163"/>
    <mergeCell ref="E165:I165"/>
    <mergeCell ref="M139:N139"/>
    <mergeCell ref="D141:J141"/>
    <mergeCell ref="D143:E143"/>
    <mergeCell ref="G143:J143"/>
    <mergeCell ref="G171:H171"/>
    <mergeCell ref="B213:D213"/>
    <mergeCell ref="E213:F213"/>
    <mergeCell ref="E193:I193"/>
    <mergeCell ref="D181:E181"/>
    <mergeCell ref="G181:J181"/>
    <mergeCell ref="E196:I196"/>
    <mergeCell ref="E197:I197"/>
    <mergeCell ref="G198:H198"/>
    <mergeCell ref="B175:D175"/>
    <mergeCell ref="E175:F175"/>
    <mergeCell ref="E155:I155"/>
    <mergeCell ref="E157:I157"/>
    <mergeCell ref="E166:I166"/>
    <mergeCell ref="E158:I158"/>
    <mergeCell ref="E159:I159"/>
    <mergeCell ref="G160:H160"/>
    <mergeCell ref="G170:H170"/>
    <mergeCell ref="G209:H209"/>
    <mergeCell ref="E204:I204"/>
    <mergeCell ref="M215:N215"/>
    <mergeCell ref="D217:J217"/>
    <mergeCell ref="D219:E219"/>
    <mergeCell ref="G219:J219"/>
    <mergeCell ref="E231:I231"/>
    <mergeCell ref="E233:I233"/>
    <mergeCell ref="G208:H208"/>
    <mergeCell ref="G244:H244"/>
    <mergeCell ref="E195:I195"/>
    <mergeCell ref="E243:I243"/>
    <mergeCell ref="E205:I205"/>
    <mergeCell ref="G206:H206"/>
    <mergeCell ref="E239:I239"/>
    <mergeCell ref="E241:I241"/>
    <mergeCell ref="E242:I242"/>
    <mergeCell ref="E201:I201"/>
    <mergeCell ref="E203:I203"/>
    <mergeCell ref="G94:H94"/>
    <mergeCell ref="G95:H95"/>
    <mergeCell ref="E87:I87"/>
    <mergeCell ref="E89:I89"/>
    <mergeCell ref="E90:I90"/>
    <mergeCell ref="E91:I91"/>
    <mergeCell ref="G92:H92"/>
    <mergeCell ref="G246:H246"/>
    <mergeCell ref="G247:H247"/>
    <mergeCell ref="E167:I167"/>
    <mergeCell ref="G168:H168"/>
  </mergeCells>
  <conditionalFormatting sqref="C15:C20">
    <cfRule type="containsText" dxfId="287" priority="64" operator="containsText" text="Enter account name">
      <formula>NOT(ISERROR(SEARCH("Enter account name",C15)))</formula>
    </cfRule>
  </conditionalFormatting>
  <conditionalFormatting sqref="D27">
    <cfRule type="containsText" dxfId="286" priority="40" operator="containsText" text="Enter account name">
      <formula>NOT(ISERROR(SEARCH("Enter account name",D27)))</formula>
    </cfRule>
  </conditionalFormatting>
  <conditionalFormatting sqref="D65">
    <cfRule type="containsText" dxfId="285" priority="39" operator="containsText" text="Enter account name">
      <formula>NOT(ISERROR(SEARCH("Enter account name",D65)))</formula>
    </cfRule>
  </conditionalFormatting>
  <conditionalFormatting sqref="D103">
    <cfRule type="containsText" dxfId="284" priority="38" operator="containsText" text="Enter account name">
      <formula>NOT(ISERROR(SEARCH("Enter account name",D103)))</formula>
    </cfRule>
  </conditionalFormatting>
  <conditionalFormatting sqref="D141">
    <cfRule type="containsText" dxfId="283" priority="37" operator="containsText" text="Enter account name">
      <formula>NOT(ISERROR(SEARCH("Enter account name",D141)))</formula>
    </cfRule>
  </conditionalFormatting>
  <conditionalFormatting sqref="D179">
    <cfRule type="containsText" dxfId="282" priority="36" operator="containsText" text="Enter account name">
      <formula>NOT(ISERROR(SEARCH("Enter account name",D179)))</formula>
    </cfRule>
  </conditionalFormatting>
  <conditionalFormatting sqref="D217">
    <cfRule type="containsText" dxfId="281" priority="35" operator="containsText" text="Enter account name">
      <formula>NOT(ISERROR(SEARCH("Enter account name",D217)))</formula>
    </cfRule>
  </conditionalFormatting>
  <conditionalFormatting sqref="E23">
    <cfRule type="containsText" dxfId="280" priority="71" operator="containsText" text="Enter account name">
      <formula>NOT(ISERROR(SEARCH("Enter account name",E23)))</formula>
    </cfRule>
  </conditionalFormatting>
  <conditionalFormatting sqref="E61">
    <cfRule type="containsText" dxfId="279" priority="53" operator="containsText" text="Enter account name">
      <formula>NOT(ISERROR(SEARCH("Enter account name",E61)))</formula>
    </cfRule>
  </conditionalFormatting>
  <conditionalFormatting sqref="E99">
    <cfRule type="containsText" dxfId="278" priority="52" operator="containsText" text="Enter account name">
      <formula>NOT(ISERROR(SEARCH("Enter account name",E99)))</formula>
    </cfRule>
  </conditionalFormatting>
  <conditionalFormatting sqref="E137">
    <cfRule type="containsText" dxfId="277" priority="51" operator="containsText" text="Enter account name">
      <formula>NOT(ISERROR(SEARCH("Enter account name",E137)))</formula>
    </cfRule>
  </conditionalFormatting>
  <conditionalFormatting sqref="E175">
    <cfRule type="containsText" dxfId="276" priority="50" operator="containsText" text="Enter account name">
      <formula>NOT(ISERROR(SEARCH("Enter account name",E175)))</formula>
    </cfRule>
  </conditionalFormatting>
  <conditionalFormatting sqref="E213">
    <cfRule type="containsText" dxfId="275" priority="49" operator="containsText" text="Enter account name">
      <formula>NOT(ISERROR(SEARCH("Enter account name",E213)))</formula>
    </cfRule>
  </conditionalFormatting>
  <conditionalFormatting sqref="G23:H23">
    <cfRule type="cellIs" dxfId="274" priority="72" operator="equal">
      <formula>"Reconciled"</formula>
    </cfRule>
    <cfRule type="cellIs" dxfId="273" priority="73" operator="equal">
      <formula>"Out of Balance"</formula>
    </cfRule>
  </conditionalFormatting>
  <conditionalFormatting sqref="G61:H61">
    <cfRule type="cellIs" dxfId="272" priority="54" operator="equal">
      <formula>"Reconciled"</formula>
    </cfRule>
    <cfRule type="cellIs" dxfId="271" priority="55" operator="equal">
      <formula>"Out of Balance"</formula>
    </cfRule>
  </conditionalFormatting>
  <conditionalFormatting sqref="G99:H99">
    <cfRule type="cellIs" dxfId="270" priority="47" operator="equal">
      <formula>"Reconciled"</formula>
    </cfRule>
    <cfRule type="cellIs" dxfId="269" priority="48" operator="equal">
      <formula>"Out of Balance"</formula>
    </cfRule>
  </conditionalFormatting>
  <conditionalFormatting sqref="G137:H137">
    <cfRule type="cellIs" dxfId="268" priority="45" operator="equal">
      <formula>"Reconciled"</formula>
    </cfRule>
    <cfRule type="cellIs" dxfId="267" priority="46" operator="equal">
      <formula>"Out of Balance"</formula>
    </cfRule>
  </conditionalFormatting>
  <conditionalFormatting sqref="G175:H175">
    <cfRule type="cellIs" dxfId="266" priority="43" operator="equal">
      <formula>"Reconciled"</formula>
    </cfRule>
    <cfRule type="cellIs" dxfId="265" priority="44" operator="equal">
      <formula>"Out of Balance"</formula>
    </cfRule>
  </conditionalFormatting>
  <conditionalFormatting sqref="G213:H213">
    <cfRule type="cellIs" dxfId="264" priority="41" operator="equal">
      <formula>"Reconciled"</formula>
    </cfRule>
    <cfRule type="cellIs" dxfId="263" priority="42" operator="equal">
      <formula>"Out of Balance"</formula>
    </cfRule>
  </conditionalFormatting>
  <conditionalFormatting sqref="H15:I20">
    <cfRule type="expression" dxfId="262" priority="32">
      <formula>$I15="Reconciled"</formula>
    </cfRule>
    <cfRule type="expression" dxfId="261" priority="33">
      <formula>$I15="Out of Balance"</formula>
    </cfRule>
  </conditionalFormatting>
  <conditionalFormatting sqref="J56">
    <cfRule type="expression" dxfId="260" priority="67">
      <formula>J59="Reconciled"</formula>
    </cfRule>
    <cfRule type="expression" dxfId="259" priority="68">
      <formula>J59="Out of Balance"</formula>
    </cfRule>
  </conditionalFormatting>
  <conditionalFormatting sqref="J57">
    <cfRule type="expression" dxfId="258" priority="66">
      <formula>J59="Reconciled"</formula>
    </cfRule>
    <cfRule type="expression" dxfId="257" priority="69">
      <formula>J59="Out of Balance"</formula>
    </cfRule>
  </conditionalFormatting>
  <conditionalFormatting sqref="J58">
    <cfRule type="expression" dxfId="256" priority="65">
      <formula>J59="Reconciled"</formula>
    </cfRule>
    <cfRule type="expression" dxfId="255" priority="70">
      <formula>J59="Out of Balance"</formula>
    </cfRule>
  </conditionalFormatting>
  <conditionalFormatting sqref="J94">
    <cfRule type="expression" dxfId="254" priority="29">
      <formula>J97="Reconciled"</formula>
    </cfRule>
    <cfRule type="expression" dxfId="253" priority="30">
      <formula>J97="Out of Balance"</formula>
    </cfRule>
  </conditionalFormatting>
  <conditionalFormatting sqref="J95">
    <cfRule type="expression" dxfId="252" priority="27">
      <formula>J97="Reconciled"</formula>
    </cfRule>
    <cfRule type="expression" dxfId="251" priority="28">
      <formula>J97="Out of Balance"</formula>
    </cfRule>
  </conditionalFormatting>
  <conditionalFormatting sqref="J96">
    <cfRule type="expression" dxfId="250" priority="25">
      <formula>J97="Reconciled"</formula>
    </cfRule>
    <cfRule type="expression" dxfId="249" priority="26">
      <formula>J97="Out of Balance"</formula>
    </cfRule>
  </conditionalFormatting>
  <conditionalFormatting sqref="J132">
    <cfRule type="expression" dxfId="248" priority="23">
      <formula>J135="Reconciled"</formula>
    </cfRule>
    <cfRule type="expression" dxfId="247" priority="24">
      <formula>J135="Out of Balance"</formula>
    </cfRule>
  </conditionalFormatting>
  <conditionalFormatting sqref="J133">
    <cfRule type="expression" dxfId="246" priority="21">
      <formula>J135="Reconciled"</formula>
    </cfRule>
    <cfRule type="expression" dxfId="245" priority="22">
      <formula>J135="Out of Balance"</formula>
    </cfRule>
  </conditionalFormatting>
  <conditionalFormatting sqref="J134">
    <cfRule type="expression" dxfId="244" priority="19">
      <formula>J135="Reconciled"</formula>
    </cfRule>
    <cfRule type="expression" dxfId="243" priority="20">
      <formula>J135="Out of Balance"</formula>
    </cfRule>
  </conditionalFormatting>
  <conditionalFormatting sqref="J170">
    <cfRule type="expression" dxfId="242" priority="17">
      <formula>J173="Reconciled"</formula>
    </cfRule>
    <cfRule type="expression" dxfId="241" priority="18">
      <formula>J173="Out of Balance"</formula>
    </cfRule>
  </conditionalFormatting>
  <conditionalFormatting sqref="J171">
    <cfRule type="expression" dxfId="240" priority="15">
      <formula>J173="Reconciled"</formula>
    </cfRule>
    <cfRule type="expression" dxfId="239" priority="16">
      <formula>J173="Out of Balance"</formula>
    </cfRule>
  </conditionalFormatting>
  <conditionalFormatting sqref="J172">
    <cfRule type="expression" dxfId="238" priority="13">
      <formula>J173="Reconciled"</formula>
    </cfRule>
    <cfRule type="expression" dxfId="237" priority="14">
      <formula>J173="Out of Balance"</formula>
    </cfRule>
  </conditionalFormatting>
  <conditionalFormatting sqref="J208">
    <cfRule type="expression" dxfId="236" priority="11">
      <formula>J211="Reconciled"</formula>
    </cfRule>
    <cfRule type="expression" dxfId="235" priority="12">
      <formula>J211="Out of Balance"</formula>
    </cfRule>
  </conditionalFormatting>
  <conditionalFormatting sqref="J209">
    <cfRule type="expression" dxfId="234" priority="9">
      <formula>J211="Reconciled"</formula>
    </cfRule>
    <cfRule type="expression" dxfId="233" priority="10">
      <formula>J211="Out of Balance"</formula>
    </cfRule>
  </conditionalFormatting>
  <conditionalFormatting sqref="J210">
    <cfRule type="expression" dxfId="232" priority="7">
      <formula>J211="Reconciled"</formula>
    </cfRule>
    <cfRule type="expression" dxfId="231" priority="8">
      <formula>J211="Out of Balance"</formula>
    </cfRule>
  </conditionalFormatting>
  <conditionalFormatting sqref="J246">
    <cfRule type="expression" dxfId="230" priority="5">
      <formula>J249="Reconciled"</formula>
    </cfRule>
    <cfRule type="expression" dxfId="229" priority="6">
      <formula>J249="Out of Balance"</formula>
    </cfRule>
  </conditionalFormatting>
  <conditionalFormatting sqref="J247">
    <cfRule type="expression" dxfId="228" priority="3">
      <formula>J249="Reconciled"</formula>
    </cfRule>
    <cfRule type="expression" dxfId="227" priority="4">
      <formula>J249="Out of Balance"</formula>
    </cfRule>
  </conditionalFormatting>
  <conditionalFormatting sqref="J248">
    <cfRule type="expression" dxfId="226" priority="1">
      <formula>J249="Reconciled"</formula>
    </cfRule>
    <cfRule type="expression" dxfId="225" priority="2">
      <formula>J249="Out of Balance"</formula>
    </cfRule>
  </conditionalFormatting>
  <hyperlinks>
    <hyperlink ref="A23:D23" location="'F10 Bank'!Go_RollUp_03" tooltip="Show/Hide" display="'F10 Bank'!Go_RollUp_03" xr:uid="{344862D9-4801-4171-AB2F-063A0E43B78E}"/>
    <hyperlink ref="A61:D61" location="'F10 Bank'!Go_RollUp_04" tooltip="Show/Hide" display="'F10 Bank'!Go_RollUp_04" xr:uid="{D82E85B0-3307-426B-8097-D23E40F0F71D}"/>
    <hyperlink ref="A99:D99" location="'F10 Bank'!Go_RollUp_05" tooltip="Show/Hide" display="'F10 Bank'!Go_RollUp_05" xr:uid="{31C005DA-5F88-4EF3-9EB1-12F4621C30A3}"/>
    <hyperlink ref="A137:D137" location="'F10 Bank'!Go_RollUp_06" tooltip="Show/Hide" display="'F10 Bank'!Go_RollUp_06" xr:uid="{771FBAC3-D3E8-4883-B202-4B4BB157085B}"/>
    <hyperlink ref="A175:D175" location="'F10 Bank'!Go_RollUp_07" tooltip="Show/Hide" display="'F10 Bank'!Go_RollUp_07" xr:uid="{149C24EC-7765-47B7-967C-448A99BABC3C}"/>
    <hyperlink ref="A213:D213" location="'F10 Bank'!Go_RollUp_08" tooltip="Show/Hide" display="'F10 Bank'!Go_RollUp_08" xr:uid="{0187E4A0-8A4F-462A-890B-3B187D786C7E}"/>
    <hyperlink ref="I15" location="'F10 Bank'!Go_Variance_01" tooltip="Go To Reconciliation" display="'F10 Bank'!Go_Variance_01" xr:uid="{DD76DA2A-50B6-4574-A96C-7600D34BB700}"/>
    <hyperlink ref="I16" location="'F10 Bank'!Go_Variance_02" tooltip="Go To Reconciliation" display="'F10 Bank'!Go_Variance_02" xr:uid="{BAD9BB99-6EBD-46CD-B3AC-9F2E012F4943}"/>
    <hyperlink ref="I17" location="'F10 Bank'!Go_Variance_03" tooltip="Go To Reconciliation" display="'F10 Bank'!Go_Variance_03" xr:uid="{02227709-CD73-44DF-9CF7-54CB343FC193}"/>
    <hyperlink ref="I18" location="'F10 Bank'!Go_Variance_04" tooltip="Go To Reconciliation" display="'F10 Bank'!Go_Variance_04" xr:uid="{65B2B57B-96D7-4B4E-A67B-51DD3B1EC6F0}"/>
    <hyperlink ref="I19" location="'F10 Bank'!Go_Variance_05" tooltip="Go To Reconciliation" display="'F10 Bank'!Go_Variance_05" xr:uid="{A7A157D8-56AF-4B21-8CBA-C4C5571BAAD9}"/>
    <hyperlink ref="I20" location="'F10 Bank'!Go_Variance_06" tooltip="Go To Reconciliation" display="'F10 Bank'!Go_Variance_06" xr:uid="{BCBDC9F0-D563-4F55-A567-35B1AF098832}"/>
    <hyperlink ref="J3" location="'F10 Bank'!Go_Index" tooltip="Go to Record" display="Show Record" xr:uid="{03E9AAAD-CE82-4E58-955A-59B689C2208F}"/>
  </hyperlinks>
  <printOptions horizontalCentered="1"/>
  <pageMargins left="0.39370078740157483" right="0.39370078740157483" top="0.39370078740157483" bottom="0.39370078740157483" header="0" footer="0"/>
  <pageSetup paperSize="9" scale="60" orientation="portrait"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C4AEF6BC-1B79-4D2F-AAAD-7CA24B86A89C}">
          <xm:f>'F10 Bank'!Reconcile_BankAccount1</xm:f>
        </x15:webExtension>
        <x15:webExtension appRef="{9CF1AB4E-F85F-49E2-B004-95A6F18388C6}">
          <xm:f>'F10 Bank'!Reconcile_BankAccount2</xm:f>
        </x15:webExtension>
        <x15:webExtension appRef="{18CCD9D9-FACB-4C60-8DFC-CB9E3D29C943}">
          <xm:f>'F10 Bank'!Reconcile_BankAccount3</xm:f>
        </x15:webExtension>
        <x15:webExtension appRef="{20B62D59-769C-4487-867F-DF147A08E48B}">
          <xm:f>'F10 Bank'!Reconcile_BankAccount4</xm:f>
        </x15:webExtension>
        <x15:webExtension appRef="{C8AA4EE3-669F-4028-A943-BB2D1EA3BC24}">
          <xm:f>'F10 Bank'!Reconcile_BankAccount5</xm:f>
        </x15:webExtension>
        <x15:webExtension appRef="{A49A34EA-2B47-4EA1-B9A9-0D63AC22D025}">
          <xm:f>'F10 Bank'!Reconcile_BankAccount6</xm:f>
        </x15:webExtension>
      </x15:webExtens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375BB-F5CA-4DA5-9CAA-651CBF5154B0}">
  <sheetPr>
    <pageSetUpPr fitToPage="1"/>
  </sheetPr>
  <dimension ref="A1:AC221"/>
  <sheetViews>
    <sheetView showGridLines="0" topLeftCell="A2" zoomScaleNormal="100" workbookViewId="0">
      <selection activeCell="A2" sqref="A2"/>
    </sheetView>
  </sheetViews>
  <sheetFormatPr defaultRowHeight="15"/>
  <cols>
    <col min="1" max="1" width="4.28515625" style="65" customWidth="1"/>
    <col min="2" max="2" width="1.42578125" style="65" customWidth="1"/>
    <col min="3" max="3" width="42" style="65" customWidth="1"/>
    <col min="4" max="9" width="15.7109375" style="65" customWidth="1"/>
    <col min="10" max="10" width="1.42578125" style="65" customWidth="1"/>
    <col min="11" max="11" width="14.28515625" style="65" customWidth="1"/>
    <col min="12" max="13" width="15.7109375" style="65" customWidth="1"/>
    <col min="14" max="14" width="1.42578125" style="65" customWidth="1"/>
    <col min="15" max="17" width="15.7109375" style="65" customWidth="1"/>
    <col min="18" max="18" width="15.7109375" style="133" customWidth="1"/>
    <col min="19" max="19" width="1.42578125" style="65" customWidth="1"/>
    <col min="20" max="20" width="4.28515625" style="65" customWidth="1"/>
    <col min="21" max="22" width="15.7109375" style="65" customWidth="1"/>
    <col min="23" max="23" width="9.140625" style="65"/>
    <col min="24" max="27" width="15.7109375" style="65" hidden="1" customWidth="1"/>
    <col min="28" max="29" width="8.85546875" style="65" hidden="1" customWidth="1"/>
    <col min="30" max="16384" width="9.140625" style="65"/>
  </cols>
  <sheetData>
    <row r="1" spans="1:29" hidden="1">
      <c r="C1" s="389" t="s">
        <v>181</v>
      </c>
      <c r="D1" s="65" t="s">
        <v>495</v>
      </c>
      <c r="G1" s="562" t="s">
        <v>179</v>
      </c>
      <c r="H1" s="65" t="s">
        <v>494</v>
      </c>
      <c r="K1" s="156" t="s">
        <v>37</v>
      </c>
      <c r="L1" s="65" t="str">
        <f>IFERROR(Jurisdiction,"AU")</f>
        <v>AU</v>
      </c>
      <c r="R1" s="65"/>
      <c r="S1" s="133"/>
      <c r="AC1" s="111" t="s">
        <v>176</v>
      </c>
    </row>
    <row r="2" spans="1:29" ht="7.5" customHeight="1">
      <c r="C2" s="118"/>
      <c r="R2" s="65"/>
      <c r="S2" s="133"/>
    </row>
    <row r="3" spans="1:29" ht="24.95" customHeight="1">
      <c r="C3" s="561" t="s">
        <v>492</v>
      </c>
      <c r="Q3"/>
      <c r="R3" s="421" t="s">
        <v>174</v>
      </c>
    </row>
    <row r="4" spans="1:29" ht="22.5" customHeight="1">
      <c r="C4" s="560" t="str">
        <f>_xlfn.TEXTJOIN(" ",1,IFERROR(_xlfn.SINGLE(Cl_Name),"Client Name"),IF(IFERROR(_xlfn.SINGLE(Cl_Code),"")="","","("&amp;_xlfn.SINGLE(Cl_Code)&amp;")"))</f>
        <v>Springrange Holdings Pty Ltd (MuM001)</v>
      </c>
      <c r="Q4" s="559" t="s">
        <v>493</v>
      </c>
      <c r="R4" s="559" t="s">
        <v>492</v>
      </c>
    </row>
    <row r="5" spans="1:29" ht="22.5" customHeight="1">
      <c r="C5" s="302">
        <f>IFERROR(_xlfn.SINGLE(PeriodEndDate),DATE(1901,6,30))</f>
        <v>45473</v>
      </c>
      <c r="D5" s="124"/>
      <c r="Q5" s="558" t="str">
        <f>IF(AND(I85=0,I86=""),"Pending",IF(ABS(I87)&gt;Tm_Tolerance,"Out of Balance","Reconciled"))</f>
        <v>Pending</v>
      </c>
      <c r="R5" s="557" t="str">
        <f>IF(AND(M35=0,M36=0,COUNT(Model_Debtors.Balances.Balance)=0),"Pending",IF(ABS(M37)&gt;Tm_Tolerance,"Out of Balance","Reconciled"))</f>
        <v>Out of Balance</v>
      </c>
      <c r="S5" s="363">
        <f>IFERROR(_xlfn.XLOOKUP("9263d4e7-43bd-4294-8f89-3ae50d02881e",RecordInfo.RecordId,RecordInfo.Tolerances),0)</f>
        <v>0.01</v>
      </c>
    </row>
    <row r="6" spans="1:29" ht="17.25" hidden="1" customHeight="1">
      <c r="L6" s="556"/>
    </row>
    <row r="7" spans="1:29" ht="7.5" customHeight="1">
      <c r="B7" s="117"/>
      <c r="C7" s="117"/>
      <c r="D7" s="275"/>
      <c r="E7" s="275"/>
      <c r="F7" s="275"/>
      <c r="G7" s="275"/>
      <c r="H7" s="275"/>
      <c r="I7" s="275"/>
      <c r="J7" s="275"/>
      <c r="K7" s="275"/>
      <c r="L7" s="275"/>
      <c r="M7" s="275"/>
      <c r="N7" s="275"/>
      <c r="O7" s="275"/>
      <c r="P7" s="275"/>
      <c r="Q7" s="275"/>
      <c r="R7" s="275"/>
      <c r="S7" s="275"/>
    </row>
    <row r="8" spans="1:29" ht="7.5" customHeight="1">
      <c r="B8" s="118"/>
      <c r="C8" s="118"/>
    </row>
    <row r="9" spans="1:29" ht="17.25" customHeight="1">
      <c r="C9" s="555" t="s">
        <v>491</v>
      </c>
      <c r="D9" s="554"/>
      <c r="E9" s="554"/>
      <c r="F9" s="554"/>
      <c r="G9" s="554"/>
      <c r="H9" s="554"/>
      <c r="I9" s="554"/>
      <c r="J9" s="554"/>
      <c r="K9" s="554"/>
      <c r="L9" s="554"/>
      <c r="M9" s="554"/>
    </row>
    <row r="10" spans="1:29" ht="17.25" customHeight="1">
      <c r="C10" s="553" t="s">
        <v>490</v>
      </c>
      <c r="D10" s="553"/>
      <c r="E10" s="553"/>
      <c r="F10" s="553"/>
      <c r="G10" s="553"/>
      <c r="H10" s="553"/>
      <c r="I10" s="553"/>
      <c r="J10" s="553"/>
      <c r="K10" s="553"/>
      <c r="L10" s="553"/>
      <c r="M10" s="553"/>
      <c r="N10" s="553"/>
    </row>
    <row r="11" spans="1:29" ht="17.25" hidden="1" customHeight="1">
      <c r="C11" s="553" t="s">
        <v>489</v>
      </c>
      <c r="D11" s="553"/>
      <c r="E11" s="553"/>
      <c r="F11" s="553"/>
      <c r="G11" s="553"/>
      <c r="H11" s="553"/>
      <c r="I11" s="553"/>
      <c r="J11" s="553"/>
      <c r="K11" s="553"/>
      <c r="L11" s="553"/>
      <c r="M11" s="553"/>
      <c r="N11" s="553"/>
      <c r="AC11" s="65" t="b">
        <f>IF($L$1="GB",FALSE,TRUE)</f>
        <v>1</v>
      </c>
    </row>
    <row r="12" spans="1:29" ht="22.5" customHeight="1"/>
    <row r="13" spans="1:29" ht="22.5" customHeight="1">
      <c r="A13" s="61" t="str">
        <f>IF(SUBTOTAL(103,A14),"-","+")</f>
        <v>-</v>
      </c>
      <c r="B13" s="1517" t="s">
        <v>488</v>
      </c>
      <c r="C13" s="1518"/>
      <c r="D13" s="1614"/>
      <c r="F13" s="355"/>
      <c r="G13" s="355"/>
      <c r="H13" s="355"/>
      <c r="I13" s="355"/>
      <c r="J13" s="355"/>
      <c r="K13" s="355"/>
      <c r="L13" s="355"/>
      <c r="M13" s="355"/>
      <c r="Q13" s="32"/>
    </row>
    <row r="14" spans="1:29" ht="7.5" customHeight="1">
      <c r="A14" s="65" t="s">
        <v>58</v>
      </c>
      <c r="B14" s="550"/>
      <c r="C14" s="552"/>
      <c r="D14" s="552"/>
      <c r="E14" s="552"/>
      <c r="F14" s="552"/>
      <c r="G14" s="552"/>
      <c r="H14" s="552"/>
      <c r="I14" s="552"/>
      <c r="J14" s="552"/>
      <c r="K14" s="552"/>
      <c r="L14" s="552"/>
      <c r="M14" s="552"/>
      <c r="N14" s="552"/>
      <c r="O14" s="552"/>
      <c r="P14" s="552"/>
      <c r="Q14" s="552"/>
      <c r="R14" s="165"/>
      <c r="S14" s="361"/>
      <c r="U14" s="133"/>
    </row>
    <row r="15" spans="1:29" ht="24.75" customHeight="1">
      <c r="B15" s="550"/>
      <c r="C15" s="551" t="s">
        <v>487</v>
      </c>
      <c r="D15" s="355"/>
      <c r="E15" s="1621" t="s">
        <v>486</v>
      </c>
      <c r="F15" s="1621"/>
      <c r="G15" s="1621"/>
      <c r="H15" s="1621"/>
      <c r="I15" s="1621"/>
      <c r="J15" s="1621"/>
      <c r="K15" s="1621"/>
      <c r="L15" s="1621"/>
      <c r="M15" s="1621"/>
      <c r="N15" s="355"/>
      <c r="O15" s="355"/>
      <c r="P15" s="355"/>
      <c r="Q15" s="355"/>
      <c r="R15" s="65"/>
      <c r="S15" s="360"/>
      <c r="U15" s="133"/>
    </row>
    <row r="16" spans="1:29" ht="7.5" customHeight="1">
      <c r="B16" s="550"/>
      <c r="C16" s="355"/>
      <c r="D16" s="355"/>
      <c r="E16" s="355"/>
      <c r="F16" s="355"/>
      <c r="G16" s="355"/>
      <c r="H16" s="355"/>
      <c r="I16" s="355"/>
      <c r="J16" s="355"/>
      <c r="K16" s="355"/>
      <c r="L16" s="355"/>
      <c r="M16" s="355"/>
      <c r="N16" s="355"/>
      <c r="O16" s="355"/>
      <c r="P16" s="355"/>
      <c r="Q16" s="355"/>
      <c r="R16" s="65"/>
      <c r="S16" s="360"/>
      <c r="U16" s="133"/>
    </row>
    <row r="17" spans="2:27" ht="30" customHeight="1">
      <c r="B17" s="278"/>
      <c r="C17" s="1624" t="s">
        <v>404</v>
      </c>
      <c r="D17" s="1599" t="s">
        <v>485</v>
      </c>
      <c r="E17" s="1599" t="s">
        <v>484</v>
      </c>
      <c r="F17" s="1599" t="str">
        <f>"Amount
Including "&amp;IF(IFERROR(Tm_Jurisdiction,"AU")="GB","VAT","GST")</f>
        <v>Amount
Including GST</v>
      </c>
      <c r="G17" s="549" t="s">
        <v>483</v>
      </c>
      <c r="H17" s="1599" t="str">
        <f>"Amount ("
&amp;IF(IFERROR(Tm_Jurisdiction,"AU")="GB","GBP",IF(IFERROR(Tm_Jurisdiction,"AU")="NZ","NZD","AUD"))&amp;")"</f>
        <v>Amount (AUD)</v>
      </c>
      <c r="I17" s="549" t="str">
        <f>IF(IFERROR(Tm_Jurisdiction,"AU")="GB","VAT","GST")</f>
        <v>GST</v>
      </c>
      <c r="J17" s="1599" t="s">
        <v>482</v>
      </c>
      <c r="K17" s="1599"/>
      <c r="L17" s="1599" t="str">
        <f>IF(IFERROR(Tm_Jurisdiction,"AU")="GB","VAT","GST")&amp;" on
Reconciliation Adjustment"</f>
        <v>GST on
Reconciliation Adjustment</v>
      </c>
      <c r="M17" s="1601" t="str">
        <f>"Adjusted Total "&amp;IF(IFERROR(Tm_Jurisdiction,"AU")="GB","(GBP)",IF(IFERROR(Tm_Jurisdiction,"AU")="NZ","(NZD)","(AUD)"))</f>
        <v>Adjusted Total (AUD)</v>
      </c>
      <c r="N17" s="548"/>
      <c r="O17" s="1451" t="str">
        <f>"Ageing ("&amp;IF(IFERROR(Tm_Jurisdiction,"AU")="GB","GBP",IF(IFERROR(Tm_Jurisdiction,"AU")="NZ","NZD","AUD"))&amp;")"</f>
        <v>Ageing (AUD)</v>
      </c>
      <c r="P17" s="1451"/>
      <c r="Q17" s="1451"/>
      <c r="R17" s="1452"/>
      <c r="S17" s="360"/>
      <c r="U17" s="1626" t="s">
        <v>155</v>
      </c>
      <c r="V17" s="1627"/>
      <c r="X17" s="1623" t="s">
        <v>481</v>
      </c>
      <c r="Y17" s="1451"/>
      <c r="Z17" s="1451"/>
      <c r="AA17" s="1452"/>
    </row>
    <row r="18" spans="2:27" ht="17.25" customHeight="1">
      <c r="B18" s="278"/>
      <c r="C18" s="1625"/>
      <c r="D18" s="1600"/>
      <c r="E18" s="1600"/>
      <c r="F18" s="1600"/>
      <c r="G18" s="547" t="str">
        <f>"(1 "&amp;IF(IFERROR(Tm_Jurisdiction,"AU")="GB","GBP",IF(IFERROR(Tm_Jurisdiction,"AU")="NZ","NZD","AUD"))&amp;" = xx.xx)"</f>
        <v>(1 AUD = xx.xx)</v>
      </c>
      <c r="H18" s="1600"/>
      <c r="I18" s="546" t="s">
        <v>480</v>
      </c>
      <c r="J18" s="1600"/>
      <c r="K18" s="1600"/>
      <c r="L18" s="1600"/>
      <c r="M18" s="1602"/>
      <c r="N18" s="544"/>
      <c r="O18" s="543" t="s">
        <v>476</v>
      </c>
      <c r="P18" s="542" t="s">
        <v>479</v>
      </c>
      <c r="Q18" s="542" t="s">
        <v>478</v>
      </c>
      <c r="R18" s="541" t="s">
        <v>477</v>
      </c>
      <c r="S18" s="360"/>
      <c r="U18" s="1628"/>
      <c r="V18" s="1629"/>
      <c r="X18" s="540" t="s">
        <v>476</v>
      </c>
      <c r="Y18" s="539" t="s">
        <v>475</v>
      </c>
      <c r="Z18" s="539" t="s">
        <v>474</v>
      </c>
      <c r="AA18" s="81" t="s">
        <v>473</v>
      </c>
    </row>
    <row r="19" spans="2:27" ht="7.5" customHeight="1">
      <c r="B19" s="538"/>
      <c r="C19" s="32"/>
      <c r="D19" s="32"/>
      <c r="E19" s="32"/>
      <c r="F19" s="32"/>
      <c r="H19" s="32"/>
      <c r="I19" s="32"/>
      <c r="J19" s="32"/>
      <c r="K19" s="32"/>
      <c r="L19" s="32"/>
      <c r="M19" s="32"/>
      <c r="N19" s="32"/>
      <c r="O19" s="32"/>
      <c r="P19" s="32"/>
      <c r="Q19" s="32"/>
      <c r="R19" s="32"/>
      <c r="S19" s="537"/>
      <c r="V19" s="133"/>
      <c r="X19" s="32"/>
      <c r="Y19" s="32"/>
      <c r="Z19" s="32"/>
      <c r="AA19" s="32"/>
    </row>
    <row r="20" spans="2:27" ht="17.25" customHeight="1">
      <c r="B20" s="278"/>
      <c r="C20" s="536"/>
      <c r="D20" s="535"/>
      <c r="E20" s="534"/>
      <c r="F20" s="463"/>
      <c r="G20" s="463">
        <v>1</v>
      </c>
      <c r="H20" s="463">
        <f t="shared" ref="H20:H29" si="0">IFERROR((F20/G20)*N(1),0)</f>
        <v>0</v>
      </c>
      <c r="I20" s="26" cm="1">
        <f t="array" ref="I20">N("*** UK - Manually overwrite this formula in the VAT column ***") +
_xlfn.IFS(IFERROR(Tm_Jurisdiction,"AU")="GB",0,IFERROR(Tm_Jurisdiction,"AU")="NZ",IF(E20="",IFERROR(_xlfn.NUMBERVALUE(H20)/1.15*0.15,0),0),IFERROR(Tm_Jurisdiction,"AU")="AU",IF(E20="",_xlfn.NUMBERVALUE(H20)/11,0))</f>
        <v>0</v>
      </c>
      <c r="J20" s="1606"/>
      <c r="K20" s="1607"/>
      <c r="L20" s="26"/>
      <c r="M20" s="533">
        <f t="shared" ref="M20:M29" si="1">IF(AND(H20="",J20=""),"",H20+J20)</f>
        <v>0</v>
      </c>
      <c r="N20" s="526">
        <f t="shared" ref="N20:N29" si="2">IF(AND(M20&gt;0,NOT(ISERROR(R20/M20))),R20/M20,0)</f>
        <v>0</v>
      </c>
      <c r="O20" s="463">
        <f t="shared" ref="O20:O29" si="3">IFERROR((X20/G20)*N(1),0)</f>
        <v>0</v>
      </c>
      <c r="P20" s="463">
        <f t="shared" ref="P20:P29" si="4">IFERROR((Y20/G20)*N(1),0)</f>
        <v>0</v>
      </c>
      <c r="Q20" s="463">
        <f t="shared" ref="Q20:Q29" si="5">IFERROR((Z20/G20)*N(1),0)</f>
        <v>0</v>
      </c>
      <c r="R20" s="463">
        <f t="shared" ref="R20:R29" si="6">IFERROR((AA20/G20)*N(1),0)</f>
        <v>0</v>
      </c>
      <c r="S20" s="532" t="str" cm="1">
        <f t="array" aca="1" ref="S20" ca="1">CELL("address",C20)</f>
        <v>$C$20</v>
      </c>
      <c r="U20" s="436"/>
      <c r="V20" s="173"/>
      <c r="X20" s="531"/>
      <c r="Y20" s="531"/>
      <c r="Z20" s="531"/>
      <c r="AA20" s="531"/>
    </row>
    <row r="21" spans="2:27" ht="17.25" customHeight="1">
      <c r="B21" s="278"/>
      <c r="C21" s="536"/>
      <c r="D21" s="535"/>
      <c r="E21" s="534"/>
      <c r="F21" s="463"/>
      <c r="G21" s="463">
        <v>1</v>
      </c>
      <c r="H21" s="463">
        <f t="shared" si="0"/>
        <v>0</v>
      </c>
      <c r="I21" s="26" cm="1">
        <f t="array" ref="I21">N("*** UK - Manually overwrite this formula in the VAT column ***") +
_xlfn.IFS(IFERROR(Tm_Jurisdiction,"AU")="GB",0,IFERROR(Tm_Jurisdiction,"AU")="NZ",IF(E21="",IFERROR(_xlfn.NUMBERVALUE(H21)/1.15*0.15,0),0),IFERROR(Tm_Jurisdiction,"AU")="AU",IF(E21="",_xlfn.NUMBERVALUE(H21)/11,0))</f>
        <v>0</v>
      </c>
      <c r="J21" s="1606"/>
      <c r="K21" s="1607"/>
      <c r="L21" s="26"/>
      <c r="M21" s="533">
        <f t="shared" si="1"/>
        <v>0</v>
      </c>
      <c r="N21" s="526">
        <f t="shared" si="2"/>
        <v>0</v>
      </c>
      <c r="O21" s="463">
        <f t="shared" si="3"/>
        <v>0</v>
      </c>
      <c r="P21" s="463">
        <f t="shared" si="4"/>
        <v>0</v>
      </c>
      <c r="Q21" s="463">
        <f t="shared" si="5"/>
        <v>0</v>
      </c>
      <c r="R21" s="463">
        <f t="shared" si="6"/>
        <v>0</v>
      </c>
      <c r="S21" s="532" t="str" cm="1">
        <f t="array" aca="1" ref="S21" ca="1">CELL("address",C21)</f>
        <v>$C$21</v>
      </c>
      <c r="U21" s="436"/>
      <c r="V21" s="173"/>
      <c r="X21" s="531"/>
      <c r="Y21" s="531"/>
      <c r="Z21" s="531"/>
      <c r="AA21" s="531"/>
    </row>
    <row r="22" spans="2:27" ht="17.25" customHeight="1">
      <c r="B22" s="278"/>
      <c r="C22" s="536"/>
      <c r="D22" s="535"/>
      <c r="E22" s="534"/>
      <c r="F22" s="463"/>
      <c r="G22" s="463">
        <v>1</v>
      </c>
      <c r="H22" s="463">
        <f t="shared" si="0"/>
        <v>0</v>
      </c>
      <c r="I22" s="26" cm="1">
        <f t="array" ref="I22">N("*** UK - Manually overwrite this formula in the VAT column ***") +
_xlfn.IFS(IFERROR(Tm_Jurisdiction,"AU")="GB",0,IFERROR(Tm_Jurisdiction,"AU")="NZ",IF(E22="",IFERROR(_xlfn.NUMBERVALUE(H22)/1.15*0.15,0),0),IFERROR(Tm_Jurisdiction,"AU")="AU",IF(E22="",_xlfn.NUMBERVALUE(H22)/11,0))</f>
        <v>0</v>
      </c>
      <c r="J22" s="1606"/>
      <c r="K22" s="1607"/>
      <c r="L22" s="26"/>
      <c r="M22" s="533">
        <f t="shared" si="1"/>
        <v>0</v>
      </c>
      <c r="N22" s="526">
        <f t="shared" si="2"/>
        <v>0</v>
      </c>
      <c r="O22" s="463">
        <f t="shared" si="3"/>
        <v>0</v>
      </c>
      <c r="P22" s="463">
        <f t="shared" si="4"/>
        <v>0</v>
      </c>
      <c r="Q22" s="463">
        <f t="shared" si="5"/>
        <v>0</v>
      </c>
      <c r="R22" s="463">
        <f t="shared" si="6"/>
        <v>0</v>
      </c>
      <c r="S22" s="532" t="str" cm="1">
        <f t="array" aca="1" ref="S22" ca="1">CELL("address",C22)</f>
        <v>$C$22</v>
      </c>
      <c r="U22" s="436"/>
      <c r="V22" s="173"/>
      <c r="X22" s="531"/>
      <c r="Y22" s="531"/>
      <c r="Z22" s="531"/>
      <c r="AA22" s="531"/>
    </row>
    <row r="23" spans="2:27" ht="17.25" customHeight="1">
      <c r="B23" s="278"/>
      <c r="C23" s="536"/>
      <c r="D23" s="535"/>
      <c r="E23" s="534"/>
      <c r="F23" s="463"/>
      <c r="G23" s="463">
        <v>1</v>
      </c>
      <c r="H23" s="463">
        <f t="shared" si="0"/>
        <v>0</v>
      </c>
      <c r="I23" s="26" cm="1">
        <f t="array" ref="I23">N("*** UK - Manually overwrite this formula in the VAT column ***") +
_xlfn.IFS(IFERROR(Tm_Jurisdiction,"AU")="GB",0,IFERROR(Tm_Jurisdiction,"AU")="NZ",IF(E23="",IFERROR(_xlfn.NUMBERVALUE(H23)/1.15*0.15,0),0),IFERROR(Tm_Jurisdiction,"AU")="AU",IF(E23="",_xlfn.NUMBERVALUE(H23)/11,0))</f>
        <v>0</v>
      </c>
      <c r="J23" s="1606"/>
      <c r="K23" s="1607"/>
      <c r="L23" s="26"/>
      <c r="M23" s="533">
        <f t="shared" si="1"/>
        <v>0</v>
      </c>
      <c r="N23" s="526">
        <f t="shared" si="2"/>
        <v>0</v>
      </c>
      <c r="O23" s="463">
        <f t="shared" si="3"/>
        <v>0</v>
      </c>
      <c r="P23" s="463">
        <f t="shared" si="4"/>
        <v>0</v>
      </c>
      <c r="Q23" s="463">
        <f t="shared" si="5"/>
        <v>0</v>
      </c>
      <c r="R23" s="463">
        <f t="shared" si="6"/>
        <v>0</v>
      </c>
      <c r="S23" s="532" t="str" cm="1">
        <f t="array" aca="1" ref="S23" ca="1">CELL("address",C23)</f>
        <v>$C$23</v>
      </c>
      <c r="U23" s="436"/>
      <c r="V23" s="173"/>
      <c r="X23" s="531"/>
      <c r="Y23" s="531"/>
      <c r="Z23" s="531"/>
      <c r="AA23" s="531"/>
    </row>
    <row r="24" spans="2:27" ht="17.25" customHeight="1">
      <c r="B24" s="278"/>
      <c r="C24" s="536"/>
      <c r="D24" s="535"/>
      <c r="E24" s="534"/>
      <c r="F24" s="463"/>
      <c r="G24" s="463">
        <v>1</v>
      </c>
      <c r="H24" s="463">
        <f t="shared" si="0"/>
        <v>0</v>
      </c>
      <c r="I24" s="26" cm="1">
        <f t="array" ref="I24">N("*** UK - Manually overwrite this formula in the VAT column ***") +
_xlfn.IFS(IFERROR(Tm_Jurisdiction,"AU")="GB",0,IFERROR(Tm_Jurisdiction,"AU")="NZ",IF(E24="",IFERROR(_xlfn.NUMBERVALUE(H24)/1.15*0.15,0),0),IFERROR(Tm_Jurisdiction,"AU")="AU",IF(E24="",_xlfn.NUMBERVALUE(H24)/11,0))</f>
        <v>0</v>
      </c>
      <c r="J24" s="1606"/>
      <c r="K24" s="1607"/>
      <c r="L24" s="26"/>
      <c r="M24" s="533">
        <f t="shared" si="1"/>
        <v>0</v>
      </c>
      <c r="N24" s="526">
        <f t="shared" si="2"/>
        <v>0</v>
      </c>
      <c r="O24" s="463">
        <f t="shared" si="3"/>
        <v>0</v>
      </c>
      <c r="P24" s="463">
        <f t="shared" si="4"/>
        <v>0</v>
      </c>
      <c r="Q24" s="463">
        <f t="shared" si="5"/>
        <v>0</v>
      </c>
      <c r="R24" s="463">
        <f t="shared" si="6"/>
        <v>0</v>
      </c>
      <c r="S24" s="532" t="str" cm="1">
        <f t="array" aca="1" ref="S24" ca="1">CELL("address",C24)</f>
        <v>$C$24</v>
      </c>
      <c r="U24" s="436"/>
      <c r="V24" s="173"/>
      <c r="X24" s="531"/>
      <c r="Y24" s="531"/>
      <c r="Z24" s="531"/>
      <c r="AA24" s="531"/>
    </row>
    <row r="25" spans="2:27" ht="17.25" customHeight="1">
      <c r="B25" s="278"/>
      <c r="C25" s="536"/>
      <c r="D25" s="535"/>
      <c r="E25" s="534"/>
      <c r="F25" s="463"/>
      <c r="G25" s="463">
        <v>1</v>
      </c>
      <c r="H25" s="463">
        <f t="shared" si="0"/>
        <v>0</v>
      </c>
      <c r="I25" s="26" cm="1">
        <f t="array" ref="I25">N("*** UK - Manually overwrite this formula in the VAT column ***") +
_xlfn.IFS(IFERROR(Tm_Jurisdiction,"AU")="GB",0,IFERROR(Tm_Jurisdiction,"AU")="NZ",IF(E25="",IFERROR(_xlfn.NUMBERVALUE(H25)/1.15*0.15,0),0),IFERROR(Tm_Jurisdiction,"AU")="AU",IF(E25="",_xlfn.NUMBERVALUE(H25)/11,0))</f>
        <v>0</v>
      </c>
      <c r="J25" s="1606"/>
      <c r="K25" s="1607"/>
      <c r="L25" s="26"/>
      <c r="M25" s="533">
        <f t="shared" si="1"/>
        <v>0</v>
      </c>
      <c r="N25" s="526">
        <f t="shared" si="2"/>
        <v>0</v>
      </c>
      <c r="O25" s="463">
        <f t="shared" si="3"/>
        <v>0</v>
      </c>
      <c r="P25" s="463">
        <f t="shared" si="4"/>
        <v>0</v>
      </c>
      <c r="Q25" s="463">
        <f t="shared" si="5"/>
        <v>0</v>
      </c>
      <c r="R25" s="463">
        <f t="shared" si="6"/>
        <v>0</v>
      </c>
      <c r="S25" s="532" t="str" cm="1">
        <f t="array" aca="1" ref="S25" ca="1">CELL("address",C25)</f>
        <v>$C$25</v>
      </c>
      <c r="U25" s="436"/>
      <c r="V25" s="173"/>
      <c r="X25" s="531"/>
      <c r="Y25" s="531"/>
      <c r="Z25" s="531"/>
      <c r="AA25" s="531"/>
    </row>
    <row r="26" spans="2:27" ht="17.25" customHeight="1">
      <c r="B26" s="278"/>
      <c r="C26" s="536"/>
      <c r="D26" s="535"/>
      <c r="E26" s="534"/>
      <c r="F26" s="463"/>
      <c r="G26" s="463">
        <v>1</v>
      </c>
      <c r="H26" s="463">
        <f t="shared" si="0"/>
        <v>0</v>
      </c>
      <c r="I26" s="26" cm="1">
        <f t="array" ref="I26">N("*** UK - Manually overwrite this formula in the VAT column ***") +
_xlfn.IFS(IFERROR(Tm_Jurisdiction,"AU")="GB",0,IFERROR(Tm_Jurisdiction,"AU")="NZ",IF(E26="",IFERROR(_xlfn.NUMBERVALUE(H26)/1.15*0.15,0),0),IFERROR(Tm_Jurisdiction,"AU")="AU",IF(E26="",_xlfn.NUMBERVALUE(H26)/11,0))</f>
        <v>0</v>
      </c>
      <c r="J26" s="1606"/>
      <c r="K26" s="1607"/>
      <c r="L26" s="26"/>
      <c r="M26" s="533">
        <f t="shared" si="1"/>
        <v>0</v>
      </c>
      <c r="N26" s="526">
        <f t="shared" si="2"/>
        <v>0</v>
      </c>
      <c r="O26" s="463">
        <f t="shared" si="3"/>
        <v>0</v>
      </c>
      <c r="P26" s="463">
        <f t="shared" si="4"/>
        <v>0</v>
      </c>
      <c r="Q26" s="463">
        <f t="shared" si="5"/>
        <v>0</v>
      </c>
      <c r="R26" s="463">
        <f t="shared" si="6"/>
        <v>0</v>
      </c>
      <c r="S26" s="532" t="str" cm="1">
        <f t="array" aca="1" ref="S26" ca="1">CELL("address",C26)</f>
        <v>$C$26</v>
      </c>
      <c r="U26" s="436"/>
      <c r="V26" s="173"/>
      <c r="X26" s="531"/>
      <c r="Y26" s="531"/>
      <c r="Z26" s="531"/>
      <c r="AA26" s="531"/>
    </row>
    <row r="27" spans="2:27" ht="17.25" customHeight="1">
      <c r="B27" s="278"/>
      <c r="C27" s="536"/>
      <c r="D27" s="535"/>
      <c r="E27" s="534"/>
      <c r="F27" s="463"/>
      <c r="G27" s="463">
        <v>1</v>
      </c>
      <c r="H27" s="463">
        <f t="shared" si="0"/>
        <v>0</v>
      </c>
      <c r="I27" s="26" cm="1">
        <f t="array" ref="I27">N("*** UK - Manually overwrite this formula in the VAT column ***") +
_xlfn.IFS(IFERROR(Tm_Jurisdiction,"AU")="GB",0,IFERROR(Tm_Jurisdiction,"AU")="NZ",IF(E27="",IFERROR(_xlfn.NUMBERVALUE(H27)/1.15*0.15,0),0),IFERROR(Tm_Jurisdiction,"AU")="AU",IF(E27="",_xlfn.NUMBERVALUE(H27)/11,0))</f>
        <v>0</v>
      </c>
      <c r="J27" s="1606"/>
      <c r="K27" s="1607"/>
      <c r="L27" s="26"/>
      <c r="M27" s="533">
        <f t="shared" si="1"/>
        <v>0</v>
      </c>
      <c r="N27" s="526">
        <f t="shared" si="2"/>
        <v>0</v>
      </c>
      <c r="O27" s="463">
        <f t="shared" si="3"/>
        <v>0</v>
      </c>
      <c r="P27" s="463">
        <f t="shared" si="4"/>
        <v>0</v>
      </c>
      <c r="Q27" s="463">
        <f t="shared" si="5"/>
        <v>0</v>
      </c>
      <c r="R27" s="463">
        <f t="shared" si="6"/>
        <v>0</v>
      </c>
      <c r="S27" s="532" t="str" cm="1">
        <f t="array" aca="1" ref="S27" ca="1">CELL("address",C27)</f>
        <v>$C$27</v>
      </c>
      <c r="U27" s="436"/>
      <c r="V27" s="173"/>
      <c r="X27" s="531"/>
      <c r="Y27" s="531"/>
      <c r="Z27" s="531"/>
      <c r="AA27" s="531"/>
    </row>
    <row r="28" spans="2:27" ht="17.25" customHeight="1">
      <c r="B28" s="278"/>
      <c r="C28" s="536"/>
      <c r="D28" s="535"/>
      <c r="E28" s="534"/>
      <c r="F28" s="463"/>
      <c r="G28" s="463">
        <v>1</v>
      </c>
      <c r="H28" s="463">
        <f t="shared" si="0"/>
        <v>0</v>
      </c>
      <c r="I28" s="26" cm="1">
        <f t="array" ref="I28">N("*** UK - Manually overwrite this formula in the VAT column ***") +
_xlfn.IFS(IFERROR(Tm_Jurisdiction,"AU")="GB",0,IFERROR(Tm_Jurisdiction,"AU")="NZ",IF(E28="",IFERROR(_xlfn.NUMBERVALUE(H28)/1.15*0.15,0),0),IFERROR(Tm_Jurisdiction,"AU")="AU",IF(E28="",_xlfn.NUMBERVALUE(H28)/11,0))</f>
        <v>0</v>
      </c>
      <c r="J28" s="1606"/>
      <c r="K28" s="1607"/>
      <c r="L28" s="26"/>
      <c r="M28" s="533">
        <f t="shared" si="1"/>
        <v>0</v>
      </c>
      <c r="N28" s="526">
        <f t="shared" si="2"/>
        <v>0</v>
      </c>
      <c r="O28" s="463">
        <f t="shared" si="3"/>
        <v>0</v>
      </c>
      <c r="P28" s="463">
        <f t="shared" si="4"/>
        <v>0</v>
      </c>
      <c r="Q28" s="463">
        <f t="shared" si="5"/>
        <v>0</v>
      </c>
      <c r="R28" s="463">
        <f t="shared" si="6"/>
        <v>0</v>
      </c>
      <c r="S28" s="532" t="str" cm="1">
        <f t="array" aca="1" ref="S28" ca="1">CELL("address",C28)</f>
        <v>$C$28</v>
      </c>
      <c r="U28" s="436"/>
      <c r="V28" s="173"/>
      <c r="X28" s="531"/>
      <c r="Y28" s="531"/>
      <c r="Z28" s="531"/>
      <c r="AA28" s="531"/>
    </row>
    <row r="29" spans="2:27" ht="17.25" customHeight="1">
      <c r="B29" s="278"/>
      <c r="C29" s="536"/>
      <c r="D29" s="535"/>
      <c r="E29" s="534"/>
      <c r="F29" s="463"/>
      <c r="G29" s="463">
        <v>1</v>
      </c>
      <c r="H29" s="463">
        <f t="shared" si="0"/>
        <v>0</v>
      </c>
      <c r="I29" s="26" cm="1">
        <f t="array" ref="I29">N("*** UK - Manually overwrite this formula in the VAT column ***") +
_xlfn.IFS(IFERROR(Tm_Jurisdiction,"AU")="GB",0,IFERROR(Tm_Jurisdiction,"AU")="NZ",IF(E29="",IFERROR(_xlfn.NUMBERVALUE(H29)/1.15*0.15,0),0),IFERROR(Tm_Jurisdiction,"AU")="AU",IF(E29="",_xlfn.NUMBERVALUE(H29)/11,0))</f>
        <v>0</v>
      </c>
      <c r="J29" s="1606"/>
      <c r="K29" s="1607"/>
      <c r="L29" s="26"/>
      <c r="M29" s="533">
        <f t="shared" si="1"/>
        <v>0</v>
      </c>
      <c r="N29" s="526">
        <f t="shared" si="2"/>
        <v>0</v>
      </c>
      <c r="O29" s="463">
        <f t="shared" si="3"/>
        <v>0</v>
      </c>
      <c r="P29" s="463">
        <f t="shared" si="4"/>
        <v>0</v>
      </c>
      <c r="Q29" s="463">
        <f t="shared" si="5"/>
        <v>0</v>
      </c>
      <c r="R29" s="463">
        <f t="shared" si="6"/>
        <v>0</v>
      </c>
      <c r="S29" s="532" t="str" cm="1">
        <f t="array" aca="1" ref="S29" ca="1">CELL("address",C29)</f>
        <v>$C$29</v>
      </c>
      <c r="U29" s="436"/>
      <c r="V29" s="173"/>
      <c r="X29" s="531"/>
      <c r="Y29" s="531"/>
      <c r="Z29" s="531"/>
      <c r="AA29" s="531"/>
    </row>
    <row r="30" spans="2:27" ht="17.25" customHeight="1">
      <c r="B30" s="278"/>
      <c r="C30" s="77"/>
      <c r="F30" s="488">
        <f>SUM(F20:F29)</f>
        <v>0</v>
      </c>
      <c r="G30" s="488"/>
      <c r="H30" s="488">
        <f>SUM(H20:H29)</f>
        <v>0</v>
      </c>
      <c r="I30" s="488">
        <f>SUM(I20:I29)</f>
        <v>0</v>
      </c>
      <c r="J30" s="488">
        <f>SUM(J20:J29)</f>
        <v>0</v>
      </c>
      <c r="K30" s="488"/>
      <c r="L30" s="488">
        <f>SUM(L20:L29)</f>
        <v>0</v>
      </c>
      <c r="M30" s="529"/>
      <c r="N30" s="529"/>
      <c r="O30" s="488">
        <f>SUM(O20:O29)</f>
        <v>0</v>
      </c>
      <c r="P30" s="488">
        <f>SUM(P20:P29)</f>
        <v>0</v>
      </c>
      <c r="Q30" s="488">
        <f>SUM(Q20:Q29)</f>
        <v>0</v>
      </c>
      <c r="R30" s="488">
        <f>SUM(R20:R29)</f>
        <v>0</v>
      </c>
      <c r="S30" s="360"/>
      <c r="U30" s="441"/>
      <c r="V30" s="64"/>
      <c r="X30" s="488">
        <f>SUM(X20:X29)</f>
        <v>0</v>
      </c>
      <c r="Y30" s="488">
        <f>SUM(Y20:Y29)</f>
        <v>0</v>
      </c>
      <c r="Z30" s="488">
        <f>SUM(Z20:Z29)</f>
        <v>0</v>
      </c>
      <c r="AA30" s="488">
        <f>SUM(AA20:AA29)</f>
        <v>0</v>
      </c>
    </row>
    <row r="31" spans="2:27" ht="17.25" customHeight="1">
      <c r="B31" s="278"/>
      <c r="C31" s="530" t="str">
        <f>IF(SUM(I30,L30)=0,"",IF(IFERROR(Tm_Jurisdiction,"AU")="GB","Total VAT","Total GST"))</f>
        <v/>
      </c>
      <c r="D31" s="77"/>
      <c r="E31" s="77"/>
      <c r="F31" s="488"/>
      <c r="G31" s="488"/>
      <c r="H31" s="488"/>
      <c r="I31" s="488"/>
      <c r="L31" s="488" t="str">
        <f>IF(SUM(I30,L30)=0,"",SUM(I30,L30))</f>
        <v/>
      </c>
      <c r="M31" s="529"/>
      <c r="N31" s="529"/>
      <c r="O31" s="528" t="str">
        <f>IF(F05_TradeDebtors=0,"",O30/F05_TradeDebtors)</f>
        <v/>
      </c>
      <c r="P31" s="528" t="str">
        <f>IF(F05_TradeDebtors=0,"",P30/F05_TradeDebtors)</f>
        <v/>
      </c>
      <c r="Q31" s="528" t="str">
        <f>IF(F05_TradeDebtors=0,"",Q30/F05_TradeDebtors)</f>
        <v/>
      </c>
      <c r="R31" s="528" t="str">
        <f>IF(F05_TradeDebtors=0,"",R30/F05_TradeDebtors)</f>
        <v/>
      </c>
      <c r="S31" s="360"/>
      <c r="U31" s="441"/>
      <c r="V31" s="64"/>
    </row>
    <row r="32" spans="2:27" ht="7.5" customHeight="1">
      <c r="B32" s="278"/>
      <c r="C32" s="77"/>
      <c r="F32" s="527"/>
      <c r="G32" s="527"/>
      <c r="H32" s="527"/>
      <c r="I32" s="484"/>
      <c r="J32" s="484"/>
      <c r="K32" s="484"/>
      <c r="L32" s="484"/>
      <c r="M32" s="484"/>
      <c r="N32" s="527"/>
      <c r="O32" s="527"/>
      <c r="P32" s="527"/>
      <c r="Q32" s="527"/>
      <c r="R32" s="527"/>
      <c r="S32" s="360"/>
      <c r="U32" s="441"/>
      <c r="V32" s="64"/>
    </row>
    <row r="33" spans="1:29" ht="17.25" customHeight="1">
      <c r="B33" s="278"/>
      <c r="C33" s="77"/>
      <c r="F33" s="527"/>
      <c r="G33" s="527"/>
      <c r="H33" s="527"/>
      <c r="I33" s="484"/>
      <c r="J33" s="484"/>
      <c r="K33" s="484"/>
      <c r="L33" s="479" t="s">
        <v>472</v>
      </c>
      <c r="M33" s="463"/>
      <c r="N33" s="527"/>
      <c r="O33" s="527"/>
      <c r="P33" s="527"/>
      <c r="Q33" s="527"/>
      <c r="R33" s="527"/>
      <c r="S33" s="360"/>
      <c r="U33" s="441"/>
      <c r="V33" s="64"/>
    </row>
    <row r="34" spans="1:29" ht="7.5" customHeight="1">
      <c r="B34" s="278"/>
      <c r="C34" s="77"/>
      <c r="F34" s="527"/>
      <c r="G34" s="527"/>
      <c r="H34" s="527"/>
      <c r="I34" s="484"/>
      <c r="J34" s="484"/>
      <c r="K34" s="484"/>
      <c r="L34" s="484"/>
      <c r="M34" s="484"/>
      <c r="N34" s="527"/>
      <c r="O34" s="527"/>
      <c r="P34" s="527"/>
      <c r="Q34" s="527"/>
      <c r="R34" s="527"/>
      <c r="S34" s="360"/>
      <c r="U34" s="441"/>
      <c r="V34" s="64"/>
    </row>
    <row r="35" spans="1:29" ht="17.25" customHeight="1">
      <c r="B35" s="278"/>
      <c r="C35" s="71" t="s">
        <v>471</v>
      </c>
      <c r="F35" s="484"/>
      <c r="G35" s="484"/>
      <c r="H35" s="484"/>
      <c r="I35" s="484"/>
      <c r="J35" s="484"/>
      <c r="K35" s="484"/>
      <c r="L35" s="484"/>
      <c r="M35" s="487">
        <f>SUM(M20:M33)</f>
        <v>0</v>
      </c>
      <c r="N35" s="484"/>
      <c r="O35" s="484"/>
      <c r="P35" s="484"/>
      <c r="Q35" s="526">
        <f>SUM($O$20:$Q$29)</f>
        <v>0</v>
      </c>
      <c r="R35" s="484"/>
      <c r="S35" s="360"/>
      <c r="U35" s="441"/>
      <c r="V35" s="64"/>
    </row>
    <row r="36" spans="1:29" ht="17.25" customHeight="1">
      <c r="B36" s="278"/>
      <c r="C36" s="77" t="s">
        <v>356</v>
      </c>
      <c r="F36" s="485"/>
      <c r="G36" s="485"/>
      <c r="H36" s="485"/>
      <c r="I36" s="484"/>
      <c r="J36" s="484"/>
      <c r="K36" s="484"/>
      <c r="L36" s="484"/>
      <c r="M36" s="525">
        <f>IFERROR(_xlfn.XLOOKUP("4eef5049-9660-44c0-b334-f33f4e3d978b",Tx_LedgerReport.SourceAccountId,PrimaryBalances),0)</f>
        <v>59951.75</v>
      </c>
      <c r="N36" s="484"/>
      <c r="O36" s="484"/>
      <c r="P36" s="484"/>
      <c r="Q36" s="484"/>
      <c r="R36" s="484"/>
      <c r="S36" s="360"/>
      <c r="V36" s="64"/>
      <c r="AC36" s="441"/>
    </row>
    <row r="37" spans="1:29" ht="17.25" customHeight="1">
      <c r="B37" s="278"/>
      <c r="C37" s="77" t="s">
        <v>280</v>
      </c>
      <c r="F37" s="485"/>
      <c r="G37" s="485"/>
      <c r="H37" s="485"/>
      <c r="I37" s="484"/>
      <c r="J37" s="484"/>
      <c r="K37" s="484"/>
      <c r="L37" s="484"/>
      <c r="M37" s="483">
        <f>+M36-M35</f>
        <v>59951.75</v>
      </c>
      <c r="N37" s="484"/>
      <c r="O37" s="484"/>
      <c r="P37" s="484"/>
      <c r="Q37" s="484"/>
      <c r="R37" s="484"/>
      <c r="S37" s="360"/>
      <c r="V37" s="64"/>
      <c r="AC37" s="441"/>
    </row>
    <row r="38" spans="1:29" ht="7.5" customHeight="1">
      <c r="B38" s="435"/>
      <c r="C38" s="275"/>
      <c r="D38" s="275"/>
      <c r="E38" s="275"/>
      <c r="F38" s="275"/>
      <c r="G38" s="275"/>
      <c r="H38" s="275"/>
      <c r="I38" s="275"/>
      <c r="J38" s="275"/>
      <c r="K38" s="275"/>
      <c r="L38" s="275"/>
      <c r="M38" s="275"/>
      <c r="N38" s="275"/>
      <c r="O38" s="275"/>
      <c r="P38" s="275"/>
      <c r="Q38" s="275"/>
      <c r="R38" s="275"/>
      <c r="S38" s="274"/>
      <c r="AC38" s="133"/>
    </row>
    <row r="39" spans="1:29" ht="22.9" customHeight="1"/>
    <row r="40" spans="1:29" ht="22.5" customHeight="1">
      <c r="A40" s="61" t="str">
        <f>IF(SUBTOTAL(103,A41),"-","+")</f>
        <v>+</v>
      </c>
      <c r="B40" s="1517" t="s">
        <v>470</v>
      </c>
      <c r="C40" s="1518"/>
      <c r="D40" s="1614"/>
      <c r="E40" s="524" t="str">
        <f ca="1">IF(OR(SUM(F48:F57)&gt;0,DynamicOB_03&gt;0,F68&gt;0,DynamicCB_03&gt;0,SUM(G73:G82)&gt;0,COUNTA(I48:I57)&gt;0),"Contains Data","No Data")</f>
        <v>No Data</v>
      </c>
      <c r="F40" s="523"/>
      <c r="G40" s="523"/>
      <c r="H40" s="523"/>
      <c r="I40" s="523"/>
      <c r="J40" s="523"/>
    </row>
    <row r="41" spans="1:29" ht="7.5" hidden="1" customHeight="1">
      <c r="A41" s="65" t="s">
        <v>58</v>
      </c>
      <c r="B41" s="522"/>
      <c r="C41" s="521"/>
      <c r="D41" s="521"/>
      <c r="E41" s="521"/>
      <c r="F41" s="521"/>
      <c r="G41" s="521"/>
      <c r="H41" s="521"/>
      <c r="I41" s="521"/>
      <c r="J41" s="520"/>
      <c r="K41" s="148"/>
    </row>
    <row r="42" spans="1:29" ht="17.25" hidden="1" customHeight="1">
      <c r="B42" s="516"/>
      <c r="C42" s="1622" t="s">
        <v>469</v>
      </c>
      <c r="D42" s="1622"/>
      <c r="E42" s="1622"/>
      <c r="F42" s="1622"/>
      <c r="H42" s="474"/>
      <c r="J42" s="143"/>
      <c r="K42" s="148"/>
      <c r="M42" s="473"/>
      <c r="N42" s="473"/>
      <c r="Q42" s="519"/>
    </row>
    <row r="43" spans="1:29" ht="7.5" hidden="1" customHeight="1">
      <c r="B43" s="516"/>
      <c r="C43" s="77"/>
      <c r="E43" s="464"/>
      <c r="H43" s="474"/>
      <c r="J43" s="143"/>
      <c r="K43" s="148"/>
      <c r="M43" s="473"/>
      <c r="N43" s="473"/>
    </row>
    <row r="44" spans="1:29" ht="17.25" hidden="1" customHeight="1">
      <c r="B44" s="516"/>
      <c r="C44" s="518" t="s">
        <v>468</v>
      </c>
      <c r="F44" s="517">
        <v>0.01</v>
      </c>
      <c r="H44" s="474"/>
      <c r="J44" s="143"/>
      <c r="K44" s="148"/>
      <c r="M44" s="473"/>
      <c r="N44" s="473"/>
    </row>
    <row r="45" spans="1:29" ht="7.5" hidden="1" customHeight="1">
      <c r="B45" s="516"/>
      <c r="C45" s="77"/>
      <c r="E45" s="464"/>
      <c r="H45" s="474"/>
      <c r="J45" s="143"/>
      <c r="K45" s="148"/>
      <c r="M45" s="473"/>
      <c r="N45" s="473"/>
    </row>
    <row r="46" spans="1:29" ht="17.25" hidden="1" customHeight="1">
      <c r="B46" s="516"/>
      <c r="C46" s="77"/>
      <c r="F46" s="488"/>
      <c r="G46" s="488"/>
      <c r="J46" s="143"/>
      <c r="K46" s="148"/>
    </row>
    <row r="47" spans="1:29" ht="30" hidden="1" customHeight="1">
      <c r="B47" s="515"/>
      <c r="C47" s="1477" t="str">
        <f ca="1">IF(F48="","Debtors at Risk",IF(F49="","Top Debtor at Risk","Top "&amp;10-COUNTBLANK(C48:C57)&amp;" Debtors at Risk"))</f>
        <v>Debtors at Risk</v>
      </c>
      <c r="D47" s="1532"/>
      <c r="E47" s="1532"/>
      <c r="F47" s="405" t="s">
        <v>467</v>
      </c>
      <c r="G47" s="405" t="s">
        <v>466</v>
      </c>
      <c r="H47" s="405" t="s">
        <v>465</v>
      </c>
      <c r="I47" s="514" t="s">
        <v>464</v>
      </c>
      <c r="J47" s="143"/>
      <c r="K47" s="148"/>
      <c r="R47" s="65"/>
      <c r="S47" s="133"/>
    </row>
    <row r="48" spans="1:29" ht="17.25" hidden="1" customHeight="1">
      <c r="B48" s="494">
        <f>IF(I48="Yes",1,0)</f>
        <v>0</v>
      </c>
      <c r="C48" s="1603" t="str">
        <f ca="1">IF(I97="","No debtors at risk with current sensitivity setting",I97)</f>
        <v>No debtors at risk with current sensitivity setting</v>
      </c>
      <c r="D48" s="1604"/>
      <c r="E48" s="1605"/>
      <c r="F48" s="491" t="str">
        <f t="shared" ref="F48:F57" ca="1" si="7">IF(ISERROR(VLOOKUP($C48,$C$20:$R$29,11,FALSE)),"",VLOOKUP($C48,$C$20:$R$29,11,FALSE))</f>
        <v/>
      </c>
      <c r="G48" s="491" t="str">
        <f t="shared" ref="G48:G57" ca="1" si="8">IF(ISERROR(VLOOKUP($C48,$C$20:$R$29,16,FALSE)),"",VLOOKUP($C48,$C$20:$R$29,16,FALSE))</f>
        <v/>
      </c>
      <c r="H48" s="513" t="str">
        <f t="shared" ref="H48:H57" ca="1" si="9">IF(AND(_xlfn.NUMBERVALUE(F48)&gt;0,_xlfn.NUMBERVALUE(G48)&gt;0),G48/F48,"")</f>
        <v/>
      </c>
      <c r="I48" s="512"/>
      <c r="J48" s="143"/>
      <c r="K48" s="148"/>
      <c r="R48" s="65"/>
      <c r="S48" s="133"/>
      <c r="U48" s="436"/>
      <c r="V48" s="173"/>
    </row>
    <row r="49" spans="2:22" ht="17.25" hidden="1" customHeight="1">
      <c r="B49" s="494">
        <f>IF(I49="Yes",1+COUNTIF($B$48:B48,"&lt;&gt;0"),0)</f>
        <v>0</v>
      </c>
      <c r="C49" s="1603" t="str">
        <f t="shared" ref="C49:C57" ca="1" si="10">I98</f>
        <v/>
      </c>
      <c r="D49" s="1604"/>
      <c r="E49" s="1605"/>
      <c r="F49" s="491" t="str">
        <f t="shared" ca="1" si="7"/>
        <v/>
      </c>
      <c r="G49" s="491" t="str">
        <f t="shared" ca="1" si="8"/>
        <v/>
      </c>
      <c r="H49" s="513" t="str">
        <f t="shared" ca="1" si="9"/>
        <v/>
      </c>
      <c r="I49" s="512"/>
      <c r="J49" s="143"/>
      <c r="K49" s="148"/>
      <c r="R49" s="65"/>
      <c r="S49" s="133"/>
      <c r="U49" s="436"/>
      <c r="V49" s="173"/>
    </row>
    <row r="50" spans="2:22" ht="17.25" hidden="1" customHeight="1">
      <c r="B50" s="494">
        <f>IF(I50="Yes",1+COUNTIF($B$48:B49,"&lt;&gt;0"),0)</f>
        <v>0</v>
      </c>
      <c r="C50" s="1603" t="str">
        <f t="shared" ca="1" si="10"/>
        <v/>
      </c>
      <c r="D50" s="1604"/>
      <c r="E50" s="1605"/>
      <c r="F50" s="491" t="str">
        <f t="shared" ca="1" si="7"/>
        <v/>
      </c>
      <c r="G50" s="491" t="str">
        <f t="shared" ca="1" si="8"/>
        <v/>
      </c>
      <c r="H50" s="513" t="str">
        <f t="shared" ca="1" si="9"/>
        <v/>
      </c>
      <c r="I50" s="512"/>
      <c r="J50" s="143"/>
      <c r="K50" s="148"/>
      <c r="R50" s="65"/>
      <c r="S50" s="133"/>
      <c r="U50" s="436"/>
      <c r="V50" s="173"/>
    </row>
    <row r="51" spans="2:22" ht="17.25" hidden="1" customHeight="1">
      <c r="B51" s="494">
        <f>IF(I51="Yes",1+COUNTIF($B$48:B50,"&lt;&gt;0"),0)</f>
        <v>0</v>
      </c>
      <c r="C51" s="1603" t="str">
        <f t="shared" ca="1" si="10"/>
        <v/>
      </c>
      <c r="D51" s="1604"/>
      <c r="E51" s="1605"/>
      <c r="F51" s="491" t="str">
        <f t="shared" ca="1" si="7"/>
        <v/>
      </c>
      <c r="G51" s="491" t="str">
        <f t="shared" ca="1" si="8"/>
        <v/>
      </c>
      <c r="H51" s="513" t="str">
        <f t="shared" ca="1" si="9"/>
        <v/>
      </c>
      <c r="I51" s="512"/>
      <c r="J51" s="143"/>
      <c r="K51" s="148"/>
      <c r="R51" s="65"/>
      <c r="S51" s="133"/>
      <c r="U51" s="436"/>
      <c r="V51" s="173"/>
    </row>
    <row r="52" spans="2:22" ht="17.25" hidden="1" customHeight="1">
      <c r="B52" s="494">
        <f>IF(I52="Yes",1+COUNTIF($B$48:B51,"&lt;&gt;0"),0)</f>
        <v>0</v>
      </c>
      <c r="C52" s="1603" t="str">
        <f t="shared" ca="1" si="10"/>
        <v/>
      </c>
      <c r="D52" s="1604"/>
      <c r="E52" s="1605"/>
      <c r="F52" s="491" t="str">
        <f t="shared" ca="1" si="7"/>
        <v/>
      </c>
      <c r="G52" s="491" t="str">
        <f t="shared" ca="1" si="8"/>
        <v/>
      </c>
      <c r="H52" s="513" t="str">
        <f t="shared" ca="1" si="9"/>
        <v/>
      </c>
      <c r="I52" s="512"/>
      <c r="J52" s="143"/>
      <c r="K52" s="148"/>
      <c r="R52" s="65"/>
      <c r="S52" s="133"/>
      <c r="U52" s="436"/>
      <c r="V52" s="173"/>
    </row>
    <row r="53" spans="2:22" ht="17.25" hidden="1" customHeight="1">
      <c r="B53" s="494">
        <f>IF(I53="Yes",1+COUNTIF($B$48:B52,"&lt;&gt;0"),0)</f>
        <v>0</v>
      </c>
      <c r="C53" s="1603" t="str">
        <f t="shared" ca="1" si="10"/>
        <v/>
      </c>
      <c r="D53" s="1604"/>
      <c r="E53" s="1605"/>
      <c r="F53" s="491" t="str">
        <f t="shared" ca="1" si="7"/>
        <v/>
      </c>
      <c r="G53" s="491" t="str">
        <f t="shared" ca="1" si="8"/>
        <v/>
      </c>
      <c r="H53" s="513" t="str">
        <f t="shared" ca="1" si="9"/>
        <v/>
      </c>
      <c r="I53" s="512"/>
      <c r="J53" s="143"/>
      <c r="K53" s="148"/>
      <c r="R53" s="65"/>
      <c r="S53" s="133"/>
      <c r="U53" s="436"/>
      <c r="V53" s="173"/>
    </row>
    <row r="54" spans="2:22" ht="17.25" hidden="1" customHeight="1">
      <c r="B54" s="494">
        <f>IF(I54="Yes",1+COUNTIF($B$48:B53,"&lt;&gt;0"),0)</f>
        <v>0</v>
      </c>
      <c r="C54" s="1603" t="str">
        <f t="shared" ca="1" si="10"/>
        <v/>
      </c>
      <c r="D54" s="1604"/>
      <c r="E54" s="1605"/>
      <c r="F54" s="491" t="str">
        <f t="shared" ca="1" si="7"/>
        <v/>
      </c>
      <c r="G54" s="491" t="str">
        <f t="shared" ca="1" si="8"/>
        <v/>
      </c>
      <c r="H54" s="513" t="str">
        <f t="shared" ca="1" si="9"/>
        <v/>
      </c>
      <c r="I54" s="512"/>
      <c r="J54" s="143"/>
      <c r="K54" s="148"/>
      <c r="R54" s="65"/>
      <c r="S54" s="133"/>
      <c r="U54" s="436"/>
      <c r="V54" s="173"/>
    </row>
    <row r="55" spans="2:22" ht="17.25" hidden="1" customHeight="1">
      <c r="B55" s="494">
        <f>IF(I55="Yes",1+COUNTIF($B$48:B54,"&lt;&gt;0"),0)</f>
        <v>0</v>
      </c>
      <c r="C55" s="1603" t="str">
        <f t="shared" ca="1" si="10"/>
        <v/>
      </c>
      <c r="D55" s="1604"/>
      <c r="E55" s="1605"/>
      <c r="F55" s="491" t="str">
        <f t="shared" ca="1" si="7"/>
        <v/>
      </c>
      <c r="G55" s="491" t="str">
        <f t="shared" ca="1" si="8"/>
        <v/>
      </c>
      <c r="H55" s="513" t="str">
        <f t="shared" ca="1" si="9"/>
        <v/>
      </c>
      <c r="I55" s="512"/>
      <c r="J55" s="143"/>
      <c r="K55" s="148"/>
      <c r="R55" s="65"/>
      <c r="S55" s="133"/>
      <c r="U55" s="436"/>
      <c r="V55" s="173"/>
    </row>
    <row r="56" spans="2:22" ht="17.25" hidden="1" customHeight="1">
      <c r="B56" s="494">
        <f>IF(I56="Yes",1+COUNTIF($B$48:B55,"&lt;&gt;0"),0)</f>
        <v>0</v>
      </c>
      <c r="C56" s="1603" t="str">
        <f t="shared" ca="1" si="10"/>
        <v/>
      </c>
      <c r="D56" s="1604"/>
      <c r="E56" s="1605"/>
      <c r="F56" s="491" t="str">
        <f t="shared" ca="1" si="7"/>
        <v/>
      </c>
      <c r="G56" s="491" t="str">
        <f t="shared" ca="1" si="8"/>
        <v/>
      </c>
      <c r="H56" s="513" t="str">
        <f t="shared" ca="1" si="9"/>
        <v/>
      </c>
      <c r="I56" s="512"/>
      <c r="J56" s="143"/>
      <c r="K56" s="148"/>
      <c r="R56" s="65"/>
      <c r="S56" s="133"/>
      <c r="U56" s="436"/>
      <c r="V56" s="173"/>
    </row>
    <row r="57" spans="2:22" ht="17.25" hidden="1" customHeight="1">
      <c r="B57" s="494">
        <f>IF(I57="Yes",1+COUNTIF($B$48:B56,"&lt;&gt;0"),0)</f>
        <v>0</v>
      </c>
      <c r="C57" s="1603" t="str">
        <f t="shared" ca="1" si="10"/>
        <v/>
      </c>
      <c r="D57" s="1604"/>
      <c r="E57" s="1605"/>
      <c r="F57" s="491" t="str">
        <f t="shared" ca="1" si="7"/>
        <v/>
      </c>
      <c r="G57" s="491" t="str">
        <f t="shared" ca="1" si="8"/>
        <v/>
      </c>
      <c r="H57" s="513" t="str">
        <f t="shared" ca="1" si="9"/>
        <v/>
      </c>
      <c r="I57" s="512"/>
      <c r="J57" s="143"/>
      <c r="K57" s="148"/>
      <c r="R57" s="65"/>
      <c r="S57" s="133"/>
      <c r="U57" s="436"/>
      <c r="V57" s="173"/>
    </row>
    <row r="58" spans="2:22" ht="17.25" hidden="1" customHeight="1">
      <c r="B58" s="511"/>
      <c r="C58" s="275"/>
      <c r="D58" s="275"/>
      <c r="E58" s="275"/>
      <c r="F58" s="275"/>
      <c r="G58" s="275"/>
      <c r="H58" s="275"/>
      <c r="I58" s="275"/>
      <c r="J58" s="137"/>
      <c r="K58" s="148"/>
      <c r="R58" s="65"/>
      <c r="S58" s="133"/>
      <c r="V58" s="133"/>
    </row>
    <row r="59" spans="2:22" ht="7.5" hidden="1" customHeight="1">
      <c r="B59" s="510"/>
      <c r="C59" s="509"/>
      <c r="D59" s="509"/>
      <c r="E59" s="509"/>
      <c r="F59" s="509"/>
      <c r="G59" s="509"/>
      <c r="H59" s="509"/>
      <c r="I59" s="509"/>
      <c r="J59" s="407"/>
      <c r="K59" s="148"/>
      <c r="R59" s="65"/>
      <c r="S59" s="133"/>
      <c r="V59" s="133"/>
    </row>
    <row r="60" spans="2:22" ht="22.5" hidden="1" customHeight="1">
      <c r="B60" s="503"/>
      <c r="C60" s="506" t="s">
        <v>463</v>
      </c>
      <c r="D60" s="1615" t="s">
        <v>462</v>
      </c>
      <c r="E60" s="1616"/>
      <c r="F60" s="501"/>
      <c r="H60" s="1475" t="s">
        <v>461</v>
      </c>
      <c r="I60" s="1475"/>
      <c r="K60" s="148"/>
      <c r="R60" s="65"/>
      <c r="S60" s="133"/>
      <c r="U60" s="189"/>
      <c r="V60" s="189"/>
    </row>
    <row r="61" spans="2:22" ht="7.5" hidden="1" customHeight="1">
      <c r="B61" s="508"/>
      <c r="C61" s="507"/>
      <c r="D61" s="507"/>
      <c r="E61" s="507"/>
      <c r="F61" s="507"/>
      <c r="G61" s="507"/>
      <c r="H61" s="507"/>
      <c r="I61" s="507"/>
      <c r="J61" s="137"/>
      <c r="K61" s="148"/>
      <c r="R61" s="65"/>
      <c r="S61" s="133"/>
      <c r="V61" s="133"/>
    </row>
    <row r="62" spans="2:22" ht="7.5" hidden="1" customHeight="1">
      <c r="B62" s="503"/>
      <c r="C62" s="501"/>
      <c r="D62" s="501"/>
      <c r="E62" s="501"/>
      <c r="F62" s="501"/>
      <c r="G62" s="502"/>
      <c r="H62" s="502"/>
      <c r="I62" s="501"/>
      <c r="J62" s="143"/>
      <c r="R62" s="65"/>
      <c r="S62" s="133"/>
      <c r="V62" s="133"/>
    </row>
    <row r="63" spans="2:22" ht="17.25" hidden="1" customHeight="1">
      <c r="B63" s="503"/>
      <c r="C63" s="501"/>
      <c r="D63" s="501"/>
      <c r="E63" s="501"/>
      <c r="F63" s="501"/>
      <c r="G63" s="502"/>
      <c r="H63" s="506" t="s">
        <v>460</v>
      </c>
      <c r="I63" s="505">
        <v>0</v>
      </c>
      <c r="J63" s="504" t="str">
        <f>IF(OR(I63="",I63=0),"",IF(_xlfn.NUMBERVALUE(I63)&lt;0,"Cr","Dr"))</f>
        <v/>
      </c>
      <c r="R63" s="65"/>
      <c r="S63" s="133"/>
      <c r="V63" s="133"/>
    </row>
    <row r="64" spans="2:22" ht="7.5" hidden="1" customHeight="1">
      <c r="B64" s="503"/>
      <c r="C64" s="501"/>
      <c r="D64" s="501"/>
      <c r="E64" s="501"/>
      <c r="F64" s="501"/>
      <c r="G64" s="502"/>
      <c r="H64" s="502"/>
      <c r="I64" s="501"/>
      <c r="J64" s="143"/>
      <c r="R64" s="65"/>
      <c r="S64" s="133"/>
      <c r="V64" s="133"/>
    </row>
    <row r="65" spans="2:29" ht="17.25" hidden="1" customHeight="1">
      <c r="B65" s="490"/>
      <c r="C65" s="77" t="s">
        <v>459</v>
      </c>
      <c r="D65" s="77"/>
      <c r="E65" s="77"/>
      <c r="F65" s="77"/>
      <c r="G65" s="77"/>
      <c r="H65" s="77"/>
      <c r="J65" s="500"/>
      <c r="K65" s="77"/>
      <c r="R65" s="65"/>
      <c r="S65" s="133"/>
      <c r="V65" s="133"/>
      <c r="AC65" s="65" t="b">
        <f>DoubtfulDebts_SelectedMethod="Review of specific accounts"</f>
        <v>1</v>
      </c>
    </row>
    <row r="66" spans="2:29" ht="30" hidden="1" customHeight="1">
      <c r="B66" s="490"/>
      <c r="C66" s="1477" t="s">
        <v>426</v>
      </c>
      <c r="D66" s="1532"/>
      <c r="E66" s="1532"/>
      <c r="F66" s="1532" t="s">
        <v>458</v>
      </c>
      <c r="G66" s="1617"/>
      <c r="H66" s="492"/>
      <c r="I66" s="495" t="s">
        <v>453</v>
      </c>
      <c r="J66" s="143"/>
      <c r="R66" s="65"/>
      <c r="S66" s="133"/>
      <c r="U66" s="335"/>
      <c r="V66" s="133"/>
      <c r="AC66" s="65" t="b">
        <f>DoubtfulDebts_SelectedMethod="Review of specific accounts"</f>
        <v>1</v>
      </c>
    </row>
    <row r="67" spans="2:29" ht="7.5" hidden="1" customHeight="1">
      <c r="B67" s="490"/>
      <c r="C67" s="32"/>
      <c r="D67" s="32"/>
      <c r="E67" s="32"/>
      <c r="F67" s="32"/>
      <c r="G67" s="32"/>
      <c r="I67" s="32"/>
      <c r="J67" s="143"/>
      <c r="R67" s="65"/>
      <c r="S67" s="133"/>
      <c r="V67" s="133"/>
      <c r="AC67" s="65" t="b">
        <f>DoubtfulDebts_SelectedMethod="Review of specific accounts"</f>
        <v>1</v>
      </c>
    </row>
    <row r="68" spans="2:29" ht="17.25" hidden="1" customHeight="1">
      <c r="B68" s="490"/>
      <c r="C68" s="1603" t="s">
        <v>457</v>
      </c>
      <c r="D68" s="1604"/>
      <c r="E68" s="1605"/>
      <c r="F68" s="1618"/>
      <c r="G68" s="1619"/>
      <c r="I68" s="489">
        <f>IF(COUNTA(F68),IF(AND(F30=0,M35=0),0,IF(M35&gt;0,M35,F30)),0)*(1-F68)</f>
        <v>0</v>
      </c>
      <c r="J68" s="143"/>
      <c r="R68" s="65"/>
      <c r="S68" s="133"/>
      <c r="U68" s="499"/>
      <c r="V68" s="498"/>
      <c r="AC68" s="65" t="b">
        <f>DoubtfulDebts_SelectedMethod="Review of specific accounts"</f>
        <v>1</v>
      </c>
    </row>
    <row r="69" spans="2:29" ht="17.25" hidden="1" customHeight="1">
      <c r="B69" s="490"/>
      <c r="C69" s="77"/>
      <c r="G69" s="497"/>
      <c r="J69" s="143"/>
      <c r="L69" s="71"/>
      <c r="R69" s="65"/>
      <c r="S69" s="133"/>
      <c r="AC69" s="65" t="b">
        <f>DoubtfulDebts_SelectedMethod="Review of specific accounts"</f>
        <v>1</v>
      </c>
    </row>
    <row r="70" spans="2:29" ht="17.25" hidden="1" customHeight="1">
      <c r="B70" s="490"/>
      <c r="C70" s="77" t="s">
        <v>456</v>
      </c>
      <c r="J70" s="143"/>
      <c r="R70" s="65"/>
      <c r="S70" s="133"/>
      <c r="U70" s="496"/>
      <c r="V70" s="133"/>
      <c r="AC70" s="65" t="b">
        <f t="shared" ref="AC70:AC83" si="11">DoubtfulDebts_SelectedMethod="% of total debtors"</f>
        <v>0</v>
      </c>
    </row>
    <row r="71" spans="2:29" ht="39.950000000000003" hidden="1" customHeight="1">
      <c r="B71" s="490"/>
      <c r="C71" s="1477" t="s">
        <v>455</v>
      </c>
      <c r="D71" s="1532"/>
      <c r="E71" s="1532"/>
      <c r="F71" s="405" t="s">
        <v>358</v>
      </c>
      <c r="G71" s="405" t="s">
        <v>454</v>
      </c>
      <c r="H71" s="492"/>
      <c r="I71" s="495" t="s">
        <v>453</v>
      </c>
      <c r="J71" s="143"/>
      <c r="R71" s="65"/>
      <c r="S71" s="133"/>
      <c r="V71" s="133"/>
      <c r="AC71" s="65" t="b">
        <f t="shared" si="11"/>
        <v>0</v>
      </c>
    </row>
    <row r="72" spans="2:29" ht="7.5" hidden="1" customHeight="1">
      <c r="B72" s="490"/>
      <c r="C72" s="32"/>
      <c r="D72" s="32"/>
      <c r="E72" s="32"/>
      <c r="F72" s="32"/>
      <c r="G72" s="32"/>
      <c r="I72" s="32"/>
      <c r="J72" s="143"/>
      <c r="R72" s="65"/>
      <c r="S72" s="133"/>
      <c r="V72" s="133"/>
      <c r="AC72" s="65" t="b">
        <f t="shared" si="11"/>
        <v>0</v>
      </c>
    </row>
    <row r="73" spans="2:29" ht="17.25" hidden="1" customHeight="1">
      <c r="B73" s="494">
        <f>IF(_xlfn.ISFORMULA(C73),1,0)</f>
        <v>1</v>
      </c>
      <c r="C73" s="1594" t="str">
        <f>IF(AND(C72="",D112=""),"Enter description…",INDEX($D$112:$D$121,MATCH(B73,$C$112:$C$121,0)))</f>
        <v>Enter description…</v>
      </c>
      <c r="D73" s="1595"/>
      <c r="E73" s="1596"/>
      <c r="F73" s="493" t="str">
        <f t="shared" ref="F73:F82" si="12">IFERROR(INDEX($M$20:$M$29,MATCH(C73,Model_Debtors.Balances.Detail,0)),"")</f>
        <v/>
      </c>
      <c r="G73" s="493"/>
      <c r="H73" s="492"/>
      <c r="I73" s="491">
        <f t="shared" ref="I73:I82" si="13">-(_xlfn.NUMBERVALUE(F73)-_xlfn.NUMBERVALUE(G73))</f>
        <v>0</v>
      </c>
      <c r="J73" s="143"/>
      <c r="R73" s="65"/>
      <c r="S73" s="133"/>
      <c r="U73" s="436"/>
      <c r="V73" s="173"/>
      <c r="AC73" s="65" t="b">
        <f t="shared" si="11"/>
        <v>0</v>
      </c>
    </row>
    <row r="74" spans="2:29" ht="17.25" hidden="1" customHeight="1">
      <c r="B74" s="494">
        <f>IF(_xlfn.ISFORMULA(C74),1+COUNTIF($B$73:B73,"&lt;&gt;0"),0)</f>
        <v>2</v>
      </c>
      <c r="C74" s="1594" t="str">
        <f t="shared" ref="C74:C82" si="14">IF(B74=MAX($B$48:$B$57)+1,"Enter description…",INDEX($D$112:$D$121,MATCH(B74,$C$112:$C$121,0)))</f>
        <v/>
      </c>
      <c r="D74" s="1595"/>
      <c r="E74" s="1596"/>
      <c r="F74" s="493" t="str">
        <f t="shared" si="12"/>
        <v/>
      </c>
      <c r="G74" s="493"/>
      <c r="H74" s="492"/>
      <c r="I74" s="491">
        <f t="shared" si="13"/>
        <v>0</v>
      </c>
      <c r="J74" s="143"/>
      <c r="R74" s="65"/>
      <c r="S74" s="133"/>
      <c r="U74" s="436"/>
      <c r="V74" s="173"/>
      <c r="AC74" s="65" t="b">
        <f t="shared" si="11"/>
        <v>0</v>
      </c>
    </row>
    <row r="75" spans="2:29" ht="17.25" hidden="1" customHeight="1">
      <c r="B75" s="494">
        <f>IF(_xlfn.ISFORMULA(C75),1+COUNTIF($B$73:B74,"&lt;&gt;0"),0)</f>
        <v>3</v>
      </c>
      <c r="C75" s="1594" t="str">
        <f t="shared" si="14"/>
        <v/>
      </c>
      <c r="D75" s="1595"/>
      <c r="E75" s="1596"/>
      <c r="F75" s="493" t="str">
        <f t="shared" si="12"/>
        <v/>
      </c>
      <c r="G75" s="493"/>
      <c r="H75" s="492"/>
      <c r="I75" s="491">
        <f t="shared" si="13"/>
        <v>0</v>
      </c>
      <c r="J75" s="143"/>
      <c r="R75" s="65"/>
      <c r="S75" s="133"/>
      <c r="U75" s="436"/>
      <c r="V75" s="173"/>
      <c r="AC75" s="65" t="b">
        <f t="shared" si="11"/>
        <v>0</v>
      </c>
    </row>
    <row r="76" spans="2:29" ht="17.25" hidden="1" customHeight="1">
      <c r="B76" s="494">
        <f>IF(_xlfn.ISFORMULA(C76),1+COUNTIF($B$73:B75,"&lt;&gt;0"),0)</f>
        <v>4</v>
      </c>
      <c r="C76" s="1594" t="str">
        <f t="shared" si="14"/>
        <v/>
      </c>
      <c r="D76" s="1595"/>
      <c r="E76" s="1596"/>
      <c r="F76" s="493" t="str">
        <f t="shared" si="12"/>
        <v/>
      </c>
      <c r="G76" s="493"/>
      <c r="H76" s="492"/>
      <c r="I76" s="491">
        <f t="shared" si="13"/>
        <v>0</v>
      </c>
      <c r="J76" s="143"/>
      <c r="R76" s="65"/>
      <c r="S76" s="133"/>
      <c r="U76" s="436"/>
      <c r="V76" s="173"/>
      <c r="AC76" s="65" t="b">
        <f t="shared" si="11"/>
        <v>0</v>
      </c>
    </row>
    <row r="77" spans="2:29" ht="17.25" hidden="1" customHeight="1">
      <c r="B77" s="494">
        <f>IF(_xlfn.ISFORMULA(C77),1+COUNTIF($B$73:B76,"&lt;&gt;0"),0)</f>
        <v>5</v>
      </c>
      <c r="C77" s="1594" t="str">
        <f t="shared" si="14"/>
        <v/>
      </c>
      <c r="D77" s="1595"/>
      <c r="E77" s="1596"/>
      <c r="F77" s="493" t="str">
        <f t="shared" si="12"/>
        <v/>
      </c>
      <c r="G77" s="493"/>
      <c r="H77" s="492"/>
      <c r="I77" s="491">
        <f t="shared" si="13"/>
        <v>0</v>
      </c>
      <c r="J77" s="143"/>
      <c r="R77" s="65"/>
      <c r="S77" s="133"/>
      <c r="U77" s="436"/>
      <c r="V77" s="173"/>
      <c r="AC77" s="65" t="b">
        <f t="shared" si="11"/>
        <v>0</v>
      </c>
    </row>
    <row r="78" spans="2:29" ht="17.25" hidden="1" customHeight="1">
      <c r="B78" s="494">
        <f>IF(_xlfn.ISFORMULA(C78),1+COUNTIF($B$73:B77,"&lt;&gt;0"),0)</f>
        <v>6</v>
      </c>
      <c r="C78" s="1594" t="str">
        <f t="shared" si="14"/>
        <v/>
      </c>
      <c r="D78" s="1595"/>
      <c r="E78" s="1596"/>
      <c r="F78" s="493" t="str">
        <f t="shared" si="12"/>
        <v/>
      </c>
      <c r="G78" s="493"/>
      <c r="H78" s="492"/>
      <c r="I78" s="491">
        <f t="shared" si="13"/>
        <v>0</v>
      </c>
      <c r="J78" s="143"/>
      <c r="R78" s="65"/>
      <c r="S78" s="133"/>
      <c r="U78" s="436"/>
      <c r="V78" s="173"/>
      <c r="AC78" s="65" t="b">
        <f t="shared" si="11"/>
        <v>0</v>
      </c>
    </row>
    <row r="79" spans="2:29" ht="17.25" hidden="1" customHeight="1">
      <c r="B79" s="494">
        <f>IF(_xlfn.ISFORMULA(C79),1+COUNTIF($B$73:B78,"&lt;&gt;0"),0)</f>
        <v>7</v>
      </c>
      <c r="C79" s="1594" t="str">
        <f t="shared" si="14"/>
        <v/>
      </c>
      <c r="D79" s="1595"/>
      <c r="E79" s="1596"/>
      <c r="F79" s="493" t="str">
        <f t="shared" si="12"/>
        <v/>
      </c>
      <c r="G79" s="493"/>
      <c r="H79" s="492"/>
      <c r="I79" s="491">
        <f t="shared" si="13"/>
        <v>0</v>
      </c>
      <c r="J79" s="143"/>
      <c r="R79" s="65"/>
      <c r="S79" s="133"/>
      <c r="U79" s="436"/>
      <c r="V79" s="173"/>
      <c r="AC79" s="65" t="b">
        <f t="shared" si="11"/>
        <v>0</v>
      </c>
    </row>
    <row r="80" spans="2:29" ht="17.25" hidden="1" customHeight="1">
      <c r="B80" s="494">
        <f>IF(_xlfn.ISFORMULA(C80),1+COUNTIF($B$73:B79,"&lt;&gt;0"),0)</f>
        <v>8</v>
      </c>
      <c r="C80" s="1594" t="str">
        <f t="shared" si="14"/>
        <v/>
      </c>
      <c r="D80" s="1595"/>
      <c r="E80" s="1596"/>
      <c r="F80" s="493" t="str">
        <f t="shared" si="12"/>
        <v/>
      </c>
      <c r="G80" s="493"/>
      <c r="H80" s="492"/>
      <c r="I80" s="491">
        <f t="shared" si="13"/>
        <v>0</v>
      </c>
      <c r="J80" s="143"/>
      <c r="R80" s="65"/>
      <c r="S80" s="133"/>
      <c r="U80" s="436"/>
      <c r="V80" s="173"/>
      <c r="AC80" s="65" t="b">
        <f t="shared" si="11"/>
        <v>0</v>
      </c>
    </row>
    <row r="81" spans="2:29" ht="17.25" hidden="1" customHeight="1">
      <c r="B81" s="494">
        <f>IF(_xlfn.ISFORMULA(C81),1+COUNTIF($B$73:B80,"&lt;&gt;0"),0)</f>
        <v>9</v>
      </c>
      <c r="C81" s="1594" t="str">
        <f t="shared" si="14"/>
        <v/>
      </c>
      <c r="D81" s="1595"/>
      <c r="E81" s="1596"/>
      <c r="F81" s="493" t="str">
        <f t="shared" si="12"/>
        <v/>
      </c>
      <c r="G81" s="493"/>
      <c r="H81" s="492"/>
      <c r="I81" s="491">
        <f t="shared" si="13"/>
        <v>0</v>
      </c>
      <c r="J81" s="143"/>
      <c r="R81" s="65"/>
      <c r="S81" s="133"/>
      <c r="U81" s="436"/>
      <c r="V81" s="173"/>
      <c r="AC81" s="65" t="b">
        <f t="shared" si="11"/>
        <v>0</v>
      </c>
    </row>
    <row r="82" spans="2:29" ht="16.5" hidden="1" customHeight="1">
      <c r="B82" s="494">
        <f>IF(_xlfn.ISFORMULA(C82),1+COUNTIF($B$73:B81,"&lt;&gt;0"),0)</f>
        <v>10</v>
      </c>
      <c r="C82" s="1594" t="str">
        <f t="shared" si="14"/>
        <v/>
      </c>
      <c r="D82" s="1595"/>
      <c r="E82" s="1596"/>
      <c r="F82" s="493" t="str">
        <f t="shared" si="12"/>
        <v/>
      </c>
      <c r="G82" s="493"/>
      <c r="H82" s="492"/>
      <c r="I82" s="491">
        <f t="shared" si="13"/>
        <v>0</v>
      </c>
      <c r="J82" s="143"/>
      <c r="R82" s="65"/>
      <c r="S82" s="133"/>
      <c r="U82" s="436"/>
      <c r="V82" s="173"/>
      <c r="AC82" s="65" t="b">
        <f t="shared" si="11"/>
        <v>0</v>
      </c>
    </row>
    <row r="83" spans="2:29" ht="17.25" hidden="1" customHeight="1">
      <c r="B83" s="490"/>
      <c r="C83" s="77"/>
      <c r="F83" s="488">
        <f>SUM(F73:F82)</f>
        <v>0</v>
      </c>
      <c r="G83" s="488">
        <f>SUM(G73:G82)</f>
        <v>0</v>
      </c>
      <c r="I83" s="489">
        <f>SUM(I73:I82)</f>
        <v>0</v>
      </c>
      <c r="J83" s="143"/>
      <c r="L83" s="71"/>
      <c r="R83" s="65"/>
      <c r="S83" s="133"/>
      <c r="V83" s="133"/>
      <c r="AC83" s="65" t="b">
        <f t="shared" si="11"/>
        <v>0</v>
      </c>
    </row>
    <row r="84" spans="2:29" ht="17.25" hidden="1" customHeight="1">
      <c r="B84" s="278"/>
      <c r="C84" s="77"/>
      <c r="F84" s="488"/>
      <c r="G84" s="488"/>
      <c r="J84" s="143"/>
      <c r="R84" s="65"/>
      <c r="S84" s="133"/>
      <c r="V84" s="133"/>
    </row>
    <row r="85" spans="2:29" ht="17.25" hidden="1" customHeight="1">
      <c r="B85" s="278"/>
      <c r="C85" s="71" t="s">
        <v>452</v>
      </c>
      <c r="E85" s="484"/>
      <c r="F85" s="484"/>
      <c r="G85" s="484"/>
      <c r="I85" s="487">
        <f>IF(DoubtfulDebts_SelectedMethod="% of total debtors",I63,IF(DoubtfulDebts_SelectedMethod="Review of specific accounts",I83,0))</f>
        <v>0</v>
      </c>
      <c r="J85" s="143"/>
      <c r="R85" s="65"/>
      <c r="S85" s="133"/>
      <c r="U85" s="436"/>
      <c r="V85" s="173"/>
    </row>
    <row r="86" spans="2:29" ht="17.25" hidden="1" customHeight="1">
      <c r="B86" s="278"/>
      <c r="C86" s="77" t="s">
        <v>356</v>
      </c>
      <c r="E86" s="485"/>
      <c r="F86" s="484"/>
      <c r="G86" s="484"/>
      <c r="I86" s="486"/>
      <c r="J86" s="143"/>
      <c r="R86" s="65"/>
      <c r="S86" s="133"/>
      <c r="U86" s="436"/>
      <c r="V86" s="173"/>
    </row>
    <row r="87" spans="2:29" ht="17.25" hidden="1" customHeight="1">
      <c r="B87" s="278"/>
      <c r="C87" s="77" t="s">
        <v>280</v>
      </c>
      <c r="E87" s="485"/>
      <c r="F87" s="484"/>
      <c r="G87" s="484"/>
      <c r="I87" s="483">
        <f>+I86-I85</f>
        <v>0</v>
      </c>
      <c r="J87" s="143"/>
      <c r="R87" s="65"/>
      <c r="S87" s="133"/>
      <c r="U87" s="436"/>
      <c r="V87" s="173"/>
    </row>
    <row r="88" spans="2:29" ht="17.25" hidden="1" customHeight="1">
      <c r="B88" s="278"/>
      <c r="C88" s="77"/>
      <c r="E88" s="464"/>
      <c r="H88" s="474"/>
      <c r="J88" s="143"/>
      <c r="M88" s="473"/>
      <c r="N88" s="473"/>
      <c r="R88" s="65"/>
      <c r="S88" s="133"/>
      <c r="U88" s="482"/>
      <c r="V88" s="481"/>
    </row>
    <row r="89" spans="2:29" ht="17.25" hidden="1" customHeight="1">
      <c r="B89" s="278"/>
      <c r="C89" s="71" t="s">
        <v>451</v>
      </c>
      <c r="D89" s="480" t="s">
        <v>450</v>
      </c>
      <c r="E89" s="480" t="s">
        <v>449</v>
      </c>
      <c r="H89" s="474"/>
      <c r="J89" s="143"/>
      <c r="M89" s="473"/>
      <c r="N89" s="473"/>
      <c r="R89" s="65"/>
      <c r="S89" s="133"/>
      <c r="U89" s="436"/>
      <c r="V89" s="173"/>
    </row>
    <row r="90" spans="2:29" ht="17.25" hidden="1" customHeight="1">
      <c r="B90" s="278"/>
      <c r="C90" s="64" t="s">
        <v>448</v>
      </c>
      <c r="D90" s="479" t="str">
        <f>IF(I85&gt;I63,I85-I63,"")</f>
        <v/>
      </c>
      <c r="E90" s="479">
        <f>IF(I85&lt;=I63,I63-I85,"")</f>
        <v>0</v>
      </c>
      <c r="H90" s="474"/>
      <c r="J90" s="143"/>
      <c r="M90" s="473"/>
      <c r="N90" s="473"/>
      <c r="R90" s="65"/>
      <c r="S90" s="133"/>
      <c r="U90" s="436"/>
      <c r="V90" s="173"/>
    </row>
    <row r="91" spans="2:29" ht="17.25" hidden="1" customHeight="1">
      <c r="B91" s="278"/>
      <c r="C91" s="64" t="s">
        <v>447</v>
      </c>
      <c r="D91" s="479">
        <f>IF(E90&lt;&gt;"",E90,"")</f>
        <v>0</v>
      </c>
      <c r="E91" s="479" t="str">
        <f>IF(D90&lt;&gt;"",D90,"")</f>
        <v/>
      </c>
      <c r="H91" s="474"/>
      <c r="J91" s="143"/>
      <c r="M91" s="473"/>
      <c r="N91" s="473"/>
      <c r="R91" s="65"/>
      <c r="S91" s="133"/>
      <c r="U91" s="436"/>
      <c r="V91" s="173"/>
    </row>
    <row r="92" spans="2:29" ht="7.5" hidden="1" customHeight="1">
      <c r="B92" s="435"/>
      <c r="C92" s="478"/>
      <c r="D92" s="138"/>
      <c r="E92" s="477"/>
      <c r="F92" s="138"/>
      <c r="G92" s="138"/>
      <c r="H92" s="476"/>
      <c r="I92" s="138"/>
      <c r="J92" s="137"/>
      <c r="M92" s="473"/>
      <c r="N92" s="473"/>
      <c r="R92" s="65"/>
      <c r="S92" s="133"/>
      <c r="U92" s="441"/>
      <c r="V92" s="64"/>
    </row>
    <row r="93" spans="2:29" ht="7.5" hidden="1" customHeight="1">
      <c r="B93" s="278"/>
      <c r="C93" s="77"/>
      <c r="E93" s="464"/>
      <c r="H93" s="474"/>
      <c r="J93" s="143"/>
      <c r="M93" s="473"/>
      <c r="N93" s="473"/>
      <c r="R93" s="65"/>
      <c r="S93" s="133"/>
      <c r="U93" s="441"/>
      <c r="V93" s="64"/>
    </row>
    <row r="94" spans="2:29" hidden="1">
      <c r="B94" s="278"/>
      <c r="C94" s="77" t="s">
        <v>446</v>
      </c>
      <c r="E94" s="464"/>
      <c r="H94" s="474"/>
      <c r="K94" s="278"/>
      <c r="M94" s="473"/>
      <c r="N94" s="473"/>
      <c r="R94" s="65"/>
      <c r="S94" s="133"/>
      <c r="U94" s="441"/>
      <c r="V94" s="64"/>
    </row>
    <row r="95" spans="2:29" ht="7.5" hidden="1" customHeight="1">
      <c r="B95" s="278"/>
      <c r="K95" s="278"/>
      <c r="M95" s="473"/>
      <c r="N95" s="473"/>
      <c r="R95" s="65"/>
      <c r="S95" s="133"/>
      <c r="U95" s="441"/>
      <c r="V95" s="64"/>
    </row>
    <row r="96" spans="2:29" hidden="1">
      <c r="B96" s="278"/>
      <c r="C96" s="65" t="s">
        <v>432</v>
      </c>
      <c r="D96" s="65" t="s">
        <v>431</v>
      </c>
      <c r="E96" s="65" t="s">
        <v>430</v>
      </c>
      <c r="F96" s="65" t="s">
        <v>429</v>
      </c>
      <c r="G96" s="65" t="s">
        <v>445</v>
      </c>
      <c r="H96" s="65" t="s">
        <v>427</v>
      </c>
      <c r="I96" s="65" t="s">
        <v>426</v>
      </c>
      <c r="J96" s="65" t="s">
        <v>444</v>
      </c>
      <c r="K96" s="278"/>
      <c r="M96" s="473"/>
      <c r="N96" s="473"/>
      <c r="R96" s="65"/>
      <c r="S96" s="133"/>
      <c r="U96" s="441"/>
      <c r="V96" s="64"/>
    </row>
    <row r="97" spans="1:22" hidden="1">
      <c r="B97" s="278"/>
      <c r="C97" s="65">
        <f>IF(J97="",1,COUNTIF($J$97:J97,J97))</f>
        <v>1</v>
      </c>
      <c r="D97" s="149" t="b">
        <f t="shared" ref="D97:D106" ca="1" si="15">IF(C97=2,VLOOKUP(J97,$N$20:$S$29,6,FALSE),IF(C97&gt;2,VLOOKUP(J97,OFFSET($N$20:$S$29,VLOOKUP(J97*(C97-1),$E$97:$F$106,2,FALSE),0),6,FALSE),TRUE))</f>
        <v>1</v>
      </c>
      <c r="E97" s="471" t="str">
        <f t="shared" ref="E97:E106" si="16">IF(C97&gt;1,J97*C97,"")</f>
        <v/>
      </c>
      <c r="F97" s="471" t="str">
        <f t="shared" ref="F97:F106" ca="1" si="17">IF(D97=TRUE,"",RIGHT(D97,LEN(D97)-3)-RIGHT($S$20,LEN($S$20)-3)+1)</f>
        <v/>
      </c>
      <c r="G97" s="471" t="str">
        <f t="shared" ref="G97:G106" ca="1" si="18">IF(C97&gt;1,INDEX(OFFSET($C$20:$C$29,F97,0),MATCH(J97,OFFSET($N$20:$N$29,F97,),0),1),"")</f>
        <v/>
      </c>
      <c r="H97" s="65">
        <v>1</v>
      </c>
      <c r="I97" s="65" t="str">
        <f t="shared" ref="I97:I106" ca="1" si="19">IF(G97="",IF(J97="","",INDEX(Model_Debtors.Balances.Detail,MATCH(J97,$N$20:$N$29,0))),G97)</f>
        <v/>
      </c>
      <c r="J97" s="475" t="str">
        <f>IF(LARGE($N$20:$N$29,1)&gt;AtRiskSensitivity,LARGE($N$20:$N$29,1),"")</f>
        <v/>
      </c>
      <c r="K97" s="278"/>
      <c r="M97" s="473"/>
      <c r="N97" s="473"/>
      <c r="R97" s="65"/>
      <c r="S97" s="133"/>
      <c r="U97" s="441"/>
      <c r="V97" s="64"/>
    </row>
    <row r="98" spans="1:22" hidden="1">
      <c r="B98" s="278"/>
      <c r="C98" s="65">
        <f>IF(J98="",1,COUNTIF($J$97:J98,J98))</f>
        <v>1</v>
      </c>
      <c r="D98" s="149" t="b">
        <f t="shared" ca="1" si="15"/>
        <v>1</v>
      </c>
      <c r="E98" s="471" t="str">
        <f t="shared" si="16"/>
        <v/>
      </c>
      <c r="F98" s="471" t="str">
        <f t="shared" ca="1" si="17"/>
        <v/>
      </c>
      <c r="G98" s="471" t="str">
        <f t="shared" ca="1" si="18"/>
        <v/>
      </c>
      <c r="H98" s="65">
        <v>2</v>
      </c>
      <c r="I98" s="65" t="str">
        <f t="shared" ca="1" si="19"/>
        <v/>
      </c>
      <c r="J98" s="475" t="str">
        <f>IF(LARGE($N$20:$N$29,2)&gt;AtRiskSensitivity,LARGE($N$20:$N$29,2),"")</f>
        <v/>
      </c>
      <c r="K98" s="278"/>
      <c r="M98" s="473"/>
      <c r="N98" s="473"/>
      <c r="R98" s="65"/>
      <c r="S98" s="133"/>
      <c r="U98" s="441"/>
      <c r="V98" s="64"/>
    </row>
    <row r="99" spans="1:22" hidden="1">
      <c r="B99" s="278"/>
      <c r="C99" s="65">
        <f>IF(J99="",1,COUNTIF($J$97:J99,J99))</f>
        <v>1</v>
      </c>
      <c r="D99" s="149" t="b">
        <f t="shared" ca="1" si="15"/>
        <v>1</v>
      </c>
      <c r="E99" s="471" t="str">
        <f t="shared" si="16"/>
        <v/>
      </c>
      <c r="F99" s="471" t="str">
        <f t="shared" ca="1" si="17"/>
        <v/>
      </c>
      <c r="G99" s="471" t="str">
        <f t="shared" ca="1" si="18"/>
        <v/>
      </c>
      <c r="H99" s="65">
        <v>3</v>
      </c>
      <c r="I99" s="65" t="str">
        <f t="shared" ca="1" si="19"/>
        <v/>
      </c>
      <c r="J99" s="475" t="str">
        <f>IF(LARGE($N$20:$N$29,3)&gt;AtRiskSensitivity,LARGE($N$20:$N$29,3),"")</f>
        <v/>
      </c>
      <c r="K99" s="278"/>
      <c r="M99" s="473"/>
      <c r="N99" s="473"/>
      <c r="R99" s="65"/>
      <c r="S99" s="133"/>
      <c r="U99" s="441"/>
      <c r="V99" s="64"/>
    </row>
    <row r="100" spans="1:22" hidden="1">
      <c r="B100" s="278"/>
      <c r="C100" s="65">
        <f>IF(J100="",1,COUNTIF($J$97:J100,J100))</f>
        <v>1</v>
      </c>
      <c r="D100" s="149" t="b">
        <f t="shared" ca="1" si="15"/>
        <v>1</v>
      </c>
      <c r="E100" s="471" t="str">
        <f t="shared" si="16"/>
        <v/>
      </c>
      <c r="F100" s="471" t="str">
        <f t="shared" ca="1" si="17"/>
        <v/>
      </c>
      <c r="G100" s="471" t="str">
        <f t="shared" ca="1" si="18"/>
        <v/>
      </c>
      <c r="H100" s="65">
        <v>4</v>
      </c>
      <c r="I100" s="65" t="str">
        <f t="shared" ca="1" si="19"/>
        <v/>
      </c>
      <c r="J100" s="475" t="str">
        <f>IF(LARGE($N$20:$N$29,4)&gt;AtRiskSensitivity,LARGE($N$20:$N$29,4),"")</f>
        <v/>
      </c>
      <c r="K100" s="278"/>
      <c r="M100" s="473"/>
      <c r="N100" s="473"/>
      <c r="R100" s="65"/>
      <c r="S100" s="133"/>
      <c r="U100" s="441"/>
      <c r="V100" s="64"/>
    </row>
    <row r="101" spans="1:22" hidden="1">
      <c r="B101" s="278"/>
      <c r="C101" s="65">
        <f>IF(J101="",1,COUNTIF($J$97:J101,J101))</f>
        <v>1</v>
      </c>
      <c r="D101" s="149" t="b">
        <f t="shared" ca="1" si="15"/>
        <v>1</v>
      </c>
      <c r="E101" s="471" t="str">
        <f t="shared" si="16"/>
        <v/>
      </c>
      <c r="F101" s="471" t="str">
        <f t="shared" ca="1" si="17"/>
        <v/>
      </c>
      <c r="G101" s="471" t="str">
        <f t="shared" ca="1" si="18"/>
        <v/>
      </c>
      <c r="H101" s="65">
        <v>5</v>
      </c>
      <c r="I101" s="65" t="str">
        <f t="shared" ca="1" si="19"/>
        <v/>
      </c>
      <c r="J101" s="475" t="str">
        <f>IF(LARGE($N$20:$N$29,5)&gt;AtRiskSensitivity,LARGE($N$20:$N$29,5),"")</f>
        <v/>
      </c>
      <c r="K101" s="278"/>
      <c r="M101" s="473"/>
      <c r="N101" s="473"/>
      <c r="R101" s="65"/>
      <c r="S101" s="133"/>
      <c r="U101" s="441"/>
      <c r="V101" s="133"/>
    </row>
    <row r="102" spans="1:22" hidden="1">
      <c r="B102" s="278"/>
      <c r="C102" s="65">
        <f>IF(J102="",1,COUNTIF($J$97:J102,J102))</f>
        <v>1</v>
      </c>
      <c r="D102" s="149" t="b">
        <f t="shared" ca="1" si="15"/>
        <v>1</v>
      </c>
      <c r="E102" s="471" t="str">
        <f t="shared" si="16"/>
        <v/>
      </c>
      <c r="F102" s="471" t="str">
        <f t="shared" ca="1" si="17"/>
        <v/>
      </c>
      <c r="G102" s="471" t="str">
        <f t="shared" ca="1" si="18"/>
        <v/>
      </c>
      <c r="H102" s="65">
        <v>6</v>
      </c>
      <c r="I102" s="65" t="str">
        <f t="shared" ca="1" si="19"/>
        <v/>
      </c>
      <c r="J102" s="475" t="str">
        <f>IF(LARGE($N$20:$N$29,6)&gt;AtRiskSensitivity,LARGE($N$20:$N$29,6),"")</f>
        <v/>
      </c>
      <c r="K102" s="278"/>
      <c r="M102" s="473"/>
      <c r="N102" s="473"/>
      <c r="R102" s="65"/>
      <c r="S102" s="133"/>
      <c r="U102" s="441"/>
      <c r="V102" s="133"/>
    </row>
    <row r="103" spans="1:22" hidden="1">
      <c r="B103" s="278"/>
      <c r="C103" s="65">
        <f>IF(J103="",1,COUNTIF($J$97:J103,J103))</f>
        <v>1</v>
      </c>
      <c r="D103" s="149" t="b">
        <f t="shared" ca="1" si="15"/>
        <v>1</v>
      </c>
      <c r="E103" s="471" t="str">
        <f t="shared" si="16"/>
        <v/>
      </c>
      <c r="F103" s="471" t="str">
        <f t="shared" ca="1" si="17"/>
        <v/>
      </c>
      <c r="G103" s="471" t="str">
        <f t="shared" ca="1" si="18"/>
        <v/>
      </c>
      <c r="H103" s="65">
        <v>7</v>
      </c>
      <c r="I103" s="65" t="str">
        <f t="shared" ca="1" si="19"/>
        <v/>
      </c>
      <c r="J103" s="475" t="str">
        <f>IF(LARGE($N$20:$N$29,7)&gt;AtRiskSensitivity,LARGE($N$20:$N$29,7),"")</f>
        <v/>
      </c>
      <c r="K103" s="278"/>
      <c r="M103" s="473"/>
      <c r="N103" s="473"/>
      <c r="R103" s="65"/>
      <c r="S103" s="133"/>
      <c r="U103" s="441"/>
      <c r="V103" s="133"/>
    </row>
    <row r="104" spans="1:22" hidden="1">
      <c r="B104" s="278"/>
      <c r="C104" s="65">
        <f>IF(J104="",1,COUNTIF($J$97:J104,J104))</f>
        <v>1</v>
      </c>
      <c r="D104" s="149" t="b">
        <f t="shared" ca="1" si="15"/>
        <v>1</v>
      </c>
      <c r="E104" s="471" t="str">
        <f t="shared" si="16"/>
        <v/>
      </c>
      <c r="F104" s="471" t="str">
        <f t="shared" ca="1" si="17"/>
        <v/>
      </c>
      <c r="G104" s="471" t="str">
        <f t="shared" ca="1" si="18"/>
        <v/>
      </c>
      <c r="H104" s="65">
        <v>8</v>
      </c>
      <c r="I104" s="65" t="str">
        <f t="shared" ca="1" si="19"/>
        <v/>
      </c>
      <c r="J104" s="470" t="str">
        <f>IF(LARGE($N$20:$N$29,8)&gt;AtRiskSensitivity,LARGE($N$20:$N$29,8),"")</f>
        <v/>
      </c>
      <c r="M104" s="473"/>
      <c r="N104" s="473"/>
      <c r="R104" s="65"/>
      <c r="S104" s="133"/>
      <c r="U104" s="441"/>
      <c r="V104" s="133"/>
    </row>
    <row r="105" spans="1:22" hidden="1">
      <c r="B105" s="278"/>
      <c r="C105" s="65">
        <f>IF(J105="",1,COUNTIF($J$97:J105,J105))</f>
        <v>1</v>
      </c>
      <c r="D105" s="149" t="b">
        <f t="shared" ca="1" si="15"/>
        <v>1</v>
      </c>
      <c r="E105" s="471" t="str">
        <f t="shared" si="16"/>
        <v/>
      </c>
      <c r="F105" s="471" t="str">
        <f t="shared" ca="1" si="17"/>
        <v/>
      </c>
      <c r="G105" s="471" t="str">
        <f t="shared" ca="1" si="18"/>
        <v/>
      </c>
      <c r="H105" s="65">
        <v>9</v>
      </c>
      <c r="I105" s="65" t="str">
        <f t="shared" ca="1" si="19"/>
        <v/>
      </c>
      <c r="J105" s="470" t="str">
        <f>IF(LARGE($N$20:$N$29,9)&gt;AtRiskSensitivity,LARGE($N$20:$N$29,9),"")</f>
        <v/>
      </c>
      <c r="M105" s="473"/>
      <c r="N105" s="473"/>
      <c r="R105" s="65"/>
      <c r="S105" s="133"/>
      <c r="U105" s="441"/>
      <c r="V105" s="133"/>
    </row>
    <row r="106" spans="1:22" hidden="1">
      <c r="B106" s="278"/>
      <c r="C106" s="65">
        <f>IF(J106="",1,COUNTIF($J$97:J106,J106))</f>
        <v>1</v>
      </c>
      <c r="D106" s="149" t="b">
        <f t="shared" ca="1" si="15"/>
        <v>1</v>
      </c>
      <c r="E106" s="471" t="str">
        <f t="shared" si="16"/>
        <v/>
      </c>
      <c r="F106" s="471" t="str">
        <f t="shared" ca="1" si="17"/>
        <v/>
      </c>
      <c r="G106" s="471" t="str">
        <f t="shared" ca="1" si="18"/>
        <v/>
      </c>
      <c r="H106" s="65">
        <v>10</v>
      </c>
      <c r="I106" s="65" t="str">
        <f t="shared" ca="1" si="19"/>
        <v/>
      </c>
      <c r="J106" s="470" t="str">
        <f>IF(LARGE($N$20:$N$29,10)&gt;AtRiskSensitivity,LARGE($N$20:$N$29,10),"")</f>
        <v/>
      </c>
      <c r="M106" s="473"/>
      <c r="N106" s="473"/>
      <c r="R106" s="65"/>
      <c r="S106" s="133"/>
      <c r="U106" s="441"/>
      <c r="V106" s="133"/>
    </row>
    <row r="107" spans="1:22" hidden="1">
      <c r="B107" s="278"/>
      <c r="C107" s="77"/>
      <c r="E107" s="464"/>
      <c r="H107" s="474"/>
      <c r="J107" s="143"/>
      <c r="M107" s="473"/>
      <c r="N107" s="473"/>
      <c r="R107" s="65"/>
      <c r="S107" s="133"/>
      <c r="U107" s="441"/>
      <c r="V107" s="133"/>
    </row>
    <row r="108" spans="1:22" ht="7.5" hidden="1" customHeight="1">
      <c r="B108" s="365"/>
      <c r="C108" s="364"/>
      <c r="D108" s="364"/>
      <c r="E108" s="364"/>
      <c r="F108" s="364"/>
      <c r="G108" s="364"/>
      <c r="H108" s="364"/>
      <c r="I108" s="364"/>
      <c r="J108" s="407"/>
      <c r="R108" s="65"/>
      <c r="S108" s="133"/>
      <c r="U108" s="441"/>
      <c r="V108" s="133"/>
    </row>
    <row r="109" spans="1:22" ht="17.25" hidden="1" customHeight="1">
      <c r="B109" s="278"/>
      <c r="C109" s="77" t="s">
        <v>443</v>
      </c>
      <c r="J109" s="143"/>
      <c r="R109" s="65"/>
      <c r="S109" s="133"/>
      <c r="U109" s="441"/>
      <c r="V109" s="133"/>
    </row>
    <row r="110" spans="1:22" ht="7.5" hidden="1" customHeight="1">
      <c r="B110" s="278"/>
      <c r="J110" s="143"/>
      <c r="R110" s="65"/>
      <c r="S110" s="133"/>
      <c r="U110" s="441"/>
      <c r="V110" s="133"/>
    </row>
    <row r="111" spans="1:22" ht="17.25" hidden="1" customHeight="1">
      <c r="A111" s="65" t="s">
        <v>58</v>
      </c>
      <c r="B111" s="278"/>
      <c r="C111" s="133" t="s">
        <v>427</v>
      </c>
      <c r="D111" s="133" t="s">
        <v>426</v>
      </c>
      <c r="E111" s="133" t="s">
        <v>442</v>
      </c>
      <c r="F111" s="133"/>
      <c r="J111" s="143"/>
      <c r="R111" s="65"/>
      <c r="S111" s="133"/>
      <c r="U111" s="441"/>
      <c r="V111" s="133"/>
    </row>
    <row r="112" spans="1:22" ht="17.25" hidden="1" customHeight="1">
      <c r="B112" s="278"/>
      <c r="C112" s="133">
        <v>1</v>
      </c>
      <c r="D112" s="147" t="str">
        <f t="shared" ref="D112:D121" si="20">IFERROR(INDEX($C$48:$C$57,MATCH(C112,$B$48:$B$57,0)),"")</f>
        <v/>
      </c>
      <c r="E112" s="472" t="str">
        <f t="shared" ref="E112:E121" si="21">IFERROR(INDEX($F$48:$F$57,MATCH(C112,$B$48:$B$57,0)),"")</f>
        <v/>
      </c>
      <c r="F112" s="471"/>
      <c r="G112" s="471"/>
      <c r="J112" s="470"/>
      <c r="R112" s="65"/>
      <c r="S112" s="133"/>
      <c r="U112" s="441"/>
      <c r="V112" s="133"/>
    </row>
    <row r="113" spans="1:22" ht="17.25" hidden="1" customHeight="1">
      <c r="B113" s="278"/>
      <c r="C113" s="133">
        <v>2</v>
      </c>
      <c r="D113" s="147" t="str">
        <f t="shared" si="20"/>
        <v/>
      </c>
      <c r="E113" s="472" t="str">
        <f t="shared" si="21"/>
        <v/>
      </c>
      <c r="F113" s="471"/>
      <c r="G113" s="471"/>
      <c r="J113" s="470"/>
      <c r="R113" s="65"/>
      <c r="S113" s="133"/>
      <c r="U113" s="441"/>
      <c r="V113" s="133"/>
    </row>
    <row r="114" spans="1:22" ht="17.25" hidden="1" customHeight="1">
      <c r="B114" s="278"/>
      <c r="C114" s="133">
        <v>3</v>
      </c>
      <c r="D114" s="147" t="str">
        <f t="shared" si="20"/>
        <v/>
      </c>
      <c r="E114" s="472" t="str">
        <f t="shared" si="21"/>
        <v/>
      </c>
      <c r="F114" s="471"/>
      <c r="G114" s="471"/>
      <c r="J114" s="470"/>
      <c r="R114" s="65"/>
      <c r="S114" s="133"/>
      <c r="U114" s="441"/>
      <c r="V114" s="133"/>
    </row>
    <row r="115" spans="1:22" ht="17.25" hidden="1" customHeight="1">
      <c r="B115" s="278"/>
      <c r="C115" s="133">
        <v>4</v>
      </c>
      <c r="D115" s="147" t="str">
        <f t="shared" si="20"/>
        <v/>
      </c>
      <c r="E115" s="472" t="str">
        <f t="shared" si="21"/>
        <v/>
      </c>
      <c r="F115" s="471"/>
      <c r="G115" s="471"/>
      <c r="J115" s="470"/>
      <c r="R115" s="65"/>
      <c r="S115" s="133"/>
      <c r="U115" s="441"/>
      <c r="V115" s="133"/>
    </row>
    <row r="116" spans="1:22" ht="17.25" hidden="1" customHeight="1">
      <c r="B116" s="278"/>
      <c r="C116" s="133">
        <v>5</v>
      </c>
      <c r="D116" s="147" t="str">
        <f t="shared" si="20"/>
        <v/>
      </c>
      <c r="E116" s="472" t="str">
        <f t="shared" si="21"/>
        <v/>
      </c>
      <c r="F116" s="471"/>
      <c r="G116" s="471"/>
      <c r="J116" s="470"/>
      <c r="R116" s="65"/>
      <c r="S116" s="133"/>
      <c r="U116" s="441"/>
      <c r="V116" s="133"/>
    </row>
    <row r="117" spans="1:22" ht="17.25" hidden="1" customHeight="1">
      <c r="B117" s="278"/>
      <c r="C117" s="133">
        <v>6</v>
      </c>
      <c r="D117" s="147" t="str">
        <f t="shared" si="20"/>
        <v/>
      </c>
      <c r="E117" s="472" t="str">
        <f t="shared" si="21"/>
        <v/>
      </c>
      <c r="F117" s="471"/>
      <c r="G117" s="471"/>
      <c r="J117" s="470"/>
      <c r="R117" s="65"/>
      <c r="S117" s="133"/>
      <c r="U117" s="441"/>
      <c r="V117" s="133"/>
    </row>
    <row r="118" spans="1:22" ht="17.25" hidden="1" customHeight="1">
      <c r="B118" s="278"/>
      <c r="C118" s="133">
        <v>7</v>
      </c>
      <c r="D118" s="147" t="str">
        <f t="shared" si="20"/>
        <v/>
      </c>
      <c r="E118" s="472" t="str">
        <f t="shared" si="21"/>
        <v/>
      </c>
      <c r="F118" s="471"/>
      <c r="G118" s="471"/>
      <c r="J118" s="470"/>
      <c r="R118" s="65"/>
      <c r="S118" s="133"/>
      <c r="U118" s="441"/>
      <c r="V118" s="133"/>
    </row>
    <row r="119" spans="1:22" ht="17.25" hidden="1" customHeight="1">
      <c r="B119" s="278"/>
      <c r="C119" s="133">
        <v>8</v>
      </c>
      <c r="D119" s="147" t="str">
        <f t="shared" si="20"/>
        <v/>
      </c>
      <c r="E119" s="472" t="str">
        <f t="shared" si="21"/>
        <v/>
      </c>
      <c r="F119" s="471"/>
      <c r="G119" s="471"/>
      <c r="J119" s="470"/>
      <c r="R119" s="65"/>
      <c r="S119" s="133"/>
      <c r="U119" s="441"/>
      <c r="V119" s="133"/>
    </row>
    <row r="120" spans="1:22" ht="17.25" hidden="1" customHeight="1">
      <c r="B120" s="278"/>
      <c r="C120" s="133">
        <v>9</v>
      </c>
      <c r="D120" s="147" t="str">
        <f t="shared" si="20"/>
        <v/>
      </c>
      <c r="E120" s="472" t="str">
        <f t="shared" si="21"/>
        <v/>
      </c>
      <c r="F120" s="471"/>
      <c r="G120" s="471"/>
      <c r="J120" s="470"/>
      <c r="R120" s="65"/>
      <c r="S120" s="133"/>
      <c r="U120" s="441"/>
      <c r="V120" s="133"/>
    </row>
    <row r="121" spans="1:22" ht="17.25" hidden="1" customHeight="1">
      <c r="B121" s="278"/>
      <c r="C121" s="133">
        <v>10</v>
      </c>
      <c r="D121" s="147" t="str">
        <f t="shared" si="20"/>
        <v/>
      </c>
      <c r="E121" s="472" t="str">
        <f t="shared" si="21"/>
        <v/>
      </c>
      <c r="F121" s="471"/>
      <c r="G121" s="471"/>
      <c r="J121" s="470"/>
      <c r="R121" s="65"/>
      <c r="S121" s="133"/>
      <c r="U121" s="441"/>
      <c r="V121" s="133"/>
    </row>
    <row r="122" spans="1:22" ht="7.5" hidden="1" customHeight="1">
      <c r="B122" s="435"/>
      <c r="C122" s="138"/>
      <c r="D122" s="138"/>
      <c r="E122" s="138"/>
      <c r="F122" s="138"/>
      <c r="G122" s="138"/>
      <c r="H122" s="469"/>
      <c r="I122" s="469"/>
      <c r="J122" s="468"/>
      <c r="R122" s="65"/>
      <c r="S122" s="133"/>
      <c r="U122" s="441"/>
      <c r="V122" s="133"/>
    </row>
    <row r="123" spans="1:22" ht="22.5" customHeight="1">
      <c r="R123" s="65"/>
      <c r="S123" s="133"/>
      <c r="U123" s="441"/>
      <c r="V123" s="133"/>
    </row>
    <row r="124" spans="1:22" ht="22.5" customHeight="1">
      <c r="A124" s="61" t="str">
        <f>IF(SUBTOTAL(103,A125),"-","+")</f>
        <v>+</v>
      </c>
      <c r="B124" s="1517" t="s">
        <v>441</v>
      </c>
      <c r="C124" s="1518"/>
      <c r="D124" s="1614"/>
      <c r="E124" s="467" t="str">
        <f>IF(OR(COUNTA(E129:F129,F128:G128)+E136,DynamicCB_01&lt;&gt;0),"Contains Data","No Data")</f>
        <v>Contains Data</v>
      </c>
      <c r="F124" s="282"/>
      <c r="G124" s="282"/>
      <c r="H124" s="282"/>
      <c r="I124" s="282"/>
      <c r="J124" s="282"/>
      <c r="K124" s="282"/>
      <c r="L124" s="466"/>
      <c r="R124" s="65"/>
      <c r="S124" s="133"/>
      <c r="V124" s="133"/>
    </row>
    <row r="125" spans="1:22" ht="7.5" hidden="1" customHeight="1">
      <c r="A125" s="65" t="s">
        <v>58</v>
      </c>
      <c r="B125" s="365"/>
      <c r="C125" s="364"/>
      <c r="D125" s="364"/>
      <c r="E125" s="364"/>
      <c r="F125" s="364"/>
      <c r="G125" s="364"/>
      <c r="H125" s="364"/>
      <c r="I125" s="364"/>
      <c r="J125" s="465"/>
      <c r="R125" s="65"/>
      <c r="S125" s="133"/>
      <c r="V125" s="133"/>
    </row>
    <row r="126" spans="1:22" ht="22.5" hidden="1" customHeight="1">
      <c r="B126" s="278"/>
      <c r="C126" s="464"/>
      <c r="D126" s="32"/>
      <c r="E126" s="406">
        <f>IFERROR(YEAR($C$5),"")</f>
        <v>2024</v>
      </c>
      <c r="F126" s="405">
        <f>IFERROR((YEAR($C$5)-1),"")</f>
        <v>2023</v>
      </c>
      <c r="G126" s="404">
        <f>IF(E126="","",E126-2)</f>
        <v>2022</v>
      </c>
      <c r="H126" s="32"/>
      <c r="J126" s="143"/>
      <c r="R126" s="65"/>
      <c r="S126" s="133"/>
      <c r="U126" s="189"/>
      <c r="V126" s="189"/>
    </row>
    <row r="127" spans="1:22" ht="7.5" hidden="1" customHeight="1">
      <c r="B127" s="278"/>
      <c r="C127" s="464"/>
      <c r="D127" s="32"/>
      <c r="E127" s="32"/>
      <c r="F127" s="32"/>
      <c r="G127" s="32"/>
      <c r="H127" s="32"/>
      <c r="J127" s="143"/>
      <c r="R127" s="65"/>
      <c r="S127" s="133"/>
      <c r="V127" s="133"/>
    </row>
    <row r="128" spans="1:22" ht="17.25" hidden="1" customHeight="1">
      <c r="B128" s="278"/>
      <c r="C128" s="77" t="s">
        <v>440</v>
      </c>
      <c r="D128" s="77"/>
      <c r="E128" s="463">
        <f>Tm_TBBalance</f>
        <v>59951.75</v>
      </c>
      <c r="F128" s="463"/>
      <c r="G128" s="463"/>
      <c r="H128" s="345"/>
      <c r="J128" s="143"/>
      <c r="R128" s="65"/>
      <c r="S128" s="133"/>
      <c r="U128" s="436"/>
      <c r="V128" s="173"/>
    </row>
    <row r="129" spans="2:22" ht="17.25" hidden="1" customHeight="1">
      <c r="B129" s="278"/>
      <c r="C129" s="1427" t="s">
        <v>439</v>
      </c>
      <c r="D129" s="1609"/>
      <c r="E129" s="462"/>
      <c r="F129" s="462"/>
      <c r="G129" s="345"/>
      <c r="H129" s="345"/>
      <c r="J129" s="143"/>
      <c r="R129" s="65"/>
      <c r="S129" s="133"/>
      <c r="U129" s="436"/>
      <c r="V129" s="173"/>
    </row>
    <row r="130" spans="2:22" ht="17.25" hidden="1" customHeight="1">
      <c r="B130" s="278"/>
      <c r="C130" s="1427" t="s">
        <v>438</v>
      </c>
      <c r="D130" s="1609"/>
      <c r="E130" s="461">
        <f>IFERROR(IF(AND($M$35=0,$F$30=0),0,E129/AVERAGE(E128:F128)),0)</f>
        <v>0</v>
      </c>
      <c r="F130" s="460">
        <f>IFERROR(IF(AND($M$35=0,$F$30=0),0,F129/AVERAGE(F128:G128)),0)</f>
        <v>0</v>
      </c>
      <c r="G130" s="345"/>
      <c r="H130" s="345"/>
      <c r="J130" s="143"/>
      <c r="R130" s="65"/>
      <c r="S130" s="133"/>
      <c r="U130" s="459"/>
      <c r="V130" s="458"/>
    </row>
    <row r="131" spans="2:22" ht="17.25" hidden="1" customHeight="1">
      <c r="B131" s="278"/>
      <c r="C131" s="1427" t="s">
        <v>437</v>
      </c>
      <c r="D131" s="1609"/>
      <c r="E131" s="457">
        <f>IFERROR(_xlfn.DAYS($C$5,DATE(YEAR($C$5)-1,MONTH($C$5),DAY($C$5)))/E130,0)</f>
        <v>0</v>
      </c>
      <c r="F131" s="456">
        <f>IFERROR(_xlfn.DAYS(DATE(YEAR($C$5)-1,MONTH($C$5),DAY($C$5)),DATE(YEAR($C$5)-2,MONTH($C$5),DAY($C$5)))/F130,0)</f>
        <v>0</v>
      </c>
      <c r="G131" s="345"/>
      <c r="J131" s="143"/>
      <c r="R131" s="65"/>
      <c r="S131" s="133"/>
      <c r="U131" s="452"/>
      <c r="V131" s="451"/>
    </row>
    <row r="132" spans="2:22" ht="17.25" hidden="1" customHeight="1">
      <c r="B132" s="278"/>
      <c r="C132" s="341"/>
      <c r="D132" s="454"/>
      <c r="E132" s="454"/>
      <c r="F132" s="454"/>
      <c r="G132" s="345"/>
      <c r="H132" s="345"/>
      <c r="J132" s="143"/>
      <c r="R132" s="65"/>
      <c r="S132" s="133"/>
      <c r="U132" s="441"/>
      <c r="V132" s="64"/>
    </row>
    <row r="133" spans="2:22" ht="22.5" hidden="1" customHeight="1">
      <c r="B133" s="278"/>
      <c r="C133" s="455" t="s">
        <v>436</v>
      </c>
      <c r="D133" s="455"/>
      <c r="G133" s="454"/>
      <c r="H133" s="345"/>
      <c r="J133" s="143"/>
      <c r="R133" s="65"/>
      <c r="S133" s="133"/>
      <c r="U133" s="441"/>
      <c r="V133" s="64"/>
    </row>
    <row r="134" spans="2:22" ht="7.5" hidden="1" customHeight="1">
      <c r="B134" s="278"/>
      <c r="C134" s="77"/>
      <c r="E134" s="453"/>
      <c r="F134" s="453"/>
      <c r="G134" s="454"/>
      <c r="H134" s="345"/>
      <c r="J134" s="143"/>
      <c r="R134" s="65"/>
      <c r="S134" s="133"/>
      <c r="U134" s="441"/>
      <c r="V134" s="64"/>
    </row>
    <row r="135" spans="2:22" ht="17.25" hidden="1" customHeight="1">
      <c r="B135" s="278"/>
      <c r="C135" s="77"/>
      <c r="E135" s="453" t="s">
        <v>358</v>
      </c>
      <c r="F135" s="1613" t="s">
        <v>426</v>
      </c>
      <c r="G135" s="1613"/>
      <c r="H135" s="1613"/>
      <c r="J135" s="143"/>
      <c r="R135" s="65"/>
      <c r="S135" s="133"/>
      <c r="U135" s="441"/>
      <c r="V135" s="64"/>
    </row>
    <row r="136" spans="2:22" ht="17.25" hidden="1" customHeight="1">
      <c r="B136" s="278"/>
      <c r="C136" s="450" t="str">
        <f>"Debtor with the Greatest Debt Outstanding at "&amp;TEXT($C$5,"DD MMMM YYYY")</f>
        <v>Debtor with the Greatest Debt Outstanding at 30 June 2024</v>
      </c>
      <c r="D136" s="70"/>
      <c r="E136" s="443">
        <f>MAX(M20:M29)</f>
        <v>0</v>
      </c>
      <c r="F136" s="1610" t="str">
        <f>IF(E136=0,"",IF(ISERROR(INDEX(Model_Debtors.Balances.Detail,MATCH(E136,$M$20:$M$29,0),1)),"",INDEX(Model_Debtors.Balances.Detail,MATCH(E136,$M$20:$M$29,0),1)))</f>
        <v/>
      </c>
      <c r="G136" s="1611"/>
      <c r="H136" s="1612"/>
      <c r="J136" s="143"/>
      <c r="R136" s="65"/>
      <c r="S136" s="133"/>
      <c r="U136" s="452"/>
      <c r="V136" s="451"/>
    </row>
    <row r="137" spans="2:22" ht="17.25" hidden="1" customHeight="1">
      <c r="B137" s="278"/>
      <c r="C137" s="450"/>
      <c r="D137" s="70"/>
      <c r="E137" s="449" t="str">
        <f>"This represents "&amp;IFERROR(TEXT($E$136/F05_TradeDebtors,"##.#0%"),TEXT(0,"0%"))&amp;" of total trade debtors at "&amp;TEXT($C$5,"DD MMMM YYYY")</f>
        <v>This represents 0% of total trade debtors at 30 June 2024</v>
      </c>
      <c r="F137" s="448"/>
      <c r="G137" s="448"/>
      <c r="H137" s="448"/>
      <c r="J137" s="143"/>
      <c r="R137" s="65"/>
      <c r="S137" s="133"/>
      <c r="U137" s="447"/>
      <c r="V137" s="446"/>
    </row>
    <row r="138" spans="2:22" ht="7.5" hidden="1" customHeight="1">
      <c r="B138" s="278"/>
      <c r="C138" s="346"/>
      <c r="D138" s="70"/>
      <c r="E138" s="431"/>
      <c r="F138" s="1620"/>
      <c r="G138" s="1620"/>
      <c r="H138" s="345"/>
      <c r="J138" s="143"/>
      <c r="R138" s="65"/>
      <c r="S138" s="133"/>
      <c r="U138" s="445"/>
      <c r="V138" s="444"/>
    </row>
    <row r="139" spans="2:22" ht="17.25" hidden="1" customHeight="1">
      <c r="B139" s="278"/>
      <c r="C139" s="440" t="str">
        <f>"Debtors with Greatest Debt Outstanding Between:"</f>
        <v>Debtors with Greatest Debt Outstanding Between:</v>
      </c>
      <c r="D139" s="70"/>
      <c r="E139" s="431"/>
      <c r="F139" s="1608"/>
      <c r="G139" s="1608"/>
      <c r="H139" s="345"/>
      <c r="J139" s="143"/>
      <c r="R139" s="65"/>
      <c r="S139" s="133"/>
      <c r="U139" s="436"/>
      <c r="V139" s="173"/>
    </row>
    <row r="140" spans="2:22" ht="17.25" hidden="1" customHeight="1">
      <c r="B140" s="278"/>
      <c r="C140" s="341" t="str">
        <f>"   0 - 30 days at "&amp;TEXT($C$5,"DD MMMM YYYY")</f>
        <v xml:space="preserve">   0 - 30 days at 30 June 2024</v>
      </c>
      <c r="D140" s="70"/>
      <c r="E140" s="443">
        <f>MAX(Model_Debtors.Balances.Band30Days)</f>
        <v>0</v>
      </c>
      <c r="F140" s="1610" t="str">
        <f>IF(E140=0,"",IF(ISERROR(INDEX(Model_Debtors.Balances.Detail,MATCH(E140,$O$20:$O$29,0),1)),"",INDEX(Model_Debtors.Balances.Detail,MATCH(E140,$O$20:$O$29,0),1)))</f>
        <v/>
      </c>
      <c r="G140" s="1611"/>
      <c r="H140" s="1612"/>
      <c r="J140" s="143"/>
      <c r="R140" s="65"/>
      <c r="S140" s="133"/>
      <c r="U140" s="436"/>
      <c r="V140" s="173"/>
    </row>
    <row r="141" spans="2:22" ht="17.25" hidden="1" customHeight="1">
      <c r="B141" s="278"/>
      <c r="C141" s="341" t="str">
        <f>"   30 - 60 days at "&amp;TEXT($C$5,"DD MMMM YYYY")</f>
        <v xml:space="preserve">   30 - 60 days at 30 June 2024</v>
      </c>
      <c r="D141" s="70"/>
      <c r="E141" s="443">
        <f>MAX(Model_Debtors.Balances.Band60Days)</f>
        <v>0</v>
      </c>
      <c r="F141" s="1610" t="str">
        <f>IF(E141=0,"",IF(ISERROR(INDEX(Model_Debtors.Balances.Detail,MATCH(E141,$P$20:$P$29,0),1)),"",INDEX(Model_Debtors.Balances.Detail,MATCH(E141,$P$20:$P$29,0),1)))</f>
        <v/>
      </c>
      <c r="G141" s="1611"/>
      <c r="H141" s="1612"/>
      <c r="J141" s="143"/>
      <c r="R141" s="65"/>
      <c r="S141" s="133"/>
      <c r="U141" s="436"/>
      <c r="V141" s="173"/>
    </row>
    <row r="142" spans="2:22" ht="17.25" hidden="1" customHeight="1">
      <c r="B142" s="278"/>
      <c r="C142" s="341" t="str">
        <f>"   60 - 90 days at "&amp;TEXT($C$5,"DD MMMM YYYY")</f>
        <v xml:space="preserve">   60 - 90 days at 30 June 2024</v>
      </c>
      <c r="D142" s="70"/>
      <c r="E142" s="443">
        <f>MAX(Model_Debtors.Balances.Band90Days)</f>
        <v>0</v>
      </c>
      <c r="F142" s="1610" t="str">
        <f>IF(E142=0,"",IF(ISERROR(INDEX(Model_Debtors.Balances.Detail,MATCH(E142,$Q$20:$Q$29,0),1)),"",INDEX(Model_Debtors.Balances.Detail,MATCH(E142,$Q$20:$Q$29,0),1)))</f>
        <v/>
      </c>
      <c r="G142" s="1611"/>
      <c r="H142" s="1612"/>
      <c r="J142" s="143"/>
      <c r="R142" s="65"/>
      <c r="S142" s="133"/>
      <c r="U142" s="436"/>
      <c r="V142" s="173"/>
    </row>
    <row r="143" spans="2:22" ht="17.25" hidden="1" customHeight="1">
      <c r="B143" s="278"/>
      <c r="C143" s="341" t="str">
        <f>"   Greater than 90 days at "&amp;TEXT($C$5,"DD MMMM YYYY")</f>
        <v xml:space="preserve">   Greater than 90 days at 30 June 2024</v>
      </c>
      <c r="D143" s="70"/>
      <c r="E143" s="443">
        <f>MAX(Model_Debtors.Balances.Band90PlusDays)</f>
        <v>0</v>
      </c>
      <c r="F143" s="1610" t="str">
        <f>IF(E143=0,"",IF(ISERROR(INDEX(Model_Debtors.Balances.Detail,MATCH(E143,$R$20:$R$29,0),1)),"",INDEX(Model_Debtors.Balances.Detail,MATCH(E143,$R$20:$R$29,0),1)))</f>
        <v/>
      </c>
      <c r="G143" s="1611"/>
      <c r="H143" s="1612"/>
      <c r="J143" s="143"/>
      <c r="R143" s="65"/>
      <c r="S143" s="133"/>
      <c r="U143" s="436"/>
      <c r="V143" s="173"/>
    </row>
    <row r="144" spans="2:22" ht="17.25" hidden="1" customHeight="1">
      <c r="B144" s="278"/>
      <c r="C144" s="341"/>
      <c r="D144" s="70"/>
      <c r="E144" s="70"/>
      <c r="F144" s="70"/>
      <c r="G144" s="70"/>
      <c r="H144" s="70"/>
      <c r="J144" s="143"/>
      <c r="R144" s="65"/>
      <c r="S144" s="133"/>
      <c r="U144" s="436"/>
      <c r="V144" s="173"/>
    </row>
    <row r="145" spans="1:22" ht="17.25" hidden="1" customHeight="1">
      <c r="B145" s="278"/>
      <c r="C145" s="440" t="str">
        <f>"Average Debt per Trade Debtor at "&amp;TEXT($C$5,"DD MMMM YYYY")</f>
        <v>Average Debt per Trade Debtor at 30 June 2024</v>
      </c>
      <c r="D145" s="70"/>
      <c r="E145" s="443">
        <f>IF(ISERROR(AVERAGE($M$20:$M$29)),"",AVERAGE($M$20:$M$29))</f>
        <v>0</v>
      </c>
      <c r="H145" s="345"/>
      <c r="J145" s="143"/>
      <c r="R145" s="65"/>
      <c r="S145" s="133"/>
      <c r="U145" s="436"/>
      <c r="V145" s="173"/>
    </row>
    <row r="146" spans="1:22" ht="17.25" hidden="1" customHeight="1">
      <c r="B146" s="278"/>
      <c r="C146" s="440" t="str">
        <f>"Median Debt per Trade Debtor at "&amp;TEXT($C$5,"DD MMMM YYYY")</f>
        <v>Median Debt per Trade Debtor at 30 June 2024</v>
      </c>
      <c r="D146" s="70"/>
      <c r="E146" s="443">
        <f>IF(ISERROR(MEDIAN($M$20:$M$29)),"",MEDIAN($M$20:$M$29))</f>
        <v>0</v>
      </c>
      <c r="H146" s="345"/>
      <c r="J146" s="143"/>
      <c r="R146" s="65"/>
      <c r="S146" s="133"/>
      <c r="U146" s="436"/>
      <c r="V146" s="173"/>
    </row>
    <row r="147" spans="1:22" ht="17.25" hidden="1" customHeight="1">
      <c r="B147" s="278"/>
      <c r="C147" s="440"/>
      <c r="D147" s="70"/>
      <c r="E147" s="70"/>
      <c r="H147" s="345"/>
      <c r="J147" s="143"/>
      <c r="Q147" s="441"/>
      <c r="R147" s="441"/>
      <c r="S147" s="64"/>
    </row>
    <row r="148" spans="1:22" ht="22.5" hidden="1" customHeight="1">
      <c r="A148" s="61" t="str">
        <f>IF(SUBTOTAL(103,Tm_StartRollUp_06),"-","+")</f>
        <v>+</v>
      </c>
      <c r="B148" s="442"/>
      <c r="C148" s="1597" t="s">
        <v>435</v>
      </c>
      <c r="D148" s="1598"/>
      <c r="H148" s="345"/>
      <c r="J148" s="143"/>
      <c r="Q148" s="441"/>
      <c r="R148" s="441"/>
      <c r="S148" s="64"/>
    </row>
    <row r="149" spans="1:22" ht="17.25" hidden="1" customHeight="1">
      <c r="A149" s="65" t="s">
        <v>58</v>
      </c>
      <c r="B149" s="278"/>
      <c r="C149" s="440"/>
      <c r="D149" s="70"/>
      <c r="H149" s="345"/>
      <c r="J149" s="143"/>
      <c r="Q149" s="441"/>
      <c r="R149" s="441"/>
      <c r="S149" s="64"/>
    </row>
    <row r="150" spans="1:22" ht="17.25" hidden="1" customHeight="1">
      <c r="B150" s="278"/>
      <c r="C150" s="440"/>
      <c r="D150" s="70"/>
      <c r="H150" s="345"/>
      <c r="J150" s="143"/>
      <c r="R150" s="65"/>
      <c r="S150" s="133"/>
      <c r="U150" s="436"/>
      <c r="V150" s="173"/>
    </row>
    <row r="151" spans="1:22" ht="17.25" hidden="1" customHeight="1">
      <c r="B151" s="278"/>
      <c r="C151" s="440"/>
      <c r="D151" s="70"/>
      <c r="H151" s="345"/>
      <c r="J151" s="143"/>
      <c r="R151" s="65"/>
      <c r="S151" s="133"/>
      <c r="U151" s="436"/>
      <c r="V151" s="173"/>
    </row>
    <row r="152" spans="1:22" ht="17.25" hidden="1" customHeight="1">
      <c r="B152" s="278"/>
      <c r="C152" s="440"/>
      <c r="D152" s="70"/>
      <c r="H152" s="345"/>
      <c r="J152" s="143"/>
      <c r="R152" s="65"/>
      <c r="S152" s="133"/>
      <c r="U152" s="436"/>
      <c r="V152" s="173"/>
    </row>
    <row r="153" spans="1:22" ht="17.25" hidden="1" customHeight="1">
      <c r="B153" s="278"/>
      <c r="C153" s="440"/>
      <c r="D153" s="70"/>
      <c r="H153" s="345"/>
      <c r="J153" s="143"/>
      <c r="R153" s="65"/>
      <c r="S153" s="133"/>
      <c r="U153" s="436"/>
      <c r="V153" s="173"/>
    </row>
    <row r="154" spans="1:22" ht="17.25" hidden="1" customHeight="1">
      <c r="B154" s="278"/>
      <c r="C154" s="440"/>
      <c r="D154" s="70"/>
      <c r="H154" s="345"/>
      <c r="J154" s="143"/>
      <c r="R154" s="65"/>
      <c r="S154" s="133"/>
      <c r="U154" s="436"/>
      <c r="V154" s="173"/>
    </row>
    <row r="155" spans="1:22" ht="17.25" hidden="1" customHeight="1">
      <c r="B155" s="278"/>
      <c r="C155" s="440"/>
      <c r="D155" s="70"/>
      <c r="H155" s="345"/>
      <c r="J155" s="143"/>
      <c r="R155" s="65"/>
      <c r="S155" s="133"/>
      <c r="U155" s="436"/>
      <c r="V155" s="173"/>
    </row>
    <row r="156" spans="1:22" ht="17.25" hidden="1" customHeight="1">
      <c r="B156" s="278"/>
      <c r="C156" s="440"/>
      <c r="D156" s="70"/>
      <c r="H156" s="345"/>
      <c r="J156" s="143"/>
      <c r="R156" s="65"/>
      <c r="S156" s="133"/>
      <c r="U156" s="436"/>
      <c r="V156" s="173"/>
    </row>
    <row r="157" spans="1:22" ht="17.25" hidden="1" customHeight="1">
      <c r="B157" s="278"/>
      <c r="C157" s="440"/>
      <c r="D157" s="70"/>
      <c r="H157" s="345"/>
      <c r="J157" s="143"/>
      <c r="R157" s="65"/>
      <c r="S157" s="133"/>
      <c r="U157" s="436"/>
      <c r="V157" s="173"/>
    </row>
    <row r="158" spans="1:22" ht="17.25" hidden="1" customHeight="1">
      <c r="B158" s="278"/>
      <c r="C158" s="440"/>
      <c r="D158" s="70"/>
      <c r="H158" s="345"/>
      <c r="J158" s="143"/>
      <c r="R158" s="65"/>
      <c r="S158" s="133"/>
      <c r="U158" s="436"/>
      <c r="V158" s="173"/>
    </row>
    <row r="159" spans="1:22" ht="17.25" hidden="1" customHeight="1">
      <c r="B159" s="278"/>
      <c r="C159" s="440"/>
      <c r="D159" s="70"/>
      <c r="H159" s="345"/>
      <c r="J159" s="143"/>
      <c r="R159" s="65"/>
      <c r="S159" s="133"/>
      <c r="U159" s="436"/>
      <c r="V159" s="173"/>
    </row>
    <row r="160" spans="1:22" ht="17.25" hidden="1" customHeight="1">
      <c r="B160" s="278"/>
      <c r="C160" s="440"/>
      <c r="D160" s="70"/>
      <c r="H160" s="345"/>
      <c r="J160" s="143"/>
      <c r="R160" s="65"/>
      <c r="S160" s="133"/>
      <c r="U160" s="436"/>
      <c r="V160" s="173"/>
    </row>
    <row r="161" spans="2:22" ht="17.25" hidden="1" customHeight="1">
      <c r="B161" s="278"/>
      <c r="C161" s="440"/>
      <c r="D161" s="70"/>
      <c r="H161" s="345"/>
      <c r="J161" s="143"/>
      <c r="R161" s="65"/>
      <c r="S161" s="133"/>
      <c r="U161" s="436"/>
      <c r="V161" s="173"/>
    </row>
    <row r="162" spans="2:22" ht="17.25" hidden="1" customHeight="1">
      <c r="B162" s="278"/>
      <c r="C162" s="440"/>
      <c r="D162" s="70"/>
      <c r="H162" s="345"/>
      <c r="J162" s="143"/>
      <c r="R162" s="65"/>
      <c r="S162" s="133"/>
      <c r="U162" s="436"/>
      <c r="V162" s="173"/>
    </row>
    <row r="163" spans="2:22" ht="17.25" hidden="1" customHeight="1">
      <c r="B163" s="278"/>
      <c r="C163" s="440"/>
      <c r="D163" s="70"/>
      <c r="H163" s="345"/>
      <c r="J163" s="143"/>
      <c r="R163" s="65"/>
      <c r="S163" s="133"/>
      <c r="U163" s="436"/>
      <c r="V163" s="173"/>
    </row>
    <row r="164" spans="2:22" ht="17.25" hidden="1" customHeight="1">
      <c r="B164" s="278"/>
      <c r="C164" s="440"/>
      <c r="D164" s="70"/>
      <c r="H164" s="345"/>
      <c r="J164" s="143"/>
      <c r="R164" s="65"/>
      <c r="S164" s="133"/>
      <c r="U164" s="436"/>
      <c r="V164" s="173"/>
    </row>
    <row r="165" spans="2:22" ht="17.25" hidden="1" customHeight="1">
      <c r="B165" s="278"/>
      <c r="C165" s="440"/>
      <c r="D165" s="70"/>
      <c r="H165" s="345"/>
      <c r="J165" s="143"/>
      <c r="R165" s="65"/>
      <c r="S165" s="133"/>
      <c r="U165" s="436"/>
      <c r="V165" s="173"/>
    </row>
    <row r="166" spans="2:22" ht="17.25" hidden="1" customHeight="1">
      <c r="B166" s="278"/>
      <c r="C166" s="440"/>
      <c r="D166" s="70"/>
      <c r="H166" s="345"/>
      <c r="J166" s="143"/>
      <c r="R166" s="65"/>
      <c r="S166" s="133"/>
      <c r="U166" s="436"/>
      <c r="V166" s="173"/>
    </row>
    <row r="167" spans="2:22" ht="17.25" hidden="1" customHeight="1">
      <c r="B167" s="278"/>
      <c r="C167" s="440"/>
      <c r="D167" s="70"/>
      <c r="H167" s="345"/>
      <c r="J167" s="143"/>
      <c r="R167" s="65"/>
      <c r="S167" s="133"/>
      <c r="U167" s="436"/>
      <c r="V167" s="173"/>
    </row>
    <row r="168" spans="2:22" ht="17.25" hidden="1" customHeight="1">
      <c r="B168" s="278"/>
      <c r="C168" s="440"/>
      <c r="D168" s="70"/>
      <c r="H168" s="345"/>
      <c r="J168" s="143"/>
      <c r="R168" s="65"/>
      <c r="S168" s="133"/>
      <c r="U168" s="436"/>
      <c r="V168" s="173"/>
    </row>
    <row r="169" spans="2:22" ht="17.25" hidden="1" customHeight="1">
      <c r="B169" s="278"/>
      <c r="C169" s="440"/>
      <c r="D169" s="70"/>
      <c r="H169" s="345"/>
      <c r="J169" s="143"/>
      <c r="R169" s="65"/>
      <c r="S169" s="133"/>
      <c r="U169" s="436"/>
      <c r="V169" s="173"/>
    </row>
    <row r="170" spans="2:22" ht="17.25" hidden="1" customHeight="1">
      <c r="B170" s="278"/>
      <c r="C170" s="440"/>
      <c r="D170" s="70"/>
      <c r="H170" s="345"/>
      <c r="J170" s="143"/>
      <c r="R170" s="65"/>
      <c r="S170" s="133"/>
      <c r="U170" s="436"/>
      <c r="V170" s="173"/>
    </row>
    <row r="171" spans="2:22" ht="17.25" hidden="1" customHeight="1">
      <c r="B171" s="278"/>
      <c r="C171" s="440"/>
      <c r="D171" s="70"/>
      <c r="H171" s="345"/>
      <c r="J171" s="143"/>
      <c r="R171" s="65"/>
      <c r="S171" s="133"/>
      <c r="U171" s="436"/>
      <c r="V171" s="173"/>
    </row>
    <row r="172" spans="2:22" ht="17.25" hidden="1" customHeight="1">
      <c r="B172" s="278"/>
      <c r="C172" s="440"/>
      <c r="D172" s="70"/>
      <c r="H172" s="345"/>
      <c r="J172" s="143"/>
      <c r="R172" s="65"/>
      <c r="S172" s="133"/>
      <c r="U172" s="436"/>
      <c r="V172" s="173"/>
    </row>
    <row r="173" spans="2:22" ht="17.25" hidden="1" customHeight="1">
      <c r="B173" s="278"/>
      <c r="C173" s="440"/>
      <c r="D173" s="70"/>
      <c r="H173" s="345"/>
      <c r="J173" s="143"/>
      <c r="R173" s="65"/>
      <c r="S173" s="133"/>
      <c r="U173" s="436"/>
      <c r="V173" s="173"/>
    </row>
    <row r="174" spans="2:22" ht="17.25" hidden="1" customHeight="1">
      <c r="B174" s="278"/>
      <c r="C174" s="440"/>
      <c r="D174" s="70"/>
      <c r="H174" s="345"/>
      <c r="J174" s="143"/>
      <c r="R174" s="65"/>
      <c r="S174" s="133"/>
      <c r="U174" s="436"/>
      <c r="V174" s="173"/>
    </row>
    <row r="175" spans="2:22" ht="17.25" hidden="1" customHeight="1">
      <c r="B175" s="278"/>
      <c r="C175" s="440"/>
      <c r="D175" s="70"/>
      <c r="H175" s="345"/>
      <c r="J175" s="143"/>
      <c r="R175" s="65"/>
      <c r="S175" s="133"/>
      <c r="U175" s="436"/>
      <c r="V175" s="173"/>
    </row>
    <row r="176" spans="2:22" ht="17.25" hidden="1" customHeight="1">
      <c r="B176" s="278"/>
      <c r="C176" s="440"/>
      <c r="D176" s="70"/>
      <c r="H176" s="345"/>
      <c r="J176" s="143"/>
      <c r="R176" s="65"/>
      <c r="S176" s="133"/>
      <c r="U176" s="436"/>
      <c r="V176" s="173"/>
    </row>
    <row r="177" spans="2:22" ht="17.25" hidden="1" customHeight="1">
      <c r="B177" s="278"/>
      <c r="C177" s="440"/>
      <c r="D177" s="70"/>
      <c r="H177" s="345"/>
      <c r="J177" s="143"/>
      <c r="R177" s="65"/>
      <c r="S177" s="133"/>
      <c r="U177" s="436"/>
      <c r="V177" s="173"/>
    </row>
    <row r="178" spans="2:22" ht="17.25" hidden="1" customHeight="1">
      <c r="B178" s="278"/>
      <c r="C178" s="440"/>
      <c r="D178" s="70"/>
      <c r="H178" s="345"/>
      <c r="J178" s="143"/>
      <c r="R178" s="65"/>
      <c r="S178" s="133"/>
      <c r="U178" s="436"/>
      <c r="V178" s="173"/>
    </row>
    <row r="179" spans="2:22" ht="17.25" hidden="1" customHeight="1">
      <c r="B179" s="278"/>
      <c r="C179" s="440"/>
      <c r="D179" s="70"/>
      <c r="H179" s="345"/>
      <c r="J179" s="143"/>
      <c r="R179" s="65"/>
      <c r="S179" s="133"/>
      <c r="U179" s="436"/>
      <c r="V179" s="173"/>
    </row>
    <row r="180" spans="2:22" ht="17.25" hidden="1" customHeight="1">
      <c r="B180" s="278"/>
      <c r="C180" s="440"/>
      <c r="D180" s="70"/>
      <c r="H180" s="345"/>
      <c r="J180" s="143"/>
      <c r="R180" s="65"/>
      <c r="S180" s="133"/>
      <c r="U180" s="436"/>
      <c r="V180" s="173"/>
    </row>
    <row r="181" spans="2:22" ht="17.25" hidden="1" customHeight="1">
      <c r="B181" s="278"/>
      <c r="C181" s="440"/>
      <c r="D181" s="70"/>
      <c r="H181" s="345"/>
      <c r="J181" s="143"/>
      <c r="R181" s="65"/>
      <c r="S181" s="133"/>
      <c r="U181" s="436"/>
      <c r="V181" s="173"/>
    </row>
    <row r="182" spans="2:22" ht="17.25" hidden="1" customHeight="1">
      <c r="B182" s="278"/>
      <c r="C182" s="440"/>
      <c r="D182" s="70"/>
      <c r="H182" s="345"/>
      <c r="J182" s="143"/>
      <c r="R182" s="65"/>
      <c r="S182" s="133"/>
      <c r="U182" s="436"/>
      <c r="V182" s="173"/>
    </row>
    <row r="183" spans="2:22" ht="17.25" hidden="1" customHeight="1">
      <c r="B183" s="278"/>
      <c r="C183" s="440"/>
      <c r="D183" s="70"/>
      <c r="H183" s="345"/>
      <c r="J183" s="143"/>
      <c r="R183" s="65"/>
      <c r="S183" s="133"/>
      <c r="U183" s="436"/>
      <c r="V183" s="173"/>
    </row>
    <row r="184" spans="2:22" ht="17.25" hidden="1" customHeight="1">
      <c r="B184" s="278"/>
      <c r="C184" s="440"/>
      <c r="D184" s="70"/>
      <c r="H184" s="345"/>
      <c r="J184" s="143"/>
      <c r="R184" s="65"/>
      <c r="S184" s="133"/>
      <c r="U184" s="436"/>
      <c r="V184" s="173"/>
    </row>
    <row r="185" spans="2:22" ht="17.25" hidden="1" customHeight="1">
      <c r="B185" s="278"/>
      <c r="C185" s="440"/>
      <c r="D185" s="70"/>
      <c r="H185" s="345"/>
      <c r="J185" s="143"/>
      <c r="R185" s="65"/>
      <c r="S185" s="133"/>
      <c r="U185" s="436"/>
      <c r="V185" s="173"/>
    </row>
    <row r="186" spans="2:22" ht="17.25" hidden="1" customHeight="1">
      <c r="B186" s="278"/>
      <c r="C186" s="440"/>
      <c r="D186" s="70"/>
      <c r="H186" s="345"/>
      <c r="J186" s="143"/>
      <c r="R186" s="65"/>
      <c r="S186" s="133"/>
      <c r="U186" s="436"/>
      <c r="V186" s="173"/>
    </row>
    <row r="187" spans="2:22" ht="17.25" hidden="1" customHeight="1">
      <c r="B187" s="278"/>
      <c r="C187" s="440"/>
      <c r="D187" s="70"/>
      <c r="H187" s="345"/>
      <c r="J187" s="143"/>
      <c r="R187" s="65"/>
      <c r="S187" s="133"/>
      <c r="U187" s="436"/>
      <c r="V187" s="173"/>
    </row>
    <row r="188" spans="2:22" ht="17.25" hidden="1" customHeight="1">
      <c r="B188" s="278"/>
      <c r="C188" s="440"/>
      <c r="D188" s="70"/>
      <c r="H188" s="345"/>
      <c r="J188" s="143"/>
      <c r="R188" s="65"/>
      <c r="S188" s="133"/>
      <c r="U188" s="436"/>
      <c r="V188" s="173"/>
    </row>
    <row r="189" spans="2:22" ht="17.25" hidden="1" customHeight="1">
      <c r="B189" s="278"/>
      <c r="C189" s="440"/>
      <c r="D189" s="70"/>
      <c r="H189" s="345"/>
      <c r="J189" s="143"/>
      <c r="R189" s="65"/>
      <c r="S189" s="133"/>
      <c r="U189" s="436"/>
      <c r="V189" s="173"/>
    </row>
    <row r="190" spans="2:22" ht="17.25" hidden="1" customHeight="1">
      <c r="B190" s="278"/>
      <c r="C190" s="440"/>
      <c r="D190" s="70"/>
      <c r="H190" s="345"/>
      <c r="J190" s="143"/>
      <c r="R190" s="65"/>
      <c r="S190" s="133"/>
      <c r="U190" s="436"/>
      <c r="V190" s="173"/>
    </row>
    <row r="191" spans="2:22" ht="17.25" hidden="1" customHeight="1">
      <c r="B191" s="278"/>
      <c r="C191" s="438" t="s">
        <v>434</v>
      </c>
      <c r="D191" s="437">
        <f>IF(COUNTA(Model_Debtors.Balances.Detail)&lt;15,COUNTA(Model_Debtors.Balances.Detail),15)</f>
        <v>0</v>
      </c>
      <c r="E191" s="439" t="str">
        <f>"Max: "&amp;D193</f>
        <v>Max: 0</v>
      </c>
      <c r="H191" s="345"/>
      <c r="J191" s="143"/>
      <c r="R191" s="65"/>
      <c r="S191" s="133"/>
      <c r="U191" s="436"/>
      <c r="V191" s="173"/>
    </row>
    <row r="192" spans="2:22" ht="17.25" hidden="1" customHeight="1">
      <c r="B192" s="278"/>
      <c r="C192" s="438" t="s">
        <v>433</v>
      </c>
      <c r="D192" s="437" t="s">
        <v>64</v>
      </c>
      <c r="H192" s="345"/>
      <c r="J192" s="143"/>
      <c r="R192" s="65"/>
      <c r="S192" s="133"/>
      <c r="U192" s="436"/>
      <c r="V192" s="173"/>
    </row>
    <row r="193" spans="2:19" ht="7.5" customHeight="1">
      <c r="B193" s="435"/>
      <c r="C193" s="138"/>
      <c r="D193" s="434">
        <f>IF(COUNTA(Model_Creditors.Balances.Detail)&gt;15,15,COUNTA(Model_Creditors.Balances.Detail))</f>
        <v>0</v>
      </c>
      <c r="E193" s="138"/>
      <c r="F193" s="138"/>
      <c r="G193" s="138"/>
      <c r="H193" s="138"/>
      <c r="I193" s="138"/>
      <c r="J193" s="137"/>
      <c r="R193" s="65"/>
      <c r="S193" s="133"/>
    </row>
    <row r="194" spans="2:19" ht="7.5" hidden="1" customHeight="1">
      <c r="B194" s="278"/>
      <c r="O194" s="143"/>
      <c r="R194" s="65"/>
      <c r="S194" s="133"/>
    </row>
    <row r="195" spans="2:19" ht="17.25" hidden="1" customHeight="1">
      <c r="B195" s="433" t="s">
        <v>432</v>
      </c>
      <c r="C195" s="268" t="s">
        <v>431</v>
      </c>
      <c r="D195" s="432" t="s">
        <v>430</v>
      </c>
      <c r="E195" s="432" t="s">
        <v>429</v>
      </c>
      <c r="F195" s="432" t="s">
        <v>428</v>
      </c>
      <c r="G195" s="432" t="s">
        <v>427</v>
      </c>
      <c r="H195" s="432" t="s">
        <v>426</v>
      </c>
      <c r="I195" s="432" t="s">
        <v>151</v>
      </c>
      <c r="J195" s="432" t="s">
        <v>425</v>
      </c>
      <c r="K195" s="432" t="s">
        <v>424</v>
      </c>
      <c r="L195" s="432" t="s">
        <v>423</v>
      </c>
      <c r="M195" s="432" t="s">
        <v>422</v>
      </c>
      <c r="N195" s="432" t="s">
        <v>421</v>
      </c>
      <c r="O195" s="143"/>
      <c r="R195" s="65"/>
      <c r="S195" s="133"/>
    </row>
    <row r="196" spans="2:19" ht="17.25" hidden="1" customHeight="1">
      <c r="B196" s="278">
        <f>IF(I196="",1,COUNTIF($I$196:I196,I196))</f>
        <v>1</v>
      </c>
      <c r="C196" s="149" t="b">
        <f t="shared" ref="C196:C211" ca="1" si="22">IF(B196=2,VLOOKUP(I196,$M$20:$S$29,7,FALSE),IF(B196&gt;2,VLOOKUP(I196,OFFSET($M$20:$S$29,VLOOKUP(I196*(B196-1),$D$196:$E$211,2,FALSE),0),7,FALSE),TRUE))</f>
        <v>1</v>
      </c>
      <c r="D196" s="431" t="str">
        <f t="shared" ref="D196:D211" si="23">IF(B196&gt;1,I196*B196,"")</f>
        <v/>
      </c>
      <c r="E196" s="431" t="str">
        <f t="shared" ref="E196:E211" ca="1" si="24">IF(C196=TRUE,"",RIGHT(C196,LEN(C196)-3)-RIGHT($S$20,LEN($S$20)-3)+1)</f>
        <v/>
      </c>
      <c r="F196" s="431" t="str">
        <f t="shared" ref="F196:F211" ca="1" si="25">IF(B196&gt;1,INDEX(OFFSET(Model_Debtors.Balances.Detail,E196,0),MATCH(I196,OFFSET($M$20:$M$29,E196,),0),1),"")</f>
        <v/>
      </c>
      <c r="G196" s="430">
        <v>1</v>
      </c>
      <c r="H196" s="429" t="str">
        <f t="shared" ref="H196:H211" ca="1" si="26">IF(F196="",IF(COUNTA(Model_Debtors.Balances.Detail)&gt;=$G196,IF(OR(H195="All Other Debtors",H195=""),"",IF($G196=16,"All Other Debtors",INDEX($C$20:$C$29,MATCH($I196,$M$20:$M$29,0),1))),IF(OR($H195="All Other Debtors",$H195=""),"",IF($D$192="Yes","","All Other Debtors"))),$F196)</f>
        <v>All Other Debtors</v>
      </c>
      <c r="I196" s="150">
        <f>IF(_xlfn.NUMBERVALUE($G196)&lt;=COUNTA(Model_Debtors.Balances.Detail),IF($G195=$D$191,IF($D$192="Yes","",F05_TradeDebtors-SUM($I195:I$196)),IF(ISERROR(LARGE($M$20:$M$29,G196)),"",LARGE($M$20:$M$29,G196))),0)</f>
        <v>0</v>
      </c>
      <c r="J196" s="150" t="str">
        <f ca="1">IF($H196="","",IF($H196="All Other Debtors","",VLOOKUP($H196,$C$20:$R$29,13,FALSE)))</f>
        <v/>
      </c>
      <c r="K196" s="150" t="str">
        <f ca="1">IF($H196="","",IF($H196="All Other Debtors","",VLOOKUP($H196,$C$20:$R$29,14,FALSE)))</f>
        <v/>
      </c>
      <c r="L196" s="150" t="str">
        <f ca="1">IF($H196="","",IF($H196="All Other Debtors","",VLOOKUP($H196,$C$20:$R$29,15,FALSE)))</f>
        <v/>
      </c>
      <c r="M196" s="150" t="str">
        <f ca="1">IF($H196="","",IF($H196="All Other Debtors","",VLOOKUP($H196,$C$20:$R$29,16,FALSE)))</f>
        <v/>
      </c>
      <c r="N196" s="428" t="e">
        <f t="shared" ref="N196:N211" si="27">IF(I196="","",I196/F05_TradeDebtors)</f>
        <v>#DIV/0!</v>
      </c>
      <c r="O196" s="143"/>
      <c r="R196" s="65"/>
      <c r="S196" s="133"/>
    </row>
    <row r="197" spans="2:19" ht="17.25" hidden="1" customHeight="1">
      <c r="B197" s="278">
        <f>IF(I197="",1,COUNTIF($I$196:I197,I197))</f>
        <v>1</v>
      </c>
      <c r="C197" s="149" t="b">
        <f t="shared" ca="1" si="22"/>
        <v>1</v>
      </c>
      <c r="D197" s="431" t="str">
        <f t="shared" si="23"/>
        <v/>
      </c>
      <c r="E197" s="431" t="str">
        <f t="shared" ca="1" si="24"/>
        <v/>
      </c>
      <c r="F197" s="431" t="str">
        <f t="shared" ca="1" si="25"/>
        <v/>
      </c>
      <c r="G197" s="430" t="str">
        <f t="shared" ref="G197:G211" si="28">IF(ISERROR(IF(G196+1&lt;=$D$191,G196+1,"")),"",IF(G196+1&lt;=$D$191,G196+1,""))</f>
        <v/>
      </c>
      <c r="H197" s="429" t="str">
        <f t="shared" ca="1" si="26"/>
        <v/>
      </c>
      <c r="I197" s="150" t="str">
        <f>IF(_xlfn.NUMBERVALUE($G197)&lt;=COUNTA(Model_Debtors.Balances.Detail),IF($G196=$D$191,IF($D$192="Yes","",F05_TradeDebtors-SUM($I196:I$196)),IF(ISERROR(LARGE($M$20:$M$29,G197)),"",LARGE($M$20:$M$29,G197))),0)</f>
        <v/>
      </c>
      <c r="J197" s="150" t="str">
        <f ca="1">IF($H197="","",IF($H197="All Other Debtors",$O$30-SUM($J$196:J196),VLOOKUP($H197,$C$20:$R$29,13,FALSE)))</f>
        <v/>
      </c>
      <c r="K197" s="150" t="str">
        <f ca="1">IF($H197="","",IF($H197="All Other Debtors",$P$30-SUM($K$196:K196),VLOOKUP($H197,$C$20:$R$29,14,FALSE)))</f>
        <v/>
      </c>
      <c r="L197" s="150" t="str">
        <f ca="1">IF($H197="","",IF($H197="All Other Debtors",$Q$30-SUM($L$196:L196),VLOOKUP($H197,$C$20:$R$29,15,FALSE)))</f>
        <v/>
      </c>
      <c r="M197" s="150" t="str">
        <f ca="1">IF($H197="","",IF($H197="All Other Debtors",$R$30-SUM($M$196:M196),VLOOKUP($H197,$C$20:$R$29,16,FALSE)))</f>
        <v/>
      </c>
      <c r="N197" s="428" t="str">
        <f t="shared" si="27"/>
        <v/>
      </c>
      <c r="O197" s="143"/>
      <c r="R197" s="65"/>
      <c r="S197" s="133"/>
    </row>
    <row r="198" spans="2:19" ht="17.25" hidden="1" customHeight="1">
      <c r="B198" s="278">
        <f>IF(I198="",1,COUNTIF($I$196:I198,I198))</f>
        <v>1</v>
      </c>
      <c r="C198" s="149" t="b">
        <f t="shared" ca="1" si="22"/>
        <v>1</v>
      </c>
      <c r="D198" s="431" t="str">
        <f t="shared" si="23"/>
        <v/>
      </c>
      <c r="E198" s="431" t="str">
        <f t="shared" ca="1" si="24"/>
        <v/>
      </c>
      <c r="F198" s="431" t="str">
        <f t="shared" ca="1" si="25"/>
        <v/>
      </c>
      <c r="G198" s="430" t="str">
        <f t="shared" si="28"/>
        <v/>
      </c>
      <c r="H198" s="429" t="str">
        <f t="shared" ca="1" si="26"/>
        <v/>
      </c>
      <c r="I198" s="150" t="str">
        <f>IF(_xlfn.NUMBERVALUE($G198)&lt;=COUNTA(Model_Debtors.Balances.Detail),IF($G197=$D$191,IF($D$192="Yes","",F05_TradeDebtors-SUM($I$196:I197)),IF(ISERROR(LARGE($M$20:$M$29,G198)),"",LARGE($M$20:$M$29,G198))),0)</f>
        <v/>
      </c>
      <c r="J198" s="150" t="str">
        <f ca="1">IF($H198="","",IF($H198="All Other Debtors",$O$30-SUM($J$196:J197),VLOOKUP($H198,$C$20:$R$29,13,FALSE)))</f>
        <v/>
      </c>
      <c r="K198" s="150" t="str">
        <f ca="1">IF($H198="","",IF($H198="All Other Debtors",$P$30-SUM($K$196:K197),VLOOKUP($H198,$C$20:$R$29,14,FALSE)))</f>
        <v/>
      </c>
      <c r="L198" s="150" t="str">
        <f ca="1">IF($H198="","",IF($H198="All Other Debtors",$Q$30-SUM($L$196:L197),VLOOKUP($H198,$C$20:$R$29,15,FALSE)))</f>
        <v/>
      </c>
      <c r="M198" s="150" t="str">
        <f ca="1">IF($H198="","",IF($H198="All Other Debtors",$R$30-SUM($M$196:M197),VLOOKUP($H198,$C$20:$R$29,16,FALSE)))</f>
        <v/>
      </c>
      <c r="N198" s="428" t="str">
        <f t="shared" si="27"/>
        <v/>
      </c>
      <c r="O198" s="143"/>
      <c r="R198" s="65"/>
      <c r="S198" s="133"/>
    </row>
    <row r="199" spans="2:19" ht="17.25" hidden="1" customHeight="1">
      <c r="B199" s="278">
        <f>IF(I199="",1,COUNTIF($I$196:I199,I199))</f>
        <v>1</v>
      </c>
      <c r="C199" s="149" t="b">
        <f t="shared" ca="1" si="22"/>
        <v>1</v>
      </c>
      <c r="D199" s="431" t="str">
        <f t="shared" si="23"/>
        <v/>
      </c>
      <c r="E199" s="431" t="str">
        <f t="shared" ca="1" si="24"/>
        <v/>
      </c>
      <c r="F199" s="431" t="str">
        <f t="shared" ca="1" si="25"/>
        <v/>
      </c>
      <c r="G199" s="430" t="str">
        <f t="shared" si="28"/>
        <v/>
      </c>
      <c r="H199" s="429" t="str">
        <f t="shared" ca="1" si="26"/>
        <v/>
      </c>
      <c r="I199" s="150" t="str">
        <f>IF(_xlfn.NUMBERVALUE($G199)&lt;=COUNTA(Model_Debtors.Balances.Detail),IF($G198=$D$191,IF($D$192="Yes","",F05_TradeDebtors-SUM($I$196:I198)),IF(ISERROR(LARGE($M$20:$M$29,G199)),"",LARGE($M$20:$M$29,G199))),0)</f>
        <v/>
      </c>
      <c r="J199" s="150" t="str">
        <f ca="1">IF($H199="","",IF($H199="All Other Debtors",$O$30-SUM($J$196:J198),VLOOKUP($H199,$C$20:$R$29,13,FALSE)))</f>
        <v/>
      </c>
      <c r="K199" s="150" t="str">
        <f ca="1">IF($H199="","",IF($H199="All Other Debtors",$P$30-SUM($K$196:K198),VLOOKUP($H199,$C$20:$R$29,14,FALSE)))</f>
        <v/>
      </c>
      <c r="L199" s="150" t="str">
        <f ca="1">IF($H199="","",IF($H199="All Other Debtors",$Q$30-SUM($L$196:L198),VLOOKUP($H199,$C$20:$R$29,15,FALSE)))</f>
        <v/>
      </c>
      <c r="M199" s="150" t="str">
        <f ca="1">IF($H199="","",IF($H199="All Other Debtors",$R$30-SUM($M$196:M198),VLOOKUP($H199,$C$20:$R$29,16,FALSE)))</f>
        <v/>
      </c>
      <c r="N199" s="428" t="str">
        <f t="shared" si="27"/>
        <v/>
      </c>
      <c r="O199" s="143"/>
      <c r="R199" s="65"/>
      <c r="S199" s="133"/>
    </row>
    <row r="200" spans="2:19" ht="17.25" hidden="1" customHeight="1">
      <c r="B200" s="278">
        <f>IF(I200="",1,COUNTIF($I$196:I200,I200))</f>
        <v>1</v>
      </c>
      <c r="C200" s="149" t="b">
        <f t="shared" ca="1" si="22"/>
        <v>1</v>
      </c>
      <c r="D200" s="431" t="str">
        <f t="shared" si="23"/>
        <v/>
      </c>
      <c r="E200" s="431" t="str">
        <f t="shared" ca="1" si="24"/>
        <v/>
      </c>
      <c r="F200" s="431" t="str">
        <f t="shared" ca="1" si="25"/>
        <v/>
      </c>
      <c r="G200" s="430" t="str">
        <f t="shared" si="28"/>
        <v/>
      </c>
      <c r="H200" s="429" t="str">
        <f t="shared" ca="1" si="26"/>
        <v/>
      </c>
      <c r="I200" s="150" t="str">
        <f>IF(_xlfn.NUMBERVALUE($G200)&lt;=COUNTA(Model_Debtors.Balances.Detail),IF($G199=$D$191,IF($D$192="Yes","",F05_TradeDebtors-SUM($I$196:I199)),IF(ISERROR(LARGE($M$20:$M$29,G200)),"",LARGE($M$20:$M$29,G200))),0)</f>
        <v/>
      </c>
      <c r="J200" s="150" t="str">
        <f ca="1">IF($H200="","",IF($H200="All Other Debtors",$O$30-SUM($J$196:J199),VLOOKUP($H200,$C$20:$R$29,13,FALSE)))</f>
        <v/>
      </c>
      <c r="K200" s="150" t="str">
        <f ca="1">IF($H200="","",IF($H200="All Other Debtors",$P$30-SUM($K$196:K199),VLOOKUP($H200,$C$20:$R$29,14,FALSE)))</f>
        <v/>
      </c>
      <c r="L200" s="150" t="str">
        <f ca="1">IF($H200="","",IF($H200="All Other Debtors",$Q$30-SUM($L$196:L199),VLOOKUP($H200,$C$20:$R$29,15,FALSE)))</f>
        <v/>
      </c>
      <c r="M200" s="150" t="str">
        <f ca="1">IF($H200="","",IF($H200="All Other Debtors",$R$30-SUM($M$196:M199),VLOOKUP($H200,$C$20:$R$29,16,FALSE)))</f>
        <v/>
      </c>
      <c r="N200" s="428" t="str">
        <f t="shared" si="27"/>
        <v/>
      </c>
      <c r="O200" s="143"/>
      <c r="R200" s="65"/>
      <c r="S200" s="133"/>
    </row>
    <row r="201" spans="2:19" ht="17.25" hidden="1" customHeight="1">
      <c r="B201" s="278">
        <f>IF(I201="",1,COUNTIF($I$196:I201,I201))</f>
        <v>1</v>
      </c>
      <c r="C201" s="149" t="b">
        <f t="shared" ca="1" si="22"/>
        <v>1</v>
      </c>
      <c r="D201" s="431" t="str">
        <f t="shared" si="23"/>
        <v/>
      </c>
      <c r="E201" s="431" t="str">
        <f t="shared" ca="1" si="24"/>
        <v/>
      </c>
      <c r="F201" s="431" t="str">
        <f t="shared" ca="1" si="25"/>
        <v/>
      </c>
      <c r="G201" s="430" t="str">
        <f t="shared" si="28"/>
        <v/>
      </c>
      <c r="H201" s="429" t="str">
        <f t="shared" ca="1" si="26"/>
        <v/>
      </c>
      <c r="I201" s="150" t="str">
        <f>IF(_xlfn.NUMBERVALUE($G201)&lt;=COUNTA(Model_Debtors.Balances.Detail),IF($G200=$D$191,IF($D$192="Yes","",F05_TradeDebtors-SUM($I$196:I200)),IF(ISERROR(LARGE($M$20:$M$29,G201)),"",LARGE($M$20:$M$29,G201))),0)</f>
        <v/>
      </c>
      <c r="J201" s="150" t="str">
        <f ca="1">IF($H201="","",IF($H201="All Other Debtors",$O$30-SUM($J$196:J200),VLOOKUP($H201,$C$20:$R$29,13,FALSE)))</f>
        <v/>
      </c>
      <c r="K201" s="150" t="str">
        <f ca="1">IF($H201="","",IF($H201="All Other Debtors",$P$30-SUM($K$196:K200),VLOOKUP($H201,$C$20:$R$29,14,FALSE)))</f>
        <v/>
      </c>
      <c r="L201" s="150" t="str">
        <f ca="1">IF($H201="","",IF($H201="All Other Debtors",$Q$30-SUM($L$196:L200),VLOOKUP($H201,$C$20:$R$29,15,FALSE)))</f>
        <v/>
      </c>
      <c r="M201" s="150" t="str">
        <f ca="1">IF($H201="","",IF($H201="All Other Debtors",$R$30-SUM($M$196:M200),VLOOKUP($H201,$C$20:$R$29,16,FALSE)))</f>
        <v/>
      </c>
      <c r="N201" s="428" t="str">
        <f t="shared" si="27"/>
        <v/>
      </c>
      <c r="O201" s="143"/>
      <c r="R201" s="65"/>
      <c r="S201" s="133"/>
    </row>
    <row r="202" spans="2:19" ht="17.25" hidden="1" customHeight="1">
      <c r="B202" s="278">
        <f>IF(I202="",1,COUNTIF($I$196:I202,I202))</f>
        <v>1</v>
      </c>
      <c r="C202" s="149" t="b">
        <f t="shared" ca="1" si="22"/>
        <v>1</v>
      </c>
      <c r="D202" s="431" t="str">
        <f t="shared" si="23"/>
        <v/>
      </c>
      <c r="E202" s="431" t="str">
        <f t="shared" ca="1" si="24"/>
        <v/>
      </c>
      <c r="F202" s="431" t="str">
        <f t="shared" ca="1" si="25"/>
        <v/>
      </c>
      <c r="G202" s="430" t="str">
        <f t="shared" si="28"/>
        <v/>
      </c>
      <c r="H202" s="429" t="str">
        <f t="shared" ca="1" si="26"/>
        <v/>
      </c>
      <c r="I202" s="150" t="str">
        <f>IF(_xlfn.NUMBERVALUE($G202)&lt;=COUNTA(Model_Debtors.Balances.Detail),IF($G201=$D$191,IF($D$192="Yes","",F05_TradeDebtors-SUM($I$196:I201)),IF(ISERROR(LARGE($M$20:$M$29,G202)),"",LARGE($M$20:$M$29,G202))),0)</f>
        <v/>
      </c>
      <c r="J202" s="150" t="str">
        <f ca="1">IF($H202="","",IF($H202="All Other Debtors",$O$30-SUM($J$196:J201),VLOOKUP($H202,$C$20:$R$29,13,FALSE)))</f>
        <v/>
      </c>
      <c r="K202" s="150" t="str">
        <f ca="1">IF($H202="","",IF($H202="All Other Debtors",$P$30-SUM($K$196:K201),VLOOKUP($H202,$C$20:$R$29,14,FALSE)))</f>
        <v/>
      </c>
      <c r="L202" s="150" t="str">
        <f ca="1">IF($H202="","",IF($H202="All Other Debtors",$Q$30-SUM($L$196:L201),VLOOKUP($H202,$C$20:$R$29,15,FALSE)))</f>
        <v/>
      </c>
      <c r="M202" s="150" t="str">
        <f ca="1">IF($H202="","",IF($H202="All Other Debtors",$R$30-SUM($M$196:M201),VLOOKUP($H202,$C$20:$R$29,16,FALSE)))</f>
        <v/>
      </c>
      <c r="N202" s="428" t="str">
        <f t="shared" si="27"/>
        <v/>
      </c>
      <c r="O202" s="143"/>
      <c r="R202" s="65"/>
      <c r="S202" s="133"/>
    </row>
    <row r="203" spans="2:19" ht="17.25" hidden="1" customHeight="1">
      <c r="B203" s="278">
        <f>IF(I203="",1,COUNTIF($I$196:I203,I203))</f>
        <v>1</v>
      </c>
      <c r="C203" s="149" t="b">
        <f t="shared" ca="1" si="22"/>
        <v>1</v>
      </c>
      <c r="D203" s="431" t="str">
        <f t="shared" si="23"/>
        <v/>
      </c>
      <c r="E203" s="431" t="str">
        <f t="shared" ca="1" si="24"/>
        <v/>
      </c>
      <c r="F203" s="431" t="str">
        <f t="shared" ca="1" si="25"/>
        <v/>
      </c>
      <c r="G203" s="430" t="str">
        <f t="shared" si="28"/>
        <v/>
      </c>
      <c r="H203" s="429" t="str">
        <f t="shared" ca="1" si="26"/>
        <v/>
      </c>
      <c r="I203" s="150" t="str">
        <f>IF(_xlfn.NUMBERVALUE($G203)&lt;=COUNTA(Model_Debtors.Balances.Detail),IF($G202=$D$191,IF($D$192="Yes","",F05_TradeDebtors-SUM($I$196:I202)),IF(ISERROR(LARGE($M$20:$M$29,G203)),"",LARGE($M$20:$M$29,G203))),0)</f>
        <v/>
      </c>
      <c r="J203" s="150" t="str">
        <f ca="1">IF($H203="","",IF($H203="All Other Debtors",$O$30-SUM($J$196:J202),VLOOKUP($H203,$C$20:$R$29,13,FALSE)))</f>
        <v/>
      </c>
      <c r="K203" s="150" t="str">
        <f ca="1">IF($H203="","",IF($H203="All Other Debtors",$P$30-SUM($K$196:K202),VLOOKUP($H203,$C$20:$R$29,14,FALSE)))</f>
        <v/>
      </c>
      <c r="L203" s="150" t="str">
        <f ca="1">IF($H203="","",IF($H203="All Other Debtors",$Q$30-SUM($L$196:L202),VLOOKUP($H203,$C$20:$R$29,15,FALSE)))</f>
        <v/>
      </c>
      <c r="M203" s="150" t="str">
        <f ca="1">IF($H203="","",IF($H203="All Other Debtors",$R$30-SUM($M$196:M202),VLOOKUP($H203,$C$20:$R$29,16,FALSE)))</f>
        <v/>
      </c>
      <c r="N203" s="428" t="str">
        <f t="shared" si="27"/>
        <v/>
      </c>
      <c r="O203" s="143"/>
      <c r="R203" s="65"/>
      <c r="S203" s="133"/>
    </row>
    <row r="204" spans="2:19" ht="17.25" hidden="1" customHeight="1">
      <c r="B204" s="278">
        <f>IF(I204="",1,COUNTIF($I$196:I204,I204))</f>
        <v>1</v>
      </c>
      <c r="C204" s="149" t="b">
        <f t="shared" ca="1" si="22"/>
        <v>1</v>
      </c>
      <c r="D204" s="431" t="str">
        <f t="shared" si="23"/>
        <v/>
      </c>
      <c r="E204" s="431" t="str">
        <f t="shared" ca="1" si="24"/>
        <v/>
      </c>
      <c r="F204" s="431" t="str">
        <f t="shared" ca="1" si="25"/>
        <v/>
      </c>
      <c r="G204" s="430" t="str">
        <f t="shared" si="28"/>
        <v/>
      </c>
      <c r="H204" s="429" t="str">
        <f t="shared" ca="1" si="26"/>
        <v/>
      </c>
      <c r="I204" s="150" t="str">
        <f>IF(_xlfn.NUMBERVALUE($G204)&lt;=COUNTA(Model_Debtors.Balances.Detail),IF($G203=$D$191,IF($D$192="Yes","",F05_TradeDebtors-SUM($I$196:I203)),IF(ISERROR(LARGE($M$20:$M$29,G204)),"",LARGE($M$20:$M$29,G204))),0)</f>
        <v/>
      </c>
      <c r="J204" s="150" t="str">
        <f ca="1">IF($H204="","",IF($H204="All Other Debtors",$O$30-SUM($J$196:J203),VLOOKUP($H204,$C$20:$R$29,13,FALSE)))</f>
        <v/>
      </c>
      <c r="K204" s="150" t="str">
        <f ca="1">IF($H204="","",IF($H204="All Other Debtors",$P$30-SUM($K$196:K203),VLOOKUP($H204,$C$20:$R$29,14,FALSE)))</f>
        <v/>
      </c>
      <c r="L204" s="150" t="str">
        <f ca="1">IF($H204="","",IF($H204="All Other Debtors",$Q$30-SUM($L$196:L203),VLOOKUP($H204,$C$20:$R$29,15,FALSE)))</f>
        <v/>
      </c>
      <c r="M204" s="150" t="str">
        <f ca="1">IF($H204="","",IF($H204="All Other Debtors",$R$30-SUM($M$196:M203),VLOOKUP($H204,$C$20:$R$29,16,FALSE)))</f>
        <v/>
      </c>
      <c r="N204" s="428" t="str">
        <f t="shared" si="27"/>
        <v/>
      </c>
      <c r="O204" s="143"/>
      <c r="R204" s="65"/>
      <c r="S204" s="133"/>
    </row>
    <row r="205" spans="2:19" ht="17.25" hidden="1" customHeight="1">
      <c r="B205" s="278">
        <f>IF(I205="",1,COUNTIF($I$196:I205,I205))</f>
        <v>1</v>
      </c>
      <c r="C205" s="149" t="b">
        <f t="shared" ca="1" si="22"/>
        <v>1</v>
      </c>
      <c r="D205" s="431" t="str">
        <f t="shared" si="23"/>
        <v/>
      </c>
      <c r="E205" s="431" t="str">
        <f t="shared" ca="1" si="24"/>
        <v/>
      </c>
      <c r="F205" s="431" t="str">
        <f t="shared" ca="1" si="25"/>
        <v/>
      </c>
      <c r="G205" s="430" t="str">
        <f t="shared" si="28"/>
        <v/>
      </c>
      <c r="H205" s="429" t="str">
        <f t="shared" ca="1" si="26"/>
        <v/>
      </c>
      <c r="I205" s="150" t="str">
        <f>IF(_xlfn.NUMBERVALUE($G205)&lt;=COUNTA(Model_Debtors.Balances.Detail),IF($G204=$D$191,IF($D$192="Yes","",F05_TradeDebtors-SUM($I$196:I204)),IF(ISERROR(LARGE($M$20:$M$29,G205)),"",LARGE($M$20:$M$29,G205))),0)</f>
        <v/>
      </c>
      <c r="J205" s="150" t="str">
        <f ca="1">IF($H205="","",IF($H205="All Other Debtors",$O$30-SUM($J$196:J204),VLOOKUP($H205,$C$20:$R$29,13,FALSE)))</f>
        <v/>
      </c>
      <c r="K205" s="150" t="str">
        <f ca="1">IF($H205="","",IF($H205="All Other Debtors",$P$30-SUM($K$196:K204),VLOOKUP($H205,$C$20:$R$29,14,FALSE)))</f>
        <v/>
      </c>
      <c r="L205" s="150" t="str">
        <f ca="1">IF($H205="","",IF($H205="All Other Debtors",$Q$30-SUM($L$196:L204),VLOOKUP($H205,$C$20:$R$29,15,FALSE)))</f>
        <v/>
      </c>
      <c r="M205" s="150" t="str">
        <f ca="1">IF($H205="","",IF($H205="All Other Debtors",$R$30-SUM($M$196:M204),VLOOKUP($H205,$C$20:$R$29,16,FALSE)))</f>
        <v/>
      </c>
      <c r="N205" s="428" t="str">
        <f t="shared" si="27"/>
        <v/>
      </c>
      <c r="O205" s="143"/>
      <c r="R205" s="65"/>
      <c r="S205" s="133"/>
    </row>
    <row r="206" spans="2:19" ht="17.25" hidden="1" customHeight="1">
      <c r="B206" s="278">
        <f>IF(I206="",1,COUNTIF($I$196:I206,I206))</f>
        <v>1</v>
      </c>
      <c r="C206" s="149" t="b">
        <f t="shared" ca="1" si="22"/>
        <v>1</v>
      </c>
      <c r="D206" s="431" t="str">
        <f t="shared" si="23"/>
        <v/>
      </c>
      <c r="E206" s="431" t="str">
        <f t="shared" ca="1" si="24"/>
        <v/>
      </c>
      <c r="F206" s="431" t="str">
        <f t="shared" ca="1" si="25"/>
        <v/>
      </c>
      <c r="G206" s="430" t="str">
        <f t="shared" si="28"/>
        <v/>
      </c>
      <c r="H206" s="429" t="str">
        <f t="shared" ca="1" si="26"/>
        <v/>
      </c>
      <c r="I206" s="150" t="str">
        <f>IF(_xlfn.NUMBERVALUE($G206)&lt;=COUNTA(Model_Debtors.Balances.Detail),IF($G205=$D$191,IF($D$192="Yes","",F05_TradeDebtors-SUM($I$196:I205)),IF(ISERROR(LARGE($M$20:$M$29,G206)),"",LARGE($M$20:$M$29,G206))),0)</f>
        <v/>
      </c>
      <c r="J206" s="150" t="str">
        <f ca="1">IF($H206="","",IF($H206="All Other Debtors",$O$30-SUM($J$196:J205),VLOOKUP($H206,$C$20:$R$29,13,FALSE)))</f>
        <v/>
      </c>
      <c r="K206" s="150" t="str">
        <f ca="1">IF($H206="","",IF($H206="All Other Debtors",$P$30-SUM($K$196:K205),VLOOKUP($H206,$C$20:$R$29,14,FALSE)))</f>
        <v/>
      </c>
      <c r="L206" s="150" t="str">
        <f ca="1">IF($H206="","",IF($H206="All Other Debtors",$Q$30-SUM($L$196:L205),VLOOKUP($H206,$C$20:$R$29,15,FALSE)))</f>
        <v/>
      </c>
      <c r="M206" s="150" t="str">
        <f ca="1">IF($H206="","",IF($H206="All Other Debtors",$R$30-SUM($M$196:M205),VLOOKUP($H206,$C$20:$R$29,16,FALSE)))</f>
        <v/>
      </c>
      <c r="N206" s="428" t="str">
        <f t="shared" si="27"/>
        <v/>
      </c>
      <c r="O206" s="143"/>
      <c r="R206" s="65"/>
      <c r="S206" s="133"/>
    </row>
    <row r="207" spans="2:19" ht="17.25" hidden="1" customHeight="1">
      <c r="B207" s="278">
        <f>IF(I207="",1,COUNTIF($I$196:I207,I207))</f>
        <v>1</v>
      </c>
      <c r="C207" s="149" t="b">
        <f t="shared" ca="1" si="22"/>
        <v>1</v>
      </c>
      <c r="D207" s="431" t="str">
        <f t="shared" si="23"/>
        <v/>
      </c>
      <c r="E207" s="431" t="str">
        <f t="shared" ca="1" si="24"/>
        <v/>
      </c>
      <c r="F207" s="431" t="str">
        <f t="shared" ca="1" si="25"/>
        <v/>
      </c>
      <c r="G207" s="430" t="str">
        <f t="shared" si="28"/>
        <v/>
      </c>
      <c r="H207" s="429" t="str">
        <f t="shared" ca="1" si="26"/>
        <v/>
      </c>
      <c r="I207" s="150" t="str">
        <f>IF(_xlfn.NUMBERVALUE($G207)&lt;=COUNTA(Model_Debtors.Balances.Detail),IF($G206=$D$191,IF($D$192="Yes","",F05_TradeDebtors-SUM($I$196:I206)),IF(ISERROR(LARGE($M$20:$M$29,G207)),"",LARGE($M$20:$M$29,G207))),0)</f>
        <v/>
      </c>
      <c r="J207" s="150" t="str">
        <f ca="1">IF($H207="","",IF($H207="All Other Debtors",$O$30-SUM($J$196:J206),VLOOKUP($H207,$C$20:$R$29,13,FALSE)))</f>
        <v/>
      </c>
      <c r="K207" s="150" t="str">
        <f ca="1">IF($H207="","",IF($H207="All Other Debtors",$P$30-SUM($K$196:K206),VLOOKUP($H207,$C$20:$R$29,14,FALSE)))</f>
        <v/>
      </c>
      <c r="L207" s="150" t="str">
        <f ca="1">IF($H207="","",IF($H207="All Other Debtors",$Q$30-SUM($L$196:L206),VLOOKUP($H207,$C$20:$R$29,15,FALSE)))</f>
        <v/>
      </c>
      <c r="M207" s="150" t="str">
        <f ca="1">IF($H207="","",IF($H207="All Other Debtors",$R$30-SUM($M$196:M206),VLOOKUP($H207,$C$20:$R$29,16,FALSE)))</f>
        <v/>
      </c>
      <c r="N207" s="428" t="str">
        <f t="shared" si="27"/>
        <v/>
      </c>
      <c r="O207" s="143"/>
      <c r="R207" s="65"/>
      <c r="S207" s="133"/>
    </row>
    <row r="208" spans="2:19" ht="17.25" hidden="1" customHeight="1">
      <c r="B208" s="278">
        <f>IF(I208="",1,COUNTIF($I$196:I208,I208))</f>
        <v>1</v>
      </c>
      <c r="C208" s="149" t="b">
        <f t="shared" ca="1" si="22"/>
        <v>1</v>
      </c>
      <c r="D208" s="431" t="str">
        <f t="shared" si="23"/>
        <v/>
      </c>
      <c r="E208" s="431" t="str">
        <f t="shared" ca="1" si="24"/>
        <v/>
      </c>
      <c r="F208" s="431" t="str">
        <f t="shared" ca="1" si="25"/>
        <v/>
      </c>
      <c r="G208" s="430" t="str">
        <f t="shared" si="28"/>
        <v/>
      </c>
      <c r="H208" s="429" t="str">
        <f t="shared" ca="1" si="26"/>
        <v/>
      </c>
      <c r="I208" s="150" t="str">
        <f>IF(_xlfn.NUMBERVALUE($G208)&lt;=COUNTA(Model_Debtors.Balances.Detail),IF($G207=$D$191,IF($D$192="Yes","",F05_TradeDebtors-SUM($I$196:I207)),IF(ISERROR(LARGE($M$20:$M$29,G208)),"",LARGE($M$20:$M$29,G208))),0)</f>
        <v/>
      </c>
      <c r="J208" s="150" t="str">
        <f ca="1">IF($H208="","",IF($H208="All Other Debtors",$O$30-SUM($J$196:J207),VLOOKUP($H208,$C$20:$R$29,13,FALSE)))</f>
        <v/>
      </c>
      <c r="K208" s="150" t="str">
        <f ca="1">IF($H208="","",IF($H208="All Other Debtors",$P$30-SUM($K$196:K207),VLOOKUP($H208,$C$20:$R$29,14,FALSE)))</f>
        <v/>
      </c>
      <c r="L208" s="150" t="str">
        <f ca="1">IF($H208="","",IF($H208="All Other Debtors",$Q$30-SUM($L$196:L207),VLOOKUP($H208,$C$20:$R$29,15,FALSE)))</f>
        <v/>
      </c>
      <c r="M208" s="150" t="str">
        <f ca="1">IF($H208="","",IF($H208="All Other Debtors",$R$30-SUM($M$196:M207),VLOOKUP($H208,$C$20:$R$29,16,FALSE)))</f>
        <v/>
      </c>
      <c r="N208" s="428" t="str">
        <f t="shared" si="27"/>
        <v/>
      </c>
      <c r="O208" s="143"/>
      <c r="R208" s="65"/>
      <c r="S208" s="133"/>
    </row>
    <row r="209" spans="2:19" ht="17.25" hidden="1" customHeight="1">
      <c r="B209" s="278">
        <f>IF(I209="",1,COUNTIF($I$196:I209,I209))</f>
        <v>1</v>
      </c>
      <c r="C209" s="149" t="b">
        <f t="shared" ca="1" si="22"/>
        <v>1</v>
      </c>
      <c r="D209" s="431" t="str">
        <f t="shared" si="23"/>
        <v/>
      </c>
      <c r="E209" s="431" t="str">
        <f t="shared" ca="1" si="24"/>
        <v/>
      </c>
      <c r="F209" s="431" t="str">
        <f t="shared" ca="1" si="25"/>
        <v/>
      </c>
      <c r="G209" s="430" t="str">
        <f t="shared" si="28"/>
        <v/>
      </c>
      <c r="H209" s="429" t="str">
        <f t="shared" ca="1" si="26"/>
        <v/>
      </c>
      <c r="I209" s="150" t="str">
        <f>IF(_xlfn.NUMBERVALUE($G209)&lt;=COUNTA(Model_Debtors.Balances.Detail),IF($G208=$D$191,IF($D$192="Yes","",F05_TradeDebtors-SUM($I$196:I208)),IF(ISERROR(LARGE($M$20:$M$29,G209)),"",LARGE($M$20:$M$29,G209))),0)</f>
        <v/>
      </c>
      <c r="J209" s="150" t="str">
        <f ca="1">IF($H209="","",IF($H209="All Other Debtors",$O$30-SUM($J$196:J208),VLOOKUP($H209,$C$20:$R$29,13,FALSE)))</f>
        <v/>
      </c>
      <c r="K209" s="150" t="str">
        <f ca="1">IF($H209="","",IF($H209="All Other Debtors",$P$30-SUM($K$196:K208),VLOOKUP($H209,$C$20:$R$29,14,FALSE)))</f>
        <v/>
      </c>
      <c r="L209" s="150" t="str">
        <f ca="1">IF($H209="","",IF($H209="All Other Debtors",$Q$30-SUM($L$196:L208),VLOOKUP($H209,$C$20:$R$29,15,FALSE)))</f>
        <v/>
      </c>
      <c r="M209" s="150" t="str">
        <f ca="1">IF($H209="","",IF($H209="All Other Debtors",$R$30-SUM($M$196:M208),VLOOKUP($H209,$C$20:$R$29,16,FALSE)))</f>
        <v/>
      </c>
      <c r="N209" s="428" t="str">
        <f t="shared" si="27"/>
        <v/>
      </c>
      <c r="O209" s="143"/>
      <c r="R209" s="65"/>
      <c r="S209" s="133"/>
    </row>
    <row r="210" spans="2:19" ht="17.25" hidden="1" customHeight="1">
      <c r="B210" s="278">
        <f>IF(I210="",1,COUNTIF($I$196:I210,I210))</f>
        <v>1</v>
      </c>
      <c r="C210" s="149" t="b">
        <f t="shared" ca="1" si="22"/>
        <v>1</v>
      </c>
      <c r="D210" s="431" t="str">
        <f t="shared" si="23"/>
        <v/>
      </c>
      <c r="E210" s="431" t="str">
        <f t="shared" ca="1" si="24"/>
        <v/>
      </c>
      <c r="F210" s="431" t="str">
        <f t="shared" ca="1" si="25"/>
        <v/>
      </c>
      <c r="G210" s="430" t="str">
        <f t="shared" si="28"/>
        <v/>
      </c>
      <c r="H210" s="429" t="str">
        <f t="shared" ca="1" si="26"/>
        <v/>
      </c>
      <c r="I210" s="150" t="str">
        <f>IF(_xlfn.NUMBERVALUE($G210)&lt;=COUNTA(Model_Debtors.Balances.Detail),IF($G209=$D$191,IF($D$192="Yes","",F05_TradeDebtors-SUM($I$196:I209)),IF(ISERROR(LARGE($M$20:$M$29,G210)),"",LARGE($M$20:$M$29,G210))),0)</f>
        <v/>
      </c>
      <c r="J210" s="150" t="str">
        <f ca="1">IF($H210="","",IF($H210="All Other Debtors",$O$30-SUM($J$196:J209),VLOOKUP($H210,$C$20:$R$29,13,FALSE)))</f>
        <v/>
      </c>
      <c r="K210" s="150" t="str">
        <f ca="1">IF($H210="","",IF($H210="All Other Debtors",$P$30-SUM($K$196:K209),VLOOKUP($H210,$C$20:$R$29,14,FALSE)))</f>
        <v/>
      </c>
      <c r="L210" s="150" t="str">
        <f ca="1">IF($H210="","",IF($H210="All Other Debtors",$Q$30-SUM($L$196:L209),VLOOKUP($H210,$C$20:$R$29,15,FALSE)))</f>
        <v/>
      </c>
      <c r="M210" s="150" t="str">
        <f ca="1">IF($H210="","",IF($H210="All Other Debtors",$R$30-SUM($M$196:M209),VLOOKUP($H210,$C$20:$R$29,16,FALSE)))</f>
        <v/>
      </c>
      <c r="N210" s="428" t="str">
        <f t="shared" si="27"/>
        <v/>
      </c>
      <c r="O210" s="143"/>
      <c r="R210" s="65"/>
      <c r="S210" s="133"/>
    </row>
    <row r="211" spans="2:19" ht="17.25" hidden="1" customHeight="1">
      <c r="B211" s="278">
        <f>IF(I211="",1,COUNTIF($I$196:I211,I211))</f>
        <v>1</v>
      </c>
      <c r="C211" s="149" t="b">
        <f t="shared" ca="1" si="22"/>
        <v>1</v>
      </c>
      <c r="D211" s="431" t="str">
        <f t="shared" si="23"/>
        <v/>
      </c>
      <c r="E211" s="431" t="str">
        <f t="shared" ca="1" si="24"/>
        <v/>
      </c>
      <c r="F211" s="431" t="str">
        <f t="shared" ca="1" si="25"/>
        <v/>
      </c>
      <c r="G211" s="430" t="str">
        <f t="shared" si="28"/>
        <v/>
      </c>
      <c r="H211" s="429" t="str">
        <f t="shared" ca="1" si="26"/>
        <v/>
      </c>
      <c r="I211" s="150" t="str">
        <f>IF(_xlfn.NUMBERVALUE($G211)&lt;=COUNTA(Model_Debtors.Balances.Detail),IF($G210=$D$191,IF($D$192="Yes","",F05_TradeDebtors-SUM($I$196:I210)),IF(ISERROR(LARGE($M$20:$M$29,G211)),"",LARGE($M$20:$M$29,G211))),0)</f>
        <v/>
      </c>
      <c r="J211" s="150" t="str">
        <f ca="1">IF($H211="","",IF($H211="All Other Debtors",$O$30-SUM($J$196:J210),VLOOKUP($H211,$C$20:$R$29,13,FALSE)))</f>
        <v/>
      </c>
      <c r="K211" s="150" t="str">
        <f ca="1">IF($H211="","",IF($H211="All Other Debtors",$P$30-SUM($K$196:K210),VLOOKUP($H211,$C$20:$R$29,14,FALSE)))</f>
        <v/>
      </c>
      <c r="L211" s="150" t="str">
        <f ca="1">IF($H211="","",IF($H211="All Other Debtors",$Q$30-SUM($L$196:L210),VLOOKUP($H211,$C$20:$R$29,15,FALSE)))</f>
        <v/>
      </c>
      <c r="M211" s="150" t="str">
        <f ca="1">IF($H211="","",IF($H211="All Other Debtors",$R$30-SUM($M$196:M210),VLOOKUP($H211,$C$20:$R$29,16,FALSE)))</f>
        <v/>
      </c>
      <c r="N211" s="428" t="str">
        <f t="shared" si="27"/>
        <v/>
      </c>
      <c r="O211" s="143"/>
      <c r="R211" s="65"/>
      <c r="S211" s="133"/>
    </row>
    <row r="212" spans="2:19" ht="17.25" hidden="1" customHeight="1">
      <c r="B212" s="278"/>
      <c r="C212" s="149"/>
      <c r="D212" s="431"/>
      <c r="E212" s="431"/>
      <c r="F212" s="431"/>
      <c r="G212" s="430"/>
      <c r="H212" s="429"/>
      <c r="I212" s="150"/>
      <c r="J212" s="150"/>
      <c r="K212" s="150"/>
      <c r="L212" s="150"/>
      <c r="M212" s="150"/>
      <c r="N212" s="428"/>
      <c r="O212" s="143"/>
      <c r="R212" s="65"/>
      <c r="S212" s="133"/>
    </row>
    <row r="213" spans="2:19" ht="17.25" hidden="1" customHeight="1">
      <c r="B213" s="427"/>
      <c r="C213" s="426" t="str">
        <f>"Total Debtors"</f>
        <v>Total Debtors</v>
      </c>
      <c r="D213" s="426" t="str">
        <f>IF(IFERROR(Tm_Jurisdiction,"AU")="GB","Total Debtors (£)","Total Debtors ($)")</f>
        <v>Total Debtors ($)</v>
      </c>
      <c r="E213" s="426"/>
      <c r="F213" s="426"/>
      <c r="G213" s="426"/>
      <c r="H213" s="426"/>
      <c r="I213" s="426"/>
      <c r="J213" s="426"/>
      <c r="K213" s="426"/>
      <c r="L213" s="426"/>
      <c r="M213" s="426"/>
      <c r="N213" s="426"/>
      <c r="O213" s="425"/>
      <c r="R213" s="65"/>
      <c r="S213" s="133"/>
    </row>
    <row r="214" spans="2:19" ht="7.5" hidden="1" customHeight="1">
      <c r="B214" s="424"/>
      <c r="C214" s="423"/>
      <c r="D214" s="423"/>
      <c r="E214" s="423"/>
      <c r="F214" s="423"/>
      <c r="G214" s="423"/>
      <c r="H214" s="423"/>
      <c r="I214" s="423"/>
      <c r="J214" s="423"/>
      <c r="K214" s="423"/>
      <c r="L214" s="423"/>
      <c r="M214" s="423"/>
      <c r="N214" s="423"/>
      <c r="O214" s="422"/>
      <c r="R214" s="65"/>
      <c r="S214" s="133"/>
    </row>
    <row r="215" spans="2:19">
      <c r="R215" s="65"/>
      <c r="S215" s="133"/>
    </row>
    <row r="216" spans="2:19">
      <c r="R216" s="65"/>
      <c r="S216" s="133"/>
    </row>
    <row r="217" spans="2:19">
      <c r="R217" s="65"/>
      <c r="S217" s="133"/>
    </row>
    <row r="218" spans="2:19">
      <c r="R218" s="65"/>
      <c r="S218" s="133"/>
    </row>
    <row r="219" spans="2:19">
      <c r="R219" s="65"/>
      <c r="S219" s="133"/>
    </row>
    <row r="220" spans="2:19">
      <c r="R220" s="65"/>
      <c r="S220" s="133"/>
    </row>
    <row r="221" spans="2:19">
      <c r="R221" s="65"/>
      <c r="S221" s="133"/>
    </row>
  </sheetData>
  <sheetProtection sheet="1" objects="1" scenarios="1" formatCells="0" formatColumns="0" formatRows="0" insertColumns="0" insertRows="0" insertHyperlinks="0"/>
  <mergeCells count="66">
    <mergeCell ref="J20:K20"/>
    <mergeCell ref="J29:K29"/>
    <mergeCell ref="E17:E18"/>
    <mergeCell ref="U17:V18"/>
    <mergeCell ref="O17:R17"/>
    <mergeCell ref="J26:K26"/>
    <mergeCell ref="X17:AA17"/>
    <mergeCell ref="J17:K18"/>
    <mergeCell ref="C17:C18"/>
    <mergeCell ref="D17:D18"/>
    <mergeCell ref="H17:H18"/>
    <mergeCell ref="F140:H140"/>
    <mergeCell ref="F141:H141"/>
    <mergeCell ref="F142:H142"/>
    <mergeCell ref="F138:G138"/>
    <mergeCell ref="B13:D13"/>
    <mergeCell ref="E15:M15"/>
    <mergeCell ref="J27:K27"/>
    <mergeCell ref="J28:K28"/>
    <mergeCell ref="C51:E51"/>
    <mergeCell ref="C57:E57"/>
    <mergeCell ref="C79:E79"/>
    <mergeCell ref="C80:E80"/>
    <mergeCell ref="C81:E81"/>
    <mergeCell ref="C82:E82"/>
    <mergeCell ref="B124:D124"/>
    <mergeCell ref="C42:F42"/>
    <mergeCell ref="F143:H143"/>
    <mergeCell ref="F135:H135"/>
    <mergeCell ref="C76:E76"/>
    <mergeCell ref="C77:E77"/>
    <mergeCell ref="B40:D40"/>
    <mergeCell ref="D60:E60"/>
    <mergeCell ref="C47:E47"/>
    <mergeCell ref="C48:E48"/>
    <mergeCell ref="C49:E49"/>
    <mergeCell ref="C50:E50"/>
    <mergeCell ref="H60:I60"/>
    <mergeCell ref="C66:E66"/>
    <mergeCell ref="C71:E71"/>
    <mergeCell ref="F66:G66"/>
    <mergeCell ref="C68:E68"/>
    <mergeCell ref="F68:G68"/>
    <mergeCell ref="C73:E73"/>
    <mergeCell ref="C74:E74"/>
    <mergeCell ref="C75:E75"/>
    <mergeCell ref="J22:K22"/>
    <mergeCell ref="J23:K23"/>
    <mergeCell ref="J24:K24"/>
    <mergeCell ref="J25:K25"/>
    <mergeCell ref="C78:E78"/>
    <mergeCell ref="C148:D148"/>
    <mergeCell ref="F17:F18"/>
    <mergeCell ref="M17:M18"/>
    <mergeCell ref="L17:L18"/>
    <mergeCell ref="C52:E52"/>
    <mergeCell ref="C53:E53"/>
    <mergeCell ref="C54:E54"/>
    <mergeCell ref="C55:E55"/>
    <mergeCell ref="C56:E56"/>
    <mergeCell ref="J21:K21"/>
    <mergeCell ref="F139:G139"/>
    <mergeCell ref="C131:D131"/>
    <mergeCell ref="C129:D129"/>
    <mergeCell ref="C130:D130"/>
    <mergeCell ref="F136:H136"/>
  </mergeCells>
  <conditionalFormatting sqref="B193:J193">
    <cfRule type="expression" dxfId="224" priority="25">
      <formula>AND($A$124="+",$A$148="+")</formula>
    </cfRule>
  </conditionalFormatting>
  <conditionalFormatting sqref="C73:E82">
    <cfRule type="cellIs" dxfId="223" priority="20" operator="equal">
      <formula>"Enter description…"</formula>
    </cfRule>
  </conditionalFormatting>
  <conditionalFormatting sqref="C73:F82">
    <cfRule type="expression" dxfId="222" priority="18">
      <formula>AND(SEARCH("INDEX",_xlfn.FORMULATEXT($C73))&lt;&gt;0,INDEX($D$112:$D$121,MATCH($B73,$C$112:$C$121,0))="")</formula>
    </cfRule>
    <cfRule type="expression" dxfId="221" priority="19">
      <formula>AND($C73=INDEX($D$112:$D$121,MATCH($B73,$C$112:$C$121,0)),INDEX($D$112:$D$121,MATCH($B73,$C$112:$C$121,0))&lt;&gt;"")</formula>
    </cfRule>
  </conditionalFormatting>
  <conditionalFormatting sqref="D191:D192">
    <cfRule type="expression" dxfId="220" priority="28">
      <formula>ISERROR((SEARCH("COUNTA(",_xlfn.FORMULATEXT(D191),1)))&lt;&gt;TRUE</formula>
    </cfRule>
  </conditionalFormatting>
  <conditionalFormatting sqref="E40 E124">
    <cfRule type="cellIs" dxfId="219" priority="31" operator="equal">
      <formula>"Contains Data"</formula>
    </cfRule>
  </conditionalFormatting>
  <conditionalFormatting sqref="E40">
    <cfRule type="cellIs" dxfId="218" priority="41" operator="equal">
      <formula>"Out of Balance"</formula>
    </cfRule>
    <cfRule type="cellIs" dxfId="217" priority="42" operator="equal">
      <formula>"Reconciled"</formula>
    </cfRule>
  </conditionalFormatting>
  <conditionalFormatting sqref="E15:M15">
    <cfRule type="expression" dxfId="216" priority="4">
      <formula>IF(COUNT(Model_Debtors.Balances.Balance)=COUNT(Model_Debtors.Balances.ForeignCurrencyRate),TRUE,FALSE)</formula>
    </cfRule>
    <cfRule type="expression" dxfId="215" priority="5">
      <formula>IF(COUNTA(Model_Debtors.Balances.ForeignCurrency)&lt;&gt;0,TRUE,FALSE)</formula>
    </cfRule>
  </conditionalFormatting>
  <conditionalFormatting sqref="F124:N124">
    <cfRule type="expression" dxfId="214" priority="21">
      <formula>$A$148="-"</formula>
    </cfRule>
  </conditionalFormatting>
  <conditionalFormatting sqref="F125:N125">
    <cfRule type="expression" dxfId="213" priority="22">
      <formula>$A$148="-"</formula>
    </cfRule>
  </conditionalFormatting>
  <conditionalFormatting sqref="G20:G29">
    <cfRule type="cellIs" dxfId="212" priority="11" operator="equal">
      <formula>1</formula>
    </cfRule>
  </conditionalFormatting>
  <conditionalFormatting sqref="H20:H29 O20:R29">
    <cfRule type="expression" dxfId="211" priority="6">
      <formula>ISERROR((SEARCH("N(1)",_xlfn.FORMULATEXT(H20),1)))&lt;&gt;TRUE</formula>
    </cfRule>
  </conditionalFormatting>
  <conditionalFormatting sqref="I18">
    <cfRule type="expression" dxfId="210" priority="2">
      <formula>$L$1="GB"</formula>
    </cfRule>
  </conditionalFormatting>
  <conditionalFormatting sqref="I20:I29">
    <cfRule type="expression" priority="1" stopIfTrue="1">
      <formula>$L$1="GB"</formula>
    </cfRule>
    <cfRule type="expression" dxfId="209" priority="3">
      <formula>ISERROR((SEARCH("/11",_xlfn.FORMULATEXT(I20),1)))&lt;&gt;TRUE</formula>
    </cfRule>
  </conditionalFormatting>
  <conditionalFormatting sqref="I85">
    <cfRule type="expression" dxfId="208" priority="50">
      <formula>$Q$5="Out of Balance"</formula>
    </cfRule>
    <cfRule type="expression" dxfId="207" priority="51">
      <formula>$Q$5="Reconciled"</formula>
    </cfRule>
  </conditionalFormatting>
  <conditionalFormatting sqref="I86">
    <cfRule type="expression" dxfId="206" priority="52">
      <formula>$Q$5="Out of Balance"</formula>
    </cfRule>
    <cfRule type="expression" dxfId="205" priority="53">
      <formula>$Q$5="Reconciled"</formula>
    </cfRule>
  </conditionalFormatting>
  <conditionalFormatting sqref="I87">
    <cfRule type="expression" dxfId="204" priority="14">
      <formula>Tm_BalanceStatus2="Reconciled"</formula>
    </cfRule>
    <cfRule type="expression" dxfId="203" priority="15">
      <formula>Tm_BalanceStatus2="Out of Balance"</formula>
    </cfRule>
  </conditionalFormatting>
  <conditionalFormatting sqref="J125:J193">
    <cfRule type="expression" dxfId="202" priority="17">
      <formula>$A$148="-"</formula>
    </cfRule>
  </conditionalFormatting>
  <conditionalFormatting sqref="K193:N193">
    <cfRule type="expression" dxfId="201" priority="24">
      <formula>$A$148="-"</formula>
    </cfRule>
  </conditionalFormatting>
  <conditionalFormatting sqref="L20:L29">
    <cfRule type="expression" dxfId="200" priority="32">
      <formula>ISERROR((SEARCH("/11",_xlfn.FORMULATEXT(L20),1)))&lt;&gt;TRUE</formula>
    </cfRule>
  </conditionalFormatting>
  <conditionalFormatting sqref="M35">
    <cfRule type="expression" dxfId="199" priority="54">
      <formula>$R$5="Out of Balance"</formula>
    </cfRule>
    <cfRule type="expression" dxfId="198" priority="55">
      <formula>$R$5="Reconciled"</formula>
    </cfRule>
  </conditionalFormatting>
  <conditionalFormatting sqref="M36">
    <cfRule type="expression" dxfId="197" priority="56">
      <formula>$R$5="Out of Balance"</formula>
    </cfRule>
    <cfRule type="expression" dxfId="196" priority="57">
      <formula>$R$5="Reconciled"</formula>
    </cfRule>
  </conditionalFormatting>
  <conditionalFormatting sqref="M37">
    <cfRule type="expression" dxfId="195" priority="48">
      <formula>Tm_BalanceStatus="Reconciled"</formula>
    </cfRule>
    <cfRule type="expression" dxfId="194" priority="49">
      <formula>Tm_BalanceStatus="Out of Balance"</formula>
    </cfRule>
  </conditionalFormatting>
  <conditionalFormatting sqref="N125:N193">
    <cfRule type="expression" dxfId="193" priority="23">
      <formula>$A$148="-"</formula>
    </cfRule>
  </conditionalFormatting>
  <conditionalFormatting sqref="O20:R29">
    <cfRule type="expression" priority="46" stopIfTrue="1">
      <formula>AND($M20="",SUM($O20:$R20)=0)</formula>
    </cfRule>
    <cfRule type="expression" dxfId="192" priority="47">
      <formula>SUM($O20:$R20)&lt;&gt;$M20</formula>
    </cfRule>
  </conditionalFormatting>
  <conditionalFormatting sqref="Q5">
    <cfRule type="expression" dxfId="191" priority="29">
      <formula>Tm_BalanceStatus2="Out of Balance"</formula>
    </cfRule>
    <cfRule type="expression" dxfId="190" priority="30">
      <formula>Tm_BalanceStatus2="Reconciled"</formula>
    </cfRule>
  </conditionalFormatting>
  <conditionalFormatting sqref="R5">
    <cfRule type="expression" dxfId="189" priority="26">
      <formula>Tm_BalanceStatus="Reconciled"</formula>
    </cfRule>
    <cfRule type="expression" dxfId="188" priority="27">
      <formula>Tm_BalanceStatus="Out of Balance"</formula>
    </cfRule>
  </conditionalFormatting>
  <conditionalFormatting sqref="X20:AA20">
    <cfRule type="expression" priority="7" stopIfTrue="1">
      <formula>AND($M20="",SUM($O20:$R20)=0)</formula>
    </cfRule>
    <cfRule type="expression" dxfId="187" priority="8">
      <formula>SUM($O20:$R20)&lt;&gt;$M20</formula>
    </cfRule>
  </conditionalFormatting>
  <conditionalFormatting sqref="X21:AA29">
    <cfRule type="expression" priority="9" stopIfTrue="1">
      <formula>AND($M21="",SUM($O21:$R21)=0)</formula>
    </cfRule>
    <cfRule type="expression" dxfId="186" priority="10">
      <formula>SUM($O21:$R21)&lt;&gt;$M21</formula>
    </cfRule>
  </conditionalFormatting>
  <dataValidations count="6">
    <dataValidation allowBlank="1" showInputMessage="1" showErrorMessage="1" prompt="Due to API constraints, we cannot automatically pull GST information from the client's source file. To help, we've calculated the GST using a formula. Please remove or edit values as necessary." sqref="I18" xr:uid="{733A6FF5-D143-4ABD-BF30-F67FA2B5F9BA}"/>
    <dataValidation allowBlank="1" showInputMessage="1" showErrorMessage="1" prompt="Due to API constraints, we can't automatically pull translated foreign currency transactions from the client's source file. To help, we've pulled in the foreign currency code, please input the correct conversion rate in column G." sqref="E17:E18" xr:uid="{D63CEB0C-1F34-4BD5-938B-4CA5E6B6941C}"/>
    <dataValidation allowBlank="1" showInputMessage="1" showErrorMessage="1" prompt="Enter a decrease adjustment as negative" sqref="J20:J29 L20:L29" xr:uid="{D3D9020C-F2F4-4E65-8FA1-E15E7FA1A9D6}"/>
    <dataValidation type="whole" allowBlank="1" showInputMessage="1" showErrorMessage="1" errorTitle="Invalid Number" error="The number of debtors you have selected to graph exceeds the total number of debtors.  _x000a__x000a_Please enter a number less than or equal to the total number of debtors (Max 15)." sqref="D191" xr:uid="{5E64DB34-C2ED-488B-9CEF-6A5A4DBF3A84}">
      <formula1>1</formula1>
      <formula2>$D$193</formula2>
    </dataValidation>
    <dataValidation type="list" allowBlank="1" showInputMessage="1" showErrorMessage="1" sqref="D192 I48:I57" xr:uid="{20939701-671D-490C-B7BA-E5DA5ECBB970}">
      <formula1>"Yes,No"</formula1>
    </dataValidation>
    <dataValidation type="list" allowBlank="1" showInputMessage="1" showErrorMessage="1" sqref="D60:E60" xr:uid="{8217E055-5682-41AA-A783-3E50B3D48C14}">
      <formula1>"% of total debtors, Review of specific accounts"</formula1>
    </dataValidation>
  </dataValidations>
  <hyperlinks>
    <hyperlink ref="R3" location="'F05 Trade Debtors'!Go_Index" tooltip="Go to Record" display="Show Record" xr:uid="{235A243B-ADC4-4B55-9AD1-01D77C375B75}"/>
    <hyperlink ref="R5" location="'F05 Trade Debtors'!Go_Variance_01" tooltip="Go To Reconciliation" display="'F05 Trade Debtors'!Go_Variance_01" xr:uid="{D608D91B-E15D-4505-95E5-EA406DEDF8BC}"/>
    <hyperlink ref="Q5" location="'F05 Trade Debtors'!Go_Variance_02" tooltip="Go To Reconciliation" display="'F05 Trade Debtors'!Go_Variance_02" xr:uid="{33DDB11E-E008-477D-9B24-97BE631BEF0B}"/>
    <hyperlink ref="A40:D40" location="'F05 Trade Debtors'!Go_RollUp_05" tooltip="Show/Hide" display="'F05 Trade Debtors'!Go_RollUp_05" xr:uid="{3086762A-8C29-4646-B493-D4571D41A51F}"/>
    <hyperlink ref="A124:D124" location="'F05 Trade Debtors'!Go_RollUp_04" tooltip="Show/Hide" display="'F05 Trade Debtors'!Go_RollUp_04" xr:uid="{EC262884-9D82-4598-A831-266D2EC8A867}"/>
    <hyperlink ref="H60:I60" location="'F05 Trade Debtors'!Go_ShowHideRows_02" tooltip="Update Display" display="Update Display" xr:uid="{ED0C82CA-CAF6-4775-A9B8-429E68251EEB}"/>
    <hyperlink ref="C15" location="'F05 Trade Debtors'!Go_Command.ImportDebtors" tooltip="Refresh Debtors from Source File" display="Refresh" xr:uid="{E558492C-0AF5-45E2-B5A2-4996EE9BAA05}"/>
    <hyperlink ref="A148" location="'F05 Trade Debtors'!Go_RollUp_06" tooltip="Show/Hide" display="'F05 Trade Debtors'!Go_RollUp_06" xr:uid="{C2A58C68-65F1-4380-A53B-88655EE54C09}"/>
    <hyperlink ref="A13:D13" location="'F05 Trade Debtors'!Go_RollUp_03" tooltip="Show/Hide" display="'F05 Trade Debtors'!Go_RollUp_03" xr:uid="{93D0B2D8-4E78-414E-A9C0-04BDAD8169E6}"/>
    <hyperlink ref="C148:D148" location="'F05 Trade Debtors'!Go_RollUp_06" tooltip="Show/Hide" display="Trade Debtor Graphs" xr:uid="{1ACCF14A-E960-4B65-A19D-7D236B9C7513}"/>
  </hyperlinks>
  <printOptions horizontalCentered="1"/>
  <pageMargins left="0.39370078740157483" right="0.39370078740157483" top="0.39370078740157483" bottom="0.39370078740157483" header="0" footer="0"/>
  <pageSetup paperSize="9" scale="67" fitToHeight="0" orientation="landscape" verticalDpi="1200" r:id="rId1"/>
  <headerFooter alignWithMargins="0">
    <oddFooter>&amp;L&amp;F
Copyright © 2003-Present Business Fitness Pty Ltd&amp;R&amp;A &amp;P</oddFooter>
  </headerFooter>
  <rowBreaks count="1" manualBreakCount="1">
    <brk id="123" max="14" man="1"/>
  </rowBreaks>
  <customProperties>
    <customPr name="SheetId" r:id="rId2"/>
    <customPr name="SheetName" r:id="rId3"/>
  </customProperties>
  <drawing r:id="rId4"/>
  <extLst>
    <ext xmlns:x15="http://schemas.microsoft.com/office/spreadsheetml/2010/11/main" uri="{F7C9EE02-42E1-4005-9D12-6889AFFD525C}">
      <x15:webExtensions xmlns:xm="http://schemas.microsoft.com/office/excel/2006/main">
        <x15:webExtension appRef="{8E75BB4A-ED0C-45DC-849C-869E85B90484}">
          <xm:f>'F05 Trade Debtors'!F05_GSTInDebtors</xm:f>
        </x15:webExtension>
        <x15:webExtension appRef="{C1F29709-2477-4465-B73E-181D2CF3F2AC}">
          <xm:f>'F05 Trade Debtors'!F05_ProvDoubtfulDebts</xm:f>
        </x15:webExtension>
        <x15:webExtension appRef="{93F30773-BB28-4572-9F3D-8C2858E20074}">
          <xm:f>'F05 Trade Debtors'!F05_TradeDebtors</xm:f>
        </x15:webExtension>
        <x15:webExtension appRef="{D614486D-243C-4708-A51D-C2E5C2722F37}">
          <xm:f>'F05 Trade Debtors'!F05_TradeDebtors0to90Days</xm:f>
        </x15:webExtension>
        <x15:webExtension appRef="{E18D3AF8-BAEF-4CF4-B189-FF131E44CD94}">
          <xm:f>'F05 Trade Debtors'!Reconcile_AccountsReceivable</xm:f>
        </x15:webExtension>
        <x15:webExtension appRef="{88134644-A366-4808-8830-9C3D713550B8}">
          <xm:f>'F05 Trade Debtors'!Reconcile_ProvisionForDoubtfulDebts</xm:f>
        </x15:webExtension>
      </x15:webExtens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0CE0A-E2F3-470F-8F6F-26766312170E}">
  <sheetPr>
    <pageSetUpPr autoPageBreaks="0" fitToPage="1"/>
  </sheetPr>
  <dimension ref="A1:AL278"/>
  <sheetViews>
    <sheetView showGridLines="0" topLeftCell="A2" zoomScaleNormal="100" workbookViewId="0">
      <selection activeCell="A2" sqref="A2"/>
    </sheetView>
  </sheetViews>
  <sheetFormatPr defaultColWidth="8.85546875" defaultRowHeight="15"/>
  <cols>
    <col min="1" max="1" width="4.28515625" style="17" customWidth="1"/>
    <col min="2" max="2" width="1.42578125" style="563" customWidth="1"/>
    <col min="3" max="3" width="3.85546875" style="17" customWidth="1"/>
    <col min="4" max="5" width="14.28515625" style="17" customWidth="1"/>
    <col min="6" max="6" width="4.28515625" style="17" customWidth="1"/>
    <col min="7" max="15" width="15.7109375" style="17" customWidth="1"/>
    <col min="16" max="16" width="1.42578125" style="17" customWidth="1"/>
    <col min="17" max="17" width="4.28515625" style="17" customWidth="1"/>
    <col min="18" max="19" width="15.7109375" style="17" customWidth="1"/>
    <col min="20" max="20" width="15.7109375" style="17" hidden="1" customWidth="1"/>
    <col min="21" max="16384" width="8.85546875" style="17"/>
  </cols>
  <sheetData>
    <row r="1" spans="1:34" hidden="1">
      <c r="C1" s="131" t="s">
        <v>181</v>
      </c>
      <c r="E1" s="736" t="s">
        <v>179</v>
      </c>
      <c r="F1" s="17" t="s">
        <v>610</v>
      </c>
      <c r="H1" s="111" t="s">
        <v>177</v>
      </c>
      <c r="I1" s="17" t="str" cm="1">
        <f t="array" ref="I1">IFERROR(Tm_Jurisdiction,"AU")</f>
        <v>AU</v>
      </c>
      <c r="P1" s="111"/>
      <c r="T1" s="111" t="s">
        <v>176</v>
      </c>
    </row>
    <row r="2" spans="1:34" ht="7.5" customHeight="1">
      <c r="C2" s="129"/>
      <c r="D2" s="129"/>
      <c r="P2" s="111"/>
    </row>
    <row r="3" spans="1:34" ht="24.95" customHeight="1">
      <c r="A3" s="118"/>
      <c r="C3" s="735" t="s">
        <v>609</v>
      </c>
      <c r="D3" s="128"/>
      <c r="E3" s="128"/>
      <c r="M3" s="65"/>
      <c r="N3"/>
      <c r="O3" s="737" t="s">
        <v>174</v>
      </c>
      <c r="P3" s="65"/>
      <c r="R3" s="65"/>
      <c r="S3" s="65"/>
    </row>
    <row r="4" spans="1:34" ht="22.5" customHeight="1" thickBot="1">
      <c r="A4" s="118"/>
      <c r="C4" s="734" t="str">
        <f>_xlfn.TEXTJOIN(" ",1,IFERROR(_xlfn.SINGLE(Cl_Name),"Client Name"),IF(IFERROR(_xlfn.SINGLE(Cl_Code),"")="","","("&amp;_xlfn.SINGLE(Cl_Code)&amp;")"))</f>
        <v>Springrange Holdings Pty Ltd (MuM001)</v>
      </c>
      <c r="D4" s="733"/>
      <c r="E4" s="304"/>
      <c r="F4" s="304"/>
      <c r="G4" s="304"/>
      <c r="H4" s="304"/>
      <c r="I4" s="304"/>
      <c r="J4" s="304"/>
      <c r="O4" s="732" t="str">
        <f>IF(ISBLANK(Tm_TBAccount),_xlfn.TEXTJOIN("-",1,M6:N6),TEXT(Tm_TBAccount,"0"))</f>
        <v>820 GST</v>
      </c>
      <c r="R4" s="65"/>
      <c r="S4" s="65"/>
    </row>
    <row r="5" spans="1:34" ht="22.5" customHeight="1">
      <c r="A5" s="118"/>
      <c r="C5" s="1520">
        <f>IFERROR(_xlfn.SINGLE(PeriodEndDate),DATE(1901,1,1))</f>
        <v>45473</v>
      </c>
      <c r="D5" s="1521"/>
      <c r="E5" s="731"/>
      <c r="F5" s="731"/>
      <c r="G5" s="731"/>
      <c r="H5" s="731"/>
      <c r="I5" s="731"/>
      <c r="J5" s="731"/>
      <c r="L5" s="65"/>
      <c r="M5" s="730"/>
      <c r="N5" s="729"/>
      <c r="O5" s="728" t="str">
        <f>IF(AND(J112=0,J113=0,H60=0,M60=0),"Pending",IF(ABS(J114)&gt;Tm_Tolerance,"Out of Balance","Reconciled"))</f>
        <v>Out of Balance</v>
      </c>
      <c r="P5" s="112">
        <f>IFERROR(_xlfn.XLOOKUP("a444c914-52ca-4680-b0ff-5f1b9b0754bb",RecordInfo.RecordId,RecordInfo.Tolerances),0)</f>
        <v>10</v>
      </c>
    </row>
    <row r="6" spans="1:34" s="65" customFormat="1" ht="17.25" hidden="1" customHeight="1">
      <c r="B6" s="708"/>
      <c r="L6" s="727" t="s">
        <v>611</v>
      </c>
      <c r="M6" s="727"/>
      <c r="N6" s="727"/>
    </row>
    <row r="7" spans="1:34" ht="7.5" customHeight="1">
      <c r="A7" s="118"/>
      <c r="B7" s="726"/>
      <c r="C7" s="117"/>
      <c r="D7" s="117"/>
      <c r="E7" s="117"/>
      <c r="F7" s="117"/>
      <c r="G7" s="90"/>
      <c r="H7" s="90"/>
      <c r="I7" s="90"/>
      <c r="J7" s="90"/>
      <c r="K7" s="90"/>
      <c r="L7" s="90"/>
      <c r="M7" s="90"/>
      <c r="N7" s="90"/>
      <c r="O7" s="90"/>
      <c r="P7" s="107"/>
    </row>
    <row r="8" spans="1:34" ht="7.15" customHeight="1"/>
    <row r="9" spans="1:34" s="65" customFormat="1" ht="17.25" customHeight="1">
      <c r="B9" s="563"/>
      <c r="C9" s="1435" t="s">
        <v>608</v>
      </c>
      <c r="D9" s="1435"/>
      <c r="E9" s="1435"/>
      <c r="F9" s="1435"/>
      <c r="G9" s="1435"/>
      <c r="H9" s="1435"/>
      <c r="I9" s="725"/>
      <c r="J9" s="725"/>
      <c r="K9" s="725"/>
      <c r="L9" s="725"/>
      <c r="M9" s="725"/>
      <c r="N9" s="725"/>
      <c r="O9" s="725"/>
    </row>
    <row r="10" spans="1:34" s="708" customFormat="1" ht="17.25" customHeight="1">
      <c r="C10" s="1667" t="s">
        <v>607</v>
      </c>
      <c r="D10" s="1667"/>
      <c r="E10" s="1667"/>
      <c r="F10" s="1667"/>
      <c r="G10" s="1667"/>
      <c r="H10" s="1667"/>
      <c r="I10" s="724"/>
      <c r="J10" s="724"/>
      <c r="K10" s="723"/>
      <c r="L10" s="723"/>
      <c r="M10" s="723"/>
      <c r="N10" s="723"/>
      <c r="O10" s="723"/>
      <c r="P10" s="723"/>
      <c r="Q10" s="722"/>
      <c r="R10" s="722"/>
    </row>
    <row r="11" spans="1:34" ht="17.25" customHeight="1">
      <c r="C11" s="1668" t="s">
        <v>606</v>
      </c>
      <c r="D11" s="1668"/>
      <c r="E11" s="1668"/>
      <c r="F11" s="1668"/>
      <c r="G11" s="1668"/>
      <c r="H11" s="1668"/>
      <c r="I11" s="290"/>
      <c r="J11" s="721"/>
      <c r="K11" s="720"/>
      <c r="L11" s="720"/>
      <c r="M11" s="720"/>
      <c r="N11" s="720"/>
      <c r="O11" s="720"/>
      <c r="P11" s="720"/>
      <c r="Q11" s="54"/>
      <c r="R11" s="54"/>
    </row>
    <row r="12" spans="1:34" ht="14.45" customHeight="1">
      <c r="C12" s="1669" t="s">
        <v>605</v>
      </c>
      <c r="D12" s="1669"/>
      <c r="E12" s="1669"/>
      <c r="F12" s="1669"/>
      <c r="G12" s="1669"/>
      <c r="H12" s="1669"/>
      <c r="I12" s="1669"/>
      <c r="J12" s="1669"/>
      <c r="K12" s="1669"/>
      <c r="L12" s="1669"/>
      <c r="M12" s="1669"/>
      <c r="N12" s="1669"/>
      <c r="O12" s="1669"/>
      <c r="P12" s="410"/>
      <c r="Q12" s="289"/>
      <c r="R12" s="289"/>
    </row>
    <row r="13" spans="1:34" s="65" customFormat="1" ht="22.5" customHeight="1">
      <c r="B13" s="708"/>
      <c r="C13" s="32"/>
      <c r="D13" s="32"/>
      <c r="E13" s="32"/>
      <c r="F13" s="32"/>
      <c r="G13" s="32"/>
      <c r="H13" s="719"/>
      <c r="I13" s="32"/>
      <c r="J13" s="32"/>
      <c r="K13" s="32"/>
      <c r="L13" s="32"/>
      <c r="N13" s="32"/>
      <c r="O13" s="32"/>
      <c r="R13" s="17"/>
    </row>
    <row r="14" spans="1:34" s="65" customFormat="1" ht="22.5" customHeight="1">
      <c r="A14" s="594" t="str">
        <f>IF(SUBTOTAL(103,B15),"-","+")</f>
        <v>-</v>
      </c>
      <c r="B14" s="1639" t="s">
        <v>167</v>
      </c>
      <c r="C14" s="1639"/>
      <c r="D14" s="1639"/>
      <c r="E14" s="1639"/>
      <c r="F14" s="1639"/>
      <c r="G14" s="1639"/>
      <c r="H14" s="282"/>
      <c r="I14" s="282"/>
      <c r="J14" s="282"/>
      <c r="K14" s="282"/>
      <c r="L14" s="282"/>
      <c r="M14" s="17"/>
      <c r="N14" s="718"/>
      <c r="O14" s="283"/>
      <c r="P14" s="282"/>
    </row>
    <row r="15" spans="1:34" ht="7.15" customHeight="1">
      <c r="B15" s="635" t="s">
        <v>58</v>
      </c>
      <c r="C15" s="717"/>
      <c r="D15" s="51"/>
      <c r="E15" s="51"/>
      <c r="F15" s="51"/>
      <c r="G15" s="51"/>
      <c r="H15" s="51"/>
      <c r="I15" s="51"/>
      <c r="J15" s="51"/>
      <c r="K15" s="51"/>
      <c r="L15" s="51"/>
      <c r="M15" s="51"/>
      <c r="N15" s="51"/>
      <c r="O15" s="51"/>
      <c r="P15" s="716"/>
      <c r="AH15" s="110"/>
    </row>
    <row r="16" spans="1:34" ht="22.5" customHeight="1">
      <c r="B16" s="603"/>
      <c r="D16" s="109"/>
      <c r="E16" s="506" t="s">
        <v>604</v>
      </c>
      <c r="F16" s="1672">
        <f>IFERROR(DATE(_xlfn.SINGLE(Tax_Year),6,30),DATE(IF(MONTH(C5)&gt;6,1,0)+YEAR(C5),6,30))</f>
        <v>45473</v>
      </c>
      <c r="G16" s="1673"/>
      <c r="H16" s="715"/>
      <c r="I16" s="506" t="s">
        <v>603</v>
      </c>
      <c r="J16" s="1670" t="str">
        <f>IFERROR(J50_GSTAccountingBasis,"Accruals")</f>
        <v>Accruals</v>
      </c>
      <c r="K16" s="1671"/>
      <c r="L16" s="714"/>
      <c r="M16" s="506" t="s">
        <v>602</v>
      </c>
      <c r="N16" s="1670" t="s">
        <v>164</v>
      </c>
      <c r="O16" s="1671"/>
      <c r="P16" s="712"/>
      <c r="AH16" s="110"/>
    </row>
    <row r="17" spans="1:34" ht="7.15" customHeight="1">
      <c r="B17" s="603"/>
      <c r="C17" s="111"/>
      <c r="O17" s="283"/>
      <c r="P17" s="712"/>
      <c r="AH17" s="110"/>
    </row>
    <row r="18" spans="1:34" ht="22.5" customHeight="1">
      <c r="A18" s="17" t="s">
        <v>58</v>
      </c>
      <c r="B18" s="603"/>
      <c r="L18" s="713"/>
      <c r="N18" s="1474" t="s">
        <v>163</v>
      </c>
      <c r="O18" s="1475"/>
      <c r="P18" s="712"/>
    </row>
    <row r="19" spans="1:34" ht="7.15" customHeight="1">
      <c r="B19" s="711"/>
      <c r="C19" s="107"/>
      <c r="D19" s="107"/>
      <c r="E19" s="107"/>
      <c r="F19" s="107"/>
      <c r="G19" s="108"/>
      <c r="H19" s="108"/>
      <c r="I19" s="108"/>
      <c r="J19" s="108"/>
      <c r="K19" s="108"/>
      <c r="L19" s="108"/>
      <c r="M19" s="108"/>
      <c r="N19" s="108"/>
      <c r="O19" s="108"/>
      <c r="P19" s="710"/>
      <c r="Q19" s="53"/>
    </row>
    <row r="20" spans="1:34" ht="22.15" customHeight="1">
      <c r="G20" s="105"/>
      <c r="H20" s="105"/>
      <c r="I20" s="105"/>
      <c r="J20" s="104"/>
      <c r="K20" s="103"/>
      <c r="L20" s="102"/>
      <c r="O20" s="283"/>
      <c r="P20" s="32"/>
      <c r="Q20" s="32"/>
      <c r="R20" s="32"/>
      <c r="S20" s="32"/>
      <c r="T20" s="32"/>
      <c r="U20" s="32"/>
      <c r="V20" s="32"/>
    </row>
    <row r="21" spans="1:34" ht="22.5" customHeight="1">
      <c r="A21" s="61" t="str">
        <f>IF(SUBTOTAL(103,A22),"-","+")</f>
        <v>-</v>
      </c>
      <c r="B21" s="1639" t="s">
        <v>601</v>
      </c>
      <c r="C21" s="1639"/>
      <c r="D21" s="1639"/>
      <c r="E21" s="1639"/>
      <c r="F21" s="1639"/>
      <c r="G21" s="1639"/>
    </row>
    <row r="22" spans="1:34" ht="17.25" customHeight="1">
      <c r="A22" s="33" t="s">
        <v>58</v>
      </c>
      <c r="B22" s="603"/>
      <c r="H22" s="51"/>
      <c r="I22" s="51"/>
      <c r="J22" s="51"/>
      <c r="K22" s="51"/>
      <c r="L22" s="51"/>
      <c r="M22" s="51"/>
      <c r="N22" s="51"/>
      <c r="O22" s="51"/>
      <c r="P22" s="60"/>
    </row>
    <row r="23" spans="1:34" ht="17.25" customHeight="1">
      <c r="B23" s="609"/>
      <c r="C23" s="1498" t="s">
        <v>600</v>
      </c>
      <c r="D23" s="1666"/>
      <c r="E23" s="1666"/>
      <c r="F23" s="1666"/>
      <c r="G23" s="1666"/>
      <c r="H23" s="1666"/>
      <c r="I23" s="1666"/>
      <c r="J23" s="1666"/>
      <c r="K23" s="1666"/>
      <c r="L23" s="1666"/>
      <c r="M23" s="1666"/>
      <c r="N23" s="1666"/>
      <c r="O23" s="1666"/>
      <c r="P23" s="97"/>
      <c r="Q23" s="98"/>
      <c r="R23" s="98"/>
    </row>
    <row r="24" spans="1:34" s="704" customFormat="1" ht="17.25" customHeight="1">
      <c r="B24" s="707"/>
      <c r="C24" s="1654" t="s">
        <v>599</v>
      </c>
      <c r="D24" s="1654"/>
      <c r="E24" s="1654"/>
      <c r="F24" s="1654"/>
      <c r="G24" s="1654"/>
      <c r="H24" s="1654"/>
      <c r="I24" s="1654"/>
      <c r="J24" s="1654"/>
      <c r="K24" s="1654"/>
      <c r="L24" s="1654"/>
      <c r="M24" s="1654"/>
      <c r="N24" s="1654"/>
      <c r="O24" s="1654"/>
      <c r="P24" s="706"/>
      <c r="Q24" s="705"/>
      <c r="R24" s="705"/>
    </row>
    <row r="25" spans="1:34" ht="17.25" customHeight="1">
      <c r="B25" s="609"/>
      <c r="C25" s="1655" t="s">
        <v>598</v>
      </c>
      <c r="D25" s="1655"/>
      <c r="E25" s="1655"/>
      <c r="F25" s="1655"/>
      <c r="G25" s="1655"/>
      <c r="H25" s="1655"/>
      <c r="I25" s="1655"/>
      <c r="J25" s="1655"/>
      <c r="K25" s="1655"/>
      <c r="L25" s="1655"/>
      <c r="M25" s="703"/>
      <c r="N25" s="65"/>
      <c r="O25" s="65"/>
      <c r="P25" s="191"/>
      <c r="Q25" s="54"/>
      <c r="R25" s="54"/>
    </row>
    <row r="26" spans="1:34" ht="17.25" customHeight="1">
      <c r="B26" s="603"/>
      <c r="C26" s="216"/>
      <c r="D26" s="216"/>
      <c r="E26" s="216"/>
      <c r="F26" s="216"/>
      <c r="O26" s="272"/>
      <c r="P26" s="33"/>
      <c r="S26" s="42"/>
    </row>
    <row r="27" spans="1:34" ht="22.15" customHeight="1">
      <c r="B27" s="603"/>
      <c r="C27" s="216"/>
      <c r="D27" s="216"/>
      <c r="E27" s="216"/>
      <c r="F27" s="216"/>
      <c r="G27" s="1626" t="s">
        <v>584</v>
      </c>
      <c r="H27" s="1630"/>
      <c r="I27" s="1630"/>
      <c r="J27" s="1627"/>
      <c r="L27" s="1626" t="s">
        <v>583</v>
      </c>
      <c r="M27" s="1630"/>
      <c r="N27" s="1630"/>
      <c r="O27" s="1627"/>
      <c r="P27" s="33"/>
      <c r="R27" s="1674" t="s">
        <v>597</v>
      </c>
      <c r="S27" s="1675"/>
    </row>
    <row r="28" spans="1:34" s="31" customFormat="1" ht="31.5" customHeight="1">
      <c r="B28" s="607"/>
      <c r="C28" s="216"/>
      <c r="D28" s="216"/>
      <c r="E28" s="216"/>
      <c r="F28" s="216"/>
      <c r="G28" s="37" t="s">
        <v>271</v>
      </c>
      <c r="H28" s="36" t="s">
        <v>596</v>
      </c>
      <c r="I28" s="36" t="s">
        <v>595</v>
      </c>
      <c r="J28" s="35" t="s">
        <v>280</v>
      </c>
      <c r="L28" s="37" t="s">
        <v>271</v>
      </c>
      <c r="M28" s="36" t="s">
        <v>596</v>
      </c>
      <c r="N28" s="36" t="s">
        <v>595</v>
      </c>
      <c r="O28" s="35" t="s">
        <v>280</v>
      </c>
      <c r="P28" s="33"/>
      <c r="Q28" s="41"/>
      <c r="R28" s="1676"/>
      <c r="S28" s="1677"/>
      <c r="U28" s="65"/>
    </row>
    <row r="29" spans="1:34" s="18" customFormat="1" ht="16.899999999999999" customHeight="1">
      <c r="B29" s="597">
        <f>IFERROR(MATCH(#REF!,BAS_Dates,0),0)</f>
        <v>0</v>
      </c>
      <c r="C29" s="1659" t="s">
        <v>292</v>
      </c>
      <c r="D29" s="1659"/>
      <c r="E29" s="1659"/>
      <c r="G29" s="693">
        <f>IFERROR(MATCH(#REF!,BAS_GST_Labels,0),0)</f>
        <v>0</v>
      </c>
      <c r="H29" s="693">
        <f>IFERROR(MATCH(#REF!,BAS_GST_Labels,0),0)</f>
        <v>0</v>
      </c>
      <c r="I29" s="693">
        <f>IFERROR(MATCH(#REF!,BAS_GST_Labels,0),0)</f>
        <v>0</v>
      </c>
      <c r="J29" s="693">
        <f>IFERROR(MATCH(#REF!,BAS_GST_Labels,0),0)</f>
        <v>0</v>
      </c>
      <c r="L29" s="615">
        <f>IFERROR(MATCH(#REF!,BAS_GST_Labels,0),0)</f>
        <v>0</v>
      </c>
      <c r="M29" s="615">
        <f>IFERROR(MATCH(#REF!,BAS_GST_Labels,0),0)</f>
        <v>0</v>
      </c>
      <c r="N29" s="615">
        <f>IFERROR(MATCH(#REF!,BAS_GST_Labels,0),0)</f>
        <v>0</v>
      </c>
      <c r="O29" s="615">
        <f>IFERROR(MATCH(#REF!,BAS_GST_Labels,0),0)</f>
        <v>0</v>
      </c>
      <c r="P29" s="175"/>
      <c r="R29" s="702"/>
      <c r="S29" s="702"/>
    </row>
    <row r="30" spans="1:34" s="18" customFormat="1" ht="16.899999999999999" customHeight="1">
      <c r="B30" s="597"/>
      <c r="C30" s="1660" t="s">
        <v>594</v>
      </c>
      <c r="D30" s="1660"/>
      <c r="E30" s="1660"/>
      <c r="G30" s="693"/>
      <c r="H30" s="693"/>
      <c r="I30" s="26"/>
      <c r="J30" s="26"/>
      <c r="L30" s="615"/>
      <c r="M30" s="615"/>
      <c r="N30" s="26"/>
      <c r="O30" s="26"/>
      <c r="P30" s="24"/>
      <c r="R30" s="174"/>
      <c r="S30" s="568"/>
    </row>
    <row r="31" spans="1:34" s="18" customFormat="1" ht="7.5" customHeight="1">
      <c r="B31" s="597"/>
      <c r="C31" s="701"/>
      <c r="D31" s="701"/>
      <c r="E31" s="701"/>
      <c r="G31" s="693"/>
      <c r="H31" s="700"/>
      <c r="I31" s="700"/>
      <c r="J31" s="700"/>
      <c r="K31" s="700"/>
      <c r="L31" s="700"/>
      <c r="M31" s="700"/>
      <c r="N31" s="700"/>
      <c r="O31" s="700"/>
      <c r="P31" s="699"/>
      <c r="R31" s="64"/>
      <c r="S31" s="73"/>
    </row>
    <row r="32" spans="1:34" s="18" customFormat="1" ht="16.899999999999999" customHeight="1">
      <c r="B32" s="597">
        <f>IFERROR(MATCH(#REF!,BAS_Dates,0),0)</f>
        <v>0</v>
      </c>
      <c r="C32" s="1659" t="s">
        <v>593</v>
      </c>
      <c r="D32" s="1659"/>
      <c r="E32" s="1659"/>
      <c r="G32" s="615"/>
      <c r="H32" s="615"/>
      <c r="I32" s="615"/>
      <c r="J32" s="615"/>
      <c r="L32" s="615"/>
      <c r="M32" s="615"/>
      <c r="N32" s="615"/>
      <c r="O32" s="615"/>
      <c r="P32" s="175"/>
      <c r="R32" s="64"/>
      <c r="S32" s="73"/>
    </row>
    <row r="33" spans="2:20" s="18" customFormat="1" ht="16.899999999999999" customHeight="1">
      <c r="B33" s="597">
        <f t="shared" ref="B33:B44" si="0">IFERROR(MATCH(E33,BAS_Dates,0),0)</f>
        <v>3</v>
      </c>
      <c r="C33" s="1634" t="str">
        <f t="shared" ref="C33:C44" si="1">TEXT(E33,"MMM yyyy")</f>
        <v>Jul 2023</v>
      </c>
      <c r="D33" s="1635"/>
      <c r="E33" s="672">
        <f t="shared" ref="E33:E43" si="2">DATE(YEAR(E34),MONTH(E34),0)</f>
        <v>45138</v>
      </c>
      <c r="G33" s="25" t="str">
        <f t="shared" ref="G33:G44" si="3">L197</f>
        <v/>
      </c>
      <c r="H33" s="26" t="str">
        <f>IF(E219=0,"",E219)</f>
        <v/>
      </c>
      <c r="I33" s="25">
        <f t="shared" ref="I33:I44" si="4">IF(OR(H33=0,H33=""),0,H33-TRUNC(H33,0))</f>
        <v>0</v>
      </c>
      <c r="J33" s="25">
        <f t="shared" ref="J33:J44" si="5">IF(H33="",0,H33)-I33-IF(G33="",0,G33)</f>
        <v>0</v>
      </c>
      <c r="L33" s="25" t="str">
        <f t="shared" ref="L33:L44" si="6">M197</f>
        <v/>
      </c>
      <c r="M33" s="26" t="str">
        <f>IF(E236=0,"",E236)</f>
        <v/>
      </c>
      <c r="N33" s="25">
        <f t="shared" ref="N33:N44" si="7">IF(OR(M33=0,M33=""),0,M33-TRUNC(M33,0))</f>
        <v>0</v>
      </c>
      <c r="O33" s="25">
        <f t="shared" ref="O33:O44" si="8">IF(M33="",0,M33)-N33-IF(L33="",0,L33)</f>
        <v>0</v>
      </c>
      <c r="P33" s="24"/>
      <c r="R33" s="174"/>
      <c r="S33" s="568"/>
      <c r="T33" s="65" t="b">
        <f>SelectedFrequency&lt;&gt;"Monthly"</f>
        <v>0</v>
      </c>
    </row>
    <row r="34" spans="2:20" s="18" customFormat="1" ht="16.899999999999999" customHeight="1">
      <c r="B34" s="597">
        <f t="shared" si="0"/>
        <v>4</v>
      </c>
      <c r="C34" s="1634" t="str">
        <f t="shared" si="1"/>
        <v>Aug 2023</v>
      </c>
      <c r="D34" s="1635"/>
      <c r="E34" s="672">
        <f t="shared" si="2"/>
        <v>45169</v>
      </c>
      <c r="G34" s="25" t="str">
        <f t="shared" si="3"/>
        <v/>
      </c>
      <c r="H34" s="26" t="str">
        <f>IF(E220=0,"",E220)</f>
        <v/>
      </c>
      <c r="I34" s="25">
        <f t="shared" si="4"/>
        <v>0</v>
      </c>
      <c r="J34" s="25">
        <f t="shared" si="5"/>
        <v>0</v>
      </c>
      <c r="L34" s="25" t="str">
        <f t="shared" si="6"/>
        <v/>
      </c>
      <c r="M34" s="26" t="str">
        <f>IF(E237=0,"",E237)</f>
        <v/>
      </c>
      <c r="N34" s="25">
        <f t="shared" si="7"/>
        <v>0</v>
      </c>
      <c r="O34" s="25">
        <f t="shared" si="8"/>
        <v>0</v>
      </c>
      <c r="P34" s="24"/>
      <c r="R34" s="174"/>
      <c r="S34" s="568"/>
      <c r="T34" s="65" t="b">
        <f>SelectedFrequency&lt;&gt;"Monthly"</f>
        <v>0</v>
      </c>
    </row>
    <row r="35" spans="2:20" s="18" customFormat="1" ht="16.899999999999999" customHeight="1">
      <c r="B35" s="597">
        <f t="shared" si="0"/>
        <v>5</v>
      </c>
      <c r="C35" s="1634" t="str">
        <f t="shared" si="1"/>
        <v>Sep 2023</v>
      </c>
      <c r="D35" s="1635"/>
      <c r="E35" s="672">
        <f t="shared" si="2"/>
        <v>45199</v>
      </c>
      <c r="G35" s="25" t="str">
        <f t="shared" si="3"/>
        <v/>
      </c>
      <c r="H35" s="26" t="str">
        <f>IF(E221=0,IF(E252=0,"",E252),E221)</f>
        <v/>
      </c>
      <c r="I35" s="25">
        <f t="shared" si="4"/>
        <v>0</v>
      </c>
      <c r="J35" s="25">
        <f t="shared" si="5"/>
        <v>0</v>
      </c>
      <c r="L35" s="25" t="str">
        <f t="shared" si="6"/>
        <v/>
      </c>
      <c r="M35" s="26" t="str">
        <f>IF(E238=0,IF(E261=0,"",E261),E238)</f>
        <v/>
      </c>
      <c r="N35" s="25">
        <f t="shared" si="7"/>
        <v>0</v>
      </c>
      <c r="O35" s="25">
        <f t="shared" si="8"/>
        <v>0</v>
      </c>
      <c r="P35" s="24"/>
      <c r="R35" s="174"/>
      <c r="S35" s="568"/>
      <c r="T35" s="17" t="b">
        <f>AND(SelectedFrequency&lt;&gt;"Monthly", SelectedFrequency&lt;&gt;"Quarterly")</f>
        <v>0</v>
      </c>
    </row>
    <row r="36" spans="2:20" s="18" customFormat="1" ht="16.899999999999999" customHeight="1">
      <c r="B36" s="597">
        <f t="shared" si="0"/>
        <v>6</v>
      </c>
      <c r="C36" s="1634" t="str">
        <f t="shared" si="1"/>
        <v>Oct 2023</v>
      </c>
      <c r="D36" s="1635"/>
      <c r="E36" s="672">
        <f t="shared" si="2"/>
        <v>45230</v>
      </c>
      <c r="G36" s="25" t="str">
        <f t="shared" si="3"/>
        <v/>
      </c>
      <c r="H36" s="26" t="str">
        <f>IF(E222=0,"",E222)</f>
        <v/>
      </c>
      <c r="I36" s="25">
        <f t="shared" si="4"/>
        <v>0</v>
      </c>
      <c r="J36" s="25">
        <f t="shared" si="5"/>
        <v>0</v>
      </c>
      <c r="L36" s="25" t="str">
        <f t="shared" si="6"/>
        <v/>
      </c>
      <c r="M36" s="26" t="str">
        <f>IF(E239=0,"",E239)</f>
        <v/>
      </c>
      <c r="N36" s="25">
        <f t="shared" si="7"/>
        <v>0</v>
      </c>
      <c r="O36" s="25">
        <f t="shared" si="8"/>
        <v>0</v>
      </c>
      <c r="P36" s="24"/>
      <c r="R36" s="174"/>
      <c r="S36" s="568"/>
      <c r="T36" s="65" t="b">
        <f>SelectedFrequency&lt;&gt;"Monthly"</f>
        <v>0</v>
      </c>
    </row>
    <row r="37" spans="2:20" s="18" customFormat="1" ht="16.899999999999999" customHeight="1">
      <c r="B37" s="597">
        <f t="shared" si="0"/>
        <v>7</v>
      </c>
      <c r="C37" s="1634" t="str">
        <f t="shared" si="1"/>
        <v>Nov 2023</v>
      </c>
      <c r="D37" s="1635"/>
      <c r="E37" s="672">
        <f t="shared" si="2"/>
        <v>45260</v>
      </c>
      <c r="G37" s="25" t="str">
        <f t="shared" si="3"/>
        <v/>
      </c>
      <c r="H37" s="26" t="str">
        <f>IF(E223=0,"",E223)</f>
        <v/>
      </c>
      <c r="I37" s="25">
        <f t="shared" si="4"/>
        <v>0</v>
      </c>
      <c r="J37" s="25">
        <f t="shared" si="5"/>
        <v>0</v>
      </c>
      <c r="L37" s="25" t="str">
        <f t="shared" si="6"/>
        <v/>
      </c>
      <c r="M37" s="26" t="str">
        <f>IF(E240=0,"",E240)</f>
        <v/>
      </c>
      <c r="N37" s="25">
        <f t="shared" si="7"/>
        <v>0</v>
      </c>
      <c r="O37" s="25">
        <f t="shared" si="8"/>
        <v>0</v>
      </c>
      <c r="P37" s="24"/>
      <c r="R37" s="174"/>
      <c r="S37" s="568"/>
      <c r="T37" s="65" t="b">
        <f>SelectedFrequency&lt;&gt;"Monthly"</f>
        <v>0</v>
      </c>
    </row>
    <row r="38" spans="2:20" s="18" customFormat="1" ht="16.899999999999999" customHeight="1">
      <c r="B38" s="597">
        <f t="shared" si="0"/>
        <v>8</v>
      </c>
      <c r="C38" s="1634" t="str">
        <f t="shared" si="1"/>
        <v>Dec 2023</v>
      </c>
      <c r="D38" s="1635"/>
      <c r="E38" s="672">
        <f t="shared" si="2"/>
        <v>45291</v>
      </c>
      <c r="G38" s="25" t="str">
        <f t="shared" si="3"/>
        <v/>
      </c>
      <c r="H38" s="26" t="str">
        <f>IF(E224=0,IF(E253=0,"",E253),E224)</f>
        <v/>
      </c>
      <c r="I38" s="25">
        <f t="shared" si="4"/>
        <v>0</v>
      </c>
      <c r="J38" s="25">
        <f t="shared" si="5"/>
        <v>0</v>
      </c>
      <c r="L38" s="25" t="str">
        <f t="shared" si="6"/>
        <v/>
      </c>
      <c r="M38" s="26" t="str">
        <f>IF(E241=0,IF(E262=0,"",E262),E241)</f>
        <v/>
      </c>
      <c r="N38" s="25">
        <f t="shared" si="7"/>
        <v>0</v>
      </c>
      <c r="O38" s="25">
        <f t="shared" si="8"/>
        <v>0</v>
      </c>
      <c r="P38" s="24"/>
      <c r="R38" s="174"/>
      <c r="S38" s="568"/>
      <c r="T38" s="17" t="b">
        <f>AND(SelectedFrequency&lt;&gt;"Monthly", SelectedFrequency&lt;&gt;"Quarterly")</f>
        <v>0</v>
      </c>
    </row>
    <row r="39" spans="2:20" s="18" customFormat="1" ht="16.899999999999999" customHeight="1">
      <c r="B39" s="597">
        <f t="shared" si="0"/>
        <v>9</v>
      </c>
      <c r="C39" s="1634" t="str">
        <f t="shared" si="1"/>
        <v>Jan 2024</v>
      </c>
      <c r="D39" s="1635"/>
      <c r="E39" s="672">
        <f t="shared" si="2"/>
        <v>45322</v>
      </c>
      <c r="G39" s="25" t="str">
        <f t="shared" si="3"/>
        <v/>
      </c>
      <c r="H39" s="26" t="str">
        <f>IF(E225=0,"",E225)</f>
        <v/>
      </c>
      <c r="I39" s="25">
        <f t="shared" si="4"/>
        <v>0</v>
      </c>
      <c r="J39" s="25">
        <f t="shared" si="5"/>
        <v>0</v>
      </c>
      <c r="L39" s="25" t="str">
        <f t="shared" si="6"/>
        <v/>
      </c>
      <c r="M39" s="26" t="str">
        <f>IF(E242=0,"",E242)</f>
        <v/>
      </c>
      <c r="N39" s="25">
        <f t="shared" si="7"/>
        <v>0</v>
      </c>
      <c r="O39" s="25">
        <f t="shared" si="8"/>
        <v>0</v>
      </c>
      <c r="P39" s="24"/>
      <c r="R39" s="174"/>
      <c r="S39" s="568"/>
      <c r="T39" s="65" t="b">
        <f>SelectedFrequency&lt;&gt;"Monthly"</f>
        <v>0</v>
      </c>
    </row>
    <row r="40" spans="2:20" s="18" customFormat="1" ht="16.899999999999999" customHeight="1">
      <c r="B40" s="597">
        <f t="shared" si="0"/>
        <v>10</v>
      </c>
      <c r="C40" s="1634" t="str">
        <f t="shared" si="1"/>
        <v>Feb 2024</v>
      </c>
      <c r="D40" s="1635"/>
      <c r="E40" s="672">
        <f t="shared" si="2"/>
        <v>45351</v>
      </c>
      <c r="G40" s="25" t="str">
        <f t="shared" si="3"/>
        <v/>
      </c>
      <c r="H40" s="26" t="str">
        <f>IF(E226=0,"",E226)</f>
        <v/>
      </c>
      <c r="I40" s="25">
        <f t="shared" si="4"/>
        <v>0</v>
      </c>
      <c r="J40" s="25">
        <f t="shared" si="5"/>
        <v>0</v>
      </c>
      <c r="L40" s="25" t="str">
        <f t="shared" si="6"/>
        <v/>
      </c>
      <c r="M40" s="26" t="str">
        <f>IF(E243=0,"",E243)</f>
        <v/>
      </c>
      <c r="N40" s="25">
        <f t="shared" si="7"/>
        <v>0</v>
      </c>
      <c r="O40" s="25">
        <f t="shared" si="8"/>
        <v>0</v>
      </c>
      <c r="P40" s="24"/>
      <c r="R40" s="174"/>
      <c r="S40" s="568"/>
      <c r="T40" s="65" t="b">
        <f>SelectedFrequency&lt;&gt;"Monthly"</f>
        <v>0</v>
      </c>
    </row>
    <row r="41" spans="2:20" s="18" customFormat="1" ht="16.899999999999999" customHeight="1">
      <c r="B41" s="597">
        <f t="shared" si="0"/>
        <v>11</v>
      </c>
      <c r="C41" s="1634" t="str">
        <f t="shared" si="1"/>
        <v>Mar 2024</v>
      </c>
      <c r="D41" s="1635"/>
      <c r="E41" s="672">
        <f t="shared" si="2"/>
        <v>45382</v>
      </c>
      <c r="G41" s="25" t="str">
        <f t="shared" si="3"/>
        <v/>
      </c>
      <c r="H41" s="26" t="str">
        <f>IF(E227=0,IF(E254=0,"",E254),E227)</f>
        <v/>
      </c>
      <c r="I41" s="25">
        <f t="shared" si="4"/>
        <v>0</v>
      </c>
      <c r="J41" s="25">
        <f t="shared" si="5"/>
        <v>0</v>
      </c>
      <c r="L41" s="25" t="str">
        <f t="shared" si="6"/>
        <v/>
      </c>
      <c r="M41" s="26" t="str">
        <f>IF(E244=0,IF(E263=0,"",E263),E244)</f>
        <v/>
      </c>
      <c r="N41" s="25">
        <f t="shared" si="7"/>
        <v>0</v>
      </c>
      <c r="O41" s="25">
        <f t="shared" si="8"/>
        <v>0</v>
      </c>
      <c r="P41" s="24"/>
      <c r="R41" s="174"/>
      <c r="S41" s="568"/>
      <c r="T41" s="17" t="b">
        <f>AND(SelectedFrequency&lt;&gt;"Monthly", SelectedFrequency&lt;&gt;"Quarterly")</f>
        <v>0</v>
      </c>
    </row>
    <row r="42" spans="2:20" s="18" customFormat="1" ht="16.899999999999999" customHeight="1">
      <c r="B42" s="597">
        <f t="shared" si="0"/>
        <v>12</v>
      </c>
      <c r="C42" s="1634" t="str">
        <f t="shared" si="1"/>
        <v>Apr 2024</v>
      </c>
      <c r="D42" s="1635"/>
      <c r="E42" s="672">
        <f t="shared" si="2"/>
        <v>45412</v>
      </c>
      <c r="G42" s="25" t="str">
        <f t="shared" si="3"/>
        <v/>
      </c>
      <c r="H42" s="26" t="str">
        <f>IF(E228=0,"",E228)</f>
        <v/>
      </c>
      <c r="I42" s="25">
        <f t="shared" si="4"/>
        <v>0</v>
      </c>
      <c r="J42" s="25">
        <f t="shared" si="5"/>
        <v>0</v>
      </c>
      <c r="L42" s="25" t="str">
        <f t="shared" si="6"/>
        <v/>
      </c>
      <c r="M42" s="26" t="str">
        <f>IF(E245=0,"",E245)</f>
        <v/>
      </c>
      <c r="N42" s="25">
        <f t="shared" si="7"/>
        <v>0</v>
      </c>
      <c r="O42" s="25">
        <f t="shared" si="8"/>
        <v>0</v>
      </c>
      <c r="P42" s="24"/>
      <c r="R42" s="174"/>
      <c r="S42" s="568"/>
      <c r="T42" s="65" t="b">
        <f>SelectedFrequency&lt;&gt;"Monthly"</f>
        <v>0</v>
      </c>
    </row>
    <row r="43" spans="2:20" s="18" customFormat="1" ht="16.899999999999999" customHeight="1">
      <c r="B43" s="597">
        <f t="shared" si="0"/>
        <v>13</v>
      </c>
      <c r="C43" s="1634" t="str">
        <f t="shared" si="1"/>
        <v>May 2024</v>
      </c>
      <c r="D43" s="1635"/>
      <c r="E43" s="672">
        <f t="shared" si="2"/>
        <v>45443</v>
      </c>
      <c r="G43" s="25" t="str">
        <f t="shared" si="3"/>
        <v/>
      </c>
      <c r="H43" s="26" t="str">
        <f>IF(E229=0,"",E229)</f>
        <v/>
      </c>
      <c r="I43" s="25">
        <f t="shared" si="4"/>
        <v>0</v>
      </c>
      <c r="J43" s="25">
        <f t="shared" si="5"/>
        <v>0</v>
      </c>
      <c r="L43" s="25" t="str">
        <f t="shared" si="6"/>
        <v/>
      </c>
      <c r="M43" s="26" t="str">
        <f>IF(E246=0,"",E246)</f>
        <v/>
      </c>
      <c r="N43" s="25">
        <f t="shared" si="7"/>
        <v>0</v>
      </c>
      <c r="O43" s="25">
        <f t="shared" si="8"/>
        <v>0</v>
      </c>
      <c r="P43" s="24"/>
      <c r="R43" s="174"/>
      <c r="S43" s="568"/>
      <c r="T43" s="65" t="b">
        <f>SelectedFrequency&lt;&gt;"Monthly"</f>
        <v>0</v>
      </c>
    </row>
    <row r="44" spans="2:20" s="18" customFormat="1" ht="16.899999999999999" customHeight="1">
      <c r="B44" s="597">
        <f t="shared" si="0"/>
        <v>14</v>
      </c>
      <c r="C44" s="1634" t="str">
        <f t="shared" si="1"/>
        <v>Jun 2024</v>
      </c>
      <c r="D44" s="1635"/>
      <c r="E44" s="672" cm="1">
        <f t="array" ref="E44">TaxYearEnd</f>
        <v>45473</v>
      </c>
      <c r="G44" s="25">
        <f t="shared" si="3"/>
        <v>0</v>
      </c>
      <c r="H44" s="26" t="str">
        <f>IF(E230&gt;0, E230, IF(E255&gt;0, E255, IF(E269&gt;0, E269, "")))</f>
        <v/>
      </c>
      <c r="I44" s="25">
        <f t="shared" si="4"/>
        <v>0</v>
      </c>
      <c r="J44" s="25">
        <f t="shared" si="5"/>
        <v>0</v>
      </c>
      <c r="L44" s="25">
        <f t="shared" si="6"/>
        <v>0</v>
      </c>
      <c r="M44" s="26" t="str">
        <f>IF(E247&gt;0, E247, IF(E264&gt;0, E264, IF(E275&gt;0, E275, "")))</f>
        <v/>
      </c>
      <c r="N44" s="25">
        <f t="shared" si="7"/>
        <v>0</v>
      </c>
      <c r="O44" s="25">
        <f t="shared" si="8"/>
        <v>0</v>
      </c>
      <c r="P44" s="24"/>
      <c r="R44" s="174"/>
      <c r="S44" s="568"/>
    </row>
    <row r="45" spans="2:20" s="18" customFormat="1" ht="7.15" customHeight="1">
      <c r="B45" s="597"/>
      <c r="C45" s="70"/>
      <c r="D45" s="70"/>
      <c r="E45" s="697"/>
      <c r="G45" s="698"/>
      <c r="H45" s="695"/>
      <c r="I45" s="695"/>
      <c r="J45" s="695"/>
      <c r="L45" s="696"/>
      <c r="M45" s="695"/>
      <c r="N45" s="695"/>
      <c r="O45" s="695"/>
      <c r="P45" s="24"/>
      <c r="R45" s="64"/>
      <c r="S45" s="64"/>
    </row>
    <row r="46" spans="2:20" s="18" customFormat="1" ht="17.25" customHeight="1">
      <c r="B46" s="597"/>
      <c r="C46" s="1636" t="s">
        <v>578</v>
      </c>
      <c r="D46" s="1637"/>
      <c r="E46" s="1638"/>
      <c r="G46" s="25">
        <f>N209</f>
        <v>0</v>
      </c>
      <c r="H46" s="26"/>
      <c r="I46" s="25">
        <f>IF(OR(H46=0,H46=""),0,H46-TRUNC(H46,0))</f>
        <v>0</v>
      </c>
      <c r="J46" s="25">
        <f>IF(H46="",0,H46)-I46-IF(G46="",0,G46)</f>
        <v>0</v>
      </c>
      <c r="L46" s="696"/>
      <c r="M46" s="695"/>
      <c r="N46" s="695"/>
      <c r="O46" s="695"/>
      <c r="P46" s="24"/>
      <c r="R46" s="64"/>
      <c r="S46" s="64"/>
    </row>
    <row r="47" spans="2:20" s="18" customFormat="1" ht="7.5" customHeight="1">
      <c r="B47" s="597"/>
      <c r="C47" s="70"/>
      <c r="D47" s="70"/>
      <c r="E47" s="697"/>
      <c r="G47" s="698"/>
      <c r="H47" s="695"/>
      <c r="I47" s="695"/>
      <c r="J47" s="695"/>
      <c r="L47" s="696"/>
      <c r="M47" s="695"/>
      <c r="N47" s="695"/>
      <c r="O47" s="695"/>
      <c r="P47" s="24"/>
      <c r="R47" s="64"/>
      <c r="S47" s="64"/>
    </row>
    <row r="48" spans="2:20" s="18" customFormat="1" ht="16.899999999999999" customHeight="1">
      <c r="B48" s="597"/>
      <c r="C48" s="1631" t="s">
        <v>592</v>
      </c>
      <c r="D48" s="1632"/>
      <c r="E48" s="1633"/>
      <c r="G48" s="26"/>
      <c r="H48" s="695"/>
      <c r="I48" s="695"/>
      <c r="J48" s="25">
        <f>IF(H48="",0,H48)-I48-IF(G48="",0,G48)</f>
        <v>0</v>
      </c>
      <c r="L48" s="26"/>
      <c r="M48" s="695"/>
      <c r="N48" s="695"/>
      <c r="O48" s="25">
        <f>IF(M48="",0,M48)-N48-IF(L48="",0,L48)</f>
        <v>0</v>
      </c>
      <c r="P48" s="24"/>
      <c r="R48" s="174"/>
      <c r="S48" s="568"/>
    </row>
    <row r="49" spans="2:19" s="18" customFormat="1" ht="16.899999999999999" customHeight="1">
      <c r="B49" s="597"/>
      <c r="C49" s="1631"/>
      <c r="D49" s="1632"/>
      <c r="E49" s="1633"/>
      <c r="G49" s="26"/>
      <c r="H49" s="695"/>
      <c r="I49" s="695"/>
      <c r="J49" s="25">
        <f>IF(H49="",0,H49)-I49-IF(G49="",0,G49)</f>
        <v>0</v>
      </c>
      <c r="L49" s="26"/>
      <c r="M49" s="695"/>
      <c r="N49" s="695"/>
      <c r="O49" s="25">
        <f>IF(M49="",0,M49)-N49-IF(L49="",0,L49)</f>
        <v>0</v>
      </c>
      <c r="P49" s="24"/>
      <c r="R49" s="174"/>
      <c r="S49" s="568"/>
    </row>
    <row r="50" spans="2:19" s="18" customFormat="1" ht="7.15" customHeight="1">
      <c r="B50" s="597"/>
      <c r="C50" s="70"/>
      <c r="D50" s="70"/>
      <c r="E50" s="697"/>
      <c r="G50" s="695"/>
      <c r="H50" s="695"/>
      <c r="I50" s="695"/>
      <c r="J50" s="695"/>
      <c r="L50" s="696"/>
      <c r="M50" s="695"/>
      <c r="N50" s="695"/>
      <c r="O50" s="695"/>
      <c r="P50" s="24"/>
      <c r="R50" s="64"/>
      <c r="S50" s="64"/>
    </row>
    <row r="51" spans="2:19" s="18" customFormat="1" ht="16.899999999999999" customHeight="1">
      <c r="B51" s="597"/>
      <c r="C51" s="71" t="s">
        <v>364</v>
      </c>
      <c r="D51" s="70"/>
      <c r="E51" s="70"/>
      <c r="F51" s="611"/>
      <c r="G51" s="69">
        <f>SUBTOTAL(9,G33:G49)</f>
        <v>0</v>
      </c>
      <c r="H51" s="69">
        <f>SUBTOTAL(9,H33:H49)</f>
        <v>0</v>
      </c>
      <c r="I51" s="69">
        <f>SUBTOTAL(9,I33:I49)</f>
        <v>0</v>
      </c>
      <c r="J51" s="69">
        <f>SUBTOTAL(9,J33:J49)</f>
        <v>0</v>
      </c>
      <c r="L51" s="69">
        <f>SUBTOTAL(9,L33:L49)</f>
        <v>0</v>
      </c>
      <c r="M51" s="69">
        <f>SUBTOTAL(9,M33:M49)</f>
        <v>0</v>
      </c>
      <c r="N51" s="69">
        <f>SUBTOTAL(9,N33:N49)</f>
        <v>0</v>
      </c>
      <c r="O51" s="69">
        <f>SUBTOTAL(9,O33:O49)</f>
        <v>0</v>
      </c>
      <c r="P51" s="24"/>
      <c r="R51" s="174"/>
      <c r="S51" s="568"/>
    </row>
    <row r="52" spans="2:19" s="18" customFormat="1" ht="7.15" customHeight="1">
      <c r="B52" s="597"/>
      <c r="C52" s="70"/>
      <c r="D52" s="70"/>
      <c r="E52" s="697"/>
      <c r="G52" s="695"/>
      <c r="H52" s="695"/>
      <c r="I52" s="695"/>
      <c r="J52" s="695"/>
      <c r="L52" s="696"/>
      <c r="M52" s="695"/>
      <c r="N52" s="695"/>
      <c r="O52" s="695"/>
      <c r="P52" s="24"/>
      <c r="R52" s="64"/>
      <c r="S52" s="64"/>
    </row>
    <row r="53" spans="2:19" s="18" customFormat="1" ht="16.899999999999999" customHeight="1">
      <c r="B53" s="597">
        <f>IFERROR(MATCH(#REF!,BAS_Dates,0),0)</f>
        <v>0</v>
      </c>
      <c r="C53" s="287" t="s">
        <v>517</v>
      </c>
      <c r="G53" s="693">
        <f>IFERROR(MATCH(#REF!,BAS_GST_Labels,0),0)</f>
        <v>0</v>
      </c>
      <c r="H53" s="693">
        <f>IFERROR(MATCH(#REF!,BAS_GST_Labels,0),0)</f>
        <v>0</v>
      </c>
      <c r="I53" s="693">
        <f>IFERROR(MATCH(#REF!,BAS_GST_Labels,0),0)</f>
        <v>0</v>
      </c>
      <c r="J53" s="693">
        <f>IFERROR(MATCH(#REF!,BAS_GST_Labels,0),0)</f>
        <v>0</v>
      </c>
      <c r="L53" s="615">
        <f>IFERROR(MATCH(#REF!,BAS_GST_Labels,0),0)</f>
        <v>0</v>
      </c>
      <c r="M53" s="615">
        <f>IFERROR(MATCH(#REF!,BAS_GST_Labels,0),0)</f>
        <v>0</v>
      </c>
      <c r="N53" s="615">
        <f>IFERROR(MATCH(#REF!,BAS_GST_Labels,0),0)</f>
        <v>0</v>
      </c>
      <c r="O53" s="615">
        <f>IFERROR(MATCH(#REF!,BAS_GST_Labels,0),0)</f>
        <v>0</v>
      </c>
      <c r="P53" s="175"/>
      <c r="R53" s="64"/>
      <c r="S53" s="64"/>
    </row>
    <row r="54" spans="2:19" s="18" customFormat="1" ht="16.899999999999999" customHeight="1">
      <c r="B54" s="597"/>
      <c r="C54" s="1663" t="s">
        <v>550</v>
      </c>
      <c r="D54" s="1664"/>
      <c r="E54" s="1665"/>
      <c r="G54" s="693">
        <f>IFERROR(MATCH(#REF!,BAS_GST_Labels,0),0)</f>
        <v>0</v>
      </c>
      <c r="H54" s="26">
        <f>-I51</f>
        <v>0</v>
      </c>
      <c r="I54" s="25">
        <f>H54</f>
        <v>0</v>
      </c>
      <c r="J54" s="25">
        <f>IF(H54="",0,H54)-I54-IF(G54="",0,G54)</f>
        <v>0</v>
      </c>
      <c r="L54" s="615">
        <f>IFERROR(MATCH(#REF!,BAS_GST_Labels,0),0)</f>
        <v>0</v>
      </c>
      <c r="M54" s="72">
        <f>-N51</f>
        <v>0</v>
      </c>
      <c r="N54" s="25">
        <f>M54</f>
        <v>0</v>
      </c>
      <c r="O54" s="25">
        <f>IF(M54="",0,M54)-N54-IF(L54="",0,L54)</f>
        <v>0</v>
      </c>
      <c r="P54" s="24"/>
      <c r="R54" s="174"/>
      <c r="S54" s="568"/>
    </row>
    <row r="55" spans="2:19" s="18" customFormat="1" ht="16.899999999999999" customHeight="1">
      <c r="B55" s="597"/>
      <c r="C55" s="1631" t="s">
        <v>283</v>
      </c>
      <c r="D55" s="1632"/>
      <c r="E55" s="1633"/>
      <c r="G55" s="693">
        <f>IFERROR(MATCH(#REF!,BAS_GST_Labels,0),0)</f>
        <v>0</v>
      </c>
      <c r="H55" s="26"/>
      <c r="I55" s="26"/>
      <c r="J55" s="25">
        <f>IF(H55="",0,H55)-I55-IF(G55="",0,G55)</f>
        <v>0</v>
      </c>
      <c r="L55" s="615">
        <f>IFERROR(MATCH(#REF!,BAS_GST_Labels,0),0)</f>
        <v>0</v>
      </c>
      <c r="M55" s="26"/>
      <c r="N55" s="26"/>
      <c r="O55" s="25">
        <f>IF(M55="",0,M55)-N55-IF(L55="",0,L55)</f>
        <v>0</v>
      </c>
      <c r="P55" s="24"/>
      <c r="R55" s="174"/>
      <c r="S55" s="568"/>
    </row>
    <row r="56" spans="2:19" s="18" customFormat="1" ht="16.899999999999999" customHeight="1">
      <c r="B56" s="597"/>
      <c r="C56" s="1631"/>
      <c r="D56" s="1632"/>
      <c r="E56" s="1633"/>
      <c r="G56" s="693"/>
      <c r="H56" s="26"/>
      <c r="I56" s="26"/>
      <c r="J56" s="25">
        <f>IF(H56="",0,H56)-I56-IF(G56="",0,G56)</f>
        <v>0</v>
      </c>
      <c r="L56" s="615"/>
      <c r="M56" s="26"/>
      <c r="N56" s="26"/>
      <c r="O56" s="25">
        <f>IF(M56="",0,M56)-N56-IF(L56="",0,L56)</f>
        <v>0</v>
      </c>
      <c r="P56" s="24"/>
      <c r="R56" s="174"/>
      <c r="S56" s="568"/>
    </row>
    <row r="57" spans="2:19" s="18" customFormat="1" ht="16.899999999999999" customHeight="1">
      <c r="B57" s="597"/>
      <c r="C57" s="1631"/>
      <c r="D57" s="1632"/>
      <c r="E57" s="1633"/>
      <c r="G57" s="693"/>
      <c r="H57" s="26"/>
      <c r="I57" s="26"/>
      <c r="J57" s="25">
        <f>IF(H57="",0,H57)-I57-IF(G57="",0,G57)</f>
        <v>0</v>
      </c>
      <c r="L57" s="615"/>
      <c r="M57" s="26"/>
      <c r="N57" s="26"/>
      <c r="O57" s="25">
        <f>IF(M57="",0,M57)-N57-IF(L57="",0,L57)</f>
        <v>0</v>
      </c>
      <c r="P57" s="24"/>
      <c r="R57" s="174"/>
      <c r="S57" s="568"/>
    </row>
    <row r="58" spans="2:19" s="18" customFormat="1" ht="16.899999999999999" customHeight="1">
      <c r="B58" s="597"/>
      <c r="C58" s="1631"/>
      <c r="D58" s="1632"/>
      <c r="E58" s="1633"/>
      <c r="G58" s="693">
        <f>IFERROR(MATCH(#REF!,BAS_GST_Labels,0),0)</f>
        <v>0</v>
      </c>
      <c r="H58" s="26"/>
      <c r="I58" s="26"/>
      <c r="J58" s="25">
        <f>IF(H58="",0,H58)-I58-IF(G58="",0,G58)</f>
        <v>0</v>
      </c>
      <c r="L58" s="615">
        <f>IFERROR(MATCH(#REF!,BAS_GST_Labels,0),0)</f>
        <v>0</v>
      </c>
      <c r="M58" s="26"/>
      <c r="N58" s="26"/>
      <c r="O58" s="25">
        <f>IF(M58="",0,M58)-N58-IF(L58="",0,L58)</f>
        <v>0</v>
      </c>
      <c r="P58" s="24"/>
      <c r="R58" s="174"/>
      <c r="S58" s="568"/>
    </row>
    <row r="59" spans="2:19" s="18" customFormat="1" ht="7.5" customHeight="1">
      <c r="B59" s="597"/>
      <c r="C59" s="694"/>
      <c r="D59" s="694"/>
      <c r="E59" s="694"/>
      <c r="G59" s="693"/>
      <c r="H59" s="691"/>
      <c r="I59" s="692"/>
      <c r="L59" s="615"/>
      <c r="M59" s="691"/>
      <c r="N59" s="690"/>
      <c r="O59" s="690"/>
      <c r="P59" s="24"/>
      <c r="R59" s="64"/>
      <c r="S59" s="73"/>
    </row>
    <row r="60" spans="2:19" s="18" customFormat="1" ht="16.899999999999999" customHeight="1">
      <c r="B60" s="597"/>
      <c r="C60" s="71" t="s">
        <v>151</v>
      </c>
      <c r="D60" s="70"/>
      <c r="E60" s="70"/>
      <c r="F60" s="611"/>
      <c r="G60" s="69">
        <f>SUBTOTAL(9,G30:G59)</f>
        <v>0</v>
      </c>
      <c r="H60" s="69">
        <f>SUBTOTAL(9,H30:H59)</f>
        <v>0</v>
      </c>
      <c r="I60" s="689">
        <f>SUBTOTAL(9,I30:I59)</f>
        <v>0</v>
      </c>
      <c r="J60" s="689">
        <f>SUBTOTAL(9,J30:J59)</f>
        <v>0</v>
      </c>
      <c r="L60" s="69">
        <f>SUBTOTAL(9,L30:L59)</f>
        <v>0</v>
      </c>
      <c r="M60" s="69">
        <f>SUBTOTAL(9,M30:M59)</f>
        <v>0</v>
      </c>
      <c r="N60" s="689">
        <f>SUBTOTAL(9,N30:N59)</f>
        <v>0</v>
      </c>
      <c r="O60" s="689">
        <f>SUBTOTAL(9,O30:O59)</f>
        <v>0</v>
      </c>
      <c r="P60" s="24"/>
      <c r="R60" s="174"/>
      <c r="S60" s="568"/>
    </row>
    <row r="61" spans="2:19" s="18" customFormat="1" ht="16.899999999999999" customHeight="1">
      <c r="B61" s="597"/>
      <c r="C61" s="614" t="s">
        <v>591</v>
      </c>
      <c r="D61" s="70"/>
      <c r="E61" s="70"/>
      <c r="F61" s="611"/>
      <c r="G61" s="611"/>
      <c r="H61" s="611"/>
      <c r="I61" s="611"/>
      <c r="J61" s="69">
        <f>I60+J60</f>
        <v>0</v>
      </c>
      <c r="L61" s="611"/>
      <c r="M61" s="611"/>
      <c r="N61" s="611"/>
      <c r="O61" s="69">
        <f>N60+O60</f>
        <v>0</v>
      </c>
      <c r="P61" s="24"/>
      <c r="R61" s="174"/>
      <c r="S61" s="568"/>
    </row>
    <row r="62" spans="2:19" s="18" customFormat="1" ht="16.899999999999999" customHeight="1">
      <c r="B62" s="597"/>
      <c r="D62" s="70"/>
      <c r="E62" s="70"/>
      <c r="F62" s="611"/>
      <c r="G62" s="611"/>
      <c r="H62" s="611"/>
      <c r="I62" s="611"/>
      <c r="J62" s="69"/>
      <c r="L62" s="611"/>
      <c r="M62" s="611"/>
      <c r="N62" s="611"/>
      <c r="O62" s="69"/>
      <c r="P62" s="24"/>
      <c r="R62" s="64"/>
      <c r="S62" s="73"/>
    </row>
    <row r="63" spans="2:19" s="18" customFormat="1" ht="7.5" customHeight="1">
      <c r="B63" s="597"/>
      <c r="C63" s="688"/>
      <c r="D63" s="687"/>
      <c r="E63" s="687"/>
      <c r="F63" s="686"/>
      <c r="G63" s="686"/>
      <c r="H63" s="685"/>
      <c r="I63" s="611"/>
      <c r="J63" s="69"/>
      <c r="L63" s="611"/>
      <c r="M63" s="611"/>
      <c r="N63" s="611"/>
      <c r="O63" s="69"/>
      <c r="P63" s="24"/>
      <c r="R63" s="65"/>
      <c r="S63" s="65"/>
    </row>
    <row r="64" spans="2:19" s="18" customFormat="1" ht="16.899999999999999" customHeight="1">
      <c r="B64" s="597"/>
      <c r="C64" s="1661" t="s">
        <v>590</v>
      </c>
      <c r="D64" s="1662"/>
      <c r="E64" s="1662"/>
      <c r="F64" s="684"/>
      <c r="G64" s="683" t="str">
        <f>"Increase "&amp;IF(J64&gt;=0,"1A","1B")&amp;" by "&amp;TEXT(ABS(ROUNDDOWN(J64,0)),"$#,##0")</f>
        <v>Increase 1A by $0</v>
      </c>
      <c r="H64" s="682"/>
      <c r="I64" s="611"/>
      <c r="J64" s="681">
        <f>J61-O61</f>
        <v>0</v>
      </c>
      <c r="L64" s="611"/>
      <c r="M64" s="611"/>
      <c r="N64" s="611"/>
      <c r="O64" s="69"/>
      <c r="P64" s="24"/>
      <c r="R64" s="174"/>
      <c r="S64" s="568"/>
    </row>
    <row r="65" spans="1:19" s="18" customFormat="1" ht="7.5" customHeight="1">
      <c r="B65" s="597"/>
      <c r="C65" s="680"/>
      <c r="D65" s="679"/>
      <c r="E65" s="679"/>
      <c r="F65" s="678"/>
      <c r="G65" s="678"/>
      <c r="H65" s="677"/>
      <c r="I65" s="611"/>
      <c r="J65" s="69"/>
      <c r="L65" s="611"/>
      <c r="M65" s="611"/>
      <c r="N65" s="611"/>
      <c r="O65" s="69"/>
      <c r="P65" s="24"/>
      <c r="R65" s="65"/>
      <c r="S65" s="65"/>
    </row>
    <row r="66" spans="1:19" s="18" customFormat="1" ht="7.5" customHeight="1">
      <c r="B66" s="596"/>
      <c r="C66" s="20"/>
      <c r="D66" s="20"/>
      <c r="E66" s="20"/>
      <c r="F66" s="20"/>
      <c r="G66" s="20"/>
      <c r="H66" s="676"/>
      <c r="I66" s="20"/>
      <c r="J66" s="20"/>
      <c r="K66" s="20"/>
      <c r="L66" s="20"/>
      <c r="M66" s="20"/>
      <c r="N66" s="20"/>
      <c r="O66" s="20"/>
      <c r="P66" s="19"/>
    </row>
    <row r="67" spans="1:19" ht="22.5" customHeight="1">
      <c r="H67" s="107"/>
    </row>
    <row r="68" spans="1:19" ht="22.5" customHeight="1">
      <c r="A68" s="594" t="str">
        <f>IF(SUBTOTAL(103,A69),"-","+")</f>
        <v>+</v>
      </c>
      <c r="B68" s="1639" t="s">
        <v>589</v>
      </c>
      <c r="C68" s="1639"/>
      <c r="D68" s="1639"/>
      <c r="E68" s="1639"/>
      <c r="F68" s="1639"/>
      <c r="G68" s="1639"/>
      <c r="H68" s="675" t="str">
        <f>J115</f>
        <v>Out of Balance</v>
      </c>
      <c r="I68" s="65"/>
    </row>
    <row r="69" spans="1:19" ht="15" hidden="1" customHeight="1">
      <c r="A69" s="33" t="s">
        <v>58</v>
      </c>
      <c r="B69" s="603"/>
      <c r="H69" s="51"/>
      <c r="I69" s="51"/>
      <c r="J69" s="51"/>
      <c r="K69" s="51"/>
      <c r="L69" s="51"/>
      <c r="M69" s="51"/>
      <c r="N69" s="51"/>
      <c r="O69" s="51"/>
      <c r="P69" s="60"/>
    </row>
    <row r="70" spans="1:19" ht="17.25" hidden="1" customHeight="1">
      <c r="B70" s="603"/>
      <c r="C70" s="1657" t="s">
        <v>588</v>
      </c>
      <c r="D70" s="1658"/>
      <c r="E70" s="1658"/>
      <c r="F70" s="1658"/>
      <c r="G70" s="1658"/>
      <c r="H70" s="1658"/>
      <c r="I70" s="1658"/>
      <c r="J70" s="1658"/>
      <c r="K70" s="1658"/>
      <c r="L70" s="1658"/>
      <c r="M70" s="1658"/>
      <c r="N70" s="1658"/>
      <c r="O70" s="1658"/>
      <c r="P70" s="33"/>
    </row>
    <row r="71" spans="1:19" s="65" customFormat="1" ht="17.25" hidden="1" customHeight="1">
      <c r="B71" s="674"/>
      <c r="C71" s="1656" t="s">
        <v>587</v>
      </c>
      <c r="D71" s="1656"/>
      <c r="E71" s="1656"/>
      <c r="F71" s="1656"/>
      <c r="G71" s="1656"/>
      <c r="H71" s="1656"/>
      <c r="I71" s="1656"/>
      <c r="J71" s="1656"/>
      <c r="K71" s="1656"/>
      <c r="L71" s="1656"/>
      <c r="M71" s="1656"/>
      <c r="N71" s="1656"/>
      <c r="O71" s="1656"/>
      <c r="P71" s="201"/>
    </row>
    <row r="72" spans="1:19" s="65" customFormat="1" ht="17.25" hidden="1" customHeight="1">
      <c r="B72" s="674"/>
      <c r="C72" s="1656" t="s">
        <v>586</v>
      </c>
      <c r="D72" s="1656"/>
      <c r="E72" s="1656"/>
      <c r="F72" s="1656"/>
      <c r="G72" s="1656"/>
      <c r="H72" s="1656"/>
      <c r="I72" s="1656"/>
      <c r="J72" s="1656"/>
      <c r="K72" s="1656"/>
      <c r="L72" s="1656"/>
      <c r="M72" s="1656"/>
      <c r="N72" s="1656"/>
      <c r="O72" s="1656"/>
      <c r="P72" s="201"/>
    </row>
    <row r="73" spans="1:19" s="65" customFormat="1" ht="17.25" hidden="1" customHeight="1">
      <c r="B73" s="674"/>
      <c r="C73" s="1656" t="s">
        <v>585</v>
      </c>
      <c r="D73" s="1656"/>
      <c r="E73" s="1656"/>
      <c r="F73" s="1656"/>
      <c r="G73" s="1656"/>
      <c r="H73" s="1656"/>
      <c r="I73" s="1656"/>
      <c r="J73" s="1656"/>
      <c r="K73" s="1656"/>
      <c r="L73" s="1656"/>
      <c r="M73" s="1656"/>
      <c r="P73" s="201"/>
    </row>
    <row r="74" spans="1:19" ht="17.25" hidden="1" customHeight="1">
      <c r="B74" s="603"/>
      <c r="P74" s="33"/>
    </row>
    <row r="75" spans="1:19" ht="22.15" hidden="1" customHeight="1">
      <c r="B75" s="603"/>
      <c r="C75" s="289"/>
      <c r="D75" s="216"/>
      <c r="E75" s="216"/>
      <c r="G75" s="1626" t="s">
        <v>584</v>
      </c>
      <c r="H75" s="1630"/>
      <c r="I75" s="1627"/>
      <c r="K75" s="1626" t="s">
        <v>583</v>
      </c>
      <c r="L75" s="1630"/>
      <c r="M75" s="1627"/>
      <c r="N75" s="272"/>
      <c r="O75" s="272"/>
      <c r="P75" s="33"/>
      <c r="S75" s="42"/>
    </row>
    <row r="76" spans="1:19" s="31" customFormat="1" ht="31.5" hidden="1" customHeight="1">
      <c r="B76" s="607"/>
      <c r="C76" s="289"/>
      <c r="D76" s="216"/>
      <c r="E76" s="216"/>
      <c r="F76" s="17"/>
      <c r="G76" s="37" t="s">
        <v>271</v>
      </c>
      <c r="H76" s="36" t="s">
        <v>582</v>
      </c>
      <c r="I76" s="35" t="s">
        <v>269</v>
      </c>
      <c r="J76" s="17"/>
      <c r="K76" s="37" t="s">
        <v>271</v>
      </c>
      <c r="L76" s="36" t="s">
        <v>582</v>
      </c>
      <c r="M76" s="35" t="s">
        <v>269</v>
      </c>
      <c r="N76" s="272"/>
      <c r="O76" s="272"/>
      <c r="P76" s="33"/>
      <c r="R76" s="65"/>
      <c r="S76" s="65"/>
    </row>
    <row r="77" spans="1:19" s="18" customFormat="1" ht="16.899999999999999" hidden="1" customHeight="1">
      <c r="B77" s="597">
        <f>IFERROR(MATCH(#REF!,BAS_Dates,0),0)</f>
        <v>0</v>
      </c>
      <c r="C77" s="287" t="s">
        <v>581</v>
      </c>
      <c r="G77" s="615">
        <f>IFERROR(MATCH(F76,BAS_GST_Labels,0),0)</f>
        <v>0</v>
      </c>
      <c r="H77" s="615">
        <f>IFERROR(MATCH(G76,BAS_GST_Labels,0),0)</f>
        <v>0</v>
      </c>
      <c r="I77" s="615">
        <f>IFERROR(MATCH(I76,BAS_GST_Labels,0),0)</f>
        <v>0</v>
      </c>
      <c r="J77" s="17"/>
      <c r="K77" s="615">
        <f>IFERROR(MATCH(J76,BAS_GST_Labels,0),0)</f>
        <v>0</v>
      </c>
      <c r="L77" s="615">
        <f>IFERROR(MATCH(K76,BAS_GST_Labels,0),0)</f>
        <v>0</v>
      </c>
      <c r="M77" s="615">
        <f>IFERROR(MATCH(M76,BAS_GST_Labels,0),0)</f>
        <v>0</v>
      </c>
      <c r="N77" s="272"/>
      <c r="O77" s="272"/>
      <c r="P77" s="175"/>
    </row>
    <row r="78" spans="1:19" s="18" customFormat="1" ht="16.899999999999999" hidden="1" customHeight="1">
      <c r="B78" s="597">
        <f>IFERROR(MATCH(E78,BAS_Dates,0),0)</f>
        <v>0</v>
      </c>
      <c r="C78" s="1631" t="s">
        <v>580</v>
      </c>
      <c r="D78" s="1632"/>
      <c r="E78" s="1633"/>
      <c r="G78" s="630" t="str">
        <f>""</f>
        <v/>
      </c>
      <c r="H78" s="630" t="str">
        <f>G78</f>
        <v/>
      </c>
      <c r="I78" s="25">
        <f>IF(G78="",0,G78)-IF(H78="",0,H78)</f>
        <v>0</v>
      </c>
      <c r="J78" s="615">
        <f>IFERROR(MATCH(#REF!,BAS_GST_Labels,0),0)</f>
        <v>0</v>
      </c>
      <c r="K78" s="630" t="str">
        <f>""</f>
        <v/>
      </c>
      <c r="L78" s="630" t="str">
        <f>K78</f>
        <v/>
      </c>
      <c r="M78" s="25">
        <f>IF(K78="",0,K78)-IF(L78="",0,L78)</f>
        <v>0</v>
      </c>
      <c r="N78" s="272"/>
      <c r="O78" s="272"/>
      <c r="P78" s="24"/>
      <c r="R78" s="174"/>
      <c r="S78" s="568"/>
    </row>
    <row r="79" spans="1:19" s="18" customFormat="1" ht="16.899999999999999" hidden="1" customHeight="1">
      <c r="B79" s="597">
        <f>IFERROR(MATCH(E79,BAS_Dates,0),0)</f>
        <v>0</v>
      </c>
      <c r="C79" s="1631"/>
      <c r="D79" s="1632"/>
      <c r="E79" s="1633"/>
      <c r="G79" s="630" t="str">
        <f>""</f>
        <v/>
      </c>
      <c r="H79" s="630" t="str">
        <f>G79</f>
        <v/>
      </c>
      <c r="I79" s="25">
        <f>IF(G79="",0,G79)-IF(H79="",0,H79)</f>
        <v>0</v>
      </c>
      <c r="J79" s="615">
        <f>IFERROR(MATCH(J78,BAS_GST_Labels,0),0)</f>
        <v>0</v>
      </c>
      <c r="K79" s="630" t="str">
        <f>""</f>
        <v/>
      </c>
      <c r="L79" s="630" t="str">
        <f>K79</f>
        <v/>
      </c>
      <c r="M79" s="25">
        <f>IF(K79="",0,K79)-IF(L79="",0,L79)</f>
        <v>0</v>
      </c>
      <c r="N79" s="272"/>
      <c r="O79" s="272"/>
      <c r="P79" s="24"/>
      <c r="R79" s="174"/>
      <c r="S79" s="568"/>
    </row>
    <row r="80" spans="1:19" s="18" customFormat="1" ht="16.899999999999999" hidden="1" customHeight="1">
      <c r="B80" s="597">
        <f>IFERROR(MATCH(E80,BAS_Dates,0),0)</f>
        <v>1</v>
      </c>
      <c r="C80" s="1634" t="str">
        <f>TEXT(E80,"MMM yyyy")</f>
        <v>Jun 2023</v>
      </c>
      <c r="D80" s="1635"/>
      <c r="E80" s="672">
        <f>DATE(YEAR(E84),MONTH(E84),0)</f>
        <v>45107</v>
      </c>
      <c r="G80" s="671" t="str">
        <f>L195</f>
        <v/>
      </c>
      <c r="H80" s="630" t="str">
        <f>G80</f>
        <v/>
      </c>
      <c r="I80" s="25">
        <f>IF(G80="",0,G80)-IF(H80="",0,H80)</f>
        <v>0</v>
      </c>
      <c r="J80" s="17"/>
      <c r="K80" s="671" t="str">
        <f>M195</f>
        <v/>
      </c>
      <c r="L80" s="630" t="str">
        <f>K80</f>
        <v/>
      </c>
      <c r="M80" s="25">
        <f>IF(K80="",0,K80)-IF(L80="",0,L80)</f>
        <v>0</v>
      </c>
      <c r="N80" s="272"/>
      <c r="O80" s="272"/>
      <c r="P80" s="24"/>
      <c r="R80" s="174"/>
      <c r="S80" s="568"/>
    </row>
    <row r="81" spans="2:20" s="18" customFormat="1" ht="16.899999999999999" hidden="1" customHeight="1">
      <c r="B81" s="597"/>
      <c r="C81" s="1636" t="str">
        <f>C80&amp;" Deferred GST Imports Amounts"</f>
        <v>Jun 2023 Deferred GST Imports Amounts</v>
      </c>
      <c r="D81" s="1637"/>
      <c r="E81" s="1638"/>
      <c r="G81" s="671" t="str">
        <f>N195</f>
        <v/>
      </c>
      <c r="H81" s="630" t="str">
        <f>G81</f>
        <v/>
      </c>
      <c r="I81" s="25">
        <f>IF(G81="",0,G81)-IF(H81="",0,H81)</f>
        <v>0</v>
      </c>
      <c r="J81" s="17"/>
      <c r="K81" s="65"/>
      <c r="L81" s="65"/>
      <c r="M81" s="65"/>
      <c r="N81" s="272"/>
      <c r="O81" s="272"/>
      <c r="P81" s="24"/>
      <c r="R81" s="73"/>
      <c r="S81" s="73"/>
    </row>
    <row r="82" spans="2:20" s="18" customFormat="1" ht="7.5" hidden="1" customHeight="1">
      <c r="B82" s="597"/>
      <c r="G82" s="615">
        <f>IFERROR(MATCH(#REF!,BAS_GST_Labels,0),0)</f>
        <v>0</v>
      </c>
      <c r="H82" s="615">
        <f>IFERROR(MATCH(#REF!,BAS_GST_Labels,0),0)</f>
        <v>0</v>
      </c>
      <c r="I82" s="615">
        <f>IFERROR(MATCH(#REF!,BAS_GST_Labels,0),0)</f>
        <v>0</v>
      </c>
      <c r="J82" s="615">
        <f>IFERROR(MATCH(#REF!,BAS_GST_Labels,0),0)</f>
        <v>0</v>
      </c>
      <c r="K82" s="615">
        <f>IFERROR(MATCH(#REF!,BAS_GST_Labels,0),0)</f>
        <v>0</v>
      </c>
      <c r="L82" s="615">
        <f>IFERROR(MATCH(#REF!,BAS_GST_Labels,0),0)</f>
        <v>0</v>
      </c>
      <c r="M82" s="615">
        <f>IFERROR(MATCH(#REF!,BAS_GST_Labels,0),0)</f>
        <v>0</v>
      </c>
      <c r="N82" s="272"/>
      <c r="O82" s="272"/>
      <c r="P82" s="24"/>
    </row>
    <row r="83" spans="2:20" s="18" customFormat="1" ht="16.899999999999999" hidden="1" customHeight="1">
      <c r="B83" s="597">
        <f>IFERROR(MATCH(#REF!,BAS_Dates,0),0)</f>
        <v>0</v>
      </c>
      <c r="C83" s="287" t="s">
        <v>579</v>
      </c>
      <c r="G83" s="615">
        <f>IFERROR(MATCH(#REF!,BAS_GST_Labels,0),0)</f>
        <v>0</v>
      </c>
      <c r="H83" s="615">
        <f>IFERROR(MATCH(#REF!,BAS_GST_Labels,0),0)</f>
        <v>0</v>
      </c>
      <c r="I83" s="615">
        <f>IFERROR(MATCH(#REF!,BAS_GST_Labels,0),0)</f>
        <v>0</v>
      </c>
      <c r="J83" s="615">
        <f>IFERROR(MATCH(J79,BAS_GST_Labels,0),0)</f>
        <v>0</v>
      </c>
      <c r="K83" s="615">
        <f>IFERROR(MATCH(#REF!,BAS_GST_Labels,0),0)</f>
        <v>0</v>
      </c>
      <c r="L83" s="615">
        <f>IFERROR(MATCH(#REF!,BAS_GST_Labels,0),0)</f>
        <v>0</v>
      </c>
      <c r="M83" s="615">
        <f>IFERROR(MATCH(#REF!,BAS_GST_Labels,0),0)</f>
        <v>0</v>
      </c>
      <c r="N83" s="272"/>
      <c r="O83" s="272"/>
      <c r="P83" s="175"/>
      <c r="R83" s="174"/>
      <c r="S83" s="568"/>
    </row>
    <row r="84" spans="2:20" s="18" customFormat="1" ht="16.899999999999999" hidden="1" customHeight="1">
      <c r="B84" s="597">
        <f t="shared" ref="B84:B95" si="9">IFERROR(MATCH(E84,BAS_Dates,0),0)</f>
        <v>3</v>
      </c>
      <c r="C84" s="1634" t="str">
        <f t="shared" ref="C84:C95" si="10">TEXT(E84,"MMM yyyy")</f>
        <v>Jul 2023</v>
      </c>
      <c r="D84" s="1635"/>
      <c r="E84" s="672">
        <f t="shared" ref="E84:E94" si="11">DATE(YEAR(E85),MONTH(E85),0)</f>
        <v>45138</v>
      </c>
      <c r="G84" s="673" t="str">
        <f t="shared" ref="G84:G95" si="12">L197</f>
        <v/>
      </c>
      <c r="H84" s="670" t="str">
        <f t="shared" ref="H84:H94" si="13">G84</f>
        <v/>
      </c>
      <c r="I84" s="25">
        <f t="shared" ref="I84:I96" si="14">IF(G84="",0,G84)-IF(H84="",0,H84)</f>
        <v>0</v>
      </c>
      <c r="J84" s="615">
        <f t="shared" ref="J84:J96" si="15">IFERROR(MATCH(J82,BAS_GST_Labels,0),0)</f>
        <v>0</v>
      </c>
      <c r="K84" s="673" t="str">
        <f t="shared" ref="K84:K95" si="16">M197</f>
        <v/>
      </c>
      <c r="L84" s="670" t="str">
        <f t="shared" ref="L84:L94" si="17">K84</f>
        <v/>
      </c>
      <c r="M84" s="25">
        <f t="shared" ref="M84:M95" si="18">IF(K84="",0,K84)-IF(L84="",0,L84)</f>
        <v>0</v>
      </c>
      <c r="N84" s="272"/>
      <c r="O84" s="272"/>
      <c r="P84" s="24"/>
      <c r="R84" s="174"/>
      <c r="S84" s="568"/>
      <c r="T84" s="65" t="b">
        <f>SelectedFrequency&lt;&gt;"Monthly"</f>
        <v>0</v>
      </c>
    </row>
    <row r="85" spans="2:20" s="18" customFormat="1" ht="16.899999999999999" hidden="1" customHeight="1">
      <c r="B85" s="597">
        <f t="shared" si="9"/>
        <v>4</v>
      </c>
      <c r="C85" s="1634" t="str">
        <f t="shared" si="10"/>
        <v>Aug 2023</v>
      </c>
      <c r="D85" s="1635"/>
      <c r="E85" s="672">
        <f t="shared" si="11"/>
        <v>45169</v>
      </c>
      <c r="G85" s="673" t="str">
        <f t="shared" si="12"/>
        <v/>
      </c>
      <c r="H85" s="670" t="str">
        <f t="shared" si="13"/>
        <v/>
      </c>
      <c r="I85" s="25">
        <f t="shared" si="14"/>
        <v>0</v>
      </c>
      <c r="J85" s="615">
        <f t="shared" si="15"/>
        <v>0</v>
      </c>
      <c r="K85" s="673" t="str">
        <f t="shared" si="16"/>
        <v/>
      </c>
      <c r="L85" s="670" t="str">
        <f t="shared" si="17"/>
        <v/>
      </c>
      <c r="M85" s="25">
        <f t="shared" si="18"/>
        <v>0</v>
      </c>
      <c r="N85" s="272"/>
      <c r="O85" s="272"/>
      <c r="P85" s="24"/>
      <c r="R85" s="174"/>
      <c r="S85" s="568"/>
      <c r="T85" s="65" t="b">
        <f>SelectedFrequency&lt;&gt;"Monthly"</f>
        <v>0</v>
      </c>
    </row>
    <row r="86" spans="2:20" s="18" customFormat="1" ht="16.899999999999999" hidden="1" customHeight="1">
      <c r="B86" s="597">
        <f t="shared" si="9"/>
        <v>5</v>
      </c>
      <c r="C86" s="1634" t="str">
        <f t="shared" si="10"/>
        <v>Sep 2023</v>
      </c>
      <c r="D86" s="1635"/>
      <c r="E86" s="672">
        <f t="shared" si="11"/>
        <v>45199</v>
      </c>
      <c r="G86" s="673" t="str">
        <f t="shared" si="12"/>
        <v/>
      </c>
      <c r="H86" s="670" t="str">
        <f t="shared" si="13"/>
        <v/>
      </c>
      <c r="I86" s="25">
        <f t="shared" si="14"/>
        <v>0</v>
      </c>
      <c r="J86" s="615">
        <f t="shared" si="15"/>
        <v>0</v>
      </c>
      <c r="K86" s="673" t="str">
        <f t="shared" si="16"/>
        <v/>
      </c>
      <c r="L86" s="670" t="str">
        <f t="shared" si="17"/>
        <v/>
      </c>
      <c r="M86" s="25">
        <f t="shared" si="18"/>
        <v>0</v>
      </c>
      <c r="N86" s="272"/>
      <c r="O86" s="272"/>
      <c r="P86" s="24"/>
      <c r="R86" s="174"/>
      <c r="S86" s="568"/>
      <c r="T86" s="17" t="b">
        <f>AND(SelectedFrequency&lt;&gt;"Monthly", SelectedFrequency&lt;&gt;"Quarterly")</f>
        <v>0</v>
      </c>
    </row>
    <row r="87" spans="2:20" s="18" customFormat="1" ht="16.899999999999999" hidden="1" customHeight="1">
      <c r="B87" s="597">
        <f t="shared" si="9"/>
        <v>6</v>
      </c>
      <c r="C87" s="1634" t="str">
        <f t="shared" si="10"/>
        <v>Oct 2023</v>
      </c>
      <c r="D87" s="1635"/>
      <c r="E87" s="672">
        <f t="shared" si="11"/>
        <v>45230</v>
      </c>
      <c r="G87" s="673" t="str">
        <f t="shared" si="12"/>
        <v/>
      </c>
      <c r="H87" s="670" t="str">
        <f t="shared" si="13"/>
        <v/>
      </c>
      <c r="I87" s="25">
        <f t="shared" si="14"/>
        <v>0</v>
      </c>
      <c r="J87" s="615">
        <f t="shared" si="15"/>
        <v>0</v>
      </c>
      <c r="K87" s="673" t="str">
        <f t="shared" si="16"/>
        <v/>
      </c>
      <c r="L87" s="670" t="str">
        <f t="shared" si="17"/>
        <v/>
      </c>
      <c r="M87" s="25">
        <f t="shared" si="18"/>
        <v>0</v>
      </c>
      <c r="N87" s="272"/>
      <c r="O87" s="272"/>
      <c r="P87" s="24"/>
      <c r="R87" s="174"/>
      <c r="S87" s="568"/>
      <c r="T87" s="65" t="b">
        <f>SelectedFrequency&lt;&gt;"Monthly"</f>
        <v>0</v>
      </c>
    </row>
    <row r="88" spans="2:20" s="18" customFormat="1" ht="16.899999999999999" hidden="1" customHeight="1">
      <c r="B88" s="597">
        <f t="shared" si="9"/>
        <v>7</v>
      </c>
      <c r="C88" s="1634" t="str">
        <f t="shared" si="10"/>
        <v>Nov 2023</v>
      </c>
      <c r="D88" s="1635"/>
      <c r="E88" s="672">
        <f t="shared" si="11"/>
        <v>45260</v>
      </c>
      <c r="G88" s="673" t="str">
        <f t="shared" si="12"/>
        <v/>
      </c>
      <c r="H88" s="670" t="str">
        <f t="shared" si="13"/>
        <v/>
      </c>
      <c r="I88" s="25">
        <f t="shared" si="14"/>
        <v>0</v>
      </c>
      <c r="J88" s="615">
        <f t="shared" si="15"/>
        <v>0</v>
      </c>
      <c r="K88" s="673" t="str">
        <f t="shared" si="16"/>
        <v/>
      </c>
      <c r="L88" s="670" t="str">
        <f t="shared" si="17"/>
        <v/>
      </c>
      <c r="M88" s="25">
        <f t="shared" si="18"/>
        <v>0</v>
      </c>
      <c r="N88" s="272"/>
      <c r="O88" s="272"/>
      <c r="P88" s="24"/>
      <c r="R88" s="174"/>
      <c r="S88" s="568"/>
      <c r="T88" s="65" t="b">
        <f>SelectedFrequency&lt;&gt;"Monthly"</f>
        <v>0</v>
      </c>
    </row>
    <row r="89" spans="2:20" s="18" customFormat="1" ht="16.899999999999999" hidden="1" customHeight="1">
      <c r="B89" s="597">
        <f t="shared" si="9"/>
        <v>8</v>
      </c>
      <c r="C89" s="1634" t="str">
        <f t="shared" si="10"/>
        <v>Dec 2023</v>
      </c>
      <c r="D89" s="1635"/>
      <c r="E89" s="672">
        <f t="shared" si="11"/>
        <v>45291</v>
      </c>
      <c r="G89" s="673" t="str">
        <f t="shared" si="12"/>
        <v/>
      </c>
      <c r="H89" s="670" t="str">
        <f t="shared" si="13"/>
        <v/>
      </c>
      <c r="I89" s="25">
        <f t="shared" si="14"/>
        <v>0</v>
      </c>
      <c r="J89" s="615">
        <f t="shared" si="15"/>
        <v>0</v>
      </c>
      <c r="K89" s="673" t="str">
        <f t="shared" si="16"/>
        <v/>
      </c>
      <c r="L89" s="670" t="str">
        <f t="shared" si="17"/>
        <v/>
      </c>
      <c r="M89" s="25">
        <f t="shared" si="18"/>
        <v>0</v>
      </c>
      <c r="N89" s="272"/>
      <c r="O89" s="272"/>
      <c r="P89" s="24"/>
      <c r="R89" s="174"/>
      <c r="S89" s="568"/>
      <c r="T89" s="17" t="b">
        <f>AND(SelectedFrequency&lt;&gt;"Monthly", SelectedFrequency&lt;&gt;"Quarterly")</f>
        <v>0</v>
      </c>
    </row>
    <row r="90" spans="2:20" s="18" customFormat="1" ht="16.899999999999999" hidden="1" customHeight="1">
      <c r="B90" s="597">
        <f t="shared" si="9"/>
        <v>9</v>
      </c>
      <c r="C90" s="1634" t="str">
        <f t="shared" si="10"/>
        <v>Jan 2024</v>
      </c>
      <c r="D90" s="1635"/>
      <c r="E90" s="672">
        <f t="shared" si="11"/>
        <v>45322</v>
      </c>
      <c r="G90" s="673" t="str">
        <f t="shared" si="12"/>
        <v/>
      </c>
      <c r="H90" s="670" t="str">
        <f t="shared" si="13"/>
        <v/>
      </c>
      <c r="I90" s="25">
        <f t="shared" si="14"/>
        <v>0</v>
      </c>
      <c r="J90" s="615">
        <f t="shared" si="15"/>
        <v>0</v>
      </c>
      <c r="K90" s="673" t="str">
        <f t="shared" si="16"/>
        <v/>
      </c>
      <c r="L90" s="670" t="str">
        <f t="shared" si="17"/>
        <v/>
      </c>
      <c r="M90" s="25">
        <f t="shared" si="18"/>
        <v>0</v>
      </c>
      <c r="N90" s="272"/>
      <c r="O90" s="272"/>
      <c r="P90" s="24"/>
      <c r="R90" s="174"/>
      <c r="S90" s="568"/>
      <c r="T90" s="65" t="b">
        <f>SelectedFrequency&lt;&gt;"Monthly"</f>
        <v>0</v>
      </c>
    </row>
    <row r="91" spans="2:20" s="18" customFormat="1" ht="16.899999999999999" hidden="1" customHeight="1">
      <c r="B91" s="597">
        <f t="shared" si="9"/>
        <v>10</v>
      </c>
      <c r="C91" s="1634" t="str">
        <f t="shared" si="10"/>
        <v>Feb 2024</v>
      </c>
      <c r="D91" s="1635"/>
      <c r="E91" s="672">
        <f t="shared" si="11"/>
        <v>45351</v>
      </c>
      <c r="G91" s="673" t="str">
        <f t="shared" si="12"/>
        <v/>
      </c>
      <c r="H91" s="670" t="str">
        <f t="shared" si="13"/>
        <v/>
      </c>
      <c r="I91" s="25">
        <f t="shared" si="14"/>
        <v>0</v>
      </c>
      <c r="J91" s="615">
        <f t="shared" si="15"/>
        <v>0</v>
      </c>
      <c r="K91" s="673" t="str">
        <f t="shared" si="16"/>
        <v/>
      </c>
      <c r="L91" s="670" t="str">
        <f t="shared" si="17"/>
        <v/>
      </c>
      <c r="M91" s="25">
        <f t="shared" si="18"/>
        <v>0</v>
      </c>
      <c r="N91" s="272"/>
      <c r="O91" s="272"/>
      <c r="P91" s="24"/>
      <c r="R91" s="174"/>
      <c r="S91" s="568"/>
      <c r="T91" s="65" t="b">
        <f>SelectedFrequency&lt;&gt;"Monthly"</f>
        <v>0</v>
      </c>
    </row>
    <row r="92" spans="2:20" s="18" customFormat="1" ht="16.899999999999999" hidden="1" customHeight="1">
      <c r="B92" s="597">
        <f t="shared" si="9"/>
        <v>11</v>
      </c>
      <c r="C92" s="1634" t="str">
        <f t="shared" si="10"/>
        <v>Mar 2024</v>
      </c>
      <c r="D92" s="1635"/>
      <c r="E92" s="672">
        <f t="shared" si="11"/>
        <v>45382</v>
      </c>
      <c r="G92" s="673" t="str">
        <f t="shared" si="12"/>
        <v/>
      </c>
      <c r="H92" s="670" t="str">
        <f t="shared" si="13"/>
        <v/>
      </c>
      <c r="I92" s="25">
        <f t="shared" si="14"/>
        <v>0</v>
      </c>
      <c r="J92" s="615">
        <f t="shared" si="15"/>
        <v>0</v>
      </c>
      <c r="K92" s="673" t="str">
        <f t="shared" si="16"/>
        <v/>
      </c>
      <c r="L92" s="670" t="str">
        <f t="shared" si="17"/>
        <v/>
      </c>
      <c r="M92" s="25">
        <f t="shared" si="18"/>
        <v>0</v>
      </c>
      <c r="N92" s="272"/>
      <c r="O92" s="272"/>
      <c r="P92" s="24"/>
      <c r="R92" s="174"/>
      <c r="S92" s="568"/>
      <c r="T92" s="17" t="b">
        <f>AND(SelectedFrequency&lt;&gt;"Monthly", SelectedFrequency&lt;&gt;"Quarterly")</f>
        <v>0</v>
      </c>
    </row>
    <row r="93" spans="2:20" s="18" customFormat="1" ht="16.899999999999999" hidden="1" customHeight="1">
      <c r="B93" s="597">
        <f t="shared" si="9"/>
        <v>12</v>
      </c>
      <c r="C93" s="1634" t="str">
        <f t="shared" si="10"/>
        <v>Apr 2024</v>
      </c>
      <c r="D93" s="1635"/>
      <c r="E93" s="672">
        <f t="shared" si="11"/>
        <v>45412</v>
      </c>
      <c r="G93" s="673" t="str">
        <f t="shared" si="12"/>
        <v/>
      </c>
      <c r="H93" s="670" t="str">
        <f t="shared" si="13"/>
        <v/>
      </c>
      <c r="I93" s="25">
        <f t="shared" si="14"/>
        <v>0</v>
      </c>
      <c r="J93" s="615">
        <f t="shared" si="15"/>
        <v>0</v>
      </c>
      <c r="K93" s="673" t="str">
        <f t="shared" si="16"/>
        <v/>
      </c>
      <c r="L93" s="670" t="str">
        <f t="shared" si="17"/>
        <v/>
      </c>
      <c r="M93" s="25">
        <f t="shared" si="18"/>
        <v>0</v>
      </c>
      <c r="N93" s="272"/>
      <c r="O93" s="272"/>
      <c r="P93" s="24"/>
      <c r="R93" s="174"/>
      <c r="S93" s="568"/>
      <c r="T93" s="65" t="b">
        <f>SelectedFrequency&lt;&gt;"Monthly"</f>
        <v>0</v>
      </c>
    </row>
    <row r="94" spans="2:20" s="18" customFormat="1" ht="16.899999999999999" hidden="1" customHeight="1">
      <c r="B94" s="597">
        <f t="shared" si="9"/>
        <v>13</v>
      </c>
      <c r="C94" s="1634" t="str">
        <f t="shared" si="10"/>
        <v>May 2024</v>
      </c>
      <c r="D94" s="1635"/>
      <c r="E94" s="672">
        <f t="shared" si="11"/>
        <v>45443</v>
      </c>
      <c r="G94" s="673" t="str">
        <f t="shared" si="12"/>
        <v/>
      </c>
      <c r="H94" s="670" t="str">
        <f t="shared" si="13"/>
        <v/>
      </c>
      <c r="I94" s="25">
        <f t="shared" si="14"/>
        <v>0</v>
      </c>
      <c r="J94" s="615">
        <f t="shared" si="15"/>
        <v>0</v>
      </c>
      <c r="K94" s="673" t="str">
        <f t="shared" si="16"/>
        <v/>
      </c>
      <c r="L94" s="670" t="str">
        <f t="shared" si="17"/>
        <v/>
      </c>
      <c r="M94" s="25">
        <f t="shared" si="18"/>
        <v>0</v>
      </c>
      <c r="N94" s="272"/>
      <c r="O94" s="272"/>
      <c r="P94" s="24"/>
      <c r="R94" s="174"/>
      <c r="S94" s="568"/>
      <c r="T94" s="65" t="b">
        <f>SelectedFrequency&lt;&gt;"Monthly"</f>
        <v>0</v>
      </c>
    </row>
    <row r="95" spans="2:20" s="18" customFormat="1" ht="16.899999999999999" hidden="1" customHeight="1">
      <c r="B95" s="597">
        <f t="shared" si="9"/>
        <v>14</v>
      </c>
      <c r="C95" s="1634" t="str">
        <f t="shared" si="10"/>
        <v>Jun 2024</v>
      </c>
      <c r="D95" s="1635"/>
      <c r="E95" s="672" cm="1">
        <f t="array" ref="E95">TaxYearEnd</f>
        <v>45473</v>
      </c>
      <c r="G95" s="671">
        <f t="shared" si="12"/>
        <v>0</v>
      </c>
      <c r="H95" s="670"/>
      <c r="I95" s="25">
        <f t="shared" si="14"/>
        <v>0</v>
      </c>
      <c r="J95" s="615">
        <f t="shared" si="15"/>
        <v>0</v>
      </c>
      <c r="K95" s="671">
        <f t="shared" si="16"/>
        <v>0</v>
      </c>
      <c r="L95" s="670"/>
      <c r="M95" s="25">
        <f t="shared" si="18"/>
        <v>0</v>
      </c>
      <c r="N95" s="272"/>
      <c r="O95" s="272"/>
      <c r="P95" s="24"/>
      <c r="R95" s="174"/>
      <c r="S95" s="568"/>
    </row>
    <row r="96" spans="2:20" s="18" customFormat="1" ht="16.899999999999999" hidden="1" customHeight="1">
      <c r="B96" s="597"/>
      <c r="C96" s="1636" t="s">
        <v>578</v>
      </c>
      <c r="D96" s="1637"/>
      <c r="E96" s="1638"/>
      <c r="G96" s="671">
        <f>N209</f>
        <v>0</v>
      </c>
      <c r="H96" s="670">
        <f>SUM(N197:N207)</f>
        <v>0</v>
      </c>
      <c r="I96" s="25">
        <f t="shared" si="14"/>
        <v>0</v>
      </c>
      <c r="J96" s="615">
        <f t="shared" si="15"/>
        <v>0</v>
      </c>
      <c r="K96" s="65"/>
      <c r="L96" s="65"/>
      <c r="M96" s="65"/>
      <c r="N96" s="272"/>
      <c r="O96" s="272"/>
      <c r="P96" s="24"/>
      <c r="R96" s="73"/>
      <c r="S96" s="73"/>
    </row>
    <row r="97" spans="2:38" s="18" customFormat="1" ht="7.5" hidden="1" customHeight="1">
      <c r="B97" s="597"/>
      <c r="C97" s="272"/>
      <c r="D97" s="272"/>
      <c r="E97" s="272"/>
      <c r="F97" s="272"/>
      <c r="G97" s="272"/>
      <c r="H97" s="272"/>
      <c r="I97" s="272"/>
      <c r="J97" s="272"/>
      <c r="K97" s="272"/>
      <c r="L97" s="272"/>
      <c r="M97" s="272"/>
      <c r="N97" s="272"/>
      <c r="O97" s="272"/>
      <c r="P97" s="24"/>
      <c r="S97" s="599"/>
    </row>
    <row r="98" spans="2:38" s="18" customFormat="1" ht="16.899999999999999" hidden="1" customHeight="1">
      <c r="B98" s="597"/>
      <c r="C98" s="1634" t="s">
        <v>577</v>
      </c>
      <c r="D98" s="1635"/>
      <c r="E98" s="1643"/>
      <c r="G98" s="25" t="str">
        <f>IF(SUM(G48:G50)=0,"",SUM(G48:G50))</f>
        <v/>
      </c>
      <c r="H98" s="670"/>
      <c r="I98" s="25">
        <f>IF(G98="",0,G98)-IF(H98="",0,H98)</f>
        <v>0</v>
      </c>
      <c r="J98" s="615">
        <f>IFERROR(MATCH(J95,BAS_GST_Labels,0),0)</f>
        <v>0</v>
      </c>
      <c r="K98" s="671" t="str">
        <f>IF(SUM(L48:L50)=0,"",SUM(L48:L50))</f>
        <v/>
      </c>
      <c r="L98" s="670"/>
      <c r="M98" s="25">
        <f>IF(K98="",0,K98)-IF(L98="",0,L98)</f>
        <v>0</v>
      </c>
      <c r="N98" s="272"/>
      <c r="O98" s="272"/>
      <c r="P98" s="24"/>
      <c r="R98" s="174"/>
      <c r="S98" s="568"/>
    </row>
    <row r="99" spans="2:38" s="18" customFormat="1" ht="16.899999999999999" hidden="1" customHeight="1">
      <c r="B99" s="597"/>
      <c r="C99" s="71" t="s">
        <v>151</v>
      </c>
      <c r="D99" s="70"/>
      <c r="E99" s="70"/>
      <c r="F99" s="611"/>
      <c r="G99" s="69">
        <f>SUM(G78:G98)</f>
        <v>0</v>
      </c>
      <c r="H99" s="69">
        <f>SUM(H78:H98)</f>
        <v>0</v>
      </c>
      <c r="I99" s="69">
        <f>SUM(I78:I98)</f>
        <v>0</v>
      </c>
      <c r="J99" s="611"/>
      <c r="K99" s="69">
        <f>SUM(K78:K98)</f>
        <v>0</v>
      </c>
      <c r="L99" s="69">
        <f>SUM(L78:L98)</f>
        <v>0</v>
      </c>
      <c r="M99" s="69">
        <f>SUM(M78:M98)</f>
        <v>0</v>
      </c>
      <c r="N99" s="611"/>
      <c r="O99" s="272"/>
      <c r="P99" s="24"/>
    </row>
    <row r="100" spans="2:38" s="18" customFormat="1" ht="15" hidden="1" customHeight="1">
      <c r="B100" s="597"/>
      <c r="C100" s="71"/>
      <c r="D100" s="70"/>
      <c r="E100" s="70"/>
      <c r="F100" s="611"/>
      <c r="G100" s="69"/>
      <c r="H100" s="69"/>
      <c r="I100" s="69"/>
      <c r="J100" s="611"/>
      <c r="K100" s="69"/>
      <c r="L100" s="69"/>
      <c r="M100" s="69"/>
      <c r="N100" s="611"/>
      <c r="O100" s="272"/>
      <c r="P100" s="24"/>
    </row>
    <row r="101" spans="2:38" s="18" customFormat="1" ht="30" hidden="1" customHeight="1">
      <c r="B101" s="597"/>
      <c r="C101" s="1648" t="s">
        <v>576</v>
      </c>
      <c r="D101" s="1648"/>
      <c r="E101" s="1648"/>
      <c r="F101" s="1648"/>
      <c r="G101" s="1648"/>
      <c r="H101" s="1648"/>
      <c r="I101" s="1648"/>
      <c r="J101" s="1648"/>
      <c r="K101" s="1648"/>
      <c r="L101" s="1648"/>
      <c r="M101" s="1648"/>
      <c r="N101" s="1648"/>
      <c r="O101" s="1648"/>
      <c r="P101" s="24"/>
    </row>
    <row r="102" spans="2:38" s="18" customFormat="1" ht="17.25" hidden="1" customHeight="1">
      <c r="B102" s="597"/>
      <c r="C102" s="71"/>
      <c r="E102" s="64"/>
      <c r="G102" s="611"/>
      <c r="H102" s="611"/>
      <c r="I102" s="611"/>
      <c r="K102" s="611"/>
      <c r="L102" s="216"/>
      <c r="M102" s="272"/>
      <c r="N102" s="272"/>
      <c r="O102" s="272"/>
      <c r="P102" s="24"/>
    </row>
    <row r="103" spans="2:38" s="31" customFormat="1" ht="31.5" hidden="1" customHeight="1">
      <c r="B103" s="607"/>
      <c r="C103" s="1647" t="s">
        <v>517</v>
      </c>
      <c r="D103" s="1528"/>
      <c r="E103" s="1528"/>
      <c r="F103" s="595"/>
      <c r="G103" s="618" t="s">
        <v>116</v>
      </c>
      <c r="H103" s="618" t="s">
        <v>115</v>
      </c>
      <c r="I103" s="618"/>
      <c r="J103" s="234" t="s">
        <v>575</v>
      </c>
      <c r="K103" s="226"/>
      <c r="O103" s="272"/>
      <c r="P103" s="33"/>
      <c r="S103" s="42"/>
      <c r="X103" s="18"/>
      <c r="Y103" s="272"/>
      <c r="Z103" s="272"/>
      <c r="AA103" s="272"/>
      <c r="AB103" s="272"/>
      <c r="AC103" s="272"/>
      <c r="AD103" s="272"/>
      <c r="AE103" s="272"/>
      <c r="AF103" s="272"/>
      <c r="AG103" s="272"/>
      <c r="AH103" s="272"/>
      <c r="AI103" s="272"/>
      <c r="AJ103" s="272"/>
      <c r="AK103" s="272"/>
      <c r="AL103" s="272"/>
    </row>
    <row r="104" spans="2:38" s="18" customFormat="1" ht="7.5" hidden="1" customHeight="1">
      <c r="B104" s="597"/>
      <c r="C104" s="71"/>
      <c r="D104" s="64"/>
      <c r="E104" s="64"/>
      <c r="G104" s="666"/>
      <c r="H104" s="666"/>
      <c r="I104" s="668"/>
      <c r="J104" s="611"/>
      <c r="K104" s="611"/>
      <c r="L104" s="31"/>
      <c r="M104" s="31"/>
      <c r="N104" s="31"/>
      <c r="O104" s="272"/>
      <c r="P104" s="24"/>
    </row>
    <row r="105" spans="2:38" s="18" customFormat="1" ht="16.899999999999999" hidden="1" customHeight="1">
      <c r="B105" s="597"/>
      <c r="C105" s="1685" t="s">
        <v>541</v>
      </c>
      <c r="D105" s="1686"/>
      <c r="E105" s="1687"/>
      <c r="G105" s="631">
        <f>I99</f>
        <v>0</v>
      </c>
      <c r="H105" s="631">
        <f>M99</f>
        <v>0</v>
      </c>
      <c r="I105" s="666"/>
      <c r="J105" s="25">
        <f>G105-H105</f>
        <v>0</v>
      </c>
      <c r="K105" s="611"/>
      <c r="L105" s="31"/>
      <c r="M105" s="31"/>
      <c r="N105" s="31"/>
      <c r="O105" s="186"/>
      <c r="P105" s="24"/>
      <c r="R105" s="174"/>
      <c r="S105" s="568"/>
    </row>
    <row r="106" spans="2:38" s="18" customFormat="1" ht="16.899999999999999" hidden="1" customHeight="1">
      <c r="B106" s="597"/>
      <c r="C106" s="1693" t="s">
        <v>574</v>
      </c>
      <c r="D106" s="1694"/>
      <c r="E106" s="1695"/>
      <c r="G106" s="631">
        <f>I96</f>
        <v>0</v>
      </c>
      <c r="H106" s="65"/>
      <c r="I106" s="666"/>
      <c r="J106" s="25">
        <f>G106</f>
        <v>0</v>
      </c>
      <c r="K106" s="611"/>
      <c r="L106" s="31"/>
      <c r="M106" s="31"/>
      <c r="N106" s="31"/>
      <c r="O106" s="186"/>
      <c r="P106" s="24"/>
      <c r="R106" s="174"/>
      <c r="S106" s="568"/>
    </row>
    <row r="107" spans="2:38" s="18" customFormat="1" ht="16.899999999999999" hidden="1" customHeight="1">
      <c r="B107" s="597"/>
      <c r="C107" s="1688" t="s">
        <v>573</v>
      </c>
      <c r="D107" s="1689"/>
      <c r="E107" s="1690"/>
      <c r="G107" s="631">
        <f>J61</f>
        <v>0</v>
      </c>
      <c r="H107" s="631">
        <f>O61</f>
        <v>0</v>
      </c>
      <c r="I107" s="666"/>
      <c r="J107" s="25">
        <f>G107-H107</f>
        <v>0</v>
      </c>
      <c r="K107" s="611"/>
      <c r="L107" s="31"/>
      <c r="M107" s="31"/>
      <c r="N107" s="31"/>
      <c r="O107" s="186"/>
      <c r="P107" s="24"/>
      <c r="R107" s="174"/>
      <c r="S107" s="568"/>
    </row>
    <row r="108" spans="2:38" s="18" customFormat="1" ht="16.899999999999999" hidden="1" customHeight="1">
      <c r="B108" s="597"/>
      <c r="C108" s="1634" t="s">
        <v>540</v>
      </c>
      <c r="D108" s="1635"/>
      <c r="E108" s="1643"/>
      <c r="G108" s="630"/>
      <c r="H108" s="630"/>
      <c r="I108" s="666"/>
      <c r="J108" s="25">
        <f>G108-H108</f>
        <v>0</v>
      </c>
      <c r="K108" s="612" t="str">
        <f>IF(AND(J16="Accruals",OR(G108&lt;&gt;0,H108&lt;&gt;0)),"Warning, GST is accounted on an accruals basis","")</f>
        <v/>
      </c>
      <c r="L108" s="31"/>
      <c r="M108" s="31"/>
      <c r="N108" s="31"/>
      <c r="O108" s="186"/>
      <c r="P108" s="24"/>
      <c r="R108" s="174"/>
      <c r="S108" s="568"/>
    </row>
    <row r="109" spans="2:38" s="18" customFormat="1" ht="16.899999999999999" hidden="1" customHeight="1">
      <c r="B109" s="597"/>
      <c r="C109" s="1631" t="s">
        <v>283</v>
      </c>
      <c r="D109" s="1632"/>
      <c r="E109" s="1633"/>
      <c r="G109" s="630"/>
      <c r="H109" s="630"/>
      <c r="I109" s="666"/>
      <c r="J109" s="25">
        <f>G109-H109</f>
        <v>0</v>
      </c>
      <c r="L109" s="31"/>
      <c r="M109" s="31"/>
      <c r="N109" s="31"/>
      <c r="O109" s="186"/>
      <c r="P109" s="24"/>
      <c r="R109" s="174"/>
      <c r="S109" s="568"/>
    </row>
    <row r="110" spans="2:38" s="18" customFormat="1" ht="16.899999999999999" hidden="1" customHeight="1">
      <c r="B110" s="597"/>
      <c r="C110" s="1631"/>
      <c r="D110" s="1632"/>
      <c r="E110" s="1633"/>
      <c r="G110" s="630"/>
      <c r="H110" s="630"/>
      <c r="I110" s="666"/>
      <c r="J110" s="25">
        <f>G110-H110</f>
        <v>0</v>
      </c>
      <c r="L110" s="31"/>
      <c r="M110" s="31"/>
      <c r="N110" s="31"/>
      <c r="O110" s="186"/>
      <c r="P110" s="24"/>
      <c r="R110" s="174"/>
      <c r="S110" s="568"/>
    </row>
    <row r="111" spans="2:38" s="18" customFormat="1" ht="7.5" hidden="1" customHeight="1">
      <c r="B111" s="597"/>
      <c r="C111" s="614"/>
      <c r="D111" s="64"/>
      <c r="E111" s="64"/>
      <c r="G111" s="666"/>
      <c r="H111" s="666"/>
      <c r="I111" s="666"/>
      <c r="K111" s="611"/>
      <c r="L111" s="31"/>
      <c r="M111" s="31"/>
      <c r="N111" s="31"/>
      <c r="O111" s="186"/>
      <c r="P111" s="24"/>
    </row>
    <row r="112" spans="2:38" s="18" customFormat="1" ht="16.899999999999999" hidden="1" customHeight="1">
      <c r="B112" s="597"/>
      <c r="C112" s="287" t="s">
        <v>546</v>
      </c>
      <c r="G112" s="631">
        <f>SUM(G105:G111)</f>
        <v>0</v>
      </c>
      <c r="H112" s="631">
        <f>SUM(H105:H111)</f>
        <v>0</v>
      </c>
      <c r="I112" s="666"/>
      <c r="J112" s="208">
        <f>G112-H112</f>
        <v>0</v>
      </c>
      <c r="K112" s="667">
        <f>IFERROR(-_xlfn.XLOOKUP("33096b58-2ca7-4d5b-8ea4-bc312420e202",Tx_LedgerReport.SourceAccountId,PrimaryBalances),0)</f>
        <v>11071.92</v>
      </c>
      <c r="L112" s="625"/>
      <c r="M112" s="625"/>
      <c r="O112" s="186"/>
      <c r="P112" s="24"/>
      <c r="R112" s="174"/>
      <c r="S112" s="568"/>
    </row>
    <row r="113" spans="1:19" s="18" customFormat="1" ht="16.899999999999999" hidden="1" customHeight="1">
      <c r="B113" s="597"/>
      <c r="C113" s="287" t="s">
        <v>356</v>
      </c>
      <c r="G113" s="630"/>
      <c r="H113" s="630"/>
      <c r="I113" s="666"/>
      <c r="J113" s="207">
        <f>IF(AND(SingleCB_5="", SingleCB_6=""), Tm_TBBalance, SingleCB_5-SingleCB_6)</f>
        <v>11071.92</v>
      </c>
      <c r="K113" s="612"/>
      <c r="L113" s="625"/>
      <c r="M113" s="625"/>
      <c r="O113" s="186"/>
      <c r="P113" s="24"/>
      <c r="R113" s="174"/>
      <c r="S113" s="568"/>
    </row>
    <row r="114" spans="1:19" s="18" customFormat="1" ht="16.899999999999999" hidden="1" customHeight="1">
      <c r="B114" s="597"/>
      <c r="C114" s="287" t="s">
        <v>280</v>
      </c>
      <c r="G114" s="631">
        <f>G113-G112</f>
        <v>0</v>
      </c>
      <c r="H114" s="631">
        <f>H113-H112</f>
        <v>0</v>
      </c>
      <c r="I114" s="666"/>
      <c r="J114" s="203">
        <f>J113-J112</f>
        <v>11071.92</v>
      </c>
      <c r="K114" s="611"/>
      <c r="L114" s="625"/>
      <c r="M114" s="625"/>
      <c r="O114" s="186"/>
      <c r="P114" s="24"/>
      <c r="R114" s="174"/>
      <c r="S114" s="568"/>
    </row>
    <row r="115" spans="1:19" s="18" customFormat="1" ht="15" hidden="1" customHeight="1">
      <c r="B115" s="596"/>
      <c r="C115" s="20"/>
      <c r="D115" s="20"/>
      <c r="E115" s="20"/>
      <c r="F115" s="20"/>
      <c r="G115" s="20"/>
      <c r="H115" s="620"/>
      <c r="I115" s="20"/>
      <c r="J115" s="200" t="str">
        <f>IF(AND(J112=0,J113=0),"Pending",IF(ABS(J114)&gt;Tm_Tolerance,"Out of Balance","Reconciled"))</f>
        <v>Out of Balance</v>
      </c>
      <c r="K115" s="20"/>
      <c r="L115" s="20"/>
      <c r="M115" s="20"/>
      <c r="N115" s="20"/>
      <c r="O115" s="20"/>
      <c r="P115" s="19"/>
    </row>
    <row r="116" spans="1:19" s="18" customFormat="1" ht="22.5" customHeight="1">
      <c r="B116" s="665"/>
      <c r="J116" s="363"/>
    </row>
    <row r="117" spans="1:19" s="18" customFormat="1" ht="22.5" customHeight="1">
      <c r="A117" s="594" t="str">
        <f>IF(SUBTOTAL(103,A118),"-","+")</f>
        <v>+</v>
      </c>
      <c r="B117" s="1639" t="s">
        <v>572</v>
      </c>
      <c r="C117" s="1639"/>
      <c r="D117" s="1639"/>
      <c r="E117" s="1639"/>
      <c r="F117" s="1639"/>
      <c r="G117" s="1639"/>
      <c r="H117" s="65"/>
      <c r="J117" s="363"/>
    </row>
    <row r="118" spans="1:19" s="18" customFormat="1" ht="15" hidden="1" customHeight="1">
      <c r="A118" s="18" t="s">
        <v>58</v>
      </c>
      <c r="B118" s="597" t="s">
        <v>58</v>
      </c>
      <c r="H118" s="663"/>
      <c r="I118" s="663"/>
      <c r="J118" s="664"/>
      <c r="K118" s="663"/>
      <c r="L118" s="663"/>
      <c r="M118" s="663"/>
      <c r="N118" s="663"/>
      <c r="O118" s="663"/>
      <c r="P118" s="662"/>
    </row>
    <row r="119" spans="1:19" s="18" customFormat="1" ht="16.899999999999999" hidden="1" customHeight="1">
      <c r="B119" s="597"/>
      <c r="C119" s="1691" t="s">
        <v>571</v>
      </c>
      <c r="D119" s="1692"/>
      <c r="E119" s="1692"/>
      <c r="F119" s="1692"/>
      <c r="G119" s="1692"/>
      <c r="H119" s="1692"/>
      <c r="I119" s="1692"/>
      <c r="J119" s="1692"/>
      <c r="K119" s="1692"/>
      <c r="L119" s="1692"/>
      <c r="M119" s="1692"/>
      <c r="N119" s="1692"/>
      <c r="O119" s="1692"/>
      <c r="P119" s="24"/>
      <c r="R119" s="64"/>
      <c r="S119" s="73"/>
    </row>
    <row r="120" spans="1:19" s="133" customFormat="1" ht="17.25" hidden="1" customHeight="1">
      <c r="B120" s="661"/>
      <c r="C120" s="1678" t="s">
        <v>570</v>
      </c>
      <c r="D120" s="1678"/>
      <c r="E120" s="1678"/>
      <c r="F120" s="1678"/>
      <c r="G120" s="1678"/>
      <c r="H120" s="1678"/>
      <c r="I120" s="1678"/>
      <c r="J120" s="1678"/>
      <c r="K120" s="1678"/>
      <c r="L120" s="1678"/>
      <c r="M120" s="1678"/>
      <c r="N120" s="1678"/>
      <c r="O120" s="1678"/>
      <c r="P120" s="660"/>
      <c r="R120" s="147"/>
      <c r="S120" s="659"/>
    </row>
    <row r="121" spans="1:19" s="133" customFormat="1" ht="17.25" hidden="1" customHeight="1">
      <c r="B121" s="661"/>
      <c r="C121" s="1678" t="s">
        <v>569</v>
      </c>
      <c r="D121" s="1678"/>
      <c r="E121" s="1678"/>
      <c r="F121" s="1678"/>
      <c r="G121" s="1678"/>
      <c r="H121" s="1678"/>
      <c r="I121" s="1678"/>
      <c r="J121" s="1678"/>
      <c r="K121" s="1678"/>
      <c r="L121" s="1678"/>
      <c r="M121" s="1678"/>
      <c r="N121" s="1678"/>
      <c r="O121" s="1678"/>
      <c r="P121" s="660"/>
      <c r="R121" s="147"/>
      <c r="S121" s="659"/>
    </row>
    <row r="122" spans="1:19" s="18" customFormat="1" ht="17.25" hidden="1" customHeight="1">
      <c r="B122" s="597"/>
      <c r="C122" s="658"/>
      <c r="D122" s="70"/>
      <c r="E122" s="70"/>
      <c r="F122" s="611"/>
      <c r="G122" s="611"/>
      <c r="H122" s="611"/>
      <c r="I122" s="611"/>
      <c r="J122" s="69"/>
      <c r="L122" s="611"/>
      <c r="M122" s="611"/>
      <c r="N122" s="611"/>
      <c r="O122" s="69"/>
      <c r="P122" s="24"/>
      <c r="R122" s="65"/>
      <c r="S122" s="65"/>
    </row>
    <row r="123" spans="1:19" s="18" customFormat="1" ht="16.899999999999999" hidden="1" customHeight="1">
      <c r="B123" s="597"/>
      <c r="C123" s="1683" t="s">
        <v>568</v>
      </c>
      <c r="D123" s="1683"/>
      <c r="E123" s="1683"/>
      <c r="F123" s="647"/>
      <c r="G123" s="647"/>
      <c r="H123" s="647"/>
      <c r="I123" s="647"/>
      <c r="J123" s="646"/>
      <c r="L123" s="611"/>
      <c r="M123" s="611"/>
      <c r="N123" s="611"/>
      <c r="O123" s="69"/>
      <c r="P123" s="24"/>
      <c r="R123" s="64"/>
      <c r="S123" s="73"/>
    </row>
    <row r="124" spans="1:19" s="18" customFormat="1" ht="16.899999999999999" hidden="1" customHeight="1">
      <c r="B124" s="597"/>
      <c r="C124" s="1684" t="s">
        <v>567</v>
      </c>
      <c r="D124" s="1684"/>
      <c r="E124" s="1684"/>
      <c r="F124" s="647"/>
      <c r="G124" s="655"/>
      <c r="H124" s="647"/>
      <c r="I124" s="657" t="s">
        <v>566</v>
      </c>
      <c r="J124" s="655"/>
      <c r="L124" s="611"/>
      <c r="M124" s="611"/>
      <c r="N124" s="611"/>
      <c r="O124" s="69"/>
      <c r="P124" s="24"/>
      <c r="R124" s="174"/>
      <c r="S124" s="568"/>
    </row>
    <row r="125" spans="1:19" s="18" customFormat="1" ht="16.899999999999999" hidden="1" customHeight="1">
      <c r="B125" s="597"/>
      <c r="C125" s="1684" t="s">
        <v>565</v>
      </c>
      <c r="D125" s="1684"/>
      <c r="E125" s="1684"/>
      <c r="F125" s="647"/>
      <c r="G125" s="655"/>
      <c r="H125" s="647"/>
      <c r="I125" s="657"/>
      <c r="J125" s="656"/>
      <c r="L125" s="611"/>
      <c r="M125" s="611"/>
      <c r="N125" s="611"/>
      <c r="O125" s="69"/>
      <c r="P125" s="24"/>
      <c r="R125" s="174"/>
      <c r="S125" s="568"/>
    </row>
    <row r="126" spans="1:19" s="18" customFormat="1" ht="16.899999999999999" hidden="1" customHeight="1">
      <c r="B126" s="597"/>
      <c r="C126" s="1684" t="s">
        <v>564</v>
      </c>
      <c r="D126" s="1684"/>
      <c r="E126" s="1684"/>
      <c r="F126" s="647"/>
      <c r="G126" s="655"/>
      <c r="H126" s="647"/>
      <c r="I126" s="647"/>
      <c r="J126" s="646"/>
      <c r="L126" s="611"/>
      <c r="M126" s="611"/>
      <c r="N126" s="611"/>
      <c r="O126" s="69"/>
      <c r="P126" s="24"/>
      <c r="R126" s="174"/>
      <c r="S126" s="568"/>
    </row>
    <row r="127" spans="1:19" s="18" customFormat="1" ht="7.15" hidden="1" customHeight="1">
      <c r="B127" s="597"/>
      <c r="C127" s="654"/>
      <c r="D127" s="654"/>
      <c r="E127" s="654"/>
      <c r="F127" s="654"/>
      <c r="G127" s="654"/>
      <c r="H127" s="647"/>
      <c r="I127" s="647"/>
      <c r="J127" s="646"/>
      <c r="L127" s="611"/>
      <c r="M127" s="611"/>
      <c r="N127" s="611"/>
      <c r="O127" s="69"/>
      <c r="P127" s="24"/>
      <c r="R127" s="65"/>
      <c r="S127" s="65"/>
    </row>
    <row r="128" spans="1:19" s="18" customFormat="1" ht="16.899999999999999" hidden="1" customHeight="1">
      <c r="B128" s="597"/>
      <c r="C128" s="645" t="s">
        <v>563</v>
      </c>
      <c r="D128" s="651"/>
      <c r="E128" s="651"/>
      <c r="F128" s="653"/>
      <c r="G128" s="652">
        <f>((SUM(G124:G126)-J124)*1.1)+J124</f>
        <v>0</v>
      </c>
      <c r="H128" s="647"/>
      <c r="I128" s="647"/>
      <c r="J128" s="646"/>
      <c r="L128" s="611"/>
      <c r="M128" s="611"/>
      <c r="N128" s="611"/>
      <c r="O128" s="69"/>
      <c r="P128" s="24"/>
      <c r="R128" s="174"/>
      <c r="S128" s="568"/>
    </row>
    <row r="129" spans="1:19" s="18" customFormat="1" ht="16.899999999999999" hidden="1" customHeight="1">
      <c r="B129" s="597"/>
      <c r="C129" s="645" t="s">
        <v>562</v>
      </c>
      <c r="D129" s="651"/>
      <c r="E129" s="650"/>
      <c r="F129" s="649"/>
      <c r="G129" s="648">
        <f>GST_TotalSales</f>
        <v>0</v>
      </c>
      <c r="H129" s="647"/>
      <c r="I129" s="647"/>
      <c r="J129" s="646"/>
      <c r="L129" s="611"/>
      <c r="M129" s="611"/>
      <c r="N129" s="611"/>
      <c r="O129" s="69"/>
      <c r="P129" s="24"/>
      <c r="R129" s="174"/>
      <c r="S129" s="568"/>
    </row>
    <row r="130" spans="1:19" s="18" customFormat="1" ht="16.899999999999999" hidden="1" customHeight="1">
      <c r="B130" s="597"/>
      <c r="C130" s="645" t="s">
        <v>280</v>
      </c>
      <c r="D130" s="70"/>
      <c r="E130" s="70"/>
      <c r="F130" s="611"/>
      <c r="G130" s="203">
        <f>G128-G129</f>
        <v>0</v>
      </c>
      <c r="H130" s="17"/>
      <c r="I130" s="644" t="s">
        <v>561</v>
      </c>
      <c r="J130" s="643"/>
      <c r="K130" s="642"/>
      <c r="L130" s="611"/>
      <c r="M130" s="611"/>
      <c r="N130" s="611"/>
      <c r="O130" s="69"/>
      <c r="P130" s="24"/>
      <c r="R130" s="174"/>
      <c r="S130" s="568"/>
    </row>
    <row r="131" spans="1:19" s="18" customFormat="1" ht="15" hidden="1" customHeight="1">
      <c r="B131" s="596"/>
      <c r="C131" s="641"/>
      <c r="D131" s="640"/>
      <c r="E131" s="640"/>
      <c r="F131" s="638"/>
      <c r="G131" s="639" t="str">
        <f>IF(AND(G128=0,G129=0),"Pending",IF(ABS(G130)&gt;ABS(J130*G124),"Out of Balance","Reconciled"))</f>
        <v>Pending</v>
      </c>
      <c r="H131" s="638"/>
      <c r="I131" s="638"/>
      <c r="J131" s="637"/>
      <c r="K131" s="20"/>
      <c r="L131" s="638"/>
      <c r="M131" s="638"/>
      <c r="N131" s="638"/>
      <c r="O131" s="637"/>
      <c r="P131" s="636"/>
      <c r="R131" s="65"/>
      <c r="S131" s="65"/>
    </row>
    <row r="132" spans="1:19" ht="22.5" customHeight="1">
      <c r="A132" s="107"/>
      <c r="C132" s="107"/>
      <c r="G132" s="107"/>
    </row>
    <row r="133" spans="1:19" ht="22.5" customHeight="1">
      <c r="A133" s="594" t="str">
        <f>IF(SUBTOTAL(103,A134),"-","+")</f>
        <v>+</v>
      </c>
      <c r="B133" s="1639" t="s">
        <v>560</v>
      </c>
      <c r="C133" s="1639"/>
      <c r="D133" s="1639"/>
      <c r="E133" s="1639"/>
      <c r="F133" s="1639"/>
      <c r="G133" s="1639"/>
    </row>
    <row r="134" spans="1:19" ht="15" hidden="1" customHeight="1">
      <c r="A134" s="17" t="s">
        <v>58</v>
      </c>
      <c r="B134" s="635"/>
      <c r="C134" s="51"/>
      <c r="D134" s="51"/>
      <c r="E134" s="51"/>
      <c r="F134" s="51"/>
      <c r="G134" s="51"/>
      <c r="H134" s="51"/>
      <c r="I134" s="51"/>
      <c r="J134" s="51"/>
      <c r="K134" s="51"/>
      <c r="L134" s="51"/>
      <c r="M134" s="51"/>
      <c r="N134" s="51"/>
      <c r="O134" s="51"/>
      <c r="P134" s="60"/>
    </row>
    <row r="135" spans="1:19" ht="16.899999999999999" hidden="1" customHeight="1">
      <c r="B135" s="609"/>
      <c r="C135" s="1498" t="s">
        <v>559</v>
      </c>
      <c r="D135" s="1498"/>
      <c r="E135" s="1498"/>
      <c r="F135" s="1498"/>
      <c r="G135" s="1498"/>
      <c r="H135" s="1498"/>
      <c r="I135" s="1498"/>
      <c r="J135" s="1498"/>
      <c r="K135" s="1498"/>
      <c r="L135" s="1682"/>
      <c r="M135" s="633"/>
      <c r="N135" s="633"/>
      <c r="O135" s="633"/>
      <c r="P135" s="191"/>
      <c r="Q135" s="54"/>
      <c r="R135" s="54"/>
    </row>
    <row r="136" spans="1:19" ht="17.25" hidden="1" customHeight="1">
      <c r="B136" s="603"/>
      <c r="C136" s="1654" t="s">
        <v>558</v>
      </c>
      <c r="D136" s="1654"/>
      <c r="E136" s="1654"/>
      <c r="F136" s="1654"/>
      <c r="G136" s="1654"/>
      <c r="H136" s="1654"/>
      <c r="I136" s="1654"/>
      <c r="J136" s="1654"/>
      <c r="K136" s="1654"/>
      <c r="L136" s="1654"/>
      <c r="M136" s="1654"/>
      <c r="N136" s="1654"/>
      <c r="O136" s="1654"/>
      <c r="P136" s="33"/>
      <c r="S136" s="42"/>
    </row>
    <row r="137" spans="1:19" ht="17.25" hidden="1" customHeight="1">
      <c r="B137" s="603"/>
      <c r="C137" s="623"/>
      <c r="D137" s="623"/>
      <c r="E137" s="623"/>
      <c r="F137" s="623"/>
      <c r="G137" s="623"/>
      <c r="H137" s="623"/>
      <c r="I137" s="623"/>
      <c r="J137" s="623"/>
      <c r="K137" s="623"/>
      <c r="L137" s="623"/>
      <c r="M137" s="623"/>
      <c r="N137" s="623"/>
      <c r="O137" s="633"/>
      <c r="P137" s="33"/>
      <c r="S137" s="42"/>
    </row>
    <row r="138" spans="1:19" ht="16.899999999999999" hidden="1" customHeight="1">
      <c r="B138" s="603"/>
      <c r="C138" s="624" t="s">
        <v>557</v>
      </c>
      <c r="E138" s="633"/>
      <c r="F138" s="633"/>
      <c r="G138" s="633"/>
      <c r="H138" s="633"/>
      <c r="I138" s="633"/>
      <c r="J138" s="633"/>
      <c r="K138" s="633"/>
      <c r="L138" s="634"/>
      <c r="M138" s="623"/>
      <c r="N138" s="623"/>
      <c r="O138" s="633"/>
      <c r="P138" s="33"/>
      <c r="S138" s="42"/>
    </row>
    <row r="139" spans="1:19" ht="18" hidden="1" customHeight="1">
      <c r="B139" s="603"/>
      <c r="C139" s="1654" t="s">
        <v>556</v>
      </c>
      <c r="D139" s="1654"/>
      <c r="E139" s="1654"/>
      <c r="F139" s="1654"/>
      <c r="G139" s="1654"/>
      <c r="H139" s="1654"/>
      <c r="I139" s="1654"/>
      <c r="J139" s="1654"/>
      <c r="K139" s="1654"/>
      <c r="L139" s="1654"/>
      <c r="M139" s="1654"/>
      <c r="N139" s="1654"/>
      <c r="O139" s="1654"/>
      <c r="P139" s="33"/>
      <c r="S139" s="42"/>
    </row>
    <row r="140" spans="1:19" ht="18" hidden="1" customHeight="1">
      <c r="B140" s="603"/>
      <c r="C140" s="1654" t="s">
        <v>555</v>
      </c>
      <c r="D140" s="1654"/>
      <c r="E140" s="1654"/>
      <c r="F140" s="1654"/>
      <c r="G140" s="1654"/>
      <c r="H140" s="1654"/>
      <c r="I140" s="1654"/>
      <c r="J140" s="1654"/>
      <c r="K140" s="1654"/>
      <c r="L140" s="1654"/>
      <c r="M140" s="1654"/>
      <c r="N140" s="1654"/>
      <c r="O140" s="1654"/>
      <c r="P140" s="33"/>
      <c r="S140" s="42"/>
    </row>
    <row r="141" spans="1:19" ht="17.25" hidden="1" customHeight="1">
      <c r="B141" s="603"/>
      <c r="O141" s="272"/>
      <c r="P141" s="33"/>
      <c r="S141" s="42"/>
    </row>
    <row r="142" spans="1:19" s="31" customFormat="1" ht="31.5" hidden="1" customHeight="1">
      <c r="B142" s="607"/>
      <c r="C142" s="621"/>
      <c r="D142" s="620"/>
      <c r="E142" s="619"/>
      <c r="F142" s="595"/>
      <c r="G142" s="618" t="s">
        <v>116</v>
      </c>
      <c r="H142" s="618" t="s">
        <v>115</v>
      </c>
      <c r="I142" s="617"/>
      <c r="J142" s="234" t="s">
        <v>542</v>
      </c>
      <c r="K142" s="226"/>
      <c r="L142" s="226"/>
      <c r="M142" s="226"/>
      <c r="N142" s="272"/>
      <c r="O142" s="272"/>
      <c r="P142" s="33"/>
      <c r="R142" s="1432"/>
      <c r="S142" s="1432"/>
    </row>
    <row r="143" spans="1:19" s="18" customFormat="1" ht="7.5" hidden="1" customHeight="1">
      <c r="B143" s="597"/>
      <c r="C143" s="71"/>
      <c r="D143" s="64"/>
      <c r="E143" s="64"/>
      <c r="G143" s="611"/>
      <c r="H143" s="611"/>
      <c r="J143" s="611"/>
      <c r="K143" s="611"/>
      <c r="L143" s="216"/>
      <c r="M143" s="272"/>
      <c r="N143" s="272"/>
      <c r="O143" s="272"/>
      <c r="P143" s="24"/>
    </row>
    <row r="144" spans="1:19" s="18" customFormat="1" ht="16.899999999999999" hidden="1" customHeight="1">
      <c r="B144" s="597"/>
      <c r="C144" s="1640" t="s">
        <v>514</v>
      </c>
      <c r="D144" s="1641"/>
      <c r="E144" s="1642"/>
      <c r="G144" s="630"/>
      <c r="H144" s="630"/>
      <c r="I144" s="625"/>
      <c r="J144" s="181">
        <f>G144-H144</f>
        <v>0</v>
      </c>
      <c r="K144" s="611"/>
      <c r="L144" s="611"/>
      <c r="M144" s="611"/>
      <c r="O144" s="186"/>
      <c r="P144" s="24"/>
      <c r="R144" s="174"/>
      <c r="S144" s="568"/>
    </row>
    <row r="145" spans="2:19" s="18" customFormat="1" ht="16.899999999999999" hidden="1" customHeight="1">
      <c r="B145" s="597"/>
      <c r="C145" s="1640" t="s">
        <v>554</v>
      </c>
      <c r="D145" s="1641"/>
      <c r="E145" s="1642"/>
      <c r="G145" s="616">
        <f>G166</f>
        <v>0</v>
      </c>
      <c r="H145" s="616">
        <f>H166</f>
        <v>0</v>
      </c>
      <c r="I145" s="632"/>
      <c r="J145" s="181">
        <f>G145-H145</f>
        <v>0</v>
      </c>
      <c r="K145" s="611"/>
      <c r="L145" s="611"/>
      <c r="M145" s="611"/>
      <c r="O145" s="186"/>
      <c r="P145" s="24"/>
      <c r="R145" s="174"/>
      <c r="S145" s="568"/>
    </row>
    <row r="146" spans="2:19" s="18" customFormat="1" ht="16.899999999999999" hidden="1" customHeight="1">
      <c r="B146" s="597"/>
      <c r="C146" s="1640" t="s">
        <v>270</v>
      </c>
      <c r="D146" s="1641"/>
      <c r="E146" s="1642"/>
      <c r="G146" s="631">
        <f>-H99</f>
        <v>0</v>
      </c>
      <c r="H146" s="631">
        <f>-L99</f>
        <v>0</v>
      </c>
      <c r="I146" s="611"/>
      <c r="J146" s="181">
        <f>G146-H146</f>
        <v>0</v>
      </c>
      <c r="K146" s="611"/>
      <c r="L146" s="611"/>
      <c r="M146" s="611"/>
      <c r="O146" s="186"/>
      <c r="P146" s="24"/>
      <c r="R146" s="174"/>
      <c r="S146" s="568"/>
    </row>
    <row r="147" spans="2:19" s="18" customFormat="1" ht="16.899999999999999" hidden="1" customHeight="1">
      <c r="B147" s="597"/>
      <c r="C147" s="1651" t="s">
        <v>283</v>
      </c>
      <c r="D147" s="1652"/>
      <c r="E147" s="1653"/>
      <c r="G147" s="630"/>
      <c r="H147" s="630"/>
      <c r="I147" s="611"/>
      <c r="J147" s="181">
        <f>G147-H147</f>
        <v>0</v>
      </c>
      <c r="K147" s="629" t="str">
        <f>IF(J147&lt;&gt;0,"This is a trap! You will likely need to reverse these other movements.","")</f>
        <v/>
      </c>
      <c r="L147" s="615"/>
      <c r="M147" s="611"/>
      <c r="O147" s="186"/>
      <c r="P147" s="24"/>
      <c r="R147" s="174"/>
      <c r="S147" s="568"/>
    </row>
    <row r="148" spans="2:19" s="18" customFormat="1" ht="16.899999999999999" hidden="1" customHeight="1">
      <c r="B148" s="597"/>
      <c r="C148" s="1651"/>
      <c r="D148" s="1652"/>
      <c r="E148" s="1653"/>
      <c r="G148" s="630"/>
      <c r="H148" s="630"/>
      <c r="I148" s="611"/>
      <c r="J148" s="181">
        <f>G148-H148</f>
        <v>0</v>
      </c>
      <c r="K148" s="629" t="str">
        <f>IF(J148&lt;&gt;0,"This is a trap! You will likely need to reverse these other movements.","")</f>
        <v/>
      </c>
      <c r="L148" s="615"/>
      <c r="M148" s="611"/>
      <c r="O148" s="186"/>
      <c r="P148" s="24"/>
      <c r="R148" s="174"/>
      <c r="S148" s="568"/>
    </row>
    <row r="149" spans="2:19" s="18" customFormat="1" ht="7.5" hidden="1" customHeight="1">
      <c r="B149" s="597"/>
      <c r="C149" s="611"/>
      <c r="D149" s="611"/>
      <c r="E149" s="611"/>
      <c r="F149" s="611"/>
      <c r="G149" s="611"/>
      <c r="H149" s="611"/>
      <c r="I149" s="611"/>
      <c r="J149" s="611"/>
      <c r="K149" s="611"/>
      <c r="L149" s="611"/>
      <c r="M149" s="611"/>
      <c r="O149" s="186"/>
      <c r="P149" s="24"/>
    </row>
    <row r="150" spans="2:19" ht="16.899999999999999" hidden="1" customHeight="1">
      <c r="B150" s="603"/>
      <c r="C150" s="287" t="s">
        <v>546</v>
      </c>
      <c r="D150" s="18"/>
      <c r="E150" s="18"/>
      <c r="F150" s="18"/>
      <c r="G150" s="25">
        <f>SUBTOTAL(9,G144:G149)</f>
        <v>0</v>
      </c>
      <c r="H150" s="25">
        <f>SUBTOTAL(9,H144:H149)</f>
        <v>0</v>
      </c>
      <c r="I150" s="611"/>
      <c r="J150" s="25">
        <f>SUBTOTAL(9,J144:J149)</f>
        <v>0</v>
      </c>
      <c r="O150" s="272"/>
      <c r="P150" s="33"/>
      <c r="R150" s="174"/>
      <c r="S150" s="568"/>
    </row>
    <row r="151" spans="2:19" ht="16.899999999999999" hidden="1" customHeight="1">
      <c r="B151" s="603"/>
      <c r="C151" s="287" t="s">
        <v>356</v>
      </c>
      <c r="D151" s="18"/>
      <c r="E151" s="18"/>
      <c r="F151" s="18"/>
      <c r="G151" s="616">
        <f>G113</f>
        <v>0</v>
      </c>
      <c r="H151" s="616">
        <f>H113</f>
        <v>0</v>
      </c>
      <c r="I151" s="611"/>
      <c r="J151" s="25">
        <f>G151-H151</f>
        <v>0</v>
      </c>
      <c r="O151" s="272"/>
      <c r="P151" s="33"/>
      <c r="R151" s="174"/>
      <c r="S151" s="568"/>
    </row>
    <row r="152" spans="2:19" ht="16.899999999999999" hidden="1" customHeight="1">
      <c r="B152" s="603"/>
      <c r="C152" s="287" t="s">
        <v>280</v>
      </c>
      <c r="D152" s="18"/>
      <c r="E152" s="18"/>
      <c r="F152" s="18"/>
      <c r="G152" s="25">
        <f>G151-G150</f>
        <v>0</v>
      </c>
      <c r="H152" s="25">
        <f>H151-H150</f>
        <v>0</v>
      </c>
      <c r="I152" s="611"/>
      <c r="J152" s="203">
        <f>J151-J150</f>
        <v>0</v>
      </c>
      <c r="O152" s="272"/>
      <c r="P152" s="33"/>
      <c r="R152" s="174"/>
      <c r="S152" s="568"/>
    </row>
    <row r="153" spans="2:19" ht="7.5" hidden="1" customHeight="1">
      <c r="B153" s="603"/>
      <c r="J153" s="363" t="str">
        <f>IF(AND(J150=0,J151=0),"Pending",IF(ABS(J152)&gt;Tm_Tolerance,"Out of Balance","Reconciled"))</f>
        <v>Pending</v>
      </c>
      <c r="O153" s="272"/>
      <c r="P153" s="33"/>
      <c r="S153" s="42"/>
    </row>
    <row r="154" spans="2:19" ht="15" hidden="1" customHeight="1">
      <c r="B154" s="603"/>
      <c r="C154" s="272"/>
      <c r="D154" s="628"/>
      <c r="O154" s="272"/>
      <c r="P154" s="33"/>
      <c r="S154" s="42"/>
    </row>
    <row r="155" spans="2:19" ht="17.25" hidden="1" customHeight="1">
      <c r="B155" s="603"/>
      <c r="C155" s="624" t="s">
        <v>553</v>
      </c>
      <c r="E155" s="623"/>
      <c r="F155" s="623"/>
      <c r="G155" s="623"/>
      <c r="H155" s="623"/>
      <c r="I155" s="623"/>
      <c r="J155" s="623"/>
      <c r="K155" s="623"/>
      <c r="L155" s="623"/>
      <c r="M155" s="623"/>
      <c r="N155" s="623"/>
      <c r="O155" s="622"/>
      <c r="P155" s="33"/>
      <c r="S155" s="42"/>
    </row>
    <row r="156" spans="2:19" ht="17.25" hidden="1" customHeight="1">
      <c r="B156" s="603"/>
      <c r="C156" s="1654" t="s">
        <v>552</v>
      </c>
      <c r="D156" s="1654"/>
      <c r="E156" s="1654"/>
      <c r="F156" s="1654"/>
      <c r="G156" s="1654"/>
      <c r="H156" s="1654"/>
      <c r="I156" s="1654"/>
      <c r="J156" s="1654"/>
      <c r="K156" s="1654"/>
      <c r="L156" s="1654"/>
      <c r="M156" s="1654"/>
      <c r="N156" s="1654"/>
      <c r="O156" s="1654"/>
      <c r="P156" s="33"/>
      <c r="S156" s="42"/>
    </row>
    <row r="157" spans="2:19" ht="17.25" hidden="1" customHeight="1">
      <c r="B157" s="603"/>
      <c r="O157" s="272"/>
      <c r="P157" s="33"/>
      <c r="S157" s="42"/>
    </row>
    <row r="158" spans="2:19" s="31" customFormat="1" ht="31.5" hidden="1" customHeight="1">
      <c r="B158" s="607"/>
      <c r="C158" s="621"/>
      <c r="D158" s="620"/>
      <c r="E158" s="619"/>
      <c r="F158" s="595"/>
      <c r="G158" s="618" t="s">
        <v>116</v>
      </c>
      <c r="H158" s="618" t="s">
        <v>115</v>
      </c>
      <c r="I158" s="617"/>
      <c r="J158" s="234" t="s">
        <v>542</v>
      </c>
      <c r="K158" s="226"/>
      <c r="L158" s="226"/>
      <c r="M158" s="226"/>
      <c r="N158" s="272"/>
      <c r="O158" s="272"/>
      <c r="P158" s="33"/>
      <c r="S158" s="42"/>
    </row>
    <row r="159" spans="2:19" s="18" customFormat="1" ht="7.5" hidden="1" customHeight="1">
      <c r="B159" s="597"/>
      <c r="C159" s="71"/>
      <c r="D159" s="64"/>
      <c r="E159" s="64"/>
      <c r="G159" s="611"/>
      <c r="H159" s="611"/>
      <c r="J159" s="611"/>
      <c r="K159" s="611"/>
      <c r="L159" s="216"/>
      <c r="M159" s="272"/>
      <c r="N159" s="272"/>
      <c r="O159" s="272"/>
      <c r="P159" s="24"/>
    </row>
    <row r="160" spans="2:19" s="18" customFormat="1" ht="16.899999999999999" hidden="1" customHeight="1">
      <c r="B160" s="597"/>
      <c r="C160" s="1640" t="s">
        <v>551</v>
      </c>
      <c r="D160" s="1641"/>
      <c r="E160" s="1642"/>
      <c r="G160" s="25">
        <f>H51</f>
        <v>0</v>
      </c>
      <c r="H160" s="25">
        <f>M51</f>
        <v>0</v>
      </c>
      <c r="I160" s="611"/>
      <c r="J160" s="25">
        <f>G160-H160</f>
        <v>0</v>
      </c>
      <c r="K160" s="611"/>
      <c r="L160" s="611"/>
      <c r="M160" s="611"/>
      <c r="O160" s="186"/>
      <c r="P160" s="24"/>
      <c r="R160" s="174"/>
      <c r="S160" s="568"/>
    </row>
    <row r="161" spans="2:19" s="18" customFormat="1" ht="16.899999999999999" hidden="1" customHeight="1">
      <c r="B161" s="597"/>
      <c r="C161" s="1640" t="s">
        <v>550</v>
      </c>
      <c r="D161" s="1641"/>
      <c r="E161" s="1642"/>
      <c r="G161" s="25">
        <f>H54</f>
        <v>0</v>
      </c>
      <c r="H161" s="25">
        <f>M54</f>
        <v>0</v>
      </c>
      <c r="I161" s="611"/>
      <c r="J161" s="25">
        <f>G161-H161</f>
        <v>0</v>
      </c>
      <c r="K161" s="611"/>
      <c r="L161" s="611"/>
      <c r="M161" s="611"/>
      <c r="O161" s="186"/>
      <c r="P161" s="24"/>
      <c r="R161" s="174"/>
      <c r="S161" s="568"/>
    </row>
    <row r="162" spans="2:19" s="18" customFormat="1" ht="16.899999999999999" hidden="1" customHeight="1">
      <c r="B162" s="597"/>
      <c r="C162" s="1640" t="s">
        <v>549</v>
      </c>
      <c r="D162" s="1641"/>
      <c r="E162" s="1642"/>
      <c r="G162" s="25">
        <f>SUM(H55:H59)</f>
        <v>0</v>
      </c>
      <c r="H162" s="25">
        <f>SUM(M55:M59)</f>
        <v>0</v>
      </c>
      <c r="I162" s="611"/>
      <c r="J162" s="25">
        <f>G162-H162</f>
        <v>0</v>
      </c>
      <c r="K162" s="611"/>
      <c r="L162" s="611"/>
      <c r="M162" s="611"/>
      <c r="O162" s="186"/>
      <c r="P162" s="24"/>
      <c r="R162" s="174"/>
      <c r="S162" s="568"/>
    </row>
    <row r="163" spans="2:19" s="18" customFormat="1" ht="16.899999999999999" hidden="1" customHeight="1">
      <c r="B163" s="597"/>
      <c r="C163" s="1640" t="s">
        <v>548</v>
      </c>
      <c r="D163" s="1641"/>
      <c r="E163" s="1642"/>
      <c r="G163" s="627">
        <f>-G169</f>
        <v>0</v>
      </c>
      <c r="H163" s="627">
        <f>-H169</f>
        <v>0</v>
      </c>
      <c r="I163" s="611"/>
      <c r="J163" s="25">
        <f>G163-H163</f>
        <v>0</v>
      </c>
      <c r="K163" s="611"/>
      <c r="L163" s="611"/>
      <c r="M163" s="611"/>
      <c r="O163" s="186"/>
      <c r="P163" s="24"/>
      <c r="R163" s="174"/>
      <c r="S163" s="568"/>
    </row>
    <row r="164" spans="2:19" s="18" customFormat="1" ht="16.899999999999999" hidden="1" customHeight="1">
      <c r="B164" s="597"/>
      <c r="C164" s="1640" t="s">
        <v>547</v>
      </c>
      <c r="D164" s="1641"/>
      <c r="E164" s="1642"/>
      <c r="G164" s="25">
        <f>G108</f>
        <v>0</v>
      </c>
      <c r="H164" s="25">
        <f>H108</f>
        <v>0</v>
      </c>
      <c r="I164" s="611"/>
      <c r="J164" s="25">
        <f>G164-H164</f>
        <v>0</v>
      </c>
      <c r="K164" s="611"/>
      <c r="L164" s="611"/>
      <c r="M164" s="611"/>
      <c r="O164" s="186"/>
      <c r="P164" s="24"/>
      <c r="R164" s="174"/>
      <c r="S164" s="568"/>
    </row>
    <row r="165" spans="2:19" s="18" customFormat="1" ht="7.5" hidden="1" customHeight="1">
      <c r="B165" s="597"/>
      <c r="C165" s="626"/>
      <c r="D165" s="626"/>
      <c r="E165" s="626"/>
      <c r="G165" s="625"/>
      <c r="H165" s="625"/>
      <c r="I165" s="625"/>
      <c r="J165" s="625"/>
      <c r="K165" s="625"/>
      <c r="L165" s="625"/>
      <c r="M165" s="625"/>
      <c r="O165" s="186"/>
      <c r="P165" s="24"/>
    </row>
    <row r="166" spans="2:19" s="18" customFormat="1" ht="16.899999999999999" hidden="1" customHeight="1">
      <c r="B166" s="597"/>
      <c r="C166" s="1649" t="s">
        <v>546</v>
      </c>
      <c r="D166" s="1649"/>
      <c r="E166" s="1649"/>
      <c r="G166" s="25">
        <f>SUBTOTAL(9,G160:G165)</f>
        <v>0</v>
      </c>
      <c r="H166" s="25">
        <f>SUBTOTAL(9,H160:H165)</f>
        <v>0</v>
      </c>
      <c r="I166" s="611"/>
      <c r="J166" s="25">
        <f>SUBTOTAL(9,J160:J165)</f>
        <v>0</v>
      </c>
      <c r="K166" s="625"/>
      <c r="L166" s="625"/>
      <c r="M166" s="625"/>
      <c r="O166" s="186"/>
      <c r="P166" s="24"/>
      <c r="R166" s="174"/>
      <c r="S166" s="568"/>
    </row>
    <row r="167" spans="2:19" s="18" customFormat="1" ht="16.899999999999999" hidden="1" customHeight="1">
      <c r="B167" s="597"/>
      <c r="C167" s="1649" t="s">
        <v>545</v>
      </c>
      <c r="D167" s="1649"/>
      <c r="E167" s="1649"/>
      <c r="G167" s="25">
        <f>G145</f>
        <v>0</v>
      </c>
      <c r="H167" s="25">
        <f>H145</f>
        <v>0</v>
      </c>
      <c r="I167" s="611"/>
      <c r="J167" s="25">
        <f>J145</f>
        <v>0</v>
      </c>
      <c r="K167" s="625"/>
      <c r="L167" s="625"/>
      <c r="M167" s="625"/>
      <c r="O167" s="186"/>
      <c r="P167" s="24"/>
      <c r="R167" s="174"/>
      <c r="S167" s="568"/>
    </row>
    <row r="168" spans="2:19" s="18" customFormat="1" ht="16.899999999999999" hidden="1" customHeight="1">
      <c r="B168" s="597"/>
      <c r="C168" s="1649" t="s">
        <v>280</v>
      </c>
      <c r="D168" s="1649"/>
      <c r="E168" s="1649"/>
      <c r="G168" s="25">
        <f>G167-G166</f>
        <v>0</v>
      </c>
      <c r="H168" s="25">
        <f>H167-H166</f>
        <v>0</v>
      </c>
      <c r="I168" s="611"/>
      <c r="J168" s="203">
        <f>J167-J166</f>
        <v>0</v>
      </c>
      <c r="K168" s="625"/>
      <c r="L168" s="625"/>
      <c r="M168" s="625"/>
      <c r="O168" s="186"/>
      <c r="P168" s="24"/>
      <c r="R168" s="174"/>
      <c r="S168" s="568"/>
    </row>
    <row r="169" spans="2:19" s="18" customFormat="1" ht="7.5" hidden="1" customHeight="1">
      <c r="B169" s="597"/>
      <c r="C169" s="17"/>
      <c r="D169" s="17"/>
      <c r="E169" s="17"/>
      <c r="F169" s="17"/>
      <c r="G169" s="112"/>
      <c r="H169" s="112"/>
      <c r="I169" s="17"/>
      <c r="J169" s="363" t="str">
        <f>IF(AND(J166=0,J167=0),"Pending",IF(ABS(J168)&gt;Tm_Tolerance,"Out of Balance","Reconciled"))</f>
        <v>Pending</v>
      </c>
      <c r="K169" s="625"/>
      <c r="L169" s="625"/>
      <c r="M169" s="625"/>
      <c r="O169" s="186"/>
      <c r="P169" s="24"/>
      <c r="S169" s="599"/>
    </row>
    <row r="170" spans="2:19" ht="15" hidden="1" customHeight="1">
      <c r="B170" s="603"/>
      <c r="P170" s="33"/>
    </row>
    <row r="171" spans="2:19" ht="17.25" hidden="1" customHeight="1">
      <c r="B171" s="603"/>
      <c r="C171" s="624" t="s">
        <v>544</v>
      </c>
      <c r="E171" s="623"/>
      <c r="F171" s="623"/>
      <c r="G171" s="623"/>
      <c r="H171" s="623"/>
      <c r="I171" s="623"/>
      <c r="J171" s="623"/>
      <c r="K171" s="623"/>
      <c r="L171" s="623"/>
      <c r="M171" s="623"/>
      <c r="N171" s="623"/>
      <c r="O171" s="622"/>
      <c r="P171" s="33"/>
      <c r="S171" s="42"/>
    </row>
    <row r="172" spans="2:19" ht="17.25" hidden="1" customHeight="1">
      <c r="B172" s="603"/>
      <c r="C172" s="1654" t="s">
        <v>543</v>
      </c>
      <c r="D172" s="1654"/>
      <c r="E172" s="1654"/>
      <c r="F172" s="1654"/>
      <c r="G172" s="1654"/>
      <c r="H172" s="1654"/>
      <c r="I172" s="1654"/>
      <c r="J172" s="1654"/>
      <c r="K172" s="1654"/>
      <c r="L172" s="1654"/>
      <c r="M172" s="1654"/>
      <c r="N172" s="1654"/>
      <c r="O172" s="1654"/>
      <c r="P172" s="33"/>
      <c r="S172" s="42"/>
    </row>
    <row r="173" spans="2:19" ht="17.25" hidden="1" customHeight="1">
      <c r="B173" s="603"/>
      <c r="O173" s="272"/>
      <c r="P173" s="33"/>
      <c r="S173" s="42"/>
    </row>
    <row r="174" spans="2:19" s="31" customFormat="1" ht="31.5" hidden="1" customHeight="1">
      <c r="B174" s="607"/>
      <c r="C174" s="621"/>
      <c r="D174" s="620"/>
      <c r="E174" s="619"/>
      <c r="F174" s="595"/>
      <c r="G174" s="618" t="s">
        <v>116</v>
      </c>
      <c r="H174" s="618" t="s">
        <v>115</v>
      </c>
      <c r="I174" s="617"/>
      <c r="J174" s="234" t="s">
        <v>542</v>
      </c>
      <c r="K174" s="226"/>
      <c r="L174" s="226"/>
      <c r="M174" s="226"/>
      <c r="N174" s="272"/>
      <c r="O174" s="272"/>
      <c r="P174" s="33"/>
      <c r="S174" s="42"/>
    </row>
    <row r="175" spans="2:19" s="18" customFormat="1" ht="7.5" hidden="1" customHeight="1">
      <c r="B175" s="597"/>
      <c r="C175" s="71"/>
      <c r="D175" s="64"/>
      <c r="E175" s="64"/>
      <c r="G175" s="611"/>
      <c r="H175" s="611"/>
      <c r="J175" s="611"/>
      <c r="K175" s="611"/>
      <c r="L175" s="216"/>
      <c r="M175" s="272"/>
      <c r="N175" s="272"/>
      <c r="O175" s="272"/>
      <c r="P175" s="24"/>
    </row>
    <row r="176" spans="2:19" s="18" customFormat="1" ht="16.899999999999999" hidden="1" customHeight="1">
      <c r="B176" s="597"/>
      <c r="C176" s="1634" t="s">
        <v>541</v>
      </c>
      <c r="D176" s="1635"/>
      <c r="E176" s="1643"/>
      <c r="G176" s="616">
        <f>SUM(G78:G80)</f>
        <v>0</v>
      </c>
      <c r="H176" s="616">
        <f>SUM(K78:K80)</f>
        <v>0</v>
      </c>
      <c r="I176" s="69"/>
      <c r="J176" s="25">
        <f>G176-H176</f>
        <v>0</v>
      </c>
      <c r="K176" s="611"/>
      <c r="L176" s="611"/>
      <c r="M176" s="611"/>
      <c r="O176" s="186"/>
      <c r="P176" s="24"/>
      <c r="R176" s="174"/>
      <c r="S176" s="568"/>
    </row>
    <row r="177" spans="1:19" s="18" customFormat="1" ht="16.899999999999999" hidden="1" customHeight="1">
      <c r="B177" s="597"/>
      <c r="C177" s="1634" t="s">
        <v>297</v>
      </c>
      <c r="D177" s="1635"/>
      <c r="E177" s="1643"/>
      <c r="G177" s="25">
        <f>I30+J30</f>
        <v>0</v>
      </c>
      <c r="H177" s="25">
        <f>N30+O30</f>
        <v>0</v>
      </c>
      <c r="I177" s="69"/>
      <c r="J177" s="25">
        <f>G177-H177</f>
        <v>0</v>
      </c>
      <c r="K177" s="611"/>
      <c r="L177" s="611"/>
      <c r="M177" s="611"/>
      <c r="O177" s="186"/>
      <c r="P177" s="24"/>
      <c r="R177" s="174"/>
      <c r="S177" s="568"/>
    </row>
    <row r="178" spans="1:19" s="18" customFormat="1" ht="16.899999999999999" hidden="1" customHeight="1">
      <c r="B178" s="597"/>
      <c r="C178" s="1634" t="s">
        <v>540</v>
      </c>
      <c r="D178" s="1635"/>
      <c r="E178" s="1643"/>
      <c r="G178" s="616">
        <f>-G163</f>
        <v>0</v>
      </c>
      <c r="H178" s="616">
        <f>-H163</f>
        <v>0</v>
      </c>
      <c r="I178" s="69"/>
      <c r="J178" s="25">
        <f>G178-H178</f>
        <v>0</v>
      </c>
      <c r="K178" s="611"/>
      <c r="L178" s="611"/>
      <c r="M178" s="611"/>
      <c r="O178" s="186"/>
      <c r="P178" s="24"/>
      <c r="R178" s="174"/>
      <c r="S178" s="568"/>
    </row>
    <row r="179" spans="1:19" s="18" customFormat="1" ht="16.899999999999999" hidden="1" customHeight="1">
      <c r="B179" s="597"/>
      <c r="C179" s="1644" t="s">
        <v>283</v>
      </c>
      <c r="D179" s="1645"/>
      <c r="E179" s="1646"/>
      <c r="G179" s="616"/>
      <c r="H179" s="616"/>
      <c r="I179" s="69"/>
      <c r="J179" s="25">
        <f>G179-H179</f>
        <v>0</v>
      </c>
      <c r="L179" s="615">
        <f>IFERROR(MATCH(#REF!,BAS_GST_Labels,0),0)</f>
        <v>0</v>
      </c>
      <c r="M179" s="611"/>
      <c r="O179" s="186"/>
      <c r="P179" s="24"/>
      <c r="R179" s="174"/>
      <c r="S179" s="568"/>
    </row>
    <row r="180" spans="1:19" s="18" customFormat="1" ht="16.899999999999999" hidden="1" customHeight="1">
      <c r="B180" s="597"/>
      <c r="C180" s="1644"/>
      <c r="D180" s="1645"/>
      <c r="E180" s="1646"/>
      <c r="G180" s="616"/>
      <c r="H180" s="616"/>
      <c r="I180" s="69"/>
      <c r="J180" s="25">
        <f>G180-H180</f>
        <v>0</v>
      </c>
      <c r="L180" s="615"/>
      <c r="M180" s="611"/>
      <c r="O180" s="186"/>
      <c r="P180" s="24"/>
      <c r="R180" s="174"/>
      <c r="S180" s="568"/>
    </row>
    <row r="181" spans="1:19" s="18" customFormat="1" ht="7.5" hidden="1" customHeight="1">
      <c r="B181" s="597"/>
      <c r="C181" s="614"/>
      <c r="D181" s="64"/>
      <c r="E181" s="64"/>
      <c r="G181" s="69"/>
      <c r="H181" s="69"/>
      <c r="I181" s="69"/>
      <c r="J181" s="613"/>
      <c r="K181" s="611"/>
      <c r="L181" s="611"/>
      <c r="M181" s="611"/>
      <c r="O181" s="186"/>
      <c r="P181" s="24"/>
    </row>
    <row r="182" spans="1:19" s="18" customFormat="1" ht="16.899999999999999" hidden="1" customHeight="1">
      <c r="B182" s="597"/>
      <c r="C182" s="1649" t="s">
        <v>514</v>
      </c>
      <c r="D182" s="1649"/>
      <c r="E182" s="1649"/>
      <c r="G182" s="25">
        <f>SUM(G176:G181)</f>
        <v>0</v>
      </c>
      <c r="H182" s="25">
        <f>SUM(H176:H181)</f>
        <v>0</v>
      </c>
      <c r="I182" s="69"/>
      <c r="J182" s="208">
        <f>SUBTOTAL(9,J176:J181)</f>
        <v>0</v>
      </c>
      <c r="K182" s="611"/>
      <c r="L182" s="611"/>
      <c r="M182" s="611"/>
      <c r="O182" s="186"/>
      <c r="P182" s="24"/>
      <c r="R182" s="174"/>
      <c r="S182" s="568"/>
    </row>
    <row r="183" spans="1:19" s="18" customFormat="1" ht="16.899999999999999" hidden="1" customHeight="1">
      <c r="B183" s="597"/>
      <c r="C183" s="1649" t="s">
        <v>539</v>
      </c>
      <c r="D183" s="1649"/>
      <c r="E183" s="1649"/>
      <c r="G183" s="25">
        <f>G144</f>
        <v>0</v>
      </c>
      <c r="H183" s="25">
        <f>H144</f>
        <v>0</v>
      </c>
      <c r="I183" s="69"/>
      <c r="J183" s="221">
        <f>J144</f>
        <v>0</v>
      </c>
      <c r="K183" s="612" t="str">
        <f>IF(AND(G183-H183&lt;&gt;0,G183-H183&lt;&gt;Tm_TBBalance),"Total Balance differences from GST Paid/Collected totals","")</f>
        <v/>
      </c>
      <c r="L183" s="611"/>
      <c r="M183" s="611"/>
      <c r="O183" s="186"/>
      <c r="P183" s="24"/>
      <c r="R183" s="174"/>
      <c r="S183" s="568"/>
    </row>
    <row r="184" spans="1:19" s="18" customFormat="1" ht="16.899999999999999" hidden="1" customHeight="1">
      <c r="B184" s="597"/>
      <c r="C184" s="1649" t="s">
        <v>280</v>
      </c>
      <c r="D184" s="1649"/>
      <c r="E184" s="1649"/>
      <c r="G184" s="25">
        <f>G183-G182</f>
        <v>0</v>
      </c>
      <c r="H184" s="25">
        <f>H183-H182</f>
        <v>0</v>
      </c>
      <c r="I184" s="69"/>
      <c r="J184" s="203">
        <f>J183-J182</f>
        <v>0</v>
      </c>
      <c r="K184" s="611"/>
      <c r="L184" s="611"/>
      <c r="M184" s="611"/>
      <c r="O184" s="186"/>
      <c r="P184" s="24"/>
      <c r="R184" s="174"/>
      <c r="S184" s="568"/>
    </row>
    <row r="185" spans="1:19" ht="7.5" hidden="1" customHeight="1">
      <c r="B185" s="603"/>
      <c r="J185" s="363" t="str">
        <f>IF(AND(J182=0,J183=0),"Pending",IF(ABS(J184)&gt;Tm_Tolerance,"Out of Balance","Reconciled"))</f>
        <v>Pending</v>
      </c>
      <c r="O185" s="272"/>
      <c r="P185" s="33"/>
      <c r="S185" s="42"/>
    </row>
    <row r="186" spans="1:19" s="18" customFormat="1" ht="7.5" hidden="1" customHeight="1">
      <c r="B186" s="596"/>
      <c r="C186" s="20"/>
      <c r="D186" s="20"/>
      <c r="E186" s="20"/>
      <c r="F186" s="20"/>
      <c r="G186" s="20"/>
      <c r="H186" s="20"/>
      <c r="I186" s="20"/>
      <c r="J186" s="20"/>
      <c r="K186" s="20"/>
      <c r="L186" s="20"/>
      <c r="M186" s="20"/>
      <c r="N186" s="20"/>
      <c r="O186" s="20"/>
      <c r="P186" s="19"/>
    </row>
    <row r="187" spans="1:19" ht="22.5" customHeight="1"/>
    <row r="188" spans="1:19" ht="22.5" customHeight="1">
      <c r="A188" s="594" t="str">
        <f>IF(SUBTOTAL(103,A189),"-","+")</f>
        <v>+</v>
      </c>
      <c r="B188" s="1639" t="s">
        <v>538</v>
      </c>
      <c r="C188" s="1639"/>
      <c r="D188" s="1639"/>
      <c r="E188" s="1639"/>
      <c r="F188" s="1639"/>
      <c r="G188" s="1639"/>
      <c r="H188" s="610" t="str">
        <f>IF(COUNTIF(G195:M208,"&gt;0"),"Contains Data","No Data")</f>
        <v>No Data</v>
      </c>
      <c r="I188" s="204"/>
    </row>
    <row r="189" spans="1:19" ht="15" hidden="1" customHeight="1">
      <c r="A189" s="17" t="s">
        <v>58</v>
      </c>
      <c r="B189" s="603"/>
      <c r="I189" s="51"/>
      <c r="J189" s="51"/>
      <c r="K189" s="51"/>
      <c r="L189" s="51"/>
      <c r="M189" s="51"/>
      <c r="N189" s="51"/>
      <c r="O189" s="51"/>
      <c r="P189" s="60"/>
    </row>
    <row r="190" spans="1:19" ht="22.5" hidden="1" customHeight="1">
      <c r="B190" s="609"/>
      <c r="C190" s="1498" t="s">
        <v>537</v>
      </c>
      <c r="D190" s="1666"/>
      <c r="E190" s="1666"/>
      <c r="F190" s="1666"/>
      <c r="G190" s="1666"/>
      <c r="H190" s="1666"/>
      <c r="I190" s="1666"/>
      <c r="J190" s="1666"/>
      <c r="K190" s="1666"/>
      <c r="L190" s="1681"/>
      <c r="O190" s="608" t="s">
        <v>536</v>
      </c>
      <c r="P190" s="191"/>
      <c r="Q190" s="54"/>
      <c r="R190" s="54"/>
    </row>
    <row r="191" spans="1:19" ht="22.5" hidden="1" customHeight="1">
      <c r="B191" s="603"/>
      <c r="O191" s="272"/>
      <c r="P191" s="33"/>
      <c r="S191" s="42"/>
    </row>
    <row r="192" spans="1:19" ht="22.15" hidden="1" customHeight="1">
      <c r="B192" s="603"/>
      <c r="C192" s="52"/>
      <c r="D192" s="51"/>
      <c r="E192" s="50"/>
      <c r="F192" s="49"/>
      <c r="G192" s="92" t="s">
        <v>148</v>
      </c>
      <c r="H192" s="95" t="s">
        <v>147</v>
      </c>
      <c r="I192" s="95" t="s">
        <v>146</v>
      </c>
      <c r="J192" s="95" t="s">
        <v>145</v>
      </c>
      <c r="K192" s="95" t="s">
        <v>144</v>
      </c>
      <c r="L192" s="95" t="s">
        <v>143</v>
      </c>
      <c r="M192" s="95" t="s">
        <v>142</v>
      </c>
      <c r="N192" s="95" t="s">
        <v>141</v>
      </c>
      <c r="O192" s="94" t="s">
        <v>156</v>
      </c>
      <c r="P192" s="33"/>
      <c r="S192" s="42"/>
    </row>
    <row r="193" spans="2:20" s="31" customFormat="1" ht="31.5" hidden="1" customHeight="1">
      <c r="B193" s="607"/>
      <c r="C193" s="606"/>
      <c r="D193" s="605"/>
      <c r="E193" s="604"/>
      <c r="F193" s="36"/>
      <c r="G193" s="87" t="s">
        <v>121</v>
      </c>
      <c r="H193" s="84" t="s">
        <v>120</v>
      </c>
      <c r="I193" s="84" t="s">
        <v>119</v>
      </c>
      <c r="J193" s="84" t="s">
        <v>118</v>
      </c>
      <c r="K193" s="84" t="s">
        <v>117</v>
      </c>
      <c r="L193" s="84" t="s">
        <v>116</v>
      </c>
      <c r="M193" s="84" t="s">
        <v>115</v>
      </c>
      <c r="N193" s="38" t="s">
        <v>114</v>
      </c>
      <c r="O193" s="86" t="s">
        <v>113</v>
      </c>
      <c r="P193" s="33"/>
      <c r="R193" s="65"/>
      <c r="S193" s="65"/>
    </row>
    <row r="194" spans="2:20" ht="7.5" hidden="1" customHeight="1">
      <c r="B194" s="603"/>
      <c r="G194" s="602">
        <f t="shared" ref="G194:O194" si="19">IFERROR(MATCH(G192,BAS_GST_Labels,0),0)</f>
        <v>1</v>
      </c>
      <c r="H194" s="602">
        <f t="shared" si="19"/>
        <v>2</v>
      </c>
      <c r="I194" s="602">
        <f t="shared" si="19"/>
        <v>3</v>
      </c>
      <c r="J194" s="602">
        <f t="shared" si="19"/>
        <v>4</v>
      </c>
      <c r="K194" s="602">
        <f t="shared" si="19"/>
        <v>5</v>
      </c>
      <c r="L194" s="602">
        <f t="shared" si="19"/>
        <v>6</v>
      </c>
      <c r="M194" s="602">
        <f t="shared" si="19"/>
        <v>7</v>
      </c>
      <c r="N194" s="602">
        <f t="shared" si="19"/>
        <v>8</v>
      </c>
      <c r="O194" s="602">
        <f t="shared" si="19"/>
        <v>9</v>
      </c>
      <c r="P194" s="24"/>
    </row>
    <row r="195" spans="2:20" s="18" customFormat="1" ht="16.899999999999999" hidden="1" customHeight="1">
      <c r="B195" s="597">
        <f>IFERROR(MATCH(D195,BAS_Dates,0),0)</f>
        <v>1</v>
      </c>
      <c r="C195" s="29">
        <v>24</v>
      </c>
      <c r="D195" s="1650">
        <f>DATE(YEAR(D197),MONTH(D197),0)</f>
        <v>45107</v>
      </c>
      <c r="E195" s="1650"/>
      <c r="F195" s="1650"/>
      <c r="G195" s="26" t="str" cm="1">
        <f t="array" ref="G195">IFERROR(INDEX(BAS_GST_Values,$B195,G$194),"")</f>
        <v/>
      </c>
      <c r="H195" s="26" t="str" cm="1">
        <f t="array" ref="H195">IFERROR(INDEX(BAS_GST_Values,$B195,H$194),"")</f>
        <v/>
      </c>
      <c r="I195" s="598" t="str" cm="1">
        <f t="array" ref="I195">IFERROR(INDEX(BAS_GST_Values,$B195,I$194),"")</f>
        <v/>
      </c>
      <c r="J195" s="26" t="str" cm="1">
        <f t="array" ref="J195">IFERROR(INDEX(BAS_GST_Values,$B195,J$194),"")</f>
        <v/>
      </c>
      <c r="K195" s="598" t="str" cm="1">
        <f t="array" ref="K195">IFERROR(INDEX(BAS_GST_Values,$B195,K$194),"")</f>
        <v/>
      </c>
      <c r="L195" s="26" t="str" cm="1">
        <f t="array" ref="L195">IFERROR(INDEX(BAS_GST_Values,$B195,L$194),"")</f>
        <v/>
      </c>
      <c r="M195" s="26" t="str" cm="1">
        <f t="array" ref="M195">IFERROR(INDEX(BAS_GST_Values,$B195,M$194),"")</f>
        <v/>
      </c>
      <c r="N195" s="26" t="str" cm="1">
        <f t="array" ref="N195">IFERROR(INDEX(BAS_GST_Values,$B195,N$194),"")</f>
        <v/>
      </c>
      <c r="O195" s="25">
        <f>IF(L195="",0,L195)-IF(M195="",0,M195)+IF(N195="",0,N195)</f>
        <v>0</v>
      </c>
      <c r="P195" s="24"/>
      <c r="R195" s="174"/>
      <c r="S195" s="568"/>
    </row>
    <row r="196" spans="2:20" s="18" customFormat="1" ht="16.899999999999999" hidden="1" customHeight="1">
      <c r="B196" s="597"/>
      <c r="C196" s="77"/>
      <c r="D196" s="76"/>
      <c r="E196" s="70"/>
      <c r="G196" s="601"/>
      <c r="H196" s="600"/>
      <c r="I196" s="600"/>
      <c r="J196" s="600"/>
      <c r="K196" s="600"/>
      <c r="L196" s="600"/>
      <c r="M196" s="600"/>
      <c r="O196" s="600"/>
      <c r="P196" s="24"/>
      <c r="S196" s="599"/>
    </row>
    <row r="197" spans="2:20" s="18" customFormat="1" ht="16.899999999999999" hidden="1" customHeight="1">
      <c r="B197" s="597">
        <f t="shared" ref="B197:B208" si="20">IFERROR(MATCH(D197,BAS_Dates,0),0)</f>
        <v>3</v>
      </c>
      <c r="C197" s="29">
        <v>1</v>
      </c>
      <c r="D197" s="1650">
        <f t="shared" ref="D197:D207" si="21">DATE(YEAR(D198),MONTH(D198),0)</f>
        <v>45138</v>
      </c>
      <c r="E197" s="1650"/>
      <c r="F197" s="1650"/>
      <c r="G197" s="26" t="str" cm="1">
        <f t="array" ref="G197">IFERROR(INDEX(BAS_GST_Values,$B197,G$194),"")</f>
        <v/>
      </c>
      <c r="H197" s="26" t="str" cm="1">
        <f t="array" ref="H197">IFERROR(INDEX(BAS_GST_Values,$B197,H$194),"")</f>
        <v/>
      </c>
      <c r="I197" s="26" t="str" cm="1">
        <f t="array" ref="I197">IFERROR(INDEX(BAS_GST_Values,$B197,I$194),"")</f>
        <v/>
      </c>
      <c r="J197" s="26" t="str" cm="1">
        <f t="array" ref="J197">IFERROR(INDEX(BAS_GST_Values,$B197,J$194),"")</f>
        <v/>
      </c>
      <c r="K197" s="26" t="str" cm="1">
        <f t="array" ref="K197">IFERROR(INDEX(BAS_GST_Values,$B197,K$194),"")</f>
        <v/>
      </c>
      <c r="L197" s="598" t="str" cm="1">
        <f t="array" ref="L197">IFERROR(INDEX(BAS_GST_Values,$B197,L$194),"")</f>
        <v/>
      </c>
      <c r="M197" s="26" t="str" cm="1">
        <f t="array" ref="M197">IFERROR(INDEX(BAS_GST_Values,$B197,M$194),"")</f>
        <v/>
      </c>
      <c r="N197" s="26" t="str" cm="1">
        <f t="array" ref="N197">IFERROR(INDEX(BAS_GST_Values,$B197,N$194),"")</f>
        <v/>
      </c>
      <c r="O197" s="25">
        <f t="shared" ref="O197:O208" si="22">IF(L197="",0,L197)-IF(M197="",0,M197)+IF(N197="",0,N197)</f>
        <v>0</v>
      </c>
      <c r="P197" s="24"/>
      <c r="R197" s="174"/>
      <c r="S197" s="568"/>
      <c r="T197" s="65" t="b">
        <f>SelectedFrequency&lt;&gt;"Monthly"</f>
        <v>0</v>
      </c>
    </row>
    <row r="198" spans="2:20" s="18" customFormat="1" ht="16.899999999999999" hidden="1" customHeight="1">
      <c r="B198" s="597">
        <f t="shared" si="20"/>
        <v>4</v>
      </c>
      <c r="C198" s="29">
        <v>2</v>
      </c>
      <c r="D198" s="1650">
        <f t="shared" si="21"/>
        <v>45169</v>
      </c>
      <c r="E198" s="1650"/>
      <c r="F198" s="1650"/>
      <c r="G198" s="26" t="str" cm="1">
        <f t="array" ref="G198">IFERROR(INDEX(BAS_GST_Values,$B198,G$194),"")</f>
        <v/>
      </c>
      <c r="H198" s="26" t="str" cm="1">
        <f t="array" ref="H198">IFERROR(INDEX(BAS_GST_Values,$B198,H$194),"")</f>
        <v/>
      </c>
      <c r="I198" s="26" t="str" cm="1">
        <f t="array" ref="I198">IFERROR(INDEX(BAS_GST_Values,$B198,I$194),"")</f>
        <v/>
      </c>
      <c r="J198" s="26" t="str" cm="1">
        <f t="array" ref="J198">IFERROR(INDEX(BAS_GST_Values,$B198,J$194),"")</f>
        <v/>
      </c>
      <c r="K198" s="26" t="str" cm="1">
        <f t="array" ref="K198">IFERROR(INDEX(BAS_GST_Values,$B198,K$194),"")</f>
        <v/>
      </c>
      <c r="L198" s="26" t="str" cm="1">
        <f t="array" ref="L198">IFERROR(INDEX(BAS_GST_Values,$B198,L$194),"")</f>
        <v/>
      </c>
      <c r="M198" s="26" t="str" cm="1">
        <f t="array" ref="M198">IFERROR(INDEX(BAS_GST_Values,$B198,M$194),"")</f>
        <v/>
      </c>
      <c r="N198" s="26" t="str" cm="1">
        <f t="array" ref="N198">IFERROR(INDEX(BAS_GST_Values,$B198,N$194),"")</f>
        <v/>
      </c>
      <c r="O198" s="25">
        <f t="shared" si="22"/>
        <v>0</v>
      </c>
      <c r="P198" s="24"/>
      <c r="R198" s="174"/>
      <c r="S198" s="568"/>
      <c r="T198" s="65" t="b">
        <f>SelectedFrequency&lt;&gt;"Monthly"</f>
        <v>0</v>
      </c>
    </row>
    <row r="199" spans="2:20" s="18" customFormat="1" ht="16.899999999999999" hidden="1" customHeight="1">
      <c r="B199" s="597">
        <f t="shared" si="20"/>
        <v>5</v>
      </c>
      <c r="C199" s="29">
        <v>3</v>
      </c>
      <c r="D199" s="1650">
        <f t="shared" si="21"/>
        <v>45199</v>
      </c>
      <c r="E199" s="1650"/>
      <c r="F199" s="1650"/>
      <c r="G199" s="26" t="str" cm="1">
        <f t="array" ref="G199">IFERROR(INDEX(BAS_GST_Values,$B199,G$194),"")</f>
        <v/>
      </c>
      <c r="H199" s="26" t="str" cm="1">
        <f t="array" ref="H199">IFERROR(INDEX(BAS_GST_Values,$B199,H$194),"")</f>
        <v/>
      </c>
      <c r="I199" s="26" t="str" cm="1">
        <f t="array" ref="I199">IFERROR(INDEX(BAS_GST_Values,$B199,I$194),"")</f>
        <v/>
      </c>
      <c r="J199" s="26" t="str" cm="1">
        <f t="array" ref="J199">IFERROR(INDEX(BAS_GST_Values,$B199,J$194),"")</f>
        <v/>
      </c>
      <c r="K199" s="26" t="str" cm="1">
        <f t="array" ref="K199">IFERROR(INDEX(BAS_GST_Values,$B199,K$194),"")</f>
        <v/>
      </c>
      <c r="L199" s="26" t="str" cm="1">
        <f t="array" ref="L199">IFERROR(INDEX(BAS_GST_Values,$B199,L$194),"")</f>
        <v/>
      </c>
      <c r="M199" s="26" t="str" cm="1">
        <f t="array" ref="M199">IFERROR(INDEX(BAS_GST_Values,$B199,M$194),"")</f>
        <v/>
      </c>
      <c r="N199" s="26" t="str" cm="1">
        <f t="array" ref="N199">IFERROR(INDEX(BAS_GST_Values,$B199,N$194),"")</f>
        <v/>
      </c>
      <c r="O199" s="25">
        <f t="shared" si="22"/>
        <v>0</v>
      </c>
      <c r="P199" s="24"/>
      <c r="R199" s="174"/>
      <c r="S199" s="568"/>
      <c r="T199" s="17" t="b">
        <f>AND(SelectedFrequency&lt;&gt;"Monthly", SelectedFrequency&lt;&gt;"Quarterly")</f>
        <v>0</v>
      </c>
    </row>
    <row r="200" spans="2:20" s="18" customFormat="1" ht="16.899999999999999" hidden="1" customHeight="1">
      <c r="B200" s="597">
        <f t="shared" si="20"/>
        <v>6</v>
      </c>
      <c r="C200" s="29">
        <v>4</v>
      </c>
      <c r="D200" s="1650">
        <f t="shared" si="21"/>
        <v>45230</v>
      </c>
      <c r="E200" s="1650"/>
      <c r="F200" s="1650"/>
      <c r="G200" s="26" t="str" cm="1">
        <f t="array" ref="G200">IFERROR(INDEX(BAS_GST_Values,$B200,G$194),"")</f>
        <v/>
      </c>
      <c r="H200" s="26" t="str" cm="1">
        <f t="array" ref="H200">IFERROR(INDEX(BAS_GST_Values,$B200,H$194),"")</f>
        <v/>
      </c>
      <c r="I200" s="26" t="str" cm="1">
        <f t="array" ref="I200">IFERROR(INDEX(BAS_GST_Values,$B200,I$194),"")</f>
        <v/>
      </c>
      <c r="J200" s="26" t="str" cm="1">
        <f t="array" ref="J200">IFERROR(INDEX(BAS_GST_Values,$B200,J$194),"")</f>
        <v/>
      </c>
      <c r="K200" s="26" t="str" cm="1">
        <f t="array" ref="K200">IFERROR(INDEX(BAS_GST_Values,$B200,K$194),"")</f>
        <v/>
      </c>
      <c r="L200" s="26" t="str" cm="1">
        <f t="array" ref="L200">IFERROR(INDEX(BAS_GST_Values,$B200,L$194),"")</f>
        <v/>
      </c>
      <c r="M200" s="26" t="str" cm="1">
        <f t="array" ref="M200">IFERROR(INDEX(BAS_GST_Values,$B200,M$194),"")</f>
        <v/>
      </c>
      <c r="N200" s="26" t="str" cm="1">
        <f t="array" ref="N200">IFERROR(INDEX(BAS_GST_Values,$B200,N$194),"")</f>
        <v/>
      </c>
      <c r="O200" s="25">
        <f t="shared" si="22"/>
        <v>0</v>
      </c>
      <c r="P200" s="24"/>
      <c r="R200" s="174"/>
      <c r="S200" s="568"/>
      <c r="T200" s="65" t="b">
        <f>SelectedFrequency&lt;&gt;"Monthly"</f>
        <v>0</v>
      </c>
    </row>
    <row r="201" spans="2:20" s="18" customFormat="1" ht="16.899999999999999" hidden="1" customHeight="1">
      <c r="B201" s="597">
        <f t="shared" si="20"/>
        <v>7</v>
      </c>
      <c r="C201" s="29">
        <v>5</v>
      </c>
      <c r="D201" s="1650">
        <f t="shared" si="21"/>
        <v>45260</v>
      </c>
      <c r="E201" s="1650"/>
      <c r="F201" s="1650"/>
      <c r="G201" s="26" t="str" cm="1">
        <f t="array" ref="G201">IFERROR(INDEX(BAS_GST_Values,$B201,G$194),"")</f>
        <v/>
      </c>
      <c r="H201" s="26" t="str" cm="1">
        <f t="array" ref="H201">IFERROR(INDEX(BAS_GST_Values,$B201,H$194),"")</f>
        <v/>
      </c>
      <c r="I201" s="26" t="str" cm="1">
        <f t="array" ref="I201">IFERROR(INDEX(BAS_GST_Values,$B201,I$194),"")</f>
        <v/>
      </c>
      <c r="J201" s="26" t="str" cm="1">
        <f t="array" ref="J201">IFERROR(INDEX(BAS_GST_Values,$B201,J$194),"")</f>
        <v/>
      </c>
      <c r="K201" s="26" t="str" cm="1">
        <f t="array" ref="K201">IFERROR(INDEX(BAS_GST_Values,$B201,K$194),"")</f>
        <v/>
      </c>
      <c r="L201" s="26" t="str" cm="1">
        <f t="array" ref="L201">IFERROR(INDEX(BAS_GST_Values,$B201,L$194),"")</f>
        <v/>
      </c>
      <c r="M201" s="26" t="str" cm="1">
        <f t="array" ref="M201">IFERROR(INDEX(BAS_GST_Values,$B201,M$194),"")</f>
        <v/>
      </c>
      <c r="N201" s="26" t="str" cm="1">
        <f t="array" ref="N201">IFERROR(INDEX(BAS_GST_Values,$B201,N$194),"")</f>
        <v/>
      </c>
      <c r="O201" s="25">
        <f t="shared" si="22"/>
        <v>0</v>
      </c>
      <c r="P201" s="24"/>
      <c r="R201" s="174"/>
      <c r="S201" s="568"/>
      <c r="T201" s="65" t="b">
        <f>SelectedFrequency&lt;&gt;"Monthly"</f>
        <v>0</v>
      </c>
    </row>
    <row r="202" spans="2:20" s="18" customFormat="1" ht="16.899999999999999" hidden="1" customHeight="1">
      <c r="B202" s="597">
        <f t="shared" si="20"/>
        <v>8</v>
      </c>
      <c r="C202" s="29">
        <v>6</v>
      </c>
      <c r="D202" s="1650">
        <f t="shared" si="21"/>
        <v>45291</v>
      </c>
      <c r="E202" s="1650"/>
      <c r="F202" s="1650"/>
      <c r="G202" s="26" t="str" cm="1">
        <f t="array" ref="G202">IFERROR(INDEX(BAS_GST_Values,$B202,G$194),"")</f>
        <v/>
      </c>
      <c r="H202" s="26" t="str" cm="1">
        <f t="array" ref="H202">IFERROR(INDEX(BAS_GST_Values,$B202,H$194),"")</f>
        <v/>
      </c>
      <c r="I202" s="26" t="str" cm="1">
        <f t="array" ref="I202">IFERROR(INDEX(BAS_GST_Values,$B202,I$194),"")</f>
        <v/>
      </c>
      <c r="J202" s="26" t="str" cm="1">
        <f t="array" ref="J202">IFERROR(INDEX(BAS_GST_Values,$B202,J$194),"")</f>
        <v/>
      </c>
      <c r="K202" s="26" t="str" cm="1">
        <f t="array" ref="K202">IFERROR(INDEX(BAS_GST_Values,$B202,K$194),"")</f>
        <v/>
      </c>
      <c r="L202" s="26" t="str" cm="1">
        <f t="array" ref="L202">IFERROR(INDEX(BAS_GST_Values,$B202,L$194),"")</f>
        <v/>
      </c>
      <c r="M202" s="26" t="str" cm="1">
        <f t="array" ref="M202">IFERROR(INDEX(BAS_GST_Values,$B202,M$194),"")</f>
        <v/>
      </c>
      <c r="N202" s="26" t="str" cm="1">
        <f t="array" ref="N202">IFERROR(INDEX(BAS_GST_Values,$B202,N$194),"")</f>
        <v/>
      </c>
      <c r="O202" s="25">
        <f t="shared" si="22"/>
        <v>0</v>
      </c>
      <c r="P202" s="24"/>
      <c r="R202" s="174"/>
      <c r="S202" s="568"/>
      <c r="T202" s="17" t="b">
        <f>AND(SelectedFrequency&lt;&gt;"Monthly", SelectedFrequency&lt;&gt;"Quarterly")</f>
        <v>0</v>
      </c>
    </row>
    <row r="203" spans="2:20" s="18" customFormat="1" ht="16.899999999999999" hidden="1" customHeight="1">
      <c r="B203" s="597">
        <f t="shared" si="20"/>
        <v>9</v>
      </c>
      <c r="C203" s="29">
        <v>7</v>
      </c>
      <c r="D203" s="1650">
        <f t="shared" si="21"/>
        <v>45322</v>
      </c>
      <c r="E203" s="1650"/>
      <c r="F203" s="1650"/>
      <c r="G203" s="26" t="str" cm="1">
        <f t="array" ref="G203">IFERROR(INDEX(BAS_GST_Values,$B203,G$194),"")</f>
        <v/>
      </c>
      <c r="H203" s="26" t="str" cm="1">
        <f t="array" ref="H203">IFERROR(INDEX(BAS_GST_Values,$B203,H$194),"")</f>
        <v/>
      </c>
      <c r="I203" s="26" t="str" cm="1">
        <f t="array" ref="I203">IFERROR(INDEX(BAS_GST_Values,$B203,I$194),"")</f>
        <v/>
      </c>
      <c r="J203" s="26" t="str" cm="1">
        <f t="array" ref="J203">IFERROR(INDEX(BAS_GST_Values,$B203,J$194),"")</f>
        <v/>
      </c>
      <c r="K203" s="26" t="str" cm="1">
        <f t="array" ref="K203">IFERROR(INDEX(BAS_GST_Values,$B203,K$194),"")</f>
        <v/>
      </c>
      <c r="L203" s="26" t="str" cm="1">
        <f t="array" ref="L203">IFERROR(INDEX(BAS_GST_Values,$B203,L$194),"")</f>
        <v/>
      </c>
      <c r="M203" s="26" t="str" cm="1">
        <f t="array" ref="M203">IFERROR(INDEX(BAS_GST_Values,$B203,M$194),"")</f>
        <v/>
      </c>
      <c r="N203" s="26" t="str" cm="1">
        <f t="array" ref="N203">IFERROR(INDEX(BAS_GST_Values,$B203,N$194),"")</f>
        <v/>
      </c>
      <c r="O203" s="25">
        <f t="shared" si="22"/>
        <v>0</v>
      </c>
      <c r="P203" s="24"/>
      <c r="R203" s="174"/>
      <c r="S203" s="568"/>
      <c r="T203" s="65" t="b">
        <f>SelectedFrequency&lt;&gt;"Monthly"</f>
        <v>0</v>
      </c>
    </row>
    <row r="204" spans="2:20" s="18" customFormat="1" ht="16.899999999999999" hidden="1" customHeight="1">
      <c r="B204" s="597">
        <f t="shared" si="20"/>
        <v>10</v>
      </c>
      <c r="C204" s="29">
        <v>8</v>
      </c>
      <c r="D204" s="1650">
        <f t="shared" si="21"/>
        <v>45351</v>
      </c>
      <c r="E204" s="1650"/>
      <c r="F204" s="1650"/>
      <c r="G204" s="26" t="str" cm="1">
        <f t="array" ref="G204">IFERROR(INDEX(BAS_GST_Values,$B204,G$194),"")</f>
        <v/>
      </c>
      <c r="H204" s="26" t="str" cm="1">
        <f t="array" ref="H204">IFERROR(INDEX(BAS_GST_Values,$B204,H$194),"")</f>
        <v/>
      </c>
      <c r="I204" s="26" t="str" cm="1">
        <f t="array" ref="I204">IFERROR(INDEX(BAS_GST_Values,$B204,I$194),"")</f>
        <v/>
      </c>
      <c r="J204" s="26" t="str" cm="1">
        <f t="array" ref="J204">IFERROR(INDEX(BAS_GST_Values,$B204,J$194),"")</f>
        <v/>
      </c>
      <c r="K204" s="26" t="str" cm="1">
        <f t="array" ref="K204">IFERROR(INDEX(BAS_GST_Values,$B204,K$194),"")</f>
        <v/>
      </c>
      <c r="L204" s="26" t="str" cm="1">
        <f t="array" ref="L204">IFERROR(INDEX(BAS_GST_Values,$B204,L$194),"")</f>
        <v/>
      </c>
      <c r="M204" s="26" t="str" cm="1">
        <f t="array" ref="M204">IFERROR(INDEX(BAS_GST_Values,$B204,M$194),"")</f>
        <v/>
      </c>
      <c r="N204" s="26" t="str" cm="1">
        <f t="array" ref="N204">IFERROR(INDEX(BAS_GST_Values,$B204,N$194),"")</f>
        <v/>
      </c>
      <c r="O204" s="25">
        <f t="shared" si="22"/>
        <v>0</v>
      </c>
      <c r="P204" s="24"/>
      <c r="R204" s="174"/>
      <c r="S204" s="568"/>
      <c r="T204" s="65" t="b">
        <f>SelectedFrequency&lt;&gt;"Monthly"</f>
        <v>0</v>
      </c>
    </row>
    <row r="205" spans="2:20" s="18" customFormat="1" ht="16.899999999999999" hidden="1" customHeight="1">
      <c r="B205" s="597">
        <f t="shared" si="20"/>
        <v>11</v>
      </c>
      <c r="C205" s="29">
        <v>9</v>
      </c>
      <c r="D205" s="1650">
        <f t="shared" si="21"/>
        <v>45382</v>
      </c>
      <c r="E205" s="1650"/>
      <c r="F205" s="1650"/>
      <c r="G205" s="26" t="str" cm="1">
        <f t="array" ref="G205">IFERROR(INDEX(BAS_GST_Values,$B205,G$194),"")</f>
        <v/>
      </c>
      <c r="H205" s="26" t="str" cm="1">
        <f t="array" ref="H205">IFERROR(INDEX(BAS_GST_Values,$B205,H$194),"")</f>
        <v/>
      </c>
      <c r="I205" s="26" t="str" cm="1">
        <f t="array" ref="I205">IFERROR(INDEX(BAS_GST_Values,$B205,I$194),"")</f>
        <v/>
      </c>
      <c r="J205" s="26" t="str" cm="1">
        <f t="array" ref="J205">IFERROR(INDEX(BAS_GST_Values,$B205,J$194),"")</f>
        <v/>
      </c>
      <c r="K205" s="26" t="str" cm="1">
        <f t="array" ref="K205">IFERROR(INDEX(BAS_GST_Values,$B205,K$194),"")</f>
        <v/>
      </c>
      <c r="L205" s="26" t="str" cm="1">
        <f t="array" ref="L205">IFERROR(INDEX(BAS_GST_Values,$B205,L$194),"")</f>
        <v/>
      </c>
      <c r="M205" s="26" t="str" cm="1">
        <f t="array" ref="M205">IFERROR(INDEX(BAS_GST_Values,$B205,M$194),"")</f>
        <v/>
      </c>
      <c r="N205" s="26" t="str" cm="1">
        <f t="array" ref="N205">IFERROR(INDEX(BAS_GST_Values,$B205,N$194),"")</f>
        <v/>
      </c>
      <c r="O205" s="25">
        <f t="shared" si="22"/>
        <v>0</v>
      </c>
      <c r="P205" s="24"/>
      <c r="R205" s="174"/>
      <c r="S205" s="568"/>
      <c r="T205" s="17" t="b">
        <f>AND(SelectedFrequency&lt;&gt;"Monthly", SelectedFrequency&lt;&gt;"Quarterly")</f>
        <v>0</v>
      </c>
    </row>
    <row r="206" spans="2:20" s="18" customFormat="1" ht="16.899999999999999" hidden="1" customHeight="1">
      <c r="B206" s="597">
        <f t="shared" si="20"/>
        <v>12</v>
      </c>
      <c r="C206" s="29">
        <v>10</v>
      </c>
      <c r="D206" s="1650">
        <f t="shared" si="21"/>
        <v>45412</v>
      </c>
      <c r="E206" s="1650"/>
      <c r="F206" s="1650"/>
      <c r="G206" s="26" t="str" cm="1">
        <f t="array" ref="G206">IFERROR(INDEX(BAS_GST_Values,$B206,G$194),"")</f>
        <v/>
      </c>
      <c r="H206" s="26" t="str" cm="1">
        <f t="array" ref="H206">IFERROR(INDEX(BAS_GST_Values,$B206,H$194),"")</f>
        <v/>
      </c>
      <c r="I206" s="26" t="str" cm="1">
        <f t="array" ref="I206">IFERROR(INDEX(BAS_GST_Values,$B206,I$194),"")</f>
        <v/>
      </c>
      <c r="J206" s="26" t="str" cm="1">
        <f t="array" ref="J206">IFERROR(INDEX(BAS_GST_Values,$B206,J$194),"")</f>
        <v/>
      </c>
      <c r="K206" s="26" t="str" cm="1">
        <f t="array" ref="K206">IFERROR(INDEX(BAS_GST_Values,$B206,K$194),"")</f>
        <v/>
      </c>
      <c r="L206" s="26" t="str" cm="1">
        <f t="array" ref="L206">IFERROR(INDEX(BAS_GST_Values,$B206,L$194),"")</f>
        <v/>
      </c>
      <c r="M206" s="26" t="str" cm="1">
        <f t="array" ref="M206">IFERROR(INDEX(BAS_GST_Values,$B206,M$194),"")</f>
        <v/>
      </c>
      <c r="N206" s="26" t="str" cm="1">
        <f t="array" ref="N206">IFERROR(INDEX(BAS_GST_Values,$B206,N$194),"")</f>
        <v/>
      </c>
      <c r="O206" s="25">
        <f t="shared" si="22"/>
        <v>0</v>
      </c>
      <c r="P206" s="24"/>
      <c r="R206" s="174"/>
      <c r="S206" s="568"/>
      <c r="T206" s="65" t="b">
        <f>SelectedFrequency&lt;&gt;"Monthly"</f>
        <v>0</v>
      </c>
    </row>
    <row r="207" spans="2:20" s="18" customFormat="1" ht="16.899999999999999" hidden="1" customHeight="1">
      <c r="B207" s="597">
        <f t="shared" si="20"/>
        <v>13</v>
      </c>
      <c r="C207" s="29">
        <v>11</v>
      </c>
      <c r="D207" s="1650">
        <f t="shared" si="21"/>
        <v>45443</v>
      </c>
      <c r="E207" s="1650"/>
      <c r="F207" s="1650"/>
      <c r="G207" s="26" t="str" cm="1">
        <f t="array" ref="G207">IFERROR(INDEX(BAS_GST_Values,$B207,G$194),"")</f>
        <v/>
      </c>
      <c r="H207" s="26" t="str" cm="1">
        <f t="array" ref="H207">IFERROR(INDEX(BAS_GST_Values,$B207,H$194),"")</f>
        <v/>
      </c>
      <c r="I207" s="26" t="str" cm="1">
        <f t="array" ref="I207">IFERROR(INDEX(BAS_GST_Values,$B207,I$194),"")</f>
        <v/>
      </c>
      <c r="J207" s="26" t="str" cm="1">
        <f t="array" ref="J207">IFERROR(INDEX(BAS_GST_Values,$B207,J$194),"")</f>
        <v/>
      </c>
      <c r="K207" s="26" t="str" cm="1">
        <f t="array" ref="K207">IFERROR(INDEX(BAS_GST_Values,$B207,K$194),"")</f>
        <v/>
      </c>
      <c r="L207" s="26" t="str" cm="1">
        <f t="array" ref="L207">IFERROR(INDEX(BAS_GST_Values,$B207,L$194),"")</f>
        <v/>
      </c>
      <c r="M207" s="26" t="str" cm="1">
        <f t="array" ref="M207">IFERROR(INDEX(BAS_GST_Values,$B207,M$194),"")</f>
        <v/>
      </c>
      <c r="N207" s="26" t="str" cm="1">
        <f t="array" ref="N207">IFERROR(INDEX(BAS_GST_Values,$B207,N$194),"")</f>
        <v/>
      </c>
      <c r="O207" s="25">
        <f t="shared" si="22"/>
        <v>0</v>
      </c>
      <c r="P207" s="24"/>
      <c r="R207" s="174"/>
      <c r="S207" s="568"/>
      <c r="T207" s="65" t="b">
        <f>SelectedFrequency&lt;&gt;"Monthly"</f>
        <v>0</v>
      </c>
    </row>
    <row r="208" spans="2:20" s="18" customFormat="1" ht="16.899999999999999" hidden="1" customHeight="1">
      <c r="B208" s="597">
        <f t="shared" si="20"/>
        <v>14</v>
      </c>
      <c r="C208" s="29">
        <v>12</v>
      </c>
      <c r="D208" s="1650" cm="1">
        <f t="array" ref="D208">TaxYearEnd</f>
        <v>45473</v>
      </c>
      <c r="E208" s="1650"/>
      <c r="F208" s="1650"/>
      <c r="G208" s="26" cm="1">
        <f t="array" ref="G208">IFERROR(INDEX(BAS_GST_Values,$B208,G$194),"")</f>
        <v>0</v>
      </c>
      <c r="H208" s="26" cm="1">
        <f t="array" ref="H208">IFERROR(INDEX(BAS_GST_Values,$B208,H$194),"")</f>
        <v>0</v>
      </c>
      <c r="I208" s="26" cm="1">
        <f t="array" ref="I208">IFERROR(INDEX(BAS_GST_Values,$B208,I$194),"")</f>
        <v>0</v>
      </c>
      <c r="J208" s="26" cm="1">
        <f t="array" ref="J208">IFERROR(INDEX(BAS_GST_Values,$B208,J$194),"")</f>
        <v>0</v>
      </c>
      <c r="K208" s="26" cm="1">
        <f t="array" ref="K208">IFERROR(INDEX(BAS_GST_Values,$B208,K$194),"")</f>
        <v>0</v>
      </c>
      <c r="L208" s="26" cm="1">
        <f t="array" ref="L208">IFERROR(INDEX(BAS_GST_Values,$B208,L$194),"")</f>
        <v>0</v>
      </c>
      <c r="M208" s="26" cm="1">
        <f t="array" ref="M208">IFERROR(INDEX(BAS_GST_Values,$B208,M$194),"")</f>
        <v>0</v>
      </c>
      <c r="N208" s="26" cm="1">
        <f t="array" ref="N208">IFERROR(INDEX(BAS_GST_Values,$B208,N$194),"")</f>
        <v>0</v>
      </c>
      <c r="O208" s="25">
        <f t="shared" si="22"/>
        <v>0</v>
      </c>
      <c r="P208" s="24"/>
      <c r="R208" s="174"/>
      <c r="S208" s="568"/>
    </row>
    <row r="209" spans="1:20" s="18" customFormat="1" ht="16.899999999999999" hidden="1" customHeight="1">
      <c r="B209" s="597"/>
      <c r="C209" s="71" t="s">
        <v>151</v>
      </c>
      <c r="D209" s="70"/>
      <c r="E209" s="70"/>
      <c r="G209" s="69">
        <f t="shared" ref="G209:O209" si="23">SUM(G197:G208)</f>
        <v>0</v>
      </c>
      <c r="H209" s="69">
        <f t="shared" si="23"/>
        <v>0</v>
      </c>
      <c r="I209" s="69">
        <f t="shared" si="23"/>
        <v>0</v>
      </c>
      <c r="J209" s="69">
        <f t="shared" si="23"/>
        <v>0</v>
      </c>
      <c r="K209" s="69">
        <f t="shared" si="23"/>
        <v>0</v>
      </c>
      <c r="L209" s="69">
        <f t="shared" si="23"/>
        <v>0</v>
      </c>
      <c r="M209" s="69">
        <f t="shared" si="23"/>
        <v>0</v>
      </c>
      <c r="N209" s="69">
        <f t="shared" si="23"/>
        <v>0</v>
      </c>
      <c r="O209" s="69">
        <f t="shared" si="23"/>
        <v>0</v>
      </c>
      <c r="P209" s="24"/>
    </row>
    <row r="210" spans="1:20" s="18" customFormat="1" ht="15" hidden="1" customHeight="1">
      <c r="B210" s="596"/>
      <c r="C210" s="20"/>
      <c r="D210" s="20"/>
      <c r="E210" s="20"/>
      <c r="F210" s="20"/>
      <c r="G210" s="20"/>
      <c r="I210" s="20"/>
      <c r="J210" s="20"/>
      <c r="K210" s="20"/>
      <c r="L210" s="20"/>
      <c r="M210" s="20"/>
      <c r="N210" s="20"/>
      <c r="O210" s="20"/>
      <c r="P210" s="19"/>
    </row>
    <row r="211" spans="1:20" ht="22.15" customHeight="1">
      <c r="H211" s="595"/>
    </row>
    <row r="212" spans="1:20" ht="22.15" customHeight="1">
      <c r="A212" s="594" t="str">
        <f>IF(SUBTOTAL(103,A213),"-","+")</f>
        <v>+</v>
      </c>
      <c r="B212" s="1639" t="s">
        <v>535</v>
      </c>
      <c r="C212" s="1639"/>
      <c r="D212" s="1639"/>
      <c r="E212" s="1639"/>
      <c r="F212" s="1639"/>
      <c r="G212" s="1639"/>
      <c r="H212" s="593" t="str">
        <f>IF(COUNTIF(E216:I265,"&gt;0"),"Contains Data","No Data")</f>
        <v>No Data</v>
      </c>
      <c r="I212" s="204"/>
    </row>
    <row r="213" spans="1:20" ht="15" hidden="1" customHeight="1">
      <c r="A213" s="17" t="s">
        <v>58</v>
      </c>
      <c r="B213" s="574"/>
      <c r="C213" s="570"/>
      <c r="D213" s="570"/>
      <c r="E213" s="570"/>
      <c r="F213" s="570"/>
      <c r="G213" s="570"/>
      <c r="H213" s="592"/>
      <c r="I213" s="592"/>
      <c r="J213" s="592"/>
      <c r="K213" s="592"/>
      <c r="L213" s="592"/>
      <c r="M213" s="592"/>
      <c r="N213" s="592"/>
      <c r="O213" s="592"/>
      <c r="P213" s="591"/>
    </row>
    <row r="214" spans="1:20" ht="16.5" hidden="1" customHeight="1">
      <c r="B214" s="574"/>
      <c r="C214" s="1679" t="s">
        <v>534</v>
      </c>
      <c r="D214" s="1680"/>
      <c r="E214" s="1680"/>
      <c r="F214" s="1680"/>
      <c r="G214" s="1680"/>
      <c r="H214" s="1680"/>
      <c r="I214" s="1680"/>
      <c r="J214" s="1680"/>
      <c r="K214" s="1680"/>
      <c r="L214" s="1680"/>
      <c r="M214" s="1680"/>
      <c r="N214" s="1680"/>
      <c r="O214" s="1680"/>
      <c r="P214" s="569"/>
      <c r="S214" s="42"/>
    </row>
    <row r="215" spans="1:20" ht="17.25" hidden="1" customHeight="1">
      <c r="B215" s="574"/>
      <c r="C215" s="570"/>
      <c r="D215" s="570"/>
      <c r="E215" s="570"/>
      <c r="F215" s="570"/>
      <c r="G215" s="570"/>
      <c r="H215" s="570"/>
      <c r="I215" s="570"/>
      <c r="J215" s="570"/>
      <c r="K215" s="570"/>
      <c r="L215" s="570"/>
      <c r="M215" s="570"/>
      <c r="N215" s="570"/>
      <c r="O215" s="570"/>
      <c r="P215" s="569"/>
      <c r="T215" s="65"/>
    </row>
    <row r="216" spans="1:20" ht="16.5" hidden="1" customHeight="1">
      <c r="B216" s="574"/>
      <c r="C216" s="570"/>
      <c r="D216" s="586" t="s">
        <v>521</v>
      </c>
      <c r="E216" s="585"/>
      <c r="F216" s="585"/>
      <c r="G216" s="585"/>
      <c r="H216" s="585"/>
      <c r="I216" s="584"/>
      <c r="J216" s="570"/>
      <c r="K216" s="570"/>
      <c r="L216" s="570"/>
      <c r="M216" s="570"/>
      <c r="N216" s="570"/>
      <c r="O216" s="570"/>
      <c r="P216" s="569"/>
      <c r="R216" s="64"/>
      <c r="S216" s="73"/>
      <c r="T216" s="65" t="b">
        <f t="shared" ref="T216:T248" si="24">SelectedFrequency&lt;&gt;"Monthly"</f>
        <v>0</v>
      </c>
    </row>
    <row r="217" spans="1:20" ht="16.5" hidden="1" customHeight="1">
      <c r="B217" s="574"/>
      <c r="C217" s="570"/>
      <c r="D217" s="583" t="s">
        <v>520</v>
      </c>
      <c r="E217" s="582" t="s">
        <v>521</v>
      </c>
      <c r="F217" s="582"/>
      <c r="G217" s="582" t="s">
        <v>517</v>
      </c>
      <c r="H217" s="582" t="s">
        <v>516</v>
      </c>
      <c r="I217" s="581" t="s">
        <v>515</v>
      </c>
      <c r="J217" s="570"/>
      <c r="K217" s="570"/>
      <c r="L217" s="570"/>
      <c r="M217" s="570"/>
      <c r="N217" s="570"/>
      <c r="O217" s="570"/>
      <c r="P217" s="569"/>
      <c r="R217" s="1432"/>
      <c r="S217" s="1432"/>
      <c r="T217" s="65" t="b">
        <f t="shared" si="24"/>
        <v>0</v>
      </c>
    </row>
    <row r="218" spans="1:20" ht="16.5" hidden="1" customHeight="1">
      <c r="B218" s="574"/>
      <c r="C218" s="570"/>
      <c r="D218" s="580" t="s">
        <v>514</v>
      </c>
      <c r="E218" s="579"/>
      <c r="F218" s="579"/>
      <c r="G218" s="579"/>
      <c r="H218" s="579"/>
      <c r="I218" s="578"/>
      <c r="J218" s="570"/>
      <c r="K218" s="570"/>
      <c r="L218" s="570"/>
      <c r="M218" s="570"/>
      <c r="N218" s="570"/>
      <c r="O218" s="570"/>
      <c r="P218" s="569"/>
      <c r="R218" s="1432"/>
      <c r="S218" s="1432"/>
      <c r="T218" s="65" t="b">
        <f t="shared" si="24"/>
        <v>0</v>
      </c>
    </row>
    <row r="219" spans="1:20" ht="16.5" hidden="1" customHeight="1">
      <c r="B219" s="574"/>
      <c r="C219" s="570"/>
      <c r="D219" s="588" t="s">
        <v>533</v>
      </c>
      <c r="E219" s="576"/>
      <c r="F219" s="582"/>
      <c r="G219" s="582"/>
      <c r="H219" s="582"/>
      <c r="I219" s="581"/>
      <c r="J219" s="570"/>
      <c r="K219" s="570"/>
      <c r="L219" s="570"/>
      <c r="M219" s="570"/>
      <c r="N219" s="570"/>
      <c r="O219" s="570"/>
      <c r="P219" s="569"/>
      <c r="R219" s="174"/>
      <c r="S219" s="568"/>
      <c r="T219" s="65" t="b">
        <f t="shared" si="24"/>
        <v>0</v>
      </c>
    </row>
    <row r="220" spans="1:20" ht="16.5" hidden="1" customHeight="1">
      <c r="B220" s="574"/>
      <c r="C220" s="570"/>
      <c r="D220" s="588" t="s">
        <v>532</v>
      </c>
      <c r="E220" s="576"/>
      <c r="F220" s="582"/>
      <c r="G220" s="582"/>
      <c r="H220" s="582"/>
      <c r="I220" s="581"/>
      <c r="J220" s="570"/>
      <c r="K220" s="570"/>
      <c r="L220" s="570"/>
      <c r="M220" s="570"/>
      <c r="N220" s="570"/>
      <c r="O220" s="570"/>
      <c r="P220" s="569"/>
      <c r="R220" s="174"/>
      <c r="S220" s="568"/>
      <c r="T220" s="65" t="b">
        <f t="shared" si="24"/>
        <v>0</v>
      </c>
    </row>
    <row r="221" spans="1:20" ht="16.5" hidden="1" customHeight="1">
      <c r="B221" s="574"/>
      <c r="C221" s="570"/>
      <c r="D221" s="588" t="s">
        <v>525</v>
      </c>
      <c r="E221" s="576"/>
      <c r="F221" s="576"/>
      <c r="G221" s="576"/>
      <c r="H221" s="576"/>
      <c r="I221" s="575"/>
      <c r="J221" s="570"/>
      <c r="K221" s="570"/>
      <c r="L221" s="570"/>
      <c r="M221" s="570"/>
      <c r="N221" s="570"/>
      <c r="O221" s="570"/>
      <c r="P221" s="569"/>
      <c r="R221" s="174"/>
      <c r="S221" s="568"/>
      <c r="T221" s="65" t="b">
        <f t="shared" si="24"/>
        <v>0</v>
      </c>
    </row>
    <row r="222" spans="1:20" ht="16.5" hidden="1" customHeight="1">
      <c r="B222" s="574"/>
      <c r="C222" s="570"/>
      <c r="D222" s="588" t="s">
        <v>531</v>
      </c>
      <c r="E222" s="576"/>
      <c r="F222" s="576"/>
      <c r="G222" s="576"/>
      <c r="H222" s="576"/>
      <c r="I222" s="575"/>
      <c r="J222" s="570"/>
      <c r="K222" s="570"/>
      <c r="L222" s="570"/>
      <c r="M222" s="570"/>
      <c r="N222" s="570"/>
      <c r="O222" s="570"/>
      <c r="P222" s="569"/>
      <c r="R222" s="174"/>
      <c r="S222" s="568"/>
      <c r="T222" s="65" t="b">
        <f t="shared" si="24"/>
        <v>0</v>
      </c>
    </row>
    <row r="223" spans="1:20" ht="16.5" hidden="1" customHeight="1">
      <c r="B223" s="574"/>
      <c r="C223" s="570"/>
      <c r="D223" s="588" t="s">
        <v>530</v>
      </c>
      <c r="E223" s="576"/>
      <c r="F223" s="576"/>
      <c r="G223" s="576"/>
      <c r="H223" s="576"/>
      <c r="I223" s="575"/>
      <c r="J223" s="570"/>
      <c r="K223" s="570"/>
      <c r="L223" s="570"/>
      <c r="M223" s="570"/>
      <c r="N223" s="570"/>
      <c r="O223" s="570"/>
      <c r="P223" s="569"/>
      <c r="R223" s="174"/>
      <c r="S223" s="568"/>
      <c r="T223" s="65" t="b">
        <f t="shared" si="24"/>
        <v>0</v>
      </c>
    </row>
    <row r="224" spans="1:20" ht="16.5" hidden="1" customHeight="1">
      <c r="B224" s="574"/>
      <c r="C224" s="570"/>
      <c r="D224" s="588" t="s">
        <v>524</v>
      </c>
      <c r="E224" s="576"/>
      <c r="F224" s="576"/>
      <c r="G224" s="576"/>
      <c r="H224" s="576"/>
      <c r="I224" s="575"/>
      <c r="J224" s="570"/>
      <c r="K224" s="570"/>
      <c r="L224" s="570"/>
      <c r="M224" s="570"/>
      <c r="N224" s="570"/>
      <c r="O224" s="570"/>
      <c r="P224" s="569"/>
      <c r="R224" s="174"/>
      <c r="S224" s="568"/>
      <c r="T224" s="65" t="b">
        <f t="shared" si="24"/>
        <v>0</v>
      </c>
    </row>
    <row r="225" spans="2:20" ht="16.5" hidden="1" customHeight="1">
      <c r="B225" s="574"/>
      <c r="C225" s="570"/>
      <c r="D225" s="588" t="s">
        <v>529</v>
      </c>
      <c r="E225" s="576"/>
      <c r="F225" s="576"/>
      <c r="G225" s="576"/>
      <c r="H225" s="576"/>
      <c r="I225" s="575"/>
      <c r="J225" s="570"/>
      <c r="K225" s="570"/>
      <c r="L225" s="570"/>
      <c r="M225" s="570"/>
      <c r="N225" s="570"/>
      <c r="O225" s="570"/>
      <c r="P225" s="569"/>
      <c r="R225" s="174"/>
      <c r="S225" s="568"/>
      <c r="T225" s="65" t="b">
        <f t="shared" si="24"/>
        <v>0</v>
      </c>
    </row>
    <row r="226" spans="2:20" ht="16.5" hidden="1" customHeight="1">
      <c r="B226" s="574"/>
      <c r="C226" s="570"/>
      <c r="D226" s="588" t="s">
        <v>528</v>
      </c>
      <c r="E226" s="576"/>
      <c r="F226" s="576"/>
      <c r="G226" s="576"/>
      <c r="H226" s="576"/>
      <c r="I226" s="575"/>
      <c r="J226" s="570"/>
      <c r="K226" s="570"/>
      <c r="L226" s="570"/>
      <c r="M226" s="570"/>
      <c r="N226" s="570"/>
      <c r="O226" s="570"/>
      <c r="P226" s="569"/>
      <c r="R226" s="174"/>
      <c r="S226" s="568"/>
      <c r="T226" s="65" t="b">
        <f t="shared" si="24"/>
        <v>0</v>
      </c>
    </row>
    <row r="227" spans="2:20" ht="16.5" hidden="1" customHeight="1">
      <c r="B227" s="574"/>
      <c r="C227" s="570"/>
      <c r="D227" s="588" t="s">
        <v>523</v>
      </c>
      <c r="E227" s="576"/>
      <c r="F227" s="576"/>
      <c r="G227" s="576"/>
      <c r="H227" s="576"/>
      <c r="I227" s="575"/>
      <c r="J227" s="570"/>
      <c r="K227" s="570"/>
      <c r="L227" s="570"/>
      <c r="M227" s="570"/>
      <c r="N227" s="570"/>
      <c r="O227" s="570"/>
      <c r="P227" s="569"/>
      <c r="R227" s="174"/>
      <c r="S227" s="568"/>
      <c r="T227" s="65" t="b">
        <f t="shared" si="24"/>
        <v>0</v>
      </c>
    </row>
    <row r="228" spans="2:20" ht="16.5" hidden="1" customHeight="1">
      <c r="B228" s="574"/>
      <c r="C228" s="570"/>
      <c r="D228" s="588" t="s">
        <v>527</v>
      </c>
      <c r="E228" s="576"/>
      <c r="F228" s="576"/>
      <c r="G228" s="576"/>
      <c r="H228" s="576"/>
      <c r="I228" s="575"/>
      <c r="J228" s="570"/>
      <c r="K228" s="570"/>
      <c r="L228" s="570"/>
      <c r="M228" s="570"/>
      <c r="N228" s="570"/>
      <c r="O228" s="570"/>
      <c r="P228" s="569"/>
      <c r="R228" s="174"/>
      <c r="S228" s="568"/>
      <c r="T228" s="65" t="b">
        <f t="shared" si="24"/>
        <v>0</v>
      </c>
    </row>
    <row r="229" spans="2:20" ht="16.5" hidden="1" customHeight="1">
      <c r="B229" s="574"/>
      <c r="C229" s="570"/>
      <c r="D229" s="588" t="s">
        <v>526</v>
      </c>
      <c r="E229" s="576"/>
      <c r="F229" s="576"/>
      <c r="G229" s="576"/>
      <c r="H229" s="576"/>
      <c r="I229" s="575"/>
      <c r="J229" s="570"/>
      <c r="K229" s="570"/>
      <c r="L229" s="570"/>
      <c r="M229" s="570"/>
      <c r="N229" s="570"/>
      <c r="O229" s="570"/>
      <c r="P229" s="569"/>
      <c r="R229" s="174"/>
      <c r="S229" s="568"/>
      <c r="T229" s="65" t="b">
        <f t="shared" si="24"/>
        <v>0</v>
      </c>
    </row>
    <row r="230" spans="2:20" ht="16.5" hidden="1" customHeight="1">
      <c r="B230" s="574"/>
      <c r="C230" s="570"/>
      <c r="D230" s="588" t="s">
        <v>522</v>
      </c>
      <c r="E230" s="576"/>
      <c r="F230" s="576"/>
      <c r="G230" s="576"/>
      <c r="H230" s="576"/>
      <c r="I230" s="575"/>
      <c r="J230" s="570"/>
      <c r="K230" s="570"/>
      <c r="L230" s="570"/>
      <c r="M230" s="570"/>
      <c r="N230" s="570"/>
      <c r="O230" s="570"/>
      <c r="P230" s="569"/>
      <c r="R230" s="174"/>
      <c r="S230" s="568"/>
      <c r="T230" s="65" t="b">
        <f t="shared" si="24"/>
        <v>0</v>
      </c>
    </row>
    <row r="231" spans="2:20" ht="16.5" hidden="1" customHeight="1">
      <c r="B231" s="574"/>
      <c r="C231" s="570"/>
      <c r="D231" s="573" t="s">
        <v>151</v>
      </c>
      <c r="E231" s="572"/>
      <c r="F231" s="572"/>
      <c r="G231" s="572"/>
      <c r="H231" s="572"/>
      <c r="I231" s="571"/>
      <c r="J231" s="570"/>
      <c r="K231" s="570"/>
      <c r="L231" s="570"/>
      <c r="M231" s="570"/>
      <c r="N231" s="570"/>
      <c r="O231" s="570"/>
      <c r="P231" s="569"/>
      <c r="R231" s="174"/>
      <c r="S231" s="568"/>
      <c r="T231" s="65" t="b">
        <f t="shared" si="24"/>
        <v>0</v>
      </c>
    </row>
    <row r="232" spans="2:20" ht="16.5" hidden="1" customHeight="1">
      <c r="B232" s="574"/>
      <c r="C232" s="570"/>
      <c r="D232" s="570"/>
      <c r="E232" s="570"/>
      <c r="F232" s="570"/>
      <c r="G232" s="570"/>
      <c r="H232" s="570"/>
      <c r="I232" s="570"/>
      <c r="J232" s="570"/>
      <c r="K232" s="570"/>
      <c r="L232" s="570"/>
      <c r="M232" s="570"/>
      <c r="N232" s="570"/>
      <c r="O232" s="570"/>
      <c r="P232" s="569"/>
      <c r="R232" s="130"/>
      <c r="S232" s="130"/>
      <c r="T232" s="65" t="b">
        <f t="shared" si="24"/>
        <v>0</v>
      </c>
    </row>
    <row r="233" spans="2:20" ht="16.5" hidden="1" customHeight="1">
      <c r="B233" s="574"/>
      <c r="C233" s="570"/>
      <c r="D233" s="586" t="s">
        <v>519</v>
      </c>
      <c r="E233" s="585"/>
      <c r="F233" s="585"/>
      <c r="G233" s="585"/>
      <c r="H233" s="585"/>
      <c r="I233" s="584"/>
      <c r="J233" s="570"/>
      <c r="K233" s="570"/>
      <c r="L233" s="570"/>
      <c r="M233" s="570"/>
      <c r="N233" s="570"/>
      <c r="O233" s="570"/>
      <c r="P233" s="569"/>
      <c r="R233" s="32"/>
      <c r="S233" s="32"/>
      <c r="T233" s="65" t="b">
        <f t="shared" si="24"/>
        <v>0</v>
      </c>
    </row>
    <row r="234" spans="2:20" ht="16.5" hidden="1" customHeight="1">
      <c r="B234" s="574"/>
      <c r="C234" s="570"/>
      <c r="D234" s="583" t="s">
        <v>520</v>
      </c>
      <c r="E234" s="582" t="s">
        <v>519</v>
      </c>
      <c r="F234" s="582" t="s">
        <v>518</v>
      </c>
      <c r="G234" s="582" t="s">
        <v>517</v>
      </c>
      <c r="H234" s="582" t="s">
        <v>516</v>
      </c>
      <c r="I234" s="581" t="s">
        <v>515</v>
      </c>
      <c r="J234" s="570"/>
      <c r="K234" s="570"/>
      <c r="L234" s="570"/>
      <c r="M234" s="570"/>
      <c r="N234" s="570"/>
      <c r="O234" s="570"/>
      <c r="P234" s="569"/>
      <c r="R234" s="32"/>
      <c r="S234" s="32"/>
      <c r="T234" s="65" t="b">
        <f t="shared" si="24"/>
        <v>0</v>
      </c>
    </row>
    <row r="235" spans="2:20" ht="16.5" hidden="1" customHeight="1">
      <c r="B235" s="574"/>
      <c r="C235" s="570"/>
      <c r="D235" s="580" t="s">
        <v>514</v>
      </c>
      <c r="E235" s="579"/>
      <c r="F235" s="579"/>
      <c r="G235" s="579"/>
      <c r="H235" s="579"/>
      <c r="I235" s="578"/>
      <c r="J235" s="570"/>
      <c r="K235" s="570"/>
      <c r="L235" s="570"/>
      <c r="M235" s="570"/>
      <c r="N235" s="570"/>
      <c r="O235" s="570"/>
      <c r="P235" s="569"/>
      <c r="R235" s="590"/>
      <c r="S235" s="589"/>
      <c r="T235" s="65" t="b">
        <f t="shared" si="24"/>
        <v>0</v>
      </c>
    </row>
    <row r="236" spans="2:20" ht="16.5" hidden="1" customHeight="1">
      <c r="B236" s="574"/>
      <c r="C236" s="570"/>
      <c r="D236" s="588" t="s">
        <v>533</v>
      </c>
      <c r="E236" s="576"/>
      <c r="F236" s="582"/>
      <c r="G236" s="582"/>
      <c r="H236" s="582"/>
      <c r="I236" s="581"/>
      <c r="J236" s="570"/>
      <c r="K236" s="570"/>
      <c r="L236" s="570"/>
      <c r="M236" s="570"/>
      <c r="N236" s="570"/>
      <c r="O236" s="570"/>
      <c r="P236" s="569"/>
      <c r="R236" s="174"/>
      <c r="S236" s="568"/>
      <c r="T236" s="65" t="b">
        <f t="shared" si="24"/>
        <v>0</v>
      </c>
    </row>
    <row r="237" spans="2:20" ht="16.5" hidden="1" customHeight="1">
      <c r="B237" s="574"/>
      <c r="C237" s="570"/>
      <c r="D237" s="588" t="s">
        <v>532</v>
      </c>
      <c r="E237" s="576"/>
      <c r="F237" s="582"/>
      <c r="G237" s="582"/>
      <c r="H237" s="582"/>
      <c r="I237" s="581"/>
      <c r="J237" s="570"/>
      <c r="K237" s="570"/>
      <c r="L237" s="570"/>
      <c r="M237" s="570"/>
      <c r="N237" s="570"/>
      <c r="O237" s="570"/>
      <c r="P237" s="569"/>
      <c r="R237" s="174"/>
      <c r="S237" s="568"/>
      <c r="T237" s="65" t="b">
        <f t="shared" si="24"/>
        <v>0</v>
      </c>
    </row>
    <row r="238" spans="2:20" ht="16.5" hidden="1" customHeight="1">
      <c r="B238" s="574"/>
      <c r="C238" s="570"/>
      <c r="D238" s="588" t="s">
        <v>525</v>
      </c>
      <c r="E238" s="576"/>
      <c r="F238" s="576"/>
      <c r="G238" s="576"/>
      <c r="H238" s="576"/>
      <c r="I238" s="575"/>
      <c r="J238" s="570"/>
      <c r="K238" s="570"/>
      <c r="L238" s="570"/>
      <c r="M238" s="570"/>
      <c r="N238" s="570"/>
      <c r="O238" s="570"/>
      <c r="P238" s="569"/>
      <c r="R238" s="174"/>
      <c r="S238" s="568"/>
      <c r="T238" s="65" t="b">
        <f t="shared" si="24"/>
        <v>0</v>
      </c>
    </row>
    <row r="239" spans="2:20" ht="16.5" hidden="1" customHeight="1">
      <c r="B239" s="574"/>
      <c r="C239" s="570"/>
      <c r="D239" s="588" t="s">
        <v>531</v>
      </c>
      <c r="E239" s="576"/>
      <c r="F239" s="576"/>
      <c r="G239" s="576"/>
      <c r="H239" s="576"/>
      <c r="I239" s="575"/>
      <c r="J239" s="570"/>
      <c r="K239" s="570"/>
      <c r="L239" s="570"/>
      <c r="M239" s="570"/>
      <c r="N239" s="570"/>
      <c r="O239" s="570"/>
      <c r="P239" s="569"/>
      <c r="R239" s="174"/>
      <c r="S239" s="568"/>
      <c r="T239" s="65" t="b">
        <f t="shared" si="24"/>
        <v>0</v>
      </c>
    </row>
    <row r="240" spans="2:20" ht="16.5" hidden="1" customHeight="1">
      <c r="B240" s="574"/>
      <c r="C240" s="570"/>
      <c r="D240" s="588" t="s">
        <v>530</v>
      </c>
      <c r="E240" s="576"/>
      <c r="F240" s="576"/>
      <c r="G240" s="576"/>
      <c r="H240" s="576"/>
      <c r="I240" s="575"/>
      <c r="J240" s="570"/>
      <c r="K240" s="570"/>
      <c r="L240" s="570"/>
      <c r="M240" s="570"/>
      <c r="N240" s="570"/>
      <c r="O240" s="570"/>
      <c r="P240" s="569"/>
      <c r="R240" s="174"/>
      <c r="S240" s="568"/>
      <c r="T240" s="65" t="b">
        <f t="shared" si="24"/>
        <v>0</v>
      </c>
    </row>
    <row r="241" spans="2:20" ht="16.5" hidden="1" customHeight="1">
      <c r="B241" s="574"/>
      <c r="C241" s="570"/>
      <c r="D241" s="588" t="s">
        <v>524</v>
      </c>
      <c r="E241" s="576"/>
      <c r="F241" s="576"/>
      <c r="G241" s="576"/>
      <c r="H241" s="576"/>
      <c r="I241" s="575"/>
      <c r="J241" s="570"/>
      <c r="K241" s="570"/>
      <c r="L241" s="570"/>
      <c r="M241" s="570"/>
      <c r="N241" s="570"/>
      <c r="O241" s="570"/>
      <c r="P241" s="569"/>
      <c r="R241" s="174"/>
      <c r="S241" s="568"/>
      <c r="T241" s="65" t="b">
        <f t="shared" si="24"/>
        <v>0</v>
      </c>
    </row>
    <row r="242" spans="2:20" ht="16.5" hidden="1" customHeight="1">
      <c r="B242" s="574"/>
      <c r="C242" s="570"/>
      <c r="D242" s="588" t="s">
        <v>529</v>
      </c>
      <c r="E242" s="576"/>
      <c r="F242" s="576"/>
      <c r="G242" s="576"/>
      <c r="H242" s="576"/>
      <c r="I242" s="575"/>
      <c r="J242" s="570"/>
      <c r="K242" s="570"/>
      <c r="L242" s="570"/>
      <c r="M242" s="570"/>
      <c r="N242" s="570"/>
      <c r="O242" s="570"/>
      <c r="P242" s="569"/>
      <c r="R242" s="174"/>
      <c r="S242" s="568"/>
      <c r="T242" s="65" t="b">
        <f t="shared" si="24"/>
        <v>0</v>
      </c>
    </row>
    <row r="243" spans="2:20" ht="16.5" hidden="1" customHeight="1">
      <c r="B243" s="574"/>
      <c r="C243" s="570"/>
      <c r="D243" s="588" t="s">
        <v>528</v>
      </c>
      <c r="E243" s="576"/>
      <c r="F243" s="576"/>
      <c r="G243" s="576"/>
      <c r="H243" s="576"/>
      <c r="I243" s="575"/>
      <c r="J243" s="570"/>
      <c r="K243" s="570"/>
      <c r="L243" s="570"/>
      <c r="M243" s="570"/>
      <c r="N243" s="570"/>
      <c r="O243" s="570"/>
      <c r="P243" s="569"/>
      <c r="R243" s="174"/>
      <c r="S243" s="568"/>
      <c r="T243" s="65" t="b">
        <f t="shared" si="24"/>
        <v>0</v>
      </c>
    </row>
    <row r="244" spans="2:20" ht="16.5" hidden="1" customHeight="1">
      <c r="B244" s="574"/>
      <c r="C244" s="570"/>
      <c r="D244" s="588" t="s">
        <v>523</v>
      </c>
      <c r="E244" s="576"/>
      <c r="F244" s="576"/>
      <c r="G244" s="576"/>
      <c r="H244" s="576"/>
      <c r="I244" s="575"/>
      <c r="J244" s="570"/>
      <c r="K244" s="570"/>
      <c r="L244" s="570"/>
      <c r="M244" s="570"/>
      <c r="N244" s="570"/>
      <c r="O244" s="570"/>
      <c r="P244" s="569"/>
      <c r="R244" s="174"/>
      <c r="S244" s="568"/>
      <c r="T244" s="65" t="b">
        <f t="shared" si="24"/>
        <v>0</v>
      </c>
    </row>
    <row r="245" spans="2:20" ht="16.5" hidden="1" customHeight="1">
      <c r="B245" s="574"/>
      <c r="C245" s="570"/>
      <c r="D245" s="588" t="s">
        <v>527</v>
      </c>
      <c r="E245" s="576"/>
      <c r="F245" s="576"/>
      <c r="G245" s="576"/>
      <c r="H245" s="576"/>
      <c r="I245" s="575"/>
      <c r="J245" s="570"/>
      <c r="K245" s="570"/>
      <c r="L245" s="570"/>
      <c r="M245" s="570"/>
      <c r="N245" s="570"/>
      <c r="O245" s="570"/>
      <c r="P245" s="569"/>
      <c r="R245" s="174"/>
      <c r="S245" s="568"/>
      <c r="T245" s="65" t="b">
        <f t="shared" si="24"/>
        <v>0</v>
      </c>
    </row>
    <row r="246" spans="2:20" ht="16.5" hidden="1" customHeight="1">
      <c r="B246" s="574"/>
      <c r="C246" s="570"/>
      <c r="D246" s="588" t="s">
        <v>526</v>
      </c>
      <c r="E246" s="576"/>
      <c r="F246" s="576"/>
      <c r="G246" s="576"/>
      <c r="H246" s="576"/>
      <c r="I246" s="575"/>
      <c r="J246" s="570"/>
      <c r="K246" s="570"/>
      <c r="L246" s="570"/>
      <c r="M246" s="570"/>
      <c r="N246" s="570"/>
      <c r="O246" s="570"/>
      <c r="P246" s="569"/>
      <c r="R246" s="174"/>
      <c r="S246" s="568"/>
      <c r="T246" s="65" t="b">
        <f t="shared" si="24"/>
        <v>0</v>
      </c>
    </row>
    <row r="247" spans="2:20" ht="16.5" hidden="1" customHeight="1">
      <c r="B247" s="574"/>
      <c r="C247" s="570"/>
      <c r="D247" s="588" t="s">
        <v>522</v>
      </c>
      <c r="E247" s="576"/>
      <c r="F247" s="576"/>
      <c r="G247" s="576"/>
      <c r="H247" s="576"/>
      <c r="I247" s="575"/>
      <c r="J247" s="570"/>
      <c r="K247" s="570"/>
      <c r="L247" s="570"/>
      <c r="M247" s="570"/>
      <c r="N247" s="570"/>
      <c r="O247" s="570"/>
      <c r="P247" s="569"/>
      <c r="R247" s="174"/>
      <c r="S247" s="568"/>
      <c r="T247" s="65" t="b">
        <f t="shared" si="24"/>
        <v>0</v>
      </c>
    </row>
    <row r="248" spans="2:20" ht="16.5" hidden="1" customHeight="1">
      <c r="B248" s="574"/>
      <c r="C248" s="570"/>
      <c r="D248" s="573" t="s">
        <v>151</v>
      </c>
      <c r="E248" s="572"/>
      <c r="F248" s="572"/>
      <c r="G248" s="572"/>
      <c r="H248" s="572"/>
      <c r="I248" s="571"/>
      <c r="J248" s="570"/>
      <c r="K248" s="570"/>
      <c r="L248" s="570"/>
      <c r="M248" s="570"/>
      <c r="N248" s="570"/>
      <c r="O248" s="570"/>
      <c r="P248" s="569"/>
      <c r="R248" s="174"/>
      <c r="S248" s="568"/>
      <c r="T248" s="65" t="b">
        <f t="shared" si="24"/>
        <v>0</v>
      </c>
    </row>
    <row r="249" spans="2:20" ht="16.5" hidden="1" customHeight="1">
      <c r="B249" s="574"/>
      <c r="C249" s="570"/>
      <c r="D249" s="586" t="s">
        <v>521</v>
      </c>
      <c r="E249" s="585"/>
      <c r="F249" s="585"/>
      <c r="G249" s="585"/>
      <c r="H249" s="585"/>
      <c r="I249" s="584"/>
      <c r="J249" s="570"/>
      <c r="K249" s="570"/>
      <c r="L249" s="570"/>
      <c r="M249" s="570"/>
      <c r="N249" s="570"/>
      <c r="O249" s="570"/>
      <c r="P249" s="569"/>
      <c r="R249" s="64"/>
      <c r="S249" s="73"/>
      <c r="T249" s="65" t="b">
        <f t="shared" ref="T249:T265" si="25">SelectedFrequency&lt;&gt;"Quarterly"</f>
        <v>1</v>
      </c>
    </row>
    <row r="250" spans="2:20" ht="16.5" hidden="1" customHeight="1">
      <c r="B250" s="574"/>
      <c r="C250" s="570"/>
      <c r="D250" s="583" t="s">
        <v>520</v>
      </c>
      <c r="E250" s="582" t="s">
        <v>521</v>
      </c>
      <c r="F250" s="582"/>
      <c r="G250" s="582" t="s">
        <v>517</v>
      </c>
      <c r="H250" s="582" t="s">
        <v>516</v>
      </c>
      <c r="I250" s="581" t="s">
        <v>515</v>
      </c>
      <c r="J250" s="570"/>
      <c r="K250" s="570"/>
      <c r="L250" s="570"/>
      <c r="M250" s="570"/>
      <c r="N250" s="570"/>
      <c r="O250" s="570"/>
      <c r="P250" s="569"/>
      <c r="R250" s="65"/>
      <c r="S250" s="65"/>
      <c r="T250" s="65" t="b">
        <f t="shared" si="25"/>
        <v>1</v>
      </c>
    </row>
    <row r="251" spans="2:20" ht="16.5" hidden="1" customHeight="1">
      <c r="B251" s="574"/>
      <c r="C251" s="570"/>
      <c r="D251" s="580" t="s">
        <v>514</v>
      </c>
      <c r="E251" s="579"/>
      <c r="F251" s="579"/>
      <c r="G251" s="579"/>
      <c r="H251" s="579"/>
      <c r="I251" s="578"/>
      <c r="J251" s="570"/>
      <c r="K251" s="570"/>
      <c r="L251" s="570"/>
      <c r="M251" s="570"/>
      <c r="N251" s="570"/>
      <c r="O251" s="570"/>
      <c r="P251" s="569"/>
      <c r="R251" s="1432"/>
      <c r="S251" s="1432"/>
      <c r="T251" s="65" t="b">
        <f t="shared" si="25"/>
        <v>1</v>
      </c>
    </row>
    <row r="252" spans="2:20" ht="16.5" hidden="1" customHeight="1">
      <c r="B252" s="574"/>
      <c r="C252" s="570"/>
      <c r="D252" s="577" t="s">
        <v>525</v>
      </c>
      <c r="E252" s="576"/>
      <c r="F252" s="582"/>
      <c r="G252" s="582"/>
      <c r="H252" s="582"/>
      <c r="I252" s="581"/>
      <c r="J252" s="570"/>
      <c r="K252" s="570"/>
      <c r="L252" s="570"/>
      <c r="M252" s="570"/>
      <c r="N252" s="570"/>
      <c r="O252" s="570"/>
      <c r="P252" s="569"/>
      <c r="R252" s="174"/>
      <c r="S252" s="568"/>
      <c r="T252" s="65" t="b">
        <f t="shared" si="25"/>
        <v>1</v>
      </c>
    </row>
    <row r="253" spans="2:20" ht="16.5" hidden="1" customHeight="1">
      <c r="B253" s="574"/>
      <c r="C253" s="570"/>
      <c r="D253" s="577" t="s">
        <v>524</v>
      </c>
      <c r="E253" s="576"/>
      <c r="F253" s="582"/>
      <c r="G253" s="582"/>
      <c r="H253" s="582"/>
      <c r="I253" s="581"/>
      <c r="J253" s="570"/>
      <c r="K253" s="570"/>
      <c r="L253" s="570"/>
      <c r="M253" s="570"/>
      <c r="N253" s="570"/>
      <c r="O253" s="570"/>
      <c r="P253" s="569"/>
      <c r="R253" s="174"/>
      <c r="S253" s="568"/>
      <c r="T253" s="65" t="b">
        <f t="shared" si="25"/>
        <v>1</v>
      </c>
    </row>
    <row r="254" spans="2:20" ht="16.5" hidden="1" customHeight="1">
      <c r="B254" s="574"/>
      <c r="C254" s="570"/>
      <c r="D254" s="577" t="s">
        <v>523</v>
      </c>
      <c r="E254" s="576"/>
      <c r="F254" s="576"/>
      <c r="G254" s="576"/>
      <c r="H254" s="576"/>
      <c r="I254" s="575"/>
      <c r="J254" s="570"/>
      <c r="K254" s="570"/>
      <c r="L254" s="570"/>
      <c r="M254" s="570"/>
      <c r="N254" s="570"/>
      <c r="O254" s="570"/>
      <c r="P254" s="569"/>
      <c r="R254" s="174"/>
      <c r="S254" s="568"/>
      <c r="T254" s="65" t="b">
        <f t="shared" si="25"/>
        <v>1</v>
      </c>
    </row>
    <row r="255" spans="2:20" ht="16.5" hidden="1" customHeight="1">
      <c r="B255" s="574"/>
      <c r="C255" s="570"/>
      <c r="D255" s="577" t="s">
        <v>522</v>
      </c>
      <c r="E255" s="576"/>
      <c r="F255" s="576"/>
      <c r="G255" s="576"/>
      <c r="H255" s="576"/>
      <c r="I255" s="575"/>
      <c r="J255" s="570"/>
      <c r="K255" s="570"/>
      <c r="L255" s="570"/>
      <c r="M255" s="570"/>
      <c r="N255" s="570"/>
      <c r="O255" s="570"/>
      <c r="P255" s="569"/>
      <c r="R255" s="174"/>
      <c r="S255" s="568"/>
      <c r="T255" s="65" t="b">
        <f t="shared" si="25"/>
        <v>1</v>
      </c>
    </row>
    <row r="256" spans="2:20" ht="16.5" hidden="1" customHeight="1">
      <c r="B256" s="574"/>
      <c r="C256" s="570"/>
      <c r="D256" s="573" t="s">
        <v>151</v>
      </c>
      <c r="E256" s="572"/>
      <c r="F256" s="572"/>
      <c r="G256" s="572"/>
      <c r="H256" s="572"/>
      <c r="I256" s="571"/>
      <c r="J256" s="570"/>
      <c r="K256" s="570"/>
      <c r="L256" s="570"/>
      <c r="M256" s="570"/>
      <c r="N256" s="570"/>
      <c r="O256" s="570"/>
      <c r="P256" s="569"/>
      <c r="R256" s="174"/>
      <c r="S256" s="568"/>
      <c r="T256" s="65" t="b">
        <f t="shared" si="25"/>
        <v>1</v>
      </c>
    </row>
    <row r="257" spans="2:20" ht="16.5" hidden="1" customHeight="1">
      <c r="B257" s="574"/>
      <c r="C257" s="570"/>
      <c r="D257" s="587"/>
      <c r="E257" s="572"/>
      <c r="F257" s="572"/>
      <c r="G257" s="572"/>
      <c r="H257" s="572"/>
      <c r="I257" s="572"/>
      <c r="J257" s="570"/>
      <c r="K257" s="570"/>
      <c r="L257" s="570"/>
      <c r="M257" s="570"/>
      <c r="N257" s="570"/>
      <c r="O257" s="570"/>
      <c r="P257" s="569"/>
      <c r="R257" s="73"/>
      <c r="S257" s="73"/>
      <c r="T257" s="65" t="b">
        <f t="shared" si="25"/>
        <v>1</v>
      </c>
    </row>
    <row r="258" spans="2:20" ht="16.5" hidden="1" customHeight="1">
      <c r="B258" s="574"/>
      <c r="C258" s="570"/>
      <c r="D258" s="586" t="s">
        <v>519</v>
      </c>
      <c r="E258" s="585"/>
      <c r="F258" s="585"/>
      <c r="G258" s="585"/>
      <c r="H258" s="585"/>
      <c r="I258" s="584"/>
      <c r="J258" s="570"/>
      <c r="K258" s="570"/>
      <c r="L258" s="570"/>
      <c r="M258" s="570"/>
      <c r="N258" s="570"/>
      <c r="O258" s="570"/>
      <c r="P258" s="569"/>
      <c r="R258" s="73"/>
      <c r="S258" s="73"/>
      <c r="T258" s="65" t="b">
        <f t="shared" si="25"/>
        <v>1</v>
      </c>
    </row>
    <row r="259" spans="2:20" ht="16.5" hidden="1" customHeight="1">
      <c r="B259" s="574"/>
      <c r="C259" s="570"/>
      <c r="D259" s="583" t="s">
        <v>520</v>
      </c>
      <c r="E259" s="582" t="s">
        <v>519</v>
      </c>
      <c r="F259" s="582" t="s">
        <v>518</v>
      </c>
      <c r="G259" s="582" t="s">
        <v>517</v>
      </c>
      <c r="H259" s="582" t="s">
        <v>516</v>
      </c>
      <c r="I259" s="581" t="s">
        <v>515</v>
      </c>
      <c r="J259" s="570"/>
      <c r="K259" s="570"/>
      <c r="L259" s="570"/>
      <c r="M259" s="570"/>
      <c r="N259" s="570"/>
      <c r="O259" s="570"/>
      <c r="P259" s="569"/>
      <c r="R259" s="73"/>
      <c r="S259" s="73"/>
      <c r="T259" s="65" t="b">
        <f t="shared" si="25"/>
        <v>1</v>
      </c>
    </row>
    <row r="260" spans="2:20" ht="16.5" hidden="1" customHeight="1">
      <c r="B260" s="574"/>
      <c r="C260" s="570"/>
      <c r="D260" s="580" t="s">
        <v>514</v>
      </c>
      <c r="E260" s="579"/>
      <c r="F260" s="579"/>
      <c r="G260" s="579"/>
      <c r="H260" s="579"/>
      <c r="I260" s="578"/>
      <c r="J260" s="570"/>
      <c r="K260" s="570"/>
      <c r="L260" s="570"/>
      <c r="M260" s="570"/>
      <c r="N260" s="570"/>
      <c r="O260" s="570"/>
      <c r="P260" s="569"/>
      <c r="R260" s="73"/>
      <c r="S260" s="73"/>
      <c r="T260" s="65" t="b">
        <f t="shared" si="25"/>
        <v>1</v>
      </c>
    </row>
    <row r="261" spans="2:20" ht="16.5" hidden="1" customHeight="1">
      <c r="B261" s="574"/>
      <c r="C261" s="570"/>
      <c r="D261" s="577" t="s">
        <v>525</v>
      </c>
      <c r="E261" s="576"/>
      <c r="F261" s="582"/>
      <c r="G261" s="582"/>
      <c r="H261" s="582"/>
      <c r="I261" s="581"/>
      <c r="J261" s="570"/>
      <c r="K261" s="570"/>
      <c r="L261" s="570"/>
      <c r="M261" s="570"/>
      <c r="N261" s="570"/>
      <c r="O261" s="570"/>
      <c r="P261" s="569"/>
      <c r="R261" s="174"/>
      <c r="S261" s="568"/>
      <c r="T261" s="65" t="b">
        <f t="shared" si="25"/>
        <v>1</v>
      </c>
    </row>
    <row r="262" spans="2:20" ht="16.5" hidden="1" customHeight="1">
      <c r="B262" s="574"/>
      <c r="C262" s="570"/>
      <c r="D262" s="577" t="s">
        <v>524</v>
      </c>
      <c r="E262" s="576"/>
      <c r="F262" s="582"/>
      <c r="G262" s="582"/>
      <c r="H262" s="582"/>
      <c r="I262" s="581"/>
      <c r="J262" s="570"/>
      <c r="K262" s="570"/>
      <c r="L262" s="570"/>
      <c r="M262" s="570"/>
      <c r="N262" s="570"/>
      <c r="O262" s="570"/>
      <c r="P262" s="569"/>
      <c r="R262" s="174"/>
      <c r="S262" s="568"/>
      <c r="T262" s="65" t="b">
        <f t="shared" si="25"/>
        <v>1</v>
      </c>
    </row>
    <row r="263" spans="2:20" ht="16.5" hidden="1" customHeight="1">
      <c r="B263" s="574"/>
      <c r="C263" s="570"/>
      <c r="D263" s="577" t="s">
        <v>523</v>
      </c>
      <c r="E263" s="576"/>
      <c r="F263" s="576"/>
      <c r="G263" s="576"/>
      <c r="H263" s="576"/>
      <c r="I263" s="575"/>
      <c r="J263" s="570"/>
      <c r="K263" s="570"/>
      <c r="L263" s="570"/>
      <c r="M263" s="570"/>
      <c r="N263" s="570"/>
      <c r="O263" s="570"/>
      <c r="P263" s="569"/>
      <c r="R263" s="174"/>
      <c r="S263" s="568"/>
      <c r="T263" s="65" t="b">
        <f t="shared" si="25"/>
        <v>1</v>
      </c>
    </row>
    <row r="264" spans="2:20" ht="16.5" hidden="1" customHeight="1">
      <c r="B264" s="574"/>
      <c r="C264" s="570"/>
      <c r="D264" s="577" t="s">
        <v>522</v>
      </c>
      <c r="E264" s="576"/>
      <c r="F264" s="576"/>
      <c r="G264" s="576"/>
      <c r="H264" s="576"/>
      <c r="I264" s="575"/>
      <c r="J264" s="570"/>
      <c r="K264" s="570"/>
      <c r="L264" s="570"/>
      <c r="M264" s="570"/>
      <c r="N264" s="570"/>
      <c r="O264" s="570"/>
      <c r="P264" s="569"/>
      <c r="R264" s="174"/>
      <c r="S264" s="568"/>
      <c r="T264" s="65" t="b">
        <f t="shared" si="25"/>
        <v>1</v>
      </c>
    </row>
    <row r="265" spans="2:20" ht="16.5" hidden="1" customHeight="1">
      <c r="B265" s="574"/>
      <c r="C265" s="570"/>
      <c r="D265" s="573" t="s">
        <v>151</v>
      </c>
      <c r="E265" s="572"/>
      <c r="F265" s="572"/>
      <c r="G265" s="572"/>
      <c r="H265" s="572"/>
      <c r="I265" s="571"/>
      <c r="J265" s="570"/>
      <c r="K265" s="570"/>
      <c r="L265" s="570"/>
      <c r="M265" s="570"/>
      <c r="N265" s="570"/>
      <c r="O265" s="570"/>
      <c r="P265" s="569"/>
      <c r="R265" s="174"/>
      <c r="S265" s="568"/>
      <c r="T265" s="65" t="b">
        <f t="shared" si="25"/>
        <v>1</v>
      </c>
    </row>
    <row r="266" spans="2:20" ht="16.5" hidden="1" customHeight="1">
      <c r="B266" s="574"/>
      <c r="C266" s="570"/>
      <c r="D266" s="586" t="s">
        <v>521</v>
      </c>
      <c r="E266" s="585"/>
      <c r="F266" s="585"/>
      <c r="G266" s="585"/>
      <c r="H266" s="585"/>
      <c r="I266" s="584"/>
      <c r="J266" s="570"/>
      <c r="K266" s="570"/>
      <c r="L266" s="570"/>
      <c r="M266" s="570"/>
      <c r="N266" s="570"/>
      <c r="O266" s="570"/>
      <c r="P266" s="569"/>
      <c r="R266" s="64"/>
      <c r="S266" s="73"/>
      <c r="T266" s="65" t="b">
        <f t="shared" ref="T266:T276" si="26">SelectedFrequency&lt;&gt;"Annually"</f>
        <v>1</v>
      </c>
    </row>
    <row r="267" spans="2:20" ht="16.5" hidden="1" customHeight="1">
      <c r="B267" s="574"/>
      <c r="C267" s="570"/>
      <c r="D267" s="583" t="s">
        <v>520</v>
      </c>
      <c r="E267" s="582" t="s">
        <v>521</v>
      </c>
      <c r="F267" s="582"/>
      <c r="G267" s="582" t="s">
        <v>517</v>
      </c>
      <c r="H267" s="582" t="s">
        <v>516</v>
      </c>
      <c r="I267" s="581" t="s">
        <v>515</v>
      </c>
      <c r="J267" s="570"/>
      <c r="K267" s="570"/>
      <c r="L267" s="570"/>
      <c r="M267" s="570"/>
      <c r="N267" s="570"/>
      <c r="O267" s="570"/>
      <c r="P267" s="569"/>
      <c r="R267" s="65"/>
      <c r="S267" s="65"/>
      <c r="T267" s="65" t="b">
        <f t="shared" si="26"/>
        <v>1</v>
      </c>
    </row>
    <row r="268" spans="2:20" ht="16.5" hidden="1" customHeight="1">
      <c r="B268" s="574"/>
      <c r="C268" s="570"/>
      <c r="D268" s="580" t="s">
        <v>514</v>
      </c>
      <c r="E268" s="579"/>
      <c r="F268" s="579"/>
      <c r="G268" s="579"/>
      <c r="H268" s="579"/>
      <c r="I268" s="578"/>
      <c r="J268" s="570"/>
      <c r="K268" s="570"/>
      <c r="L268" s="570"/>
      <c r="M268" s="570"/>
      <c r="N268" s="570"/>
      <c r="O268" s="570"/>
      <c r="P268" s="569"/>
      <c r="R268" s="1432"/>
      <c r="S268" s="1432"/>
      <c r="T268" s="65" t="b">
        <f t="shared" si="26"/>
        <v>1</v>
      </c>
    </row>
    <row r="269" spans="2:20" ht="16.5" hidden="1" customHeight="1">
      <c r="B269" s="574"/>
      <c r="C269" s="570"/>
      <c r="D269" s="577" t="s">
        <v>513</v>
      </c>
      <c r="E269" s="576"/>
      <c r="F269" s="576"/>
      <c r="G269" s="576"/>
      <c r="H269" s="576"/>
      <c r="I269" s="575"/>
      <c r="J269" s="570"/>
      <c r="K269" s="570"/>
      <c r="L269" s="570"/>
      <c r="M269" s="570"/>
      <c r="N269" s="570"/>
      <c r="O269" s="570"/>
      <c r="P269" s="569"/>
      <c r="R269" s="174"/>
      <c r="S269" s="568"/>
      <c r="T269" s="65" t="b">
        <f t="shared" si="26"/>
        <v>1</v>
      </c>
    </row>
    <row r="270" spans="2:20" ht="16.5" hidden="1" customHeight="1">
      <c r="B270" s="574"/>
      <c r="C270" s="570"/>
      <c r="D270" s="573" t="s">
        <v>151</v>
      </c>
      <c r="E270" s="572"/>
      <c r="F270" s="572"/>
      <c r="G270" s="572"/>
      <c r="H270" s="572"/>
      <c r="I270" s="571"/>
      <c r="J270" s="570"/>
      <c r="K270" s="570"/>
      <c r="L270" s="570"/>
      <c r="M270" s="570"/>
      <c r="N270" s="570"/>
      <c r="O270" s="570"/>
      <c r="P270" s="569"/>
      <c r="R270" s="174"/>
      <c r="S270" s="568"/>
      <c r="T270" s="65" t="b">
        <f t="shared" si="26"/>
        <v>1</v>
      </c>
    </row>
    <row r="271" spans="2:20" ht="16.5" hidden="1" customHeight="1">
      <c r="B271" s="574"/>
      <c r="C271" s="570"/>
      <c r="D271" s="587"/>
      <c r="E271" s="572"/>
      <c r="F271" s="572"/>
      <c r="G271" s="572"/>
      <c r="H271" s="572"/>
      <c r="I271" s="572"/>
      <c r="J271" s="570"/>
      <c r="K271" s="570"/>
      <c r="L271" s="570"/>
      <c r="M271" s="570"/>
      <c r="N271" s="570"/>
      <c r="O271" s="570"/>
      <c r="P271" s="569"/>
      <c r="R271" s="73"/>
      <c r="S271" s="73"/>
      <c r="T271" s="65" t="b">
        <f t="shared" si="26"/>
        <v>1</v>
      </c>
    </row>
    <row r="272" spans="2:20" ht="16.5" hidden="1" customHeight="1">
      <c r="B272" s="574"/>
      <c r="C272" s="570"/>
      <c r="D272" s="586" t="s">
        <v>519</v>
      </c>
      <c r="E272" s="585"/>
      <c r="F272" s="585"/>
      <c r="G272" s="585"/>
      <c r="H272" s="585"/>
      <c r="I272" s="584"/>
      <c r="J272" s="570"/>
      <c r="K272" s="570"/>
      <c r="L272" s="570"/>
      <c r="M272" s="570"/>
      <c r="N272" s="570"/>
      <c r="O272" s="570"/>
      <c r="P272" s="569"/>
      <c r="R272" s="73"/>
      <c r="S272" s="73"/>
      <c r="T272" s="65" t="b">
        <f t="shared" si="26"/>
        <v>1</v>
      </c>
    </row>
    <row r="273" spans="2:20" ht="16.5" hidden="1" customHeight="1">
      <c r="B273" s="574"/>
      <c r="C273" s="570"/>
      <c r="D273" s="583" t="s">
        <v>520</v>
      </c>
      <c r="E273" s="582" t="s">
        <v>519</v>
      </c>
      <c r="F273" s="582" t="s">
        <v>518</v>
      </c>
      <c r="G273" s="582" t="s">
        <v>517</v>
      </c>
      <c r="H273" s="582" t="s">
        <v>516</v>
      </c>
      <c r="I273" s="581" t="s">
        <v>515</v>
      </c>
      <c r="J273" s="570"/>
      <c r="K273" s="570"/>
      <c r="L273" s="570"/>
      <c r="M273" s="570"/>
      <c r="N273" s="570"/>
      <c r="O273" s="570"/>
      <c r="P273" s="569"/>
      <c r="R273" s="73"/>
      <c r="S273" s="73"/>
      <c r="T273" s="65" t="b">
        <f t="shared" si="26"/>
        <v>1</v>
      </c>
    </row>
    <row r="274" spans="2:20" ht="16.5" hidden="1" customHeight="1">
      <c r="B274" s="574"/>
      <c r="C274" s="570"/>
      <c r="D274" s="580" t="s">
        <v>514</v>
      </c>
      <c r="E274" s="579"/>
      <c r="F274" s="579"/>
      <c r="G274" s="579"/>
      <c r="H274" s="579"/>
      <c r="I274" s="578"/>
      <c r="J274" s="570"/>
      <c r="K274" s="570"/>
      <c r="L274" s="570"/>
      <c r="M274" s="570"/>
      <c r="N274" s="570"/>
      <c r="O274" s="570"/>
      <c r="P274" s="569"/>
      <c r="R274" s="73"/>
      <c r="S274" s="73"/>
      <c r="T274" s="65" t="b">
        <f t="shared" si="26"/>
        <v>1</v>
      </c>
    </row>
    <row r="275" spans="2:20" ht="16.5" hidden="1" customHeight="1">
      <c r="B275" s="574"/>
      <c r="C275" s="570"/>
      <c r="D275" s="577" t="s">
        <v>513</v>
      </c>
      <c r="E275" s="576"/>
      <c r="F275" s="576"/>
      <c r="G275" s="576"/>
      <c r="H275" s="576"/>
      <c r="I275" s="575"/>
      <c r="J275" s="570"/>
      <c r="K275" s="570"/>
      <c r="L275" s="570"/>
      <c r="M275" s="570"/>
      <c r="N275" s="570"/>
      <c r="O275" s="570"/>
      <c r="P275" s="569"/>
      <c r="R275" s="174"/>
      <c r="S275" s="568"/>
      <c r="T275" s="65" t="b">
        <f t="shared" si="26"/>
        <v>1</v>
      </c>
    </row>
    <row r="276" spans="2:20" ht="16.5" hidden="1" customHeight="1">
      <c r="B276" s="574"/>
      <c r="C276" s="570"/>
      <c r="D276" s="573" t="s">
        <v>151</v>
      </c>
      <c r="E276" s="572"/>
      <c r="F276" s="572"/>
      <c r="G276" s="572"/>
      <c r="H276" s="572"/>
      <c r="I276" s="571"/>
      <c r="J276" s="570"/>
      <c r="K276" s="570"/>
      <c r="L276" s="570"/>
      <c r="M276" s="570"/>
      <c r="N276" s="570"/>
      <c r="O276" s="570"/>
      <c r="P276" s="569"/>
      <c r="R276" s="174"/>
      <c r="S276" s="568"/>
      <c r="T276" s="65" t="b">
        <f t="shared" si="26"/>
        <v>1</v>
      </c>
    </row>
    <row r="277" spans="2:20" s="18" customFormat="1" ht="7.5" hidden="1" customHeight="1">
      <c r="B277" s="567"/>
      <c r="C277" s="565"/>
      <c r="D277" s="565"/>
      <c r="E277" s="565"/>
      <c r="F277" s="565"/>
      <c r="G277" s="565"/>
      <c r="H277" s="565"/>
      <c r="I277" s="566"/>
      <c r="J277" s="565"/>
      <c r="K277" s="565"/>
      <c r="L277" s="565"/>
      <c r="M277" s="565"/>
      <c r="N277" s="565"/>
      <c r="O277" s="565"/>
      <c r="P277" s="564"/>
    </row>
    <row r="278" spans="2:20" ht="22.15" customHeight="1"/>
  </sheetData>
  <sheetProtection sheet="1" objects="1" scenarios="1" formatCells="0" formatColumns="0" formatRows="0" insertColumns="0" insertRows="0" insertHyperlinks="0"/>
  <mergeCells count="132">
    <mergeCell ref="C160:E160"/>
    <mergeCell ref="C162:E162"/>
    <mergeCell ref="C163:E163"/>
    <mergeCell ref="R268:S268"/>
    <mergeCell ref="R27:S28"/>
    <mergeCell ref="B117:G117"/>
    <mergeCell ref="C121:O121"/>
    <mergeCell ref="C214:O214"/>
    <mergeCell ref="C190:L190"/>
    <mergeCell ref="C136:O136"/>
    <mergeCell ref="C164:E164"/>
    <mergeCell ref="C161:E161"/>
    <mergeCell ref="C144:E144"/>
    <mergeCell ref="C145:E145"/>
    <mergeCell ref="C135:L135"/>
    <mergeCell ref="C110:E110"/>
    <mergeCell ref="C147:E147"/>
    <mergeCell ref="C156:O156"/>
    <mergeCell ref="C140:O140"/>
    <mergeCell ref="C123:E123"/>
    <mergeCell ref="C124:E124"/>
    <mergeCell ref="C126:E126"/>
    <mergeCell ref="C120:O120"/>
    <mergeCell ref="R142:S142"/>
    <mergeCell ref="C139:O139"/>
    <mergeCell ref="C182:E182"/>
    <mergeCell ref="D204:F204"/>
    <mergeCell ref="C5:D5"/>
    <mergeCell ref="C9:H9"/>
    <mergeCell ref="C10:H10"/>
    <mergeCell ref="C11:H11"/>
    <mergeCell ref="C12:O12"/>
    <mergeCell ref="N18:O18"/>
    <mergeCell ref="J16:K16"/>
    <mergeCell ref="B14:G14"/>
    <mergeCell ref="N16:O16"/>
    <mergeCell ref="F16:G16"/>
    <mergeCell ref="C42:D42"/>
    <mergeCell ref="B21:G21"/>
    <mergeCell ref="C23:O23"/>
    <mergeCell ref="C35:D35"/>
    <mergeCell ref="C36:D36"/>
    <mergeCell ref="L27:O27"/>
    <mergeCell ref="C33:D33"/>
    <mergeCell ref="C38:D38"/>
    <mergeCell ref="G27:J27"/>
    <mergeCell ref="C39:D39"/>
    <mergeCell ref="C34:D34"/>
    <mergeCell ref="C43:D43"/>
    <mergeCell ref="C148:E148"/>
    <mergeCell ref="C109:E109"/>
    <mergeCell ref="C24:O24"/>
    <mergeCell ref="C25:L25"/>
    <mergeCell ref="C72:O72"/>
    <mergeCell ref="C70:O70"/>
    <mergeCell ref="B188:G188"/>
    <mergeCell ref="C183:E183"/>
    <mergeCell ref="C184:E184"/>
    <mergeCell ref="C37:D37"/>
    <mergeCell ref="C32:E32"/>
    <mergeCell ref="C30:E30"/>
    <mergeCell ref="C64:E64"/>
    <mergeCell ref="C54:E54"/>
    <mergeCell ref="C73:M73"/>
    <mergeCell ref="C58:E58"/>
    <mergeCell ref="C57:E57"/>
    <mergeCell ref="B68:G68"/>
    <mergeCell ref="C71:O71"/>
    <mergeCell ref="C55:E55"/>
    <mergeCell ref="C78:E78"/>
    <mergeCell ref="C81:E81"/>
    <mergeCell ref="C29:E29"/>
    <mergeCell ref="C167:E167"/>
    <mergeCell ref="C168:E168"/>
    <mergeCell ref="D205:F205"/>
    <mergeCell ref="D206:F206"/>
    <mergeCell ref="D207:F207"/>
    <mergeCell ref="D208:F208"/>
    <mergeCell ref="D195:F195"/>
    <mergeCell ref="D197:F197"/>
    <mergeCell ref="C56:E56"/>
    <mergeCell ref="C98:E98"/>
    <mergeCell ref="D198:F198"/>
    <mergeCell ref="D199:F199"/>
    <mergeCell ref="D200:F200"/>
    <mergeCell ref="D201:F201"/>
    <mergeCell ref="D202:F202"/>
    <mergeCell ref="B133:G133"/>
    <mergeCell ref="C105:E105"/>
    <mergeCell ref="C107:E107"/>
    <mergeCell ref="C119:O119"/>
    <mergeCell ref="C106:E106"/>
    <mergeCell ref="C125:E125"/>
    <mergeCell ref="C108:E108"/>
    <mergeCell ref="C176:E176"/>
    <mergeCell ref="C172:O172"/>
    <mergeCell ref="C40:D40"/>
    <mergeCell ref="C41:D41"/>
    <mergeCell ref="C86:D86"/>
    <mergeCell ref="C85:D85"/>
    <mergeCell ref="C88:D88"/>
    <mergeCell ref="R251:S251"/>
    <mergeCell ref="B212:G212"/>
    <mergeCell ref="C146:E146"/>
    <mergeCell ref="C177:E177"/>
    <mergeCell ref="C178:E178"/>
    <mergeCell ref="C179:E179"/>
    <mergeCell ref="C180:E180"/>
    <mergeCell ref="C84:D84"/>
    <mergeCell ref="C94:D94"/>
    <mergeCell ref="C103:E103"/>
    <mergeCell ref="C95:D95"/>
    <mergeCell ref="C101:O101"/>
    <mergeCell ref="C93:D93"/>
    <mergeCell ref="C92:D92"/>
    <mergeCell ref="C87:D87"/>
    <mergeCell ref="R217:S217"/>
    <mergeCell ref="C166:E166"/>
    <mergeCell ref="R218:S218"/>
    <mergeCell ref="D203:F203"/>
    <mergeCell ref="G75:I75"/>
    <mergeCell ref="K75:M75"/>
    <mergeCell ref="C49:E49"/>
    <mergeCell ref="C79:E79"/>
    <mergeCell ref="C44:D44"/>
    <mergeCell ref="C46:E46"/>
    <mergeCell ref="C96:E96"/>
    <mergeCell ref="C89:D89"/>
    <mergeCell ref="C91:D91"/>
    <mergeCell ref="C80:D80"/>
    <mergeCell ref="C90:D90"/>
    <mergeCell ref="C48:E48"/>
  </mergeCells>
  <conditionalFormatting sqref="C109:C110">
    <cfRule type="cellIs" dxfId="185" priority="41" operator="equal">
      <formula>"Enter description…"</formula>
    </cfRule>
  </conditionalFormatting>
  <conditionalFormatting sqref="C147:C148">
    <cfRule type="cellIs" dxfId="184" priority="40" operator="equal">
      <formula>"Enter description…"</formula>
    </cfRule>
  </conditionalFormatting>
  <conditionalFormatting sqref="C179:C180">
    <cfRule type="cellIs" dxfId="183" priority="35" operator="equal">
      <formula>"Enter description…"</formula>
    </cfRule>
  </conditionalFormatting>
  <conditionalFormatting sqref="C31:E31">
    <cfRule type="cellIs" dxfId="182" priority="46" operator="equal">
      <formula>"Enter description…"</formula>
    </cfRule>
  </conditionalFormatting>
  <conditionalFormatting sqref="C48:E48">
    <cfRule type="cellIs" dxfId="181" priority="43" operator="equal">
      <formula>"Pending Lodgements…"</formula>
    </cfRule>
  </conditionalFormatting>
  <conditionalFormatting sqref="C49:E49">
    <cfRule type="cellIs" dxfId="180" priority="44" operator="equal">
      <formula>"Enter description…"</formula>
    </cfRule>
  </conditionalFormatting>
  <conditionalFormatting sqref="C54:E55 C56:C57">
    <cfRule type="cellIs" dxfId="179" priority="45" operator="equal">
      <formula>"Enter description…"</formula>
    </cfRule>
  </conditionalFormatting>
  <conditionalFormatting sqref="C78:E78">
    <cfRule type="cellIs" dxfId="178" priority="47" operator="equal">
      <formula>"Enter BAS Period..."</formula>
    </cfRule>
  </conditionalFormatting>
  <conditionalFormatting sqref="C63:H65">
    <cfRule type="expression" dxfId="177" priority="10">
      <formula>ABS($J$107)&lt;1</formula>
    </cfRule>
  </conditionalFormatting>
  <conditionalFormatting sqref="G128">
    <cfRule type="expression" dxfId="176" priority="7">
      <formula>G131="Reconciled"</formula>
    </cfRule>
    <cfRule type="expression" dxfId="175" priority="8">
      <formula>G131="Out of Balance"</formula>
    </cfRule>
  </conditionalFormatting>
  <conditionalFormatting sqref="G129">
    <cfRule type="expression" dxfId="174" priority="4">
      <formula>G131="Reconciled"</formula>
    </cfRule>
    <cfRule type="expression" dxfId="173" priority="5">
      <formula>G131="Out of Balance"</formula>
    </cfRule>
  </conditionalFormatting>
  <conditionalFormatting sqref="G130">
    <cfRule type="expression" dxfId="172" priority="6">
      <formula>G131="Reconciled"</formula>
    </cfRule>
    <cfRule type="expression" dxfId="171" priority="9">
      <formula>G131="Out of Balance"</formula>
    </cfRule>
  </conditionalFormatting>
  <conditionalFormatting sqref="G145:H145">
    <cfRule type="expression" dxfId="170" priority="24">
      <formula>G147="Reconciled"</formula>
    </cfRule>
    <cfRule type="expression" dxfId="169" priority="25">
      <formula>G147="Out of Balance"</formula>
    </cfRule>
  </conditionalFormatting>
  <conditionalFormatting sqref="G151:H151">
    <cfRule type="expression" dxfId="168" priority="22">
      <formula>G153="Reconciled"</formula>
    </cfRule>
    <cfRule type="expression" dxfId="167" priority="23">
      <formula>G153="Out of Balance"</formula>
    </cfRule>
  </conditionalFormatting>
  <conditionalFormatting sqref="G163:H163">
    <cfRule type="expression" dxfId="166" priority="20">
      <formula>G165="Reconciled"</formula>
    </cfRule>
    <cfRule type="expression" dxfId="165" priority="21">
      <formula>G165="Out of Balance"</formula>
    </cfRule>
  </conditionalFormatting>
  <conditionalFormatting sqref="G195:N195">
    <cfRule type="expression" dxfId="164" priority="11">
      <formula>ISERROR((SEARCH("BAS",_xlfn.FORMULATEXT(G195),1)))&lt;&gt;TRUE</formula>
    </cfRule>
  </conditionalFormatting>
  <conditionalFormatting sqref="G197:N208">
    <cfRule type="expression" dxfId="163" priority="1">
      <formula>ISERROR((SEARCH("BAS",_xlfn.FORMULATEXT(G197),1)))&lt;&gt;TRUE</formula>
    </cfRule>
  </conditionalFormatting>
  <conditionalFormatting sqref="H68">
    <cfRule type="cellIs" dxfId="162" priority="38" operator="equal">
      <formula>"Reconciled"</formula>
    </cfRule>
    <cfRule type="cellIs" dxfId="161" priority="39" operator="equal">
      <formula>"Out of Balance"</formula>
    </cfRule>
  </conditionalFormatting>
  <conditionalFormatting sqref="H188">
    <cfRule type="cellIs" dxfId="160" priority="48" operator="equal">
      <formula>"Contains Data"</formula>
    </cfRule>
  </conditionalFormatting>
  <conditionalFormatting sqref="H212">
    <cfRule type="cellIs" dxfId="159" priority="42" operator="equal">
      <formula>"Contains Data"</formula>
    </cfRule>
  </conditionalFormatting>
  <conditionalFormatting sqref="J112">
    <cfRule type="expression" dxfId="158" priority="14">
      <formula>J115="Reconciled"</formula>
    </cfRule>
    <cfRule type="expression" dxfId="157" priority="15">
      <formula>J115="Out of Balance"</formula>
    </cfRule>
  </conditionalFormatting>
  <conditionalFormatting sqref="J113">
    <cfRule type="expression" dxfId="156" priority="13">
      <formula>J115="Reconciled"</formula>
    </cfRule>
    <cfRule type="expression" dxfId="155" priority="16">
      <formula>J115="Out of Balance"</formula>
    </cfRule>
  </conditionalFormatting>
  <conditionalFormatting sqref="J114">
    <cfRule type="expression" dxfId="154" priority="12">
      <formula>J115="Reconciled"</formula>
    </cfRule>
    <cfRule type="expression" dxfId="153" priority="17">
      <formula>J115="Out of Balance"</formula>
    </cfRule>
  </conditionalFormatting>
  <conditionalFormatting sqref="J152">
    <cfRule type="expression" dxfId="152" priority="36">
      <formula>J153="Reconciled"</formula>
    </cfRule>
    <cfRule type="expression" dxfId="151" priority="37">
      <formula>J153="Out of Balance"</formula>
    </cfRule>
  </conditionalFormatting>
  <conditionalFormatting sqref="J168">
    <cfRule type="expression" dxfId="150" priority="18">
      <formula>J169="Reconciled"</formula>
    </cfRule>
    <cfRule type="expression" dxfId="149" priority="19">
      <formula>J169="Out of Balance"</formula>
    </cfRule>
  </conditionalFormatting>
  <conditionalFormatting sqref="J170">
    <cfRule type="expression" dxfId="148" priority="57">
      <formula>J171="Reconciled"</formula>
    </cfRule>
    <cfRule type="expression" dxfId="147" priority="58">
      <formula>J171="Out of Balance"</formula>
    </cfRule>
  </conditionalFormatting>
  <conditionalFormatting sqref="J182">
    <cfRule type="expression" dxfId="146" priority="31">
      <formula>J185="Reconciled"</formula>
    </cfRule>
    <cfRule type="expression" dxfId="145" priority="32">
      <formula>J185="Out of Balance"</formula>
    </cfRule>
  </conditionalFormatting>
  <conditionalFormatting sqref="J183">
    <cfRule type="expression" dxfId="144" priority="30">
      <formula>J185="Reconciled"</formula>
    </cfRule>
    <cfRule type="expression" dxfId="143" priority="33">
      <formula>J185="Out of Balance"</formula>
    </cfRule>
  </conditionalFormatting>
  <conditionalFormatting sqref="J184">
    <cfRule type="expression" dxfId="142" priority="29">
      <formula>J185="Reconciled"</formula>
    </cfRule>
    <cfRule type="expression" dxfId="141" priority="34">
      <formula>J185="Out of Balance"</formula>
    </cfRule>
  </conditionalFormatting>
  <conditionalFormatting sqref="O5">
    <cfRule type="expression" dxfId="140" priority="2">
      <formula>Tm_BalanceStatus="Reconciled"</formula>
    </cfRule>
    <cfRule type="expression" dxfId="139" priority="3">
      <formula>Tm_BalanceStatus="Out of Balance"</formula>
    </cfRule>
  </conditionalFormatting>
  <dataValidations count="2">
    <dataValidation type="list" allowBlank="1" showInputMessage="1" showErrorMessage="1" sqref="N16:O16" xr:uid="{953AE64F-A9F5-4942-9121-F3DF8E2A5D90}">
      <formula1>"Monthly, Quarterly,Annually"</formula1>
    </dataValidation>
    <dataValidation type="list" allowBlank="1" showInputMessage="1" showErrorMessage="1" sqref="J16" xr:uid="{6DAAA476-6DDE-4D83-AE17-F3F930C1303D}">
      <formula1>"Cash, Accruals"</formula1>
    </dataValidation>
  </dataValidations>
  <hyperlinks>
    <hyperlink ref="A133:G133" location="'J51 GST Rec'!Go_RollUp_3" tooltip="Show/Hide" display="'J51 GST Rec'!Go_RollUp_3" xr:uid="{C795D2C7-E1CF-4656-A0B1-A02B9F188ACF}"/>
    <hyperlink ref="A188:G188" location="'J51 GST Rec'!Go_RollUp_4" tooltip="Show/Hide" display="'J51 GST Rec'!Go_RollUp_4" xr:uid="{5C6A5B0A-3D06-4571-A72D-DBD96940A1B7}"/>
    <hyperlink ref="A212:G212" location="'J51 GST Rec'!Go_RollUp_5" tooltip="Show/Hide" display="'J51 GST Rec'!Go_RollUp_5" xr:uid="{E232DA1C-C285-4B0E-A35D-51207F7EA04D}"/>
    <hyperlink ref="A14:G14" location="'J51 GST Rec'!Go_RollUp_0" tooltip="Show/Hide" display="'J51 GST Rec'!Go_RollUp_0" xr:uid="{048AA83B-F123-4FFB-BB5C-A5BF0D142CA0}"/>
    <hyperlink ref="O3" location="'J51 GST Rec'!Go_Index" tooltip="Go to Record" display="Show Record" xr:uid="{A136EC23-9D58-4E63-8D13-7E2B348C2D29}"/>
    <hyperlink ref="O5" location="'J51 GST Rec'!Go_Variance" tooltip="Go to Reconciliation" display="'J51 GST Rec'!Go_Variance" xr:uid="{61E5E1A2-2A95-4086-BD93-EFC1BF2A369C}"/>
    <hyperlink ref="C25:L25" location="'J51 GST Rec'!Go_RollUp_5" tooltip="Go to Quick Entry - Xero" display="Enter values into columns H and M. If using Xero, click here automate this by using the Quick Entry - Xero section." xr:uid="{67D35D82-94CA-4FA8-8295-BFD4B71D3D58}"/>
    <hyperlink ref="C73:M73" location="'J51 GST Rec'!Go_RollUp_3" tooltip="Go to Troubleshooting" display="Enter adjustments in the section below. If the account is not reconciling use our troubleshooting steps (click here)." xr:uid="{6E50FC6C-0A39-4788-81B2-79502AC35E7D}"/>
    <hyperlink ref="O190" location="'J51 GST Rec'!Go_SumRangeDetail_J50_NetGST" tooltip="Go to J50 BAS Lodgements" display="Open BAS Lodgements" xr:uid="{014A05E0-C6DA-41EA-9510-85F5998B128B}"/>
    <hyperlink ref="A117:G117" location="'J51 GST Rec'!Go_RollUp_6" tooltip="Show/Hide" display="'J51 GST Rec'!Go_RollUp_6" xr:uid="{09F1AFD6-3D4C-4CB7-AC69-AEF5EE30F081}"/>
    <hyperlink ref="A68:G68" location="'J51 GST Rec'!Go_RollUp_2" tooltip="Show/Hide" display="'J51 GST Rec'!Go_RollUp_2" xr:uid="{15FD8B24-72AA-49B3-82C6-01D0AF2AB981}"/>
    <hyperlink ref="A21:G21" location="'J51 GST Rec'!Go_RollUp_01" tooltip="Show/Hide" display="'J51 GST Rec'!Go_RollUp_01" xr:uid="{40EABA62-2982-44D2-AC93-75326E3AF36B}"/>
    <hyperlink ref="N18:O18" location="'J51 GST Rec'!Go_ShowHideRows" tooltip="Update Display" display="Update Display" xr:uid="{378BD7F7-DF09-478E-B8DF-85DDB124BF07}"/>
    <hyperlink ref="C10:H10" location="'J51 GST Rec'!Go_Step1" tooltip="Go to Step 1" display="Step 1 - Reconcile GST between the ledger and the ATO (click here)" xr:uid="{3856FE23-DBEC-461E-889D-2F16C1E59FD8}"/>
    <hyperlink ref="C11:H11" location="'J51 GST Rec'!Go_Step2" tooltip="Go to Step 2" display="Step 2 - Reconcile the amount of GST Payable (click here)" xr:uid="{B01256FB-5C9D-44C9-83E2-0DAEA92B7254}"/>
  </hyperlinks>
  <printOptions horizontalCentered="1"/>
  <pageMargins left="0.15748031496062992" right="0.15748031496062992" top="0.15748031496062992" bottom="0.74803149606299213" header="0.31496062992125984" footer="0.31496062992125984"/>
  <pageSetup paperSize="9" fitToHeight="0" orientation="portrait"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6E9E05DF-EE23-447E-BC8E-7AEF5CEA5905}">
          <xm:f>'J51 GST Rec'!Reconcile_GSTPayable</xm:f>
        </x15:webExtension>
      </x15:webExtens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D588D-85A6-443A-9903-A68FF8D1B9E1}">
  <sheetPr>
    <pageSetUpPr fitToPage="1"/>
  </sheetPr>
  <dimension ref="A1:AG153"/>
  <sheetViews>
    <sheetView showGridLines="0" topLeftCell="A2" zoomScaleNormal="100" zoomScaleSheetLayoutView="115" workbookViewId="0">
      <selection activeCell="A2" sqref="A2"/>
    </sheetView>
  </sheetViews>
  <sheetFormatPr defaultRowHeight="15"/>
  <cols>
    <col min="1" max="1" width="4.28515625" style="65" customWidth="1"/>
    <col min="2" max="2" width="1.7109375" style="65" customWidth="1"/>
    <col min="3" max="3" width="32.7109375" style="65" customWidth="1"/>
    <col min="4" max="4" width="4.28515625" style="65" customWidth="1"/>
    <col min="5" max="5" width="15.7109375" style="136" customWidth="1"/>
    <col min="6" max="7" width="15.7109375" style="135" customWidth="1"/>
    <col min="8" max="10" width="15.7109375" style="134" customWidth="1"/>
    <col min="11" max="11" width="15.7109375" style="65" customWidth="1"/>
    <col min="12" max="12" width="1.7109375" style="65" customWidth="1"/>
    <col min="13" max="13" width="4.28515625" style="65" customWidth="1"/>
    <col min="14" max="15" width="15.7109375" style="133" customWidth="1"/>
    <col min="16" max="16" width="8.85546875" style="65" customWidth="1"/>
    <col min="17" max="17" width="8.85546875" style="65" hidden="1" customWidth="1"/>
    <col min="18" max="19" width="15.7109375" style="65" hidden="1" customWidth="1"/>
    <col min="20" max="24" width="8.85546875" style="65" hidden="1" customWidth="1"/>
    <col min="25" max="25" width="8.85546875" style="65" customWidth="1"/>
    <col min="26" max="28" width="9.140625" style="65" customWidth="1"/>
    <col min="29" max="16384" width="9.140625" style="65"/>
  </cols>
  <sheetData>
    <row r="1" spans="1:33" hidden="1">
      <c r="C1" s="306" t="s">
        <v>181</v>
      </c>
      <c r="D1" s="305" t="s">
        <v>320</v>
      </c>
      <c r="E1" s="65"/>
      <c r="F1" s="65"/>
      <c r="G1" s="156" t="s">
        <v>319</v>
      </c>
      <c r="H1" s="65" t="s">
        <v>318</v>
      </c>
      <c r="Q1" s="156" t="s">
        <v>176</v>
      </c>
      <c r="R1" s="156" t="str">
        <f>"Predecessors - "&amp;COUNTA(R2:R104)</f>
        <v>Predecessors - 1</v>
      </c>
      <c r="S1" s="156" t="str">
        <f>"Dependents - "&amp;COUNTA(S2:S104)</f>
        <v>Dependents - 1</v>
      </c>
    </row>
    <row r="2" spans="1:33" ht="7.5" customHeight="1">
      <c r="C2" s="282"/>
      <c r="D2" s="282"/>
      <c r="E2" s="135"/>
    </row>
    <row r="3" spans="1:33" ht="24.95" customHeight="1">
      <c r="C3" s="128" t="s">
        <v>317</v>
      </c>
      <c r="D3" s="127"/>
      <c r="E3" s="127"/>
      <c r="J3"/>
      <c r="K3" s="307" t="s">
        <v>174</v>
      </c>
      <c r="N3" s="18"/>
      <c r="O3" s="18"/>
    </row>
    <row r="4" spans="1:33" ht="22.5" customHeight="1">
      <c r="B4" s="282"/>
      <c r="C4" s="304" t="str">
        <f>_xlfn.TEXTJOIN(" ",1,IFERROR(_xlfn.SINGLE(Cl_Name),"Client Name"),IF(IFERROR(_xlfn.SINGLE(Cl_Code),"")="","","("&amp;_xlfn.SINGLE(Cl_Code)&amp;")"))</f>
        <v>Springrange Holdings Pty Ltd (MuM001)</v>
      </c>
      <c r="D4" s="282"/>
      <c r="E4" s="135"/>
      <c r="F4" s="65"/>
      <c r="G4" s="65"/>
      <c r="H4" s="65"/>
      <c r="I4" s="65"/>
      <c r="J4" s="303" t="s">
        <v>273</v>
      </c>
      <c r="K4" s="303" t="s">
        <v>316</v>
      </c>
      <c r="M4" s="65" t="s">
        <v>58</v>
      </c>
      <c r="N4" s="18"/>
      <c r="O4" s="18"/>
    </row>
    <row r="5" spans="1:33" s="17" customFormat="1" ht="22.5" customHeight="1">
      <c r="A5" s="118"/>
      <c r="C5" s="1696">
        <f>IFERROR(_xlfn.SINGLE(PeriodEndDate),DATE(1901,1,1))</f>
        <v>45473</v>
      </c>
      <c r="D5" s="1697"/>
      <c r="E5" s="1697"/>
      <c r="J5" s="300" t="str">
        <f>ReconcileStatus_Expense_WagesExpense</f>
        <v>Out of Balance</v>
      </c>
      <c r="K5" s="299" t="str">
        <f>E101</f>
        <v>Out of Balance</v>
      </c>
      <c r="L5" s="298">
        <f>IFERROR(_xlfn.XLOOKUP("f344fa4a-c004-479f-b292-0f5a8fa07223",RecordInfo.RecordId,RecordInfo.Tolerances),0)</f>
        <v>0.01</v>
      </c>
      <c r="N5" s="18"/>
      <c r="O5" s="18"/>
    </row>
    <row r="6" spans="1:33" s="17" customFormat="1" ht="17.25" hidden="1" customHeight="1">
      <c r="A6" s="118"/>
      <c r="B6" s="297"/>
      <c r="C6" s="297"/>
      <c r="D6" s="297"/>
      <c r="E6" s="297"/>
      <c r="N6" s="18"/>
      <c r="O6" s="18"/>
    </row>
    <row r="7" spans="1:33" s="17" customFormat="1" ht="7.5" customHeight="1">
      <c r="B7" s="296"/>
      <c r="C7" s="296"/>
      <c r="D7" s="296"/>
      <c r="E7" s="295"/>
      <c r="F7" s="295"/>
      <c r="G7" s="295"/>
      <c r="H7" s="295"/>
      <c r="I7" s="295"/>
      <c r="J7" s="295"/>
      <c r="K7" s="295"/>
      <c r="L7" s="295"/>
      <c r="M7" s="292"/>
      <c r="N7" s="293"/>
      <c r="O7" s="293"/>
      <c r="P7" s="292"/>
      <c r="Q7" s="292"/>
    </row>
    <row r="8" spans="1:33" s="17" customFormat="1" ht="7.5" customHeight="1">
      <c r="B8" s="294"/>
      <c r="C8" s="294"/>
      <c r="D8" s="294"/>
      <c r="E8" s="292"/>
      <c r="F8" s="292"/>
      <c r="G8" s="292"/>
      <c r="H8" s="292"/>
      <c r="I8" s="292"/>
      <c r="J8" s="292"/>
      <c r="K8" s="292"/>
      <c r="L8" s="292"/>
      <c r="M8" s="292"/>
      <c r="N8" s="293"/>
      <c r="O8" s="293"/>
      <c r="P8" s="292"/>
      <c r="Q8" s="292"/>
    </row>
    <row r="9" spans="1:33" s="17" customFormat="1" ht="17.25" customHeight="1">
      <c r="C9" s="273" t="s">
        <v>315</v>
      </c>
      <c r="D9" s="291"/>
      <c r="E9" s="291"/>
      <c r="F9" s="291"/>
      <c r="G9" s="291"/>
      <c r="H9" s="291"/>
      <c r="I9" s="291"/>
      <c r="J9" s="291"/>
      <c r="K9" s="291"/>
      <c r="L9" s="291"/>
      <c r="M9" s="54"/>
      <c r="N9" s="99"/>
      <c r="O9" s="99"/>
      <c r="P9" s="54"/>
      <c r="Q9" s="54"/>
    </row>
    <row r="10" spans="1:33" s="17" customFormat="1" ht="17.25" customHeight="1">
      <c r="C10" s="1714" t="s">
        <v>314</v>
      </c>
      <c r="D10" s="1714"/>
      <c r="E10" s="1714"/>
      <c r="F10" s="1714"/>
      <c r="G10" s="1714"/>
      <c r="H10" s="1714"/>
      <c r="I10" s="291"/>
      <c r="J10" s="291"/>
      <c r="K10" s="291"/>
      <c r="L10" s="291"/>
      <c r="M10" s="54"/>
      <c r="N10" s="99"/>
      <c r="O10" s="99"/>
      <c r="P10" s="54"/>
      <c r="Q10" s="54"/>
    </row>
    <row r="11" spans="1:33" s="17" customFormat="1" ht="17.25" customHeight="1">
      <c r="C11" s="1714" t="s">
        <v>313</v>
      </c>
      <c r="D11" s="1714"/>
      <c r="E11" s="1714"/>
      <c r="F11" s="1714"/>
      <c r="G11" s="1714"/>
      <c r="H11" s="1714"/>
      <c r="I11" s="291"/>
      <c r="J11" s="291"/>
      <c r="K11" s="291"/>
      <c r="L11" s="291"/>
      <c r="M11" s="54"/>
      <c r="N11" s="99"/>
      <c r="O11" s="99"/>
      <c r="P11" s="54"/>
      <c r="Q11" s="54"/>
    </row>
    <row r="12" spans="1:33" s="17" customFormat="1" ht="17.25" customHeight="1">
      <c r="C12" s="1714" t="s">
        <v>312</v>
      </c>
      <c r="D12" s="1714"/>
      <c r="E12" s="1714"/>
      <c r="F12" s="1714"/>
      <c r="G12" s="1714"/>
      <c r="H12" s="1714"/>
      <c r="I12" s="291"/>
      <c r="J12" s="291"/>
      <c r="K12" s="291"/>
      <c r="L12" s="291"/>
      <c r="M12" s="54"/>
      <c r="N12" s="99"/>
      <c r="O12" s="99"/>
      <c r="P12" s="54"/>
      <c r="Q12" s="54"/>
    </row>
    <row r="13" spans="1:33" s="17" customFormat="1" ht="17.25" customHeight="1">
      <c r="C13" s="1698" t="s">
        <v>311</v>
      </c>
      <c r="D13" s="1698"/>
      <c r="E13" s="1698"/>
      <c r="F13" s="1698"/>
      <c r="G13" s="1698"/>
      <c r="H13" s="1698"/>
      <c r="I13" s="1698"/>
      <c r="J13" s="1698"/>
      <c r="K13" s="1698"/>
      <c r="L13" s="98"/>
      <c r="M13" s="289"/>
      <c r="N13" s="114"/>
      <c r="O13" s="114"/>
      <c r="P13" s="289"/>
      <c r="Q13" s="289"/>
      <c r="S13" s="17" t="s">
        <v>310</v>
      </c>
      <c r="T13" s="1708"/>
      <c r="U13" s="1708"/>
      <c r="V13" s="1708"/>
      <c r="W13" s="1708"/>
      <c r="X13" s="1708"/>
      <c r="Y13" s="1708"/>
      <c r="Z13" s="1708"/>
      <c r="AA13" s="1708"/>
      <c r="AB13" s="1708"/>
    </row>
    <row r="14" spans="1:33" ht="22.5" customHeight="1">
      <c r="B14" s="156"/>
      <c r="C14" s="32"/>
      <c r="D14" s="32"/>
      <c r="E14" s="32"/>
      <c r="F14" s="32"/>
      <c r="G14" s="32"/>
      <c r="H14" s="156"/>
      <c r="I14" s="32"/>
      <c r="J14" s="32"/>
      <c r="K14" s="32"/>
      <c r="L14" s="32"/>
    </row>
    <row r="15" spans="1:33" ht="22.5" customHeight="1">
      <c r="A15" s="61" t="str">
        <f>IF(SUBTOTAL(103,B16),"-","+")</f>
        <v>-</v>
      </c>
      <c r="B15" s="1449" t="s">
        <v>167</v>
      </c>
      <c r="C15" s="1699"/>
      <c r="D15" s="1699"/>
      <c r="E15" s="283"/>
      <c r="F15" s="283"/>
      <c r="G15" s="283"/>
      <c r="L15" s="282"/>
      <c r="M15" s="281"/>
      <c r="N15" s="280"/>
      <c r="O15" s="279"/>
    </row>
    <row r="16" spans="1:33" s="17" customFormat="1" ht="7.5" customHeight="1">
      <c r="A16" s="17" t="s">
        <v>58</v>
      </c>
      <c r="B16" s="52" t="s">
        <v>58</v>
      </c>
      <c r="C16" s="51"/>
      <c r="D16" s="51"/>
      <c r="E16" s="51"/>
      <c r="F16" s="51"/>
      <c r="G16" s="51"/>
      <c r="H16" s="194"/>
      <c r="I16" s="194"/>
      <c r="J16" s="194"/>
      <c r="K16" s="193"/>
      <c r="L16" s="192"/>
      <c r="M16" s="65"/>
      <c r="N16" s="133"/>
      <c r="O16" s="18"/>
      <c r="AG16" s="110"/>
    </row>
    <row r="17" spans="1:33" s="17" customFormat="1" ht="22.5" customHeight="1">
      <c r="B17" s="53"/>
      <c r="C17" s="1649" t="s">
        <v>166</v>
      </c>
      <c r="D17" s="1649"/>
      <c r="E17" s="1503">
        <f>IFERROR(DATE(_xlfn.SINGLE(Tax_Year),6,30),DATE(IF(MONTH(C5)&gt;6,1,0)+YEAR(C5),6,30))</f>
        <v>45473</v>
      </c>
      <c r="F17" s="1504"/>
      <c r="G17" s="134"/>
      <c r="H17" s="287" t="s">
        <v>309</v>
      </c>
      <c r="J17" s="1503"/>
      <c r="K17" s="1504"/>
      <c r="L17" s="201"/>
      <c r="M17" s="65"/>
      <c r="N17" s="133"/>
      <c r="O17" s="18"/>
      <c r="AG17" s="110"/>
    </row>
    <row r="18" spans="1:33" s="17" customFormat="1" ht="7.5" customHeight="1">
      <c r="B18" s="53"/>
      <c r="C18" s="288"/>
      <c r="D18" s="288"/>
      <c r="H18" s="134"/>
      <c r="I18" s="134"/>
      <c r="J18" s="134"/>
      <c r="K18" s="65"/>
      <c r="L18" s="201"/>
      <c r="M18" s="65"/>
      <c r="N18" s="133"/>
      <c r="O18" s="18"/>
      <c r="AG18" s="110"/>
    </row>
    <row r="19" spans="1:33" s="17" customFormat="1" ht="22.5" customHeight="1">
      <c r="A19" s="17" t="s">
        <v>58</v>
      </c>
      <c r="B19" s="53"/>
      <c r="C19" s="109" t="s">
        <v>165</v>
      </c>
      <c r="D19" s="109"/>
      <c r="E19" s="1500" t="s">
        <v>164</v>
      </c>
      <c r="F19" s="1501"/>
      <c r="H19" s="287"/>
      <c r="J19" s="1709" t="s">
        <v>163</v>
      </c>
      <c r="K19" s="1710"/>
      <c r="L19" s="33"/>
      <c r="N19" s="18"/>
      <c r="O19" s="18"/>
      <c r="T19" s="283"/>
    </row>
    <row r="20" spans="1:33" s="17" customFormat="1" ht="7.5" customHeight="1">
      <c r="B20" s="40"/>
      <c r="C20" s="107"/>
      <c r="D20" s="107"/>
      <c r="E20" s="107"/>
      <c r="F20" s="107"/>
      <c r="G20" s="108"/>
      <c r="H20" s="169"/>
      <c r="I20" s="169"/>
      <c r="J20" s="169"/>
      <c r="K20" s="286"/>
      <c r="L20" s="285"/>
      <c r="M20" s="65"/>
      <c r="N20" s="133"/>
      <c r="O20" s="18"/>
    </row>
    <row r="21" spans="1:33" ht="22.15" customHeight="1">
      <c r="F21" s="145"/>
      <c r="K21" s="284"/>
      <c r="L21" s="284"/>
      <c r="Z21" s="164"/>
    </row>
    <row r="22" spans="1:33" ht="22.5" customHeight="1">
      <c r="A22" s="61" t="str">
        <f>IF(SUBTOTAL(103,A23),"-","+")</f>
        <v>-</v>
      </c>
      <c r="B22" s="1449" t="s">
        <v>308</v>
      </c>
      <c r="C22" s="1699"/>
      <c r="D22" s="1699"/>
      <c r="E22" s="197"/>
      <c r="F22" s="197"/>
      <c r="G22" s="197"/>
      <c r="H22" s="197"/>
      <c r="I22" s="197"/>
      <c r="J22" s="197"/>
      <c r="Z22" s="164"/>
    </row>
    <row r="23" spans="1:33" ht="7.5" customHeight="1">
      <c r="A23" s="65" t="s">
        <v>58</v>
      </c>
      <c r="B23" s="196"/>
      <c r="C23" s="193"/>
      <c r="D23" s="193"/>
      <c r="E23" s="219"/>
      <c r="F23" s="218"/>
      <c r="G23" s="195"/>
      <c r="H23" s="194"/>
      <c r="I23" s="194"/>
      <c r="J23" s="194"/>
      <c r="K23" s="193"/>
      <c r="L23" s="192"/>
      <c r="Z23" s="166"/>
    </row>
    <row r="24" spans="1:33" s="17" customFormat="1" ht="22.5" customHeight="1">
      <c r="B24" s="59"/>
      <c r="C24" s="273" t="s">
        <v>306</v>
      </c>
      <c r="D24" s="273"/>
      <c r="E24" s="273"/>
      <c r="F24" s="273"/>
      <c r="G24" s="273"/>
      <c r="H24" s="273"/>
      <c r="I24" s="273"/>
      <c r="J24" s="1712" t="s">
        <v>307</v>
      </c>
      <c r="K24" s="1713"/>
      <c r="L24" s="191"/>
      <c r="N24" s="18"/>
      <c r="O24" s="186"/>
      <c r="P24" s="65"/>
      <c r="Q24" s="65"/>
      <c r="R24" s="65"/>
      <c r="S24" s="65"/>
      <c r="T24" s="65"/>
      <c r="U24" s="65"/>
      <c r="V24" s="65"/>
      <c r="Z24" s="164"/>
    </row>
    <row r="25" spans="1:33" s="17" customFormat="1" ht="17.25" customHeight="1">
      <c r="B25" s="59"/>
      <c r="C25" s="1711" t="s">
        <v>305</v>
      </c>
      <c r="D25" s="1711"/>
      <c r="E25" s="1711"/>
      <c r="F25" s="1711"/>
      <c r="G25" s="1711"/>
      <c r="H25" s="1711"/>
      <c r="I25" s="1711"/>
      <c r="J25" s="1711"/>
      <c r="K25" s="1711"/>
      <c r="L25" s="191"/>
      <c r="N25" s="18"/>
      <c r="O25" s="186"/>
      <c r="P25" s="65"/>
      <c r="Q25" s="65"/>
      <c r="R25" s="65"/>
      <c r="S25" s="65"/>
      <c r="T25" s="65"/>
      <c r="U25" s="65"/>
      <c r="V25" s="65"/>
      <c r="W25" s="98"/>
      <c r="X25" s="98"/>
      <c r="Y25" s="98"/>
      <c r="Z25" s="98"/>
      <c r="AA25" s="98"/>
      <c r="AB25" s="98"/>
    </row>
    <row r="26" spans="1:33" s="17" customFormat="1" ht="7.5" customHeight="1">
      <c r="B26" s="59"/>
      <c r="C26" s="216"/>
      <c r="D26" s="216"/>
      <c r="E26" s="216"/>
      <c r="F26" s="216"/>
      <c r="G26" s="216"/>
      <c r="H26" s="216"/>
      <c r="I26" s="216"/>
      <c r="J26" s="272"/>
      <c r="K26" s="272"/>
      <c r="L26" s="191"/>
      <c r="N26" s="18"/>
      <c r="O26" s="186"/>
      <c r="P26" s="65"/>
      <c r="Q26" s="65"/>
      <c r="R26" s="65"/>
      <c r="S26" s="65"/>
      <c r="T26" s="65"/>
      <c r="U26" s="65"/>
      <c r="V26" s="65"/>
    </row>
    <row r="27" spans="1:33" s="17" customFormat="1" ht="22.15" customHeight="1">
      <c r="B27" s="53"/>
      <c r="E27" s="1626" t="s">
        <v>273</v>
      </c>
      <c r="F27" s="1630"/>
      <c r="G27" s="1627"/>
      <c r="I27" s="1626" t="s">
        <v>272</v>
      </c>
      <c r="J27" s="1630"/>
      <c r="K27" s="1627"/>
      <c r="L27" s="33"/>
      <c r="N27" s="1706" t="s">
        <v>155</v>
      </c>
      <c r="O27" s="1707"/>
      <c r="P27" s="65"/>
      <c r="Q27" s="65"/>
      <c r="R27" s="65"/>
      <c r="S27" s="65"/>
      <c r="T27" s="65"/>
      <c r="U27" s="65"/>
      <c r="V27" s="65"/>
      <c r="W27" s="65"/>
    </row>
    <row r="28" spans="1:33" s="31" customFormat="1" ht="31.5" customHeight="1">
      <c r="B28" s="41"/>
      <c r="C28" s="17"/>
      <c r="D28" s="17"/>
      <c r="E28" s="37" t="s">
        <v>294</v>
      </c>
      <c r="F28" s="36" t="s">
        <v>293</v>
      </c>
      <c r="G28" s="35" t="s">
        <v>280</v>
      </c>
      <c r="H28" s="271">
        <v>1.1000000000000001</v>
      </c>
      <c r="I28" s="37" t="s">
        <v>294</v>
      </c>
      <c r="J28" s="36" t="s">
        <v>293</v>
      </c>
      <c r="K28" s="35" t="s">
        <v>280</v>
      </c>
      <c r="L28" s="190"/>
      <c r="M28" s="17"/>
      <c r="N28" s="1628"/>
      <c r="O28" s="1629"/>
      <c r="P28" s="65"/>
      <c r="Q28" s="65"/>
      <c r="R28" s="65"/>
      <c r="S28" s="65"/>
      <c r="T28" s="65"/>
      <c r="W28" s="65"/>
    </row>
    <row r="29" spans="1:33" ht="7.5" customHeight="1">
      <c r="B29" s="204"/>
      <c r="F29" s="145"/>
      <c r="I29" s="136"/>
      <c r="J29" s="145"/>
      <c r="K29" s="135"/>
      <c r="L29" s="201"/>
    </row>
    <row r="30" spans="1:33" s="18" customFormat="1" ht="17.25" customHeight="1">
      <c r="B30" s="30"/>
      <c r="C30" s="184">
        <f t="shared" ref="C30:C41" si="0">C110</f>
        <v>45138</v>
      </c>
      <c r="D30" s="265">
        <f t="shared" ref="D30:D43" si="1">E30-TRUNC(E30)</f>
        <v>0</v>
      </c>
      <c r="E30" s="267">
        <f>IF(Frequency="Monthly",Model1_Wages.Gross,0)</f>
        <v>0</v>
      </c>
      <c r="F30" s="266">
        <f t="shared" ref="F30:F41" si="2">IFERROR(_xlfn.NUMBERVALUE(F110)*N(1),0)</f>
        <v>0</v>
      </c>
      <c r="G30" s="25">
        <f t="shared" ref="G30:G43" si="3">E30-IF(F30="",0,F30)</f>
        <v>0</v>
      </c>
      <c r="H30" s="270" t="str" cm="1">
        <f t="array" ref="H30">IFERROR(
   _xlfn.IFS(
      $J$17="Yes","",
      Frequency="Quarterly","",
      E30&gt;IFERROR(VLOOKUP(YEAR(TaxYearEnd),Payroll_Threshold_Lookup,3,FALSE),54166),HYPERLINK("#Payroll_Tax_Registration","i")),
   "")</f>
        <v/>
      </c>
      <c r="I30" s="267">
        <f>IF(Frequency="Monthly",Model1_Wages.Tax,0)</f>
        <v>0</v>
      </c>
      <c r="J30" s="266">
        <f t="shared" ref="J30:J41" si="4">IFERROR(_xlfn.NUMBERVALUE(I110)*N(1),0)</f>
        <v>0</v>
      </c>
      <c r="K30" s="25">
        <f t="shared" ref="K30:K43" si="5">I30-IF(J30="",0,J30)</f>
        <v>0</v>
      </c>
      <c r="L30" s="262">
        <f t="shared" ref="L30:L43" si="6">I30-TRUNC(I30)</f>
        <v>0</v>
      </c>
      <c r="M30" s="17"/>
      <c r="N30" s="174"/>
      <c r="O30" s="173"/>
      <c r="P30" s="65"/>
      <c r="Q30" s="65" t="b">
        <f>IF(Frequency&lt;&gt;"Monthly",TRUE,FALSE)</f>
        <v>0</v>
      </c>
      <c r="R30" s="65"/>
      <c r="S30" s="65"/>
      <c r="T30" s="65"/>
      <c r="W30" s="133"/>
    </row>
    <row r="31" spans="1:33" s="18" customFormat="1" ht="17.25" customHeight="1">
      <c r="B31" s="30"/>
      <c r="C31" s="184">
        <f t="shared" si="0"/>
        <v>45169</v>
      </c>
      <c r="D31" s="265">
        <f t="shared" si="1"/>
        <v>0</v>
      </c>
      <c r="E31" s="267">
        <f>IF(Frequency="Monthly",Model2_Wages.Gross,0)</f>
        <v>0</v>
      </c>
      <c r="F31" s="266">
        <f t="shared" si="2"/>
        <v>0</v>
      </c>
      <c r="G31" s="25">
        <f t="shared" si="3"/>
        <v>0</v>
      </c>
      <c r="H31" s="264" t="str" cm="1">
        <f t="array" ref="H31">IFERROR(
   _xlfn.IFS(
      $J$17="Yes","",
      Frequency="Quarterly","",
      E31&gt;IFERROR(VLOOKUP(YEAR(TaxYearEnd),Payroll_Threshold_Lookup,3,FALSE),54166),HYPERLINK("#Payroll_Tax_Registration","i")),
   "")</f>
        <v/>
      </c>
      <c r="I31" s="267">
        <f>IF(Frequency="Monthly",Model2_Wages.Tax,0)</f>
        <v>0</v>
      </c>
      <c r="J31" s="266">
        <f t="shared" si="4"/>
        <v>0</v>
      </c>
      <c r="K31" s="25">
        <f t="shared" si="5"/>
        <v>0</v>
      </c>
      <c r="L31" s="262">
        <f t="shared" si="6"/>
        <v>0</v>
      </c>
      <c r="M31" s="17"/>
      <c r="N31" s="174"/>
      <c r="O31" s="173"/>
      <c r="P31" s="65"/>
      <c r="Q31" s="65" t="b">
        <f>IF(Frequency&lt;&gt;"Monthly",TRUE,FALSE)</f>
        <v>0</v>
      </c>
      <c r="T31" s="65"/>
      <c r="U31" s="133"/>
      <c r="V31" s="269"/>
      <c r="W31" s="133"/>
    </row>
    <row r="32" spans="1:33" s="18" customFormat="1" ht="17.25" customHeight="1">
      <c r="B32" s="30"/>
      <c r="C32" s="184">
        <f t="shared" si="0"/>
        <v>45199</v>
      </c>
      <c r="D32" s="265">
        <f t="shared" si="1"/>
        <v>0</v>
      </c>
      <c r="E32" s="267">
        <f>IF(Frequency="Monthly",Model3_Wages.Gross,SUM(Model1_Wages.Gross,Model2_Wages.Gross,Model3_Wages.Gross))</f>
        <v>0</v>
      </c>
      <c r="F32" s="266">
        <f t="shared" si="2"/>
        <v>0</v>
      </c>
      <c r="G32" s="25">
        <f t="shared" si="3"/>
        <v>0</v>
      </c>
      <c r="H32" s="264" t="str" cm="1">
        <f t="array" ref="H32">IFERROR(
   _xlfn.IFS(
      $J$17="Yes","",
      Frequency="Quarterly",
         IF(E32&gt;IFERROR(VLOOKUP(YEAR(TaxYearEnd),Payroll_Threshold_Lookup,3,FALSE),54166)*3,HYPERLINK("#Payroll_Tax_Registration","i"),""),
      Frequency="Monthly",
         IF(E32&gt;IFERROR(VLOOKUP(YEAR(TaxYearEnd),Payroll_Threshold_Lookup,3,FALSE),54166),HYPERLINK("#Payroll_Tax_Registration","i"),"")),
   "")</f>
        <v/>
      </c>
      <c r="I32" s="267">
        <f>IF(Frequency="Monthly",Model3_Wages.Tax,SUM(Model1_Wages.Tax,Model2_Wages.Tax,Model3_Wages.Tax))</f>
        <v>0</v>
      </c>
      <c r="J32" s="266">
        <f t="shared" si="4"/>
        <v>0</v>
      </c>
      <c r="K32" s="25">
        <f t="shared" si="5"/>
        <v>0</v>
      </c>
      <c r="L32" s="262">
        <f t="shared" si="6"/>
        <v>0</v>
      </c>
      <c r="M32" s="17"/>
      <c r="N32" s="174"/>
      <c r="O32" s="173"/>
      <c r="P32" s="65"/>
      <c r="Q32" s="65"/>
      <c r="T32" s="65"/>
      <c r="U32" s="155"/>
      <c r="V32" s="133"/>
      <c r="W32" s="133"/>
    </row>
    <row r="33" spans="2:23" s="18" customFormat="1" ht="17.25" customHeight="1">
      <c r="B33" s="30"/>
      <c r="C33" s="184">
        <f t="shared" si="0"/>
        <v>45230</v>
      </c>
      <c r="D33" s="265">
        <f t="shared" si="1"/>
        <v>0</v>
      </c>
      <c r="E33" s="267">
        <f>IF(Frequency="Monthly",Model4_Wages.Gross,0)</f>
        <v>0</v>
      </c>
      <c r="F33" s="266">
        <f t="shared" si="2"/>
        <v>0</v>
      </c>
      <c r="G33" s="25">
        <f t="shared" si="3"/>
        <v>0</v>
      </c>
      <c r="H33" s="264" t="str" cm="1">
        <f t="array" ref="H33">IFERROR(
   _xlfn.IFS(
      $J$17="Yes","",
      Frequency="Quarterly","",
      E33&gt;IFERROR(VLOOKUP(YEAR(TaxYearEnd),Payroll_Threshold_Lookup,3,FALSE),54166),HYPERLINK("#Payroll_Tax_Registration","i")),
   "")</f>
        <v/>
      </c>
      <c r="I33" s="267">
        <f>IF(Frequency="Monthly",Model4_Wages.Tax,0)</f>
        <v>0</v>
      </c>
      <c r="J33" s="266">
        <f t="shared" si="4"/>
        <v>0</v>
      </c>
      <c r="K33" s="25">
        <f t="shared" si="5"/>
        <v>0</v>
      </c>
      <c r="L33" s="262">
        <f t="shared" si="6"/>
        <v>0</v>
      </c>
      <c r="M33" s="17"/>
      <c r="N33" s="174"/>
      <c r="O33" s="173"/>
      <c r="P33" s="65"/>
      <c r="Q33" s="65" t="b">
        <f>IF(Frequency&lt;&gt;"Monthly",TRUE,FALSE)</f>
        <v>0</v>
      </c>
      <c r="T33" s="65"/>
      <c r="U33" s="133"/>
      <c r="V33" s="133"/>
      <c r="W33" s="133"/>
    </row>
    <row r="34" spans="2:23" s="18" customFormat="1" ht="17.25" customHeight="1">
      <c r="B34" s="30"/>
      <c r="C34" s="184">
        <f t="shared" si="0"/>
        <v>45260</v>
      </c>
      <c r="D34" s="265">
        <f t="shared" si="1"/>
        <v>0</v>
      </c>
      <c r="E34" s="267">
        <f>IF(Frequency="Monthly",Model5_Wages.Gross,0)</f>
        <v>0</v>
      </c>
      <c r="F34" s="266">
        <f t="shared" si="2"/>
        <v>0</v>
      </c>
      <c r="G34" s="25">
        <f t="shared" si="3"/>
        <v>0</v>
      </c>
      <c r="H34" s="264" t="str" cm="1">
        <f t="array" ref="H34">IFERROR(
   _xlfn.IFS(
      $J$17="Yes","",
      Frequency="Quarterly","",
      E34&gt;IFERROR(VLOOKUP(YEAR(TaxYearEnd),Payroll_Threshold_Lookup,3,FALSE),54166),HYPERLINK("#Payroll_Tax_Registration","i")),
   "")</f>
        <v/>
      </c>
      <c r="I34" s="267">
        <f>IF(Frequency="Monthly",Model5_Wages.Tax,0)</f>
        <v>0</v>
      </c>
      <c r="J34" s="266">
        <f t="shared" si="4"/>
        <v>0</v>
      </c>
      <c r="K34" s="25">
        <f t="shared" si="5"/>
        <v>0</v>
      </c>
      <c r="L34" s="262">
        <f t="shared" si="6"/>
        <v>0</v>
      </c>
      <c r="M34" s="17"/>
      <c r="N34" s="174"/>
      <c r="O34" s="173"/>
      <c r="P34" s="65"/>
      <c r="Q34" s="65" t="b">
        <f>IF(Frequency&lt;&gt;"Monthly",TRUE,FALSE)</f>
        <v>0</v>
      </c>
      <c r="T34" s="65"/>
      <c r="V34" s="133"/>
      <c r="W34" s="133"/>
    </row>
    <row r="35" spans="2:23" s="18" customFormat="1" ht="17.25" customHeight="1">
      <c r="B35" s="30"/>
      <c r="C35" s="184">
        <f t="shared" si="0"/>
        <v>45291</v>
      </c>
      <c r="D35" s="265">
        <f t="shared" si="1"/>
        <v>0</v>
      </c>
      <c r="E35" s="267">
        <f>IF(Frequency="Monthly",Model6_Wages.Gross,SUM(Model4_Wages.Gross,Model5_Wages.Gross,Model6_Wages.Gross))</f>
        <v>0</v>
      </c>
      <c r="F35" s="266">
        <f t="shared" si="2"/>
        <v>0</v>
      </c>
      <c r="G35" s="25">
        <f t="shared" si="3"/>
        <v>0</v>
      </c>
      <c r="H35" s="264" t="str" cm="1">
        <f t="array" ref="H35">IFERROR(
   _xlfn.IFS(
      $J$17="Yes","",
      Frequency="Quarterly",
         IF(E35&gt;IFERROR(VLOOKUP(YEAR(TaxYearEnd),Payroll_Threshold_Lookup,3,FALSE),54166)*3,HYPERLINK("#Payroll_Tax_Registration","i"),""),
      Frequency="Monthly",
         IF(E35&gt;IFERROR(VLOOKUP(YEAR(TaxYearEnd),Payroll_Threshold_Lookup,3,FALSE),54166),HYPERLINK("#Payroll_Tax_Registration","i"),"")),
   "")</f>
        <v/>
      </c>
      <c r="I35" s="267">
        <f>IF(Frequency="Monthly",Model6_Wages.Tax,SUM(Model4_Wages.Tax,Model5_Wages.Tax,Model6_Wages.Tax))</f>
        <v>0</v>
      </c>
      <c r="J35" s="266">
        <f t="shared" si="4"/>
        <v>0</v>
      </c>
      <c r="K35" s="25">
        <f t="shared" si="5"/>
        <v>0</v>
      </c>
      <c r="L35" s="262">
        <f t="shared" si="6"/>
        <v>0</v>
      </c>
      <c r="M35" s="17"/>
      <c r="N35" s="174"/>
      <c r="O35" s="173"/>
      <c r="P35" s="65"/>
      <c r="Q35" s="65"/>
      <c r="T35" s="65"/>
      <c r="U35" s="133"/>
      <c r="V35" s="133"/>
      <c r="W35" s="133"/>
    </row>
    <row r="36" spans="2:23" s="18" customFormat="1" ht="17.25" customHeight="1">
      <c r="B36" s="30"/>
      <c r="C36" s="184">
        <f t="shared" si="0"/>
        <v>45322</v>
      </c>
      <c r="D36" s="265">
        <f t="shared" si="1"/>
        <v>0</v>
      </c>
      <c r="E36" s="267">
        <f>IF(Frequency="Monthly",Model7_Wages.Gross,0)</f>
        <v>0</v>
      </c>
      <c r="F36" s="266">
        <f t="shared" si="2"/>
        <v>0</v>
      </c>
      <c r="G36" s="25">
        <f t="shared" si="3"/>
        <v>0</v>
      </c>
      <c r="H36" s="264" t="str" cm="1">
        <f t="array" ref="H36">IFERROR(
   _xlfn.IFS(
      $J$17="Yes","",
      Frequency="Quarterly","",
      E36&gt;IFERROR(VLOOKUP(YEAR(TaxYearEnd),Payroll_Threshold_Lookup,3,FALSE),54166),HYPERLINK("#Payroll_Tax_Registration","i")),
   "")</f>
        <v/>
      </c>
      <c r="I36" s="267">
        <f>IF(Frequency="Monthly",Model7_Wages.Tax,0)</f>
        <v>0</v>
      </c>
      <c r="J36" s="266">
        <f t="shared" si="4"/>
        <v>0</v>
      </c>
      <c r="K36" s="25">
        <f t="shared" si="5"/>
        <v>0</v>
      </c>
      <c r="L36" s="262">
        <f t="shared" si="6"/>
        <v>0</v>
      </c>
      <c r="M36" s="17"/>
      <c r="N36" s="174"/>
      <c r="O36" s="173"/>
      <c r="P36" s="65"/>
      <c r="Q36" s="65" t="b">
        <f>IF(Frequency&lt;&gt;"Monthly",TRUE,FALSE)</f>
        <v>0</v>
      </c>
      <c r="T36" s="65"/>
      <c r="U36" s="268"/>
      <c r="V36" s="133"/>
      <c r="W36" s="133"/>
    </row>
    <row r="37" spans="2:23" s="18" customFormat="1" ht="17.25" customHeight="1">
      <c r="B37" s="30"/>
      <c r="C37" s="184">
        <f t="shared" si="0"/>
        <v>45351</v>
      </c>
      <c r="D37" s="265">
        <f t="shared" si="1"/>
        <v>0</v>
      </c>
      <c r="E37" s="267">
        <f>IF(Frequency="Monthly",Model8_Wages.Gross,0)</f>
        <v>0</v>
      </c>
      <c r="F37" s="266">
        <f t="shared" si="2"/>
        <v>0</v>
      </c>
      <c r="G37" s="25">
        <f t="shared" si="3"/>
        <v>0</v>
      </c>
      <c r="H37" s="264" t="str" cm="1">
        <f t="array" ref="H37">IFERROR(
   _xlfn.IFS(
      $J$17="Yes","",
      Frequency="Quarterly","",
      E37&gt;IFERROR(VLOOKUP(YEAR(TaxYearEnd),Payroll_Threshold_Lookup,3,FALSE),54166),HYPERLINK("#Payroll_Tax_Registration","i")),
   "")</f>
        <v/>
      </c>
      <c r="I37" s="267">
        <f>IF(Frequency="Monthly",Model8_Wages.Tax,0)</f>
        <v>0</v>
      </c>
      <c r="J37" s="266">
        <f t="shared" si="4"/>
        <v>0</v>
      </c>
      <c r="K37" s="25">
        <f t="shared" si="5"/>
        <v>0</v>
      </c>
      <c r="L37" s="262">
        <f t="shared" si="6"/>
        <v>0</v>
      </c>
      <c r="M37" s="17"/>
      <c r="N37" s="174"/>
      <c r="O37" s="173"/>
      <c r="P37" s="65"/>
      <c r="Q37" s="65" t="b">
        <f>IF(Frequency&lt;&gt;"Monthly",TRUE,FALSE)</f>
        <v>0</v>
      </c>
      <c r="T37" s="65"/>
      <c r="U37" s="133"/>
      <c r="V37" s="133"/>
      <c r="W37" s="133"/>
    </row>
    <row r="38" spans="2:23" s="18" customFormat="1" ht="17.25" customHeight="1">
      <c r="B38" s="30"/>
      <c r="C38" s="184">
        <f t="shared" si="0"/>
        <v>45382</v>
      </c>
      <c r="D38" s="265">
        <f t="shared" si="1"/>
        <v>0</v>
      </c>
      <c r="E38" s="267">
        <f>IF(Frequency="Monthly",Model9_Wages.Gross,SUM(Model7_Wages.Gross,Model8_Wages.Gross,Model9_Wages.Gross))</f>
        <v>0</v>
      </c>
      <c r="F38" s="266">
        <f t="shared" si="2"/>
        <v>0</v>
      </c>
      <c r="G38" s="25">
        <f t="shared" si="3"/>
        <v>0</v>
      </c>
      <c r="H38" s="264" t="str" cm="1">
        <f t="array" ref="H38">IFERROR(
   _xlfn.IFS(
      $J$17="Yes","",
      Frequency="Quarterly",
         IF(E38&gt;IFERROR(VLOOKUP(YEAR(TaxYearEnd),Payroll_Threshold_Lookup,3,FALSE),54166)*3,HYPERLINK("#Payroll_Tax_Registration","i"),""),
      Frequency="Monthly",
         IF(E38&gt;IFERROR(VLOOKUP(YEAR(TaxYearEnd),Payroll_Threshold_Lookup,3,FALSE),54166),HYPERLINK("#Payroll_Tax_Registration","i"),"")),
   "")</f>
        <v/>
      </c>
      <c r="I38" s="267">
        <f>IF(Frequency="Monthly",Model9_Wages.Tax,SUM(Model7_Wages.Tax,Model8_Wages.Tax,Model9_Wages.Tax))</f>
        <v>0</v>
      </c>
      <c r="J38" s="266">
        <f t="shared" si="4"/>
        <v>0</v>
      </c>
      <c r="K38" s="25">
        <f t="shared" si="5"/>
        <v>0</v>
      </c>
      <c r="L38" s="262">
        <f t="shared" si="6"/>
        <v>0</v>
      </c>
      <c r="M38" s="17"/>
      <c r="N38" s="174"/>
      <c r="O38" s="173"/>
      <c r="P38" s="65"/>
      <c r="Q38" s="65"/>
      <c r="T38" s="65"/>
      <c r="U38" s="133"/>
      <c r="V38" s="133"/>
      <c r="W38" s="133"/>
    </row>
    <row r="39" spans="2:23" s="18" customFormat="1" ht="17.25" customHeight="1">
      <c r="B39" s="30"/>
      <c r="C39" s="184">
        <f t="shared" si="0"/>
        <v>45412</v>
      </c>
      <c r="D39" s="265">
        <f t="shared" si="1"/>
        <v>0</v>
      </c>
      <c r="E39" s="267">
        <f>IF(Frequency="Monthly",Model10_Wages.Gross,0)</f>
        <v>0</v>
      </c>
      <c r="F39" s="266">
        <f t="shared" si="2"/>
        <v>0</v>
      </c>
      <c r="G39" s="25">
        <f t="shared" si="3"/>
        <v>0</v>
      </c>
      <c r="H39" s="264" t="str" cm="1">
        <f t="array" ref="H39">IFERROR(
   _xlfn.IFS(
      $J$17="Yes","",
      Frequency="Quarterly","",
      E39&gt;IFERROR(VLOOKUP(YEAR(TaxYearEnd),Payroll_Threshold_Lookup,3,FALSE),54166),HYPERLINK("#Payroll_Tax_Registration","i")),
   "")</f>
        <v/>
      </c>
      <c r="I39" s="267">
        <f>IF(Frequency="Monthly",Model10_Wages.Tax,0)</f>
        <v>0</v>
      </c>
      <c r="J39" s="266">
        <f t="shared" si="4"/>
        <v>0</v>
      </c>
      <c r="K39" s="25">
        <f t="shared" si="5"/>
        <v>0</v>
      </c>
      <c r="L39" s="262">
        <f t="shared" si="6"/>
        <v>0</v>
      </c>
      <c r="M39" s="17"/>
      <c r="N39" s="174"/>
      <c r="O39" s="173"/>
      <c r="P39" s="65"/>
      <c r="Q39" s="65" t="b">
        <f>IF(Frequency&lt;&gt;"Monthly",TRUE,FALSE)</f>
        <v>0</v>
      </c>
      <c r="T39" s="65"/>
      <c r="U39" s="133"/>
      <c r="V39" s="133"/>
      <c r="W39" s="133"/>
    </row>
    <row r="40" spans="2:23" s="18" customFormat="1" ht="17.25" customHeight="1">
      <c r="B40" s="30"/>
      <c r="C40" s="184">
        <f t="shared" si="0"/>
        <v>45443</v>
      </c>
      <c r="D40" s="265">
        <f t="shared" si="1"/>
        <v>0</v>
      </c>
      <c r="E40" s="267">
        <f>IF(Frequency="Monthly",Model11_Wages.Gross,0)</f>
        <v>0</v>
      </c>
      <c r="F40" s="266">
        <f t="shared" si="2"/>
        <v>0</v>
      </c>
      <c r="G40" s="25">
        <f t="shared" si="3"/>
        <v>0</v>
      </c>
      <c r="H40" s="264" t="str" cm="1">
        <f t="array" ref="H40">IFERROR(
   _xlfn.IFS(
      $J$17="Yes","",
      Frequency="Quarterly","",
      E40&gt;IFERROR(VLOOKUP(YEAR(TaxYearEnd),Payroll_Threshold_Lookup,3,FALSE),54166),HYPERLINK("#Payroll_Tax_Registration","i")),
   "")</f>
        <v/>
      </c>
      <c r="I40" s="267">
        <f>IF(Frequency="Monthly",Model11_Wages.Tax,0)</f>
        <v>0</v>
      </c>
      <c r="J40" s="266">
        <f t="shared" si="4"/>
        <v>0</v>
      </c>
      <c r="K40" s="25">
        <f t="shared" si="5"/>
        <v>0</v>
      </c>
      <c r="L40" s="262">
        <f t="shared" si="6"/>
        <v>0</v>
      </c>
      <c r="M40" s="17"/>
      <c r="N40" s="174"/>
      <c r="O40" s="173"/>
      <c r="P40" s="17"/>
      <c r="Q40" s="65" t="b">
        <f>IF(Frequency&lt;&gt;"Monthly",TRUE,FALSE)</f>
        <v>0</v>
      </c>
      <c r="T40" s="17"/>
    </row>
    <row r="41" spans="2:23" s="18" customFormat="1" ht="17.25" customHeight="1">
      <c r="B41" s="30"/>
      <c r="C41" s="184">
        <f t="shared" si="0"/>
        <v>45473</v>
      </c>
      <c r="D41" s="265">
        <f t="shared" si="1"/>
        <v>0</v>
      </c>
      <c r="E41" s="267">
        <f>IF(Frequency="Monthly",Model12_Wages.Gross,SUM(Model10_Wages.Gross,Model11_Wages.Gross,Model12_Wages.Gross))</f>
        <v>0</v>
      </c>
      <c r="F41" s="266">
        <f t="shared" si="2"/>
        <v>0</v>
      </c>
      <c r="G41" s="25">
        <f t="shared" si="3"/>
        <v>0</v>
      </c>
      <c r="H41" s="264" t="str" cm="1">
        <f t="array" ref="H41">IFERROR(
   _xlfn.IFS(
      $J$17="Yes","",
      Frequency="Quarterly",
         IF(E41&gt;IFERROR(VLOOKUP(YEAR(TaxYearEnd),Payroll_Threshold_Lookup,3,FALSE),54166)*3,HYPERLINK("#Payroll_Tax_Registration","i"),""),
      Frequency="Monthly",
         IF(E41&gt;IFERROR(VLOOKUP(YEAR(TaxYearEnd),Payroll_Threshold_Lookup,3,FALSE),54166),HYPERLINK("#Payroll_Tax_Registration","i"),"")),
   "")</f>
        <v/>
      </c>
      <c r="I41" s="267">
        <f>IF(Frequency="Monthly",Model12_Wages.Tax,SUM(Model10_Wages.Tax,Model11_Wages.Tax,Model12_Wages.Tax))</f>
        <v>0</v>
      </c>
      <c r="J41" s="266">
        <f t="shared" si="4"/>
        <v>0</v>
      </c>
      <c r="K41" s="25">
        <f t="shared" si="5"/>
        <v>0</v>
      </c>
      <c r="L41" s="262">
        <f t="shared" si="6"/>
        <v>0</v>
      </c>
      <c r="M41" s="17"/>
      <c r="N41" s="174"/>
      <c r="O41" s="173"/>
      <c r="P41" s="17"/>
      <c r="Q41" s="17"/>
      <c r="T41" s="17"/>
    </row>
    <row r="42" spans="2:23" s="17" customFormat="1" ht="17.25" customHeight="1">
      <c r="B42" s="53"/>
      <c r="C42" s="212" t="s">
        <v>283</v>
      </c>
      <c r="D42" s="265">
        <f t="shared" si="1"/>
        <v>0</v>
      </c>
      <c r="E42" s="207"/>
      <c r="F42" s="263"/>
      <c r="G42" s="25">
        <f t="shared" si="3"/>
        <v>0</v>
      </c>
      <c r="H42" s="264"/>
      <c r="I42" s="207"/>
      <c r="J42" s="263"/>
      <c r="K42" s="25">
        <f t="shared" si="5"/>
        <v>0</v>
      </c>
      <c r="L42" s="262">
        <f t="shared" si="6"/>
        <v>0</v>
      </c>
      <c r="N42" s="174"/>
      <c r="O42" s="173"/>
      <c r="U42" s="18"/>
      <c r="V42" s="18"/>
      <c r="W42" s="18"/>
    </row>
    <row r="43" spans="2:23" s="17" customFormat="1" ht="17.25" customHeight="1">
      <c r="B43" s="53"/>
      <c r="C43" s="211"/>
      <c r="D43" s="265">
        <f t="shared" si="1"/>
        <v>0</v>
      </c>
      <c r="E43" s="207"/>
      <c r="F43" s="263"/>
      <c r="G43" s="25">
        <f t="shared" si="3"/>
        <v>0</v>
      </c>
      <c r="H43" s="264"/>
      <c r="I43" s="207"/>
      <c r="J43" s="263"/>
      <c r="K43" s="25">
        <f t="shared" si="5"/>
        <v>0</v>
      </c>
      <c r="L43" s="262">
        <f t="shared" si="6"/>
        <v>0</v>
      </c>
      <c r="N43" s="174"/>
      <c r="O43" s="173"/>
      <c r="U43" s="18"/>
      <c r="V43" s="18"/>
      <c r="W43" s="18"/>
    </row>
    <row r="44" spans="2:23" s="17" customFormat="1" ht="17.25" customHeight="1">
      <c r="B44" s="53"/>
      <c r="C44" s="223"/>
      <c r="D44" s="261">
        <f>SUM(D30:D43)</f>
        <v>0</v>
      </c>
      <c r="E44" s="222">
        <f>SUM(E30:E43)</f>
        <v>0</v>
      </c>
      <c r="F44" s="260">
        <f>SUM(F30:F43)</f>
        <v>0</v>
      </c>
      <c r="G44" s="222">
        <f>SUM(G30:G43)</f>
        <v>0</v>
      </c>
      <c r="I44" s="222">
        <f>SUM(I30:I43)</f>
        <v>0</v>
      </c>
      <c r="J44" s="260">
        <f>SUM(J30:J43)</f>
        <v>0</v>
      </c>
      <c r="K44" s="222">
        <f>SUM(K30:K43)</f>
        <v>0</v>
      </c>
      <c r="L44" s="258">
        <f>SUM(L30:L43)</f>
        <v>0</v>
      </c>
      <c r="N44" s="174"/>
      <c r="O44" s="173"/>
    </row>
    <row r="45" spans="2:23" s="17" customFormat="1" ht="22.5" customHeight="1">
      <c r="B45" s="53"/>
      <c r="C45" s="1704" t="s">
        <v>304</v>
      </c>
      <c r="D45" s="1705"/>
      <c r="E45" s="1705"/>
      <c r="F45" s="1705"/>
      <c r="G45" s="1705"/>
      <c r="H45" s="259"/>
      <c r="I45" s="259"/>
      <c r="J45" s="259"/>
      <c r="K45" s="259"/>
      <c r="L45" s="258"/>
      <c r="N45" s="174"/>
      <c r="O45" s="173"/>
    </row>
    <row r="46" spans="2:23" s="17" customFormat="1" ht="17.25" customHeight="1">
      <c r="B46" s="53"/>
      <c r="C46" s="225" t="s">
        <v>303</v>
      </c>
      <c r="D46" s="254"/>
      <c r="E46" s="253"/>
      <c r="F46" s="252"/>
      <c r="G46" s="230"/>
      <c r="H46" s="243"/>
      <c r="I46" s="230"/>
      <c r="J46" s="243"/>
      <c r="K46" s="243"/>
      <c r="L46" s="33"/>
      <c r="N46" s="18"/>
      <c r="O46" s="18"/>
    </row>
    <row r="47" spans="2:23" s="17" customFormat="1" ht="17.25" customHeight="1">
      <c r="B47" s="53"/>
      <c r="C47" s="250" t="s">
        <v>300</v>
      </c>
      <c r="D47" s="202"/>
      <c r="E47" s="244"/>
      <c r="F47" s="243"/>
      <c r="G47" s="25">
        <f>D44</f>
        <v>0</v>
      </c>
      <c r="H47" s="243"/>
      <c r="I47" s="230"/>
      <c r="J47" s="243"/>
      <c r="K47" s="25">
        <f>L44</f>
        <v>0</v>
      </c>
      <c r="L47" s="33"/>
      <c r="N47" s="174"/>
      <c r="O47" s="173"/>
    </row>
    <row r="48" spans="2:23" s="17" customFormat="1" ht="17.25" customHeight="1">
      <c r="B48" s="53"/>
      <c r="C48" s="212" t="s">
        <v>283</v>
      </c>
      <c r="D48" s="202"/>
      <c r="E48" s="244"/>
      <c r="F48" s="243"/>
      <c r="G48" s="207"/>
      <c r="H48" s="243"/>
      <c r="I48" s="230"/>
      <c r="J48" s="243"/>
      <c r="K48" s="207"/>
      <c r="L48" s="33"/>
      <c r="N48" s="174"/>
      <c r="O48" s="173"/>
    </row>
    <row r="49" spans="1:26" s="17" customFormat="1" ht="17.25" customHeight="1">
      <c r="B49" s="53"/>
      <c r="C49" s="212"/>
      <c r="D49" s="202"/>
      <c r="E49" s="244"/>
      <c r="F49" s="243"/>
      <c r="G49" s="207"/>
      <c r="H49" s="243"/>
      <c r="I49" s="230"/>
      <c r="J49" s="243"/>
      <c r="K49" s="207"/>
      <c r="L49" s="33"/>
      <c r="N49" s="174"/>
      <c r="O49" s="173"/>
    </row>
    <row r="50" spans="1:26" s="17" customFormat="1" ht="17.25" customHeight="1">
      <c r="B50" s="53"/>
      <c r="C50" s="212"/>
      <c r="D50" s="202"/>
      <c r="E50" s="244"/>
      <c r="F50" s="243"/>
      <c r="G50" s="207"/>
      <c r="H50" s="243"/>
      <c r="I50" s="230"/>
      <c r="J50" s="243"/>
      <c r="K50" s="207"/>
      <c r="L50" s="33"/>
      <c r="N50" s="174"/>
      <c r="O50" s="173"/>
    </row>
    <row r="51" spans="1:26" s="17" customFormat="1" ht="17.25" customHeight="1">
      <c r="B51" s="53"/>
      <c r="C51" s="257"/>
      <c r="D51" s="257"/>
      <c r="E51" s="256"/>
      <c r="F51" s="255"/>
      <c r="G51" s="222">
        <f>SUM(G47:G50)</f>
        <v>0</v>
      </c>
      <c r="H51" s="243"/>
      <c r="I51" s="230"/>
      <c r="J51" s="243"/>
      <c r="K51" s="222">
        <f>SUM(K47:K50)</f>
        <v>0</v>
      </c>
      <c r="L51" s="33"/>
      <c r="N51" s="174"/>
      <c r="O51" s="173"/>
    </row>
    <row r="52" spans="1:26" s="17" customFormat="1" ht="17.25" customHeight="1">
      <c r="B52" s="53"/>
      <c r="C52" s="227"/>
      <c r="D52" s="254"/>
      <c r="E52" s="253"/>
      <c r="F52" s="252"/>
      <c r="G52" s="230"/>
      <c r="H52" s="243"/>
      <c r="I52" s="230"/>
      <c r="J52" s="243"/>
      <c r="K52" s="243"/>
      <c r="L52" s="33"/>
      <c r="N52" s="18"/>
      <c r="O52" s="18"/>
    </row>
    <row r="53" spans="1:26" s="17" customFormat="1" ht="17.25" customHeight="1">
      <c r="B53" s="53"/>
      <c r="C53" s="225" t="s">
        <v>302</v>
      </c>
      <c r="D53" s="254"/>
      <c r="E53" s="253"/>
      <c r="F53" s="252"/>
      <c r="G53" s="230"/>
      <c r="H53" s="243"/>
      <c r="I53" s="230"/>
      <c r="J53" s="243"/>
      <c r="K53" s="243"/>
      <c r="L53" s="33"/>
      <c r="N53" s="18"/>
      <c r="O53" s="18"/>
    </row>
    <row r="54" spans="1:26" s="17" customFormat="1" ht="17.25" customHeight="1">
      <c r="B54" s="53"/>
      <c r="C54" s="251" t="s">
        <v>301</v>
      </c>
      <c r="D54" s="202"/>
      <c r="E54" s="244"/>
      <c r="F54" s="207"/>
      <c r="G54" s="230"/>
      <c r="H54" s="243"/>
      <c r="I54" s="230"/>
      <c r="J54" s="207"/>
      <c r="K54" s="243"/>
      <c r="L54" s="33"/>
      <c r="N54" s="174"/>
      <c r="O54" s="173"/>
    </row>
    <row r="55" spans="1:26" s="17" customFormat="1" ht="17.25" customHeight="1">
      <c r="B55" s="53"/>
      <c r="C55" s="250" t="s">
        <v>300</v>
      </c>
      <c r="D55" s="202"/>
      <c r="E55" s="244"/>
      <c r="F55" s="25">
        <f>-G47</f>
        <v>0</v>
      </c>
      <c r="H55" s="243"/>
      <c r="I55" s="230"/>
      <c r="J55" s="25">
        <f>-K47</f>
        <v>0</v>
      </c>
      <c r="L55" s="33"/>
      <c r="N55" s="174"/>
      <c r="O55" s="173"/>
    </row>
    <row r="56" spans="1:26" s="17" customFormat="1" ht="17.25" customHeight="1">
      <c r="B56" s="53"/>
      <c r="C56" s="212" t="s">
        <v>283</v>
      </c>
      <c r="D56" s="202"/>
      <c r="E56" s="244"/>
      <c r="F56" s="207"/>
      <c r="G56" s="230"/>
      <c r="H56" s="243"/>
      <c r="I56" s="230"/>
      <c r="J56" s="207"/>
      <c r="K56" s="243"/>
      <c r="L56" s="33"/>
      <c r="N56" s="174"/>
      <c r="O56" s="173"/>
    </row>
    <row r="57" spans="1:26" s="17" customFormat="1" ht="17.25" customHeight="1">
      <c r="B57" s="53"/>
      <c r="C57" s="212"/>
      <c r="D57" s="202"/>
      <c r="E57" s="244"/>
      <c r="F57" s="207"/>
      <c r="G57" s="230"/>
      <c r="H57" s="243"/>
      <c r="I57" s="230"/>
      <c r="J57" s="207"/>
      <c r="K57" s="243"/>
      <c r="L57" s="33"/>
      <c r="N57" s="174"/>
      <c r="O57" s="173"/>
    </row>
    <row r="58" spans="1:26" s="17" customFormat="1" ht="17.25" customHeight="1">
      <c r="B58" s="53"/>
      <c r="C58" s="223"/>
      <c r="D58" s="202"/>
      <c r="E58" s="244"/>
      <c r="F58" s="222">
        <f>SUM(F54:F57)</f>
        <v>0</v>
      </c>
      <c r="G58" s="230"/>
      <c r="H58" s="243"/>
      <c r="I58" s="230"/>
      <c r="J58" s="222">
        <f>SUM(J54:J57)</f>
        <v>0</v>
      </c>
      <c r="K58" s="243"/>
      <c r="L58" s="33"/>
      <c r="N58" s="174"/>
      <c r="O58" s="173"/>
    </row>
    <row r="59" spans="1:26" s="17" customFormat="1" ht="7.5" customHeight="1">
      <c r="B59" s="53"/>
      <c r="C59" s="223"/>
      <c r="D59" s="202"/>
      <c r="E59" s="244"/>
      <c r="F59" s="222"/>
      <c r="G59" s="230"/>
      <c r="H59" s="243"/>
      <c r="I59" s="230"/>
      <c r="J59" s="222"/>
      <c r="K59" s="243"/>
      <c r="L59" s="33"/>
      <c r="N59" s="18"/>
      <c r="O59" s="228"/>
    </row>
    <row r="60" spans="1:26" s="17" customFormat="1" ht="17.25" customHeight="1">
      <c r="B60" s="53"/>
      <c r="C60" s="223"/>
      <c r="D60" s="202"/>
      <c r="E60" s="244"/>
      <c r="F60" s="247" t="s">
        <v>299</v>
      </c>
      <c r="G60" s="249" t="s">
        <v>298</v>
      </c>
      <c r="H60" s="243"/>
      <c r="I60" s="248"/>
      <c r="J60" s="247" t="s">
        <v>299</v>
      </c>
      <c r="K60" s="246" t="s">
        <v>298</v>
      </c>
      <c r="L60" s="33"/>
      <c r="N60" s="18"/>
      <c r="O60" s="228"/>
    </row>
    <row r="61" spans="1:26" s="17" customFormat="1" ht="17.25" customHeight="1">
      <c r="B61" s="53"/>
      <c r="C61" s="245" t="s">
        <v>297</v>
      </c>
      <c r="D61" s="202"/>
      <c r="E61" s="244"/>
      <c r="F61" s="242">
        <f>F44-F58</f>
        <v>0</v>
      </c>
      <c r="G61" s="242">
        <f>G44-G51</f>
        <v>0</v>
      </c>
      <c r="H61" s="243"/>
      <c r="I61" s="230"/>
      <c r="J61" s="242">
        <f>J44-J58</f>
        <v>0</v>
      </c>
      <c r="K61" s="242">
        <f>K44-K51</f>
        <v>0</v>
      </c>
      <c r="L61" s="33"/>
      <c r="N61" s="174"/>
      <c r="O61" s="173"/>
    </row>
    <row r="62" spans="1:26" s="17" customFormat="1" ht="7.5" customHeight="1">
      <c r="B62" s="40"/>
      <c r="C62" s="241"/>
      <c r="D62" s="241"/>
      <c r="E62" s="240"/>
      <c r="F62" s="239" t="str">
        <f>IF(COUNTA(F54,F56:F57)=0,"Pending",IF(ABS(F61)&gt;Tm_Tolerance,"Out of Balance","Reconciled"))</f>
        <v>Pending</v>
      </c>
      <c r="G62" s="239" t="str">
        <f>IF(SUM(E30:E43,F42:F43)=0,"Pending",IF(ABS(G61)&gt;Tm_Tolerance,"Out of Balance","Reconciled"))</f>
        <v>Pending</v>
      </c>
      <c r="H62" s="239"/>
      <c r="I62" s="239"/>
      <c r="J62" s="239" t="str">
        <f>IF(COUNTA(J54,J56:J57)=0,"Pending",IF(ABS(J61)&gt;Tm_Tolerance,"Out of Balance","Reconciled"))</f>
        <v>Pending</v>
      </c>
      <c r="K62" s="239" t="str">
        <f>IF(SUM(I30:I43,J42:J43)=0,"Pending",IF(ABS(K61)&gt;Tm_Tolerance,"Out of Balance","Reconciled"))</f>
        <v>Pending</v>
      </c>
      <c r="L62" s="238"/>
      <c r="N62" s="18"/>
      <c r="O62" s="228"/>
    </row>
    <row r="63" spans="1:26" ht="22.5" customHeight="1">
      <c r="C63" s="199"/>
      <c r="D63" s="199"/>
      <c r="K63" s="134"/>
      <c r="Z63" s="164"/>
    </row>
    <row r="64" spans="1:26" ht="22.5" customHeight="1">
      <c r="A64" s="61" t="str">
        <f>IF(SUBTOTAL(103,A65),"-","+")</f>
        <v>-</v>
      </c>
      <c r="B64" s="1449" t="s">
        <v>296</v>
      </c>
      <c r="C64" s="1699"/>
      <c r="D64" s="1699"/>
      <c r="E64" s="220" t="str">
        <f>E86</f>
        <v>Out of Balance</v>
      </c>
      <c r="F64" s="197"/>
      <c r="G64" s="197"/>
      <c r="H64" s="197"/>
      <c r="I64" s="197"/>
      <c r="J64" s="197"/>
      <c r="Z64" s="164"/>
    </row>
    <row r="65" spans="1:26" ht="7.15" customHeight="1">
      <c r="A65" s="65" t="s">
        <v>58</v>
      </c>
      <c r="B65" s="196"/>
      <c r="C65" s="193"/>
      <c r="D65" s="193"/>
      <c r="E65" s="219"/>
      <c r="F65" s="218"/>
      <c r="G65" s="195"/>
      <c r="H65" s="194"/>
      <c r="I65" s="194"/>
      <c r="J65" s="194"/>
      <c r="K65" s="193"/>
      <c r="L65" s="192"/>
      <c r="Z65" s="166"/>
    </row>
    <row r="66" spans="1:26" s="17" customFormat="1" ht="17.25" customHeight="1">
      <c r="B66" s="59"/>
      <c r="C66" s="1498" t="s">
        <v>295</v>
      </c>
      <c r="D66" s="1498"/>
      <c r="E66" s="1498"/>
      <c r="F66" s="1498"/>
      <c r="G66" s="1498"/>
      <c r="H66" s="1498"/>
      <c r="I66" s="1498"/>
      <c r="J66" s="1498"/>
      <c r="K66" s="1498"/>
      <c r="L66" s="191"/>
      <c r="N66" s="18"/>
      <c r="O66" s="186"/>
      <c r="P66" s="65"/>
      <c r="Q66" s="65"/>
      <c r="R66" s="65"/>
      <c r="S66" s="65"/>
      <c r="T66" s="65"/>
      <c r="U66" s="65"/>
      <c r="V66" s="65"/>
      <c r="Z66" s="164"/>
    </row>
    <row r="67" spans="1:26" s="17" customFormat="1" ht="7.5" customHeight="1">
      <c r="B67" s="59"/>
      <c r="C67" s="216"/>
      <c r="D67" s="216"/>
      <c r="E67" s="216"/>
      <c r="F67" s="216"/>
      <c r="G67" s="216"/>
      <c r="H67" s="216"/>
      <c r="I67" s="216"/>
      <c r="J67" s="216"/>
      <c r="K67" s="216"/>
      <c r="L67" s="191"/>
      <c r="N67" s="18"/>
      <c r="O67" s="186"/>
      <c r="P67" s="65"/>
      <c r="Q67" s="65"/>
      <c r="R67" s="65"/>
      <c r="S67" s="65"/>
      <c r="T67" s="65"/>
      <c r="U67" s="65"/>
      <c r="V67" s="65"/>
      <c r="Z67" s="164"/>
    </row>
    <row r="68" spans="1:26" s="31" customFormat="1" ht="31.5" customHeight="1">
      <c r="B68" s="41"/>
      <c r="C68" s="237"/>
      <c r="D68" s="236"/>
      <c r="E68" s="235" t="s">
        <v>294</v>
      </c>
      <c r="F68" s="234" t="s">
        <v>293</v>
      </c>
      <c r="H68" s="233" t="s">
        <v>292</v>
      </c>
      <c r="I68" s="226"/>
      <c r="J68" s="226"/>
      <c r="L68" s="190"/>
      <c r="M68" s="17"/>
      <c r="N68" s="217"/>
      <c r="O68" s="217"/>
      <c r="P68" s="65"/>
      <c r="Q68" s="65"/>
      <c r="R68" s="65"/>
      <c r="S68" s="65"/>
      <c r="T68" s="65"/>
      <c r="U68" s="65"/>
      <c r="V68" s="65"/>
      <c r="W68" s="65"/>
      <c r="Z68" s="166"/>
    </row>
    <row r="69" spans="1:26" ht="7.15" customHeight="1">
      <c r="B69" s="204"/>
      <c r="E69" s="145"/>
      <c r="F69" s="134"/>
      <c r="H69" s="226"/>
      <c r="L69" s="201"/>
      <c r="Z69" s="166"/>
    </row>
    <row r="70" spans="1:26" s="18" customFormat="1" ht="16.899999999999999" customHeight="1">
      <c r="B70" s="30"/>
      <c r="C70" s="232" t="s">
        <v>291</v>
      </c>
      <c r="D70" s="214" t="s">
        <v>284</v>
      </c>
      <c r="E70" s="25">
        <f>N80_PayrollWages</f>
        <v>0</v>
      </c>
      <c r="F70" s="25">
        <f>F44</f>
        <v>0</v>
      </c>
      <c r="H70" s="207"/>
      <c r="I70" s="134"/>
      <c r="J70" s="134"/>
      <c r="K70" s="65"/>
      <c r="L70" s="175"/>
      <c r="M70" s="17"/>
      <c r="N70" s="174"/>
      <c r="O70" s="173"/>
      <c r="P70" s="65"/>
      <c r="Q70" s="65"/>
      <c r="R70" s="65"/>
      <c r="S70" s="65"/>
      <c r="T70" s="65"/>
      <c r="U70" s="65"/>
      <c r="V70" s="65"/>
      <c r="W70" s="65"/>
      <c r="Z70" s="164"/>
    </row>
    <row r="71" spans="1:26" s="17" customFormat="1" ht="16.899999999999999" customHeight="1">
      <c r="B71" s="53"/>
      <c r="C71" s="212" t="s">
        <v>283</v>
      </c>
      <c r="D71" s="202"/>
      <c r="E71" s="207"/>
      <c r="F71" s="230"/>
      <c r="H71" s="207"/>
      <c r="I71" s="229"/>
      <c r="J71" s="229"/>
      <c r="K71" s="229"/>
      <c r="L71" s="33"/>
      <c r="N71" s="174"/>
      <c r="O71" s="173"/>
    </row>
    <row r="72" spans="1:26" s="17" customFormat="1" ht="16.899999999999999" customHeight="1">
      <c r="B72" s="53"/>
      <c r="C72" s="212"/>
      <c r="D72" s="202"/>
      <c r="E72" s="207"/>
      <c r="F72" s="230"/>
      <c r="H72" s="207"/>
      <c r="I72" s="229"/>
      <c r="J72" s="229"/>
      <c r="K72" s="229"/>
      <c r="L72" s="33"/>
      <c r="N72" s="174"/>
      <c r="O72" s="173"/>
    </row>
    <row r="73" spans="1:26" s="17" customFormat="1" ht="16.899999999999999" customHeight="1">
      <c r="B73" s="53"/>
      <c r="C73" s="212"/>
      <c r="D73" s="202"/>
      <c r="E73" s="207"/>
      <c r="F73" s="230"/>
      <c r="H73" s="207"/>
      <c r="I73" s="229"/>
      <c r="J73" s="229"/>
      <c r="K73" s="229"/>
      <c r="L73" s="33"/>
      <c r="N73" s="174"/>
      <c r="O73" s="173"/>
    </row>
    <row r="74" spans="1:26" s="17" customFormat="1" ht="16.899999999999999" customHeight="1">
      <c r="B74" s="53"/>
      <c r="C74" s="231"/>
      <c r="D74" s="202"/>
      <c r="E74" s="222">
        <f>SUM(E70:E73)</f>
        <v>0</v>
      </c>
      <c r="F74" s="230"/>
      <c r="H74" s="222">
        <f>SUM(H70:H73)</f>
        <v>0</v>
      </c>
      <c r="I74" s="229"/>
      <c r="J74" s="229"/>
      <c r="K74" s="229"/>
      <c r="L74" s="33"/>
      <c r="N74" s="18"/>
      <c r="O74" s="228"/>
    </row>
    <row r="75" spans="1:26" ht="7.5" customHeight="1">
      <c r="B75" s="204"/>
      <c r="C75" s="227"/>
      <c r="E75" s="224"/>
      <c r="H75" s="226"/>
      <c r="L75" s="201"/>
      <c r="Z75" s="166"/>
    </row>
    <row r="76" spans="1:26" ht="16.899999999999999" customHeight="1">
      <c r="B76" s="204"/>
      <c r="C76" s="225" t="s">
        <v>290</v>
      </c>
      <c r="E76" s="224"/>
      <c r="L76" s="201"/>
      <c r="Z76" s="166"/>
    </row>
    <row r="77" spans="1:26" ht="16.899999999999999" customHeight="1">
      <c r="B77" s="204"/>
      <c r="C77" s="212" t="s">
        <v>321</v>
      </c>
      <c r="E77" s="207">
        <f>IFERROR(_xlfn.XLOOKUP("e66e885a-68e3-41e8-b17a-18fcb7b3ed80",Tx_LedgerReport.SourceAccountId,PrimaryBalances),0)</f>
        <v>11153.86</v>
      </c>
      <c r="F77" s="209"/>
      <c r="H77" s="207"/>
      <c r="L77" s="201"/>
      <c r="N77" s="174"/>
      <c r="O77" s="173"/>
      <c r="Z77" s="164"/>
    </row>
    <row r="78" spans="1:26" ht="16.899999999999999" customHeight="1">
      <c r="B78" s="204"/>
      <c r="C78" s="212"/>
      <c r="E78" s="207"/>
      <c r="F78" s="209"/>
      <c r="H78" s="207"/>
      <c r="L78" s="201"/>
      <c r="N78" s="174"/>
      <c r="O78" s="173"/>
      <c r="Z78" s="164"/>
    </row>
    <row r="79" spans="1:26" ht="16.899999999999999" customHeight="1">
      <c r="B79" s="204"/>
      <c r="C79" s="212"/>
      <c r="E79" s="207"/>
      <c r="F79" s="209"/>
      <c r="H79" s="207"/>
      <c r="L79" s="201"/>
      <c r="N79" s="174"/>
      <c r="O79" s="173"/>
      <c r="Z79" s="164"/>
    </row>
    <row r="80" spans="1:26" ht="16.899999999999999" customHeight="1">
      <c r="B80" s="204"/>
      <c r="C80" s="212"/>
      <c r="D80" s="202"/>
      <c r="E80" s="207"/>
      <c r="F80" s="209"/>
      <c r="H80" s="207"/>
      <c r="L80" s="201"/>
      <c r="N80" s="174"/>
      <c r="O80" s="173"/>
      <c r="Z80" s="164"/>
    </row>
    <row r="81" spans="1:28" ht="16.899999999999999" customHeight="1">
      <c r="B81" s="204"/>
      <c r="C81" s="223"/>
      <c r="D81" s="202"/>
      <c r="E81" s="222">
        <f>SUM(E77:E80)</f>
        <v>11153.86</v>
      </c>
      <c r="F81" s="209"/>
      <c r="H81" s="222">
        <f>SUM(H77:H80)</f>
        <v>0</v>
      </c>
      <c r="L81" s="201"/>
      <c r="N81" s="174"/>
      <c r="O81" s="173"/>
      <c r="Z81" s="166"/>
    </row>
    <row r="82" spans="1:28" ht="7.15" customHeight="1">
      <c r="B82" s="204"/>
      <c r="C82" s="209"/>
      <c r="D82" s="209"/>
      <c r="E82" s="210"/>
      <c r="F82" s="209"/>
      <c r="L82" s="201"/>
      <c r="O82" s="32"/>
      <c r="Z82" s="164"/>
    </row>
    <row r="83" spans="1:28" ht="17.25" customHeight="1">
      <c r="B83" s="204"/>
      <c r="C83" s="1440" t="s">
        <v>289</v>
      </c>
      <c r="D83" s="1440"/>
      <c r="E83" s="208">
        <f>E74</f>
        <v>0</v>
      </c>
      <c r="F83" s="206"/>
      <c r="L83" s="201"/>
      <c r="N83" s="174"/>
      <c r="O83" s="173"/>
      <c r="Z83" s="166"/>
    </row>
    <row r="84" spans="1:28" ht="17.25" customHeight="1">
      <c r="B84" s="204"/>
      <c r="C84" s="1440" t="s">
        <v>281</v>
      </c>
      <c r="D84" s="1440"/>
      <c r="E84" s="221">
        <f>E81</f>
        <v>11153.86</v>
      </c>
      <c r="F84" s="206"/>
      <c r="L84" s="201"/>
      <c r="N84" s="174"/>
      <c r="O84" s="173"/>
      <c r="Z84" s="205"/>
    </row>
    <row r="85" spans="1:28" ht="17.25" customHeight="1">
      <c r="B85" s="204"/>
      <c r="C85" s="1440" t="s">
        <v>280</v>
      </c>
      <c r="D85" s="1440"/>
      <c r="E85" s="203">
        <f>E84-E83</f>
        <v>11153.86</v>
      </c>
      <c r="F85" s="202"/>
      <c r="L85" s="201"/>
      <c r="N85" s="174"/>
      <c r="O85" s="173"/>
      <c r="Z85" s="164"/>
    </row>
    <row r="86" spans="1:28" ht="7.5" customHeight="1">
      <c r="B86" s="172"/>
      <c r="E86" s="200" t="str">
        <f>IF(AND(COUNTA(DynamicCB_2)=0,E83=0,E84=0),"Pending",IF(ABS(E85)&gt;Tm_Tolerance,"Out of Balance","Reconciled"))</f>
        <v>Out of Balance</v>
      </c>
      <c r="F86" s="170"/>
      <c r="G86" s="169"/>
      <c r="H86" s="169"/>
      <c r="I86" s="169"/>
      <c r="J86" s="169"/>
      <c r="K86" s="168"/>
      <c r="L86" s="167"/>
      <c r="Z86" s="166"/>
    </row>
    <row r="87" spans="1:28" ht="22.5" customHeight="1">
      <c r="C87" s="199"/>
      <c r="D87" s="199"/>
      <c r="Z87" s="164"/>
    </row>
    <row r="88" spans="1:28" ht="22.5" customHeight="1">
      <c r="A88" s="61" t="str">
        <f>IF(SUBTOTAL(103,A89),"-","+")</f>
        <v>-</v>
      </c>
      <c r="B88" s="1449" t="s">
        <v>288</v>
      </c>
      <c r="C88" s="1699"/>
      <c r="D88" s="1699"/>
      <c r="E88" s="220" t="str">
        <f>E101</f>
        <v>Out of Balance</v>
      </c>
      <c r="F88" s="197"/>
      <c r="G88" s="197"/>
      <c r="H88" s="197"/>
      <c r="I88" s="197"/>
      <c r="J88" s="197"/>
      <c r="Z88" s="164"/>
    </row>
    <row r="89" spans="1:28" ht="7.5" customHeight="1">
      <c r="A89" s="65" t="s">
        <v>58</v>
      </c>
      <c r="B89" s="196"/>
      <c r="C89" s="193"/>
      <c r="D89" s="193"/>
      <c r="E89" s="219"/>
      <c r="F89" s="218"/>
      <c r="G89" s="195"/>
      <c r="H89" s="194"/>
      <c r="I89" s="194"/>
      <c r="J89" s="194"/>
      <c r="K89" s="193"/>
      <c r="L89" s="192"/>
      <c r="Z89" s="166"/>
    </row>
    <row r="90" spans="1:28" s="17" customFormat="1" ht="16.899999999999999" customHeight="1">
      <c r="B90" s="59"/>
      <c r="C90" s="1498" t="s">
        <v>287</v>
      </c>
      <c r="D90" s="1498"/>
      <c r="E90" s="1498"/>
      <c r="F90" s="1498"/>
      <c r="G90" s="1498"/>
      <c r="H90" s="1498"/>
      <c r="I90" s="1498"/>
      <c r="J90" s="1498"/>
      <c r="K90" s="1498"/>
      <c r="L90" s="191"/>
      <c r="N90" s="217"/>
      <c r="O90" s="217"/>
      <c r="P90" s="65"/>
      <c r="Q90" s="65"/>
      <c r="R90" s="65"/>
      <c r="S90" s="65"/>
      <c r="T90" s="65"/>
      <c r="U90" s="65"/>
      <c r="V90" s="65"/>
      <c r="Z90" s="164"/>
    </row>
    <row r="91" spans="1:28" s="17" customFormat="1" ht="16.899999999999999" customHeight="1">
      <c r="B91" s="59"/>
      <c r="C91" s="1499" t="s">
        <v>286</v>
      </c>
      <c r="D91" s="1499"/>
      <c r="E91" s="1499"/>
      <c r="F91" s="1499"/>
      <c r="G91" s="1499"/>
      <c r="H91" s="1499"/>
      <c r="I91" s="1499"/>
      <c r="J91" s="1499"/>
      <c r="K91" s="1499"/>
      <c r="L91" s="191"/>
      <c r="N91" s="217"/>
      <c r="O91" s="217"/>
      <c r="P91" s="65"/>
      <c r="Q91" s="65"/>
      <c r="R91" s="65"/>
      <c r="S91" s="65"/>
      <c r="T91" s="65"/>
      <c r="U91" s="65"/>
      <c r="V91" s="65"/>
      <c r="W91" s="98"/>
      <c r="X91" s="98"/>
      <c r="Y91" s="98"/>
      <c r="Z91" s="98"/>
      <c r="AA91" s="98"/>
      <c r="AB91" s="98"/>
    </row>
    <row r="92" spans="1:28" s="17" customFormat="1" ht="7.5" customHeight="1">
      <c r="B92" s="59"/>
      <c r="C92" s="216"/>
      <c r="D92" s="216"/>
      <c r="E92" s="216"/>
      <c r="F92" s="216"/>
      <c r="G92" s="216"/>
      <c r="H92" s="216"/>
      <c r="I92" s="216"/>
      <c r="J92" s="216"/>
      <c r="K92" s="216"/>
      <c r="L92" s="191"/>
      <c r="N92" s="18"/>
      <c r="O92" s="186"/>
      <c r="P92" s="65"/>
      <c r="Q92" s="65"/>
      <c r="R92" s="65"/>
      <c r="S92" s="65"/>
      <c r="T92" s="65"/>
      <c r="U92" s="65"/>
      <c r="V92" s="65"/>
      <c r="Z92" s="164"/>
    </row>
    <row r="93" spans="1:28" ht="16.899999999999999" customHeight="1">
      <c r="B93" s="204"/>
      <c r="C93" s="215" t="s">
        <v>285</v>
      </c>
      <c r="D93" s="214" t="s">
        <v>284</v>
      </c>
      <c r="E93" s="213">
        <f>CurrentPAYGOutstanding</f>
        <v>0</v>
      </c>
      <c r="G93" s="134"/>
      <c r="L93" s="201"/>
      <c r="N93" s="174"/>
      <c r="O93" s="173"/>
      <c r="Z93" s="164"/>
    </row>
    <row r="94" spans="1:28" ht="16.899999999999999" customHeight="1">
      <c r="B94" s="204"/>
      <c r="C94" s="212" t="s">
        <v>283</v>
      </c>
      <c r="D94" s="202"/>
      <c r="E94" s="207"/>
      <c r="G94" s="209"/>
      <c r="L94" s="201"/>
      <c r="N94" s="174"/>
      <c r="O94" s="173"/>
      <c r="Z94" s="164"/>
    </row>
    <row r="95" spans="1:28" ht="16.899999999999999" customHeight="1">
      <c r="B95" s="204"/>
      <c r="C95" s="212"/>
      <c r="D95" s="202"/>
      <c r="E95" s="207"/>
      <c r="G95" s="209"/>
      <c r="L95" s="201"/>
      <c r="N95" s="174"/>
      <c r="O95" s="173"/>
      <c r="Z95" s="164"/>
    </row>
    <row r="96" spans="1:28" ht="16.899999999999999" customHeight="1">
      <c r="B96" s="204"/>
      <c r="C96" s="211"/>
      <c r="D96" s="202"/>
      <c r="E96" s="207"/>
      <c r="G96" s="209"/>
      <c r="L96" s="201"/>
      <c r="N96" s="174"/>
      <c r="O96" s="173"/>
      <c r="Z96" s="166"/>
    </row>
    <row r="97" spans="1:26" ht="7.15" customHeight="1">
      <c r="B97" s="204"/>
      <c r="C97" s="209"/>
      <c r="D97" s="209"/>
      <c r="E97" s="210"/>
      <c r="G97" s="209"/>
      <c r="L97" s="201"/>
      <c r="O97" s="32"/>
      <c r="Z97" s="164"/>
    </row>
    <row r="98" spans="1:26" ht="17.25" customHeight="1">
      <c r="B98" s="204"/>
      <c r="C98" s="1440" t="s">
        <v>282</v>
      </c>
      <c r="D98" s="1440"/>
      <c r="E98" s="208">
        <f>SUM(E93:E97)</f>
        <v>0</v>
      </c>
      <c r="G98" s="206"/>
      <c r="L98" s="201"/>
      <c r="N98" s="174"/>
      <c r="O98" s="173"/>
      <c r="Z98" s="166"/>
    </row>
    <row r="99" spans="1:26" ht="17.25" customHeight="1">
      <c r="B99" s="204"/>
      <c r="C99" s="1440" t="s">
        <v>281</v>
      </c>
      <c r="D99" s="1440"/>
      <c r="E99" s="207">
        <f>IFERROR(-_xlfn.XLOOKUP("c301ddac-7ef3-4e4a-a28e-b0dd15ae94ed",Tx_LedgerReport.SourceAccountId,PrimaryBalances),0)</f>
        <v>1668</v>
      </c>
      <c r="G99" s="206"/>
      <c r="L99" s="201"/>
      <c r="N99" s="174"/>
      <c r="O99" s="173"/>
      <c r="Z99" s="205"/>
    </row>
    <row r="100" spans="1:26" ht="17.25" customHeight="1">
      <c r="B100" s="204"/>
      <c r="C100" s="1440" t="s">
        <v>280</v>
      </c>
      <c r="D100" s="1440"/>
      <c r="E100" s="203">
        <f>E99-E98</f>
        <v>1668</v>
      </c>
      <c r="G100" s="202"/>
      <c r="L100" s="201"/>
      <c r="N100" s="174"/>
      <c r="O100" s="173"/>
      <c r="Z100" s="164"/>
    </row>
    <row r="101" spans="1:26" ht="7.5" customHeight="1">
      <c r="B101" s="172"/>
      <c r="E101" s="200" t="str">
        <f>IF(AND(E98=0,E99=0),"Pending",IF(ABS(E100)&gt;Tm_Tolerance,"Out of Balance","Reconciled"))</f>
        <v>Out of Balance</v>
      </c>
      <c r="F101" s="170"/>
      <c r="G101" s="170"/>
      <c r="H101" s="169"/>
      <c r="I101" s="169"/>
      <c r="J101" s="169"/>
      <c r="K101" s="168"/>
      <c r="L101" s="167"/>
      <c r="Z101" s="166"/>
    </row>
    <row r="102" spans="1:26" ht="22.5" customHeight="1">
      <c r="C102" s="199"/>
      <c r="D102" s="199"/>
      <c r="Z102" s="164"/>
    </row>
    <row r="103" spans="1:26" ht="22.5" customHeight="1">
      <c r="A103" s="61" t="str">
        <f>IF(SUBTOTAL(103,A104),"-","+")</f>
        <v>+</v>
      </c>
      <c r="B103" s="1449" t="s">
        <v>279</v>
      </c>
      <c r="C103" s="1699"/>
      <c r="D103" s="1699"/>
      <c r="E103" s="198" t="str">
        <f>IF(SUM(E110:F121)&gt;0,"Contains Data","No Data")</f>
        <v>No Data</v>
      </c>
      <c r="F103" s="197"/>
      <c r="G103" s="197"/>
      <c r="H103" s="197"/>
      <c r="I103" s="197"/>
      <c r="J103" s="197"/>
      <c r="R103" s="65" t="s">
        <v>278</v>
      </c>
      <c r="Z103" s="166"/>
    </row>
    <row r="104" spans="1:26" ht="7.5" hidden="1" customHeight="1">
      <c r="A104" s="65" t="s">
        <v>58</v>
      </c>
      <c r="B104" s="196"/>
      <c r="C104" s="195"/>
      <c r="D104" s="195"/>
      <c r="E104" s="195"/>
      <c r="F104" s="195"/>
      <c r="G104" s="195"/>
      <c r="H104" s="194"/>
      <c r="I104" s="194"/>
      <c r="J104" s="194"/>
      <c r="K104" s="193"/>
      <c r="L104" s="192"/>
      <c r="Z104" s="164"/>
    </row>
    <row r="105" spans="1:26" s="17" customFormat="1" ht="22.5" hidden="1" customHeight="1">
      <c r="B105" s="59"/>
      <c r="C105" s="1498" t="s">
        <v>277</v>
      </c>
      <c r="D105" s="1498"/>
      <c r="E105" s="1498"/>
      <c r="F105" s="1498"/>
      <c r="G105" s="1498"/>
      <c r="H105" s="1498"/>
      <c r="I105" s="1498"/>
      <c r="J105" s="1702" t="s">
        <v>276</v>
      </c>
      <c r="K105" s="1703"/>
      <c r="L105" s="191"/>
      <c r="N105" s="18"/>
      <c r="O105" s="186"/>
      <c r="P105" s="65"/>
      <c r="Q105" s="65"/>
      <c r="R105" s="1701" t="s">
        <v>273</v>
      </c>
      <c r="S105" s="1701"/>
      <c r="T105" s="1701"/>
      <c r="U105" s="65"/>
      <c r="V105" s="1700" t="s">
        <v>159</v>
      </c>
      <c r="W105" s="1700"/>
      <c r="X105" s="1700"/>
      <c r="Z105" s="164"/>
    </row>
    <row r="106" spans="1:26" s="17" customFormat="1" ht="7.5" hidden="1" customHeight="1">
      <c r="B106" s="53"/>
      <c r="L106" s="33"/>
      <c r="N106" s="18"/>
      <c r="O106" s="186"/>
      <c r="P106" s="65"/>
      <c r="Q106" s="65"/>
      <c r="R106" s="17">
        <f>IFERROR(MATCH(R107,BAS_PAYGW_Labels,0),NA())</f>
        <v>1</v>
      </c>
      <c r="U106" s="65"/>
      <c r="V106" s="17">
        <f>IFERROR(MATCH(V107,BAS_PAYGW_Labels,0),NA())</f>
        <v>2</v>
      </c>
      <c r="Z106" s="166"/>
    </row>
    <row r="107" spans="1:26" s="17" customFormat="1" ht="22.5" hidden="1" customHeight="1">
      <c r="B107" s="53"/>
      <c r="E107" s="1717" t="s">
        <v>275</v>
      </c>
      <c r="F107" s="1718"/>
      <c r="H107" s="1717" t="s">
        <v>274</v>
      </c>
      <c r="I107" s="1719"/>
      <c r="J107" s="1719"/>
      <c r="K107" s="1718"/>
      <c r="L107" s="33"/>
      <c r="N107" s="189"/>
      <c r="O107" s="189"/>
      <c r="P107" s="65"/>
      <c r="Q107" s="65"/>
      <c r="R107" s="188" t="s">
        <v>140</v>
      </c>
      <c r="S107" s="188" t="s">
        <v>273</v>
      </c>
      <c r="T107" s="79"/>
      <c r="V107" s="188" t="s">
        <v>139</v>
      </c>
      <c r="W107" s="188" t="s">
        <v>272</v>
      </c>
      <c r="X107" s="79"/>
      <c r="Z107" s="164"/>
    </row>
    <row r="108" spans="1:26" s="31" customFormat="1" ht="31.5" hidden="1" customHeight="1">
      <c r="B108" s="41"/>
      <c r="C108" s="17"/>
      <c r="D108" s="112"/>
      <c r="E108" s="1715" t="s">
        <v>271</v>
      </c>
      <c r="F108" s="1716"/>
      <c r="H108" s="1715" t="s">
        <v>271</v>
      </c>
      <c r="I108" s="1720"/>
      <c r="J108" s="36" t="s">
        <v>270</v>
      </c>
      <c r="K108" s="35" t="s">
        <v>269</v>
      </c>
      <c r="L108" s="190"/>
      <c r="M108" s="17"/>
      <c r="N108" s="189"/>
      <c r="O108" s="189"/>
      <c r="P108" s="65"/>
      <c r="Q108" s="65"/>
      <c r="R108" s="188" t="s">
        <v>267</v>
      </c>
      <c r="S108" s="188" t="s">
        <v>268</v>
      </c>
      <c r="T108" s="79" t="s">
        <v>265</v>
      </c>
      <c r="V108" s="188" t="s">
        <v>267</v>
      </c>
      <c r="W108" s="188" t="s">
        <v>266</v>
      </c>
      <c r="X108" s="79" t="s">
        <v>265</v>
      </c>
      <c r="Z108" s="166"/>
    </row>
    <row r="109" spans="1:26" s="17" customFormat="1" ht="7.5" hidden="1" customHeight="1">
      <c r="B109" s="187"/>
      <c r="D109" s="112"/>
      <c r="L109" s="33"/>
      <c r="N109" s="18"/>
      <c r="O109" s="186"/>
      <c r="P109" s="65"/>
      <c r="Q109" s="65"/>
      <c r="R109" s="185">
        <f>COUNTIF(R110:R121,"&gt;0")</f>
        <v>0</v>
      </c>
      <c r="S109" s="185">
        <f>COUNTIF(S110:S121,"&gt;0")</f>
        <v>0</v>
      </c>
      <c r="V109" s="185">
        <f>COUNTIF(V110:V121,"&gt;0")</f>
        <v>0</v>
      </c>
      <c r="W109" s="185">
        <f>COUNTIF(W110:W121,"&gt;0")</f>
        <v>0</v>
      </c>
      <c r="Z109" s="164"/>
    </row>
    <row r="110" spans="1:26" s="18" customFormat="1" ht="17.25" hidden="1" customHeight="1">
      <c r="B110" s="180">
        <f t="shared" ref="B110:B121" si="7">IFERROR(MATCH(C110,BAS_Dates,0),NA())</f>
        <v>3</v>
      </c>
      <c r="C110" s="184">
        <f t="shared" ref="C110:C120" si="8">DATE(YEAR(C111),MONTH(C111),0)</f>
        <v>45138</v>
      </c>
      <c r="D110" s="183">
        <v>1</v>
      </c>
      <c r="E110" s="26"/>
      <c r="F110" s="25">
        <f t="shared" ref="F110:F121" si="9">IF(ISBLANK(E110)&lt;&gt;TRUE,E110,T110)</f>
        <v>0</v>
      </c>
      <c r="G110" s="182"/>
      <c r="H110" s="26"/>
      <c r="I110" s="25">
        <f t="shared" ref="I110:I121" si="10">IF(ISBLANK(H110)&lt;&gt;TRUE,H110,X110)</f>
        <v>0</v>
      </c>
      <c r="J110" s="26">
        <f t="shared" ref="J110:J120" si="11">I110</f>
        <v>0</v>
      </c>
      <c r="K110" s="25">
        <f t="shared" ref="K110:K121" si="12">IF(I110="",0,I110)-IF(J110="",0,J110)</f>
        <v>0</v>
      </c>
      <c r="L110" s="175"/>
      <c r="M110" s="17"/>
      <c r="N110" s="174"/>
      <c r="O110" s="173"/>
      <c r="P110" s="65"/>
      <c r="Q110" s="65" t="b">
        <f>IF(Frequency&lt;&gt;"Monthly",TRUE,FALSE)</f>
        <v>0</v>
      </c>
      <c r="R110" s="181" t="str" cm="1">
        <f t="array" ref="R110">IFERROR(INDEX(BAS_PAYGW_Values,$B110,R$106),"")</f>
        <v/>
      </c>
      <c r="S110" s="181">
        <f t="shared" ref="S110:S121" si="13">IFERROR(SUMIF(SheetNamedRangesNames,"J10_"&amp;S$107&amp;TEXT($C110,"mmm"),SheetNamedRangesValues),0)</f>
        <v>0</v>
      </c>
      <c r="T110" s="181">
        <f t="shared" ref="T110:T121" si="14">IF(SUM($R$109,$V$109)&gt;0,R110,S110)</f>
        <v>0</v>
      </c>
      <c r="V110" s="181" t="str" cm="1">
        <f t="array" ref="V110">IFERROR(INDEX(BAS_PAYGW_Values,$B110,V$106),"")</f>
        <v/>
      </c>
      <c r="W110" s="181">
        <f t="shared" ref="W110:W121" si="15">IFERROR(SUMIF(SheetNamedRangesNames,"J10_"&amp;W$107&amp;TEXT($C110,"mmm"),SheetNamedRangesValues),0)</f>
        <v>0</v>
      </c>
      <c r="X110" s="181">
        <f t="shared" ref="X110:X121" si="16">IF(SUM($R$109,$V$109)&gt;0,V110,W110)</f>
        <v>0</v>
      </c>
      <c r="Z110" s="164"/>
    </row>
    <row r="111" spans="1:26" s="18" customFormat="1" ht="17.25" hidden="1" customHeight="1">
      <c r="B111" s="180">
        <f t="shared" si="7"/>
        <v>4</v>
      </c>
      <c r="C111" s="184">
        <f t="shared" si="8"/>
        <v>45169</v>
      </c>
      <c r="D111" s="183">
        <v>2</v>
      </c>
      <c r="E111" s="26"/>
      <c r="F111" s="25">
        <f t="shared" si="9"/>
        <v>0</v>
      </c>
      <c r="G111" s="182"/>
      <c r="H111" s="26"/>
      <c r="I111" s="25">
        <f t="shared" si="10"/>
        <v>0</v>
      </c>
      <c r="J111" s="26">
        <f t="shared" si="11"/>
        <v>0</v>
      </c>
      <c r="K111" s="25">
        <f t="shared" si="12"/>
        <v>0</v>
      </c>
      <c r="L111" s="175"/>
      <c r="M111" s="17"/>
      <c r="N111" s="174"/>
      <c r="O111" s="173"/>
      <c r="P111" s="65"/>
      <c r="Q111" s="65" t="b">
        <f>IF(Frequency&lt;&gt;"Monthly",TRUE,FALSE)</f>
        <v>0</v>
      </c>
      <c r="R111" s="181" t="str" cm="1">
        <f t="array" ref="R111">IFERROR(INDEX(BAS_PAYGW_Values,$B111,R$106),"")</f>
        <v/>
      </c>
      <c r="S111" s="181">
        <f t="shared" si="13"/>
        <v>0</v>
      </c>
      <c r="T111" s="181">
        <f t="shared" si="14"/>
        <v>0</v>
      </c>
      <c r="V111" s="181" t="str" cm="1">
        <f t="array" ref="V111">IFERROR(INDEX(BAS_PAYGW_Values,$B111,V$106),"")</f>
        <v/>
      </c>
      <c r="W111" s="181">
        <f t="shared" si="15"/>
        <v>0</v>
      </c>
      <c r="X111" s="181">
        <f t="shared" si="16"/>
        <v>0</v>
      </c>
      <c r="Z111" s="166"/>
    </row>
    <row r="112" spans="1:26" s="18" customFormat="1" ht="17.25" hidden="1" customHeight="1">
      <c r="B112" s="180">
        <f t="shared" si="7"/>
        <v>5</v>
      </c>
      <c r="C112" s="184">
        <f t="shared" si="8"/>
        <v>45199</v>
      </c>
      <c r="D112" s="183">
        <v>3</v>
      </c>
      <c r="E112" s="26"/>
      <c r="F112" s="25">
        <f t="shared" si="9"/>
        <v>0</v>
      </c>
      <c r="G112" s="182"/>
      <c r="H112" s="26"/>
      <c r="I112" s="25">
        <f t="shared" si="10"/>
        <v>0</v>
      </c>
      <c r="J112" s="26">
        <f t="shared" si="11"/>
        <v>0</v>
      </c>
      <c r="K112" s="25">
        <f t="shared" si="12"/>
        <v>0</v>
      </c>
      <c r="L112" s="175"/>
      <c r="M112" s="17"/>
      <c r="N112" s="174"/>
      <c r="O112" s="173"/>
      <c r="P112" s="65"/>
      <c r="Q112" s="65"/>
      <c r="R112" s="181" t="str" cm="1">
        <f t="array" ref="R112">IFERROR(INDEX(BAS_PAYGW_Values,$B112,R$106),"")</f>
        <v/>
      </c>
      <c r="S112" s="181">
        <f t="shared" si="13"/>
        <v>0</v>
      </c>
      <c r="T112" s="181">
        <f t="shared" si="14"/>
        <v>0</v>
      </c>
      <c r="V112" s="181" t="str" cm="1">
        <f t="array" ref="V112">IFERROR(INDEX(BAS_PAYGW_Values,$B112,V$106),"")</f>
        <v/>
      </c>
      <c r="W112" s="181">
        <f t="shared" si="15"/>
        <v>0</v>
      </c>
      <c r="X112" s="181">
        <f t="shared" si="16"/>
        <v>0</v>
      </c>
      <c r="Z112" s="164"/>
    </row>
    <row r="113" spans="2:26" s="18" customFormat="1" ht="17.25" hidden="1" customHeight="1">
      <c r="B113" s="180">
        <f t="shared" si="7"/>
        <v>6</v>
      </c>
      <c r="C113" s="184">
        <f t="shared" si="8"/>
        <v>45230</v>
      </c>
      <c r="D113" s="183">
        <v>4</v>
      </c>
      <c r="E113" s="26"/>
      <c r="F113" s="25">
        <f t="shared" si="9"/>
        <v>0</v>
      </c>
      <c r="G113" s="182"/>
      <c r="H113" s="26"/>
      <c r="I113" s="25">
        <f t="shared" si="10"/>
        <v>0</v>
      </c>
      <c r="J113" s="26">
        <f t="shared" si="11"/>
        <v>0</v>
      </c>
      <c r="K113" s="25">
        <f t="shared" si="12"/>
        <v>0</v>
      </c>
      <c r="L113" s="175"/>
      <c r="M113" s="17"/>
      <c r="N113" s="174"/>
      <c r="O113" s="173"/>
      <c r="P113" s="65"/>
      <c r="Q113" s="65" t="b">
        <f>IF(Frequency&lt;&gt;"Monthly",TRUE,FALSE)</f>
        <v>0</v>
      </c>
      <c r="R113" s="181" t="str" cm="1">
        <f t="array" ref="R113">IFERROR(INDEX(BAS_PAYGW_Values,$B113,R$106),"")</f>
        <v/>
      </c>
      <c r="S113" s="181">
        <f t="shared" si="13"/>
        <v>0</v>
      </c>
      <c r="T113" s="181">
        <f t="shared" si="14"/>
        <v>0</v>
      </c>
      <c r="V113" s="181" t="str" cm="1">
        <f t="array" ref="V113">IFERROR(INDEX(BAS_PAYGW_Values,$B113,V$106),"")</f>
        <v/>
      </c>
      <c r="W113" s="181">
        <f t="shared" si="15"/>
        <v>0</v>
      </c>
      <c r="X113" s="181">
        <f t="shared" si="16"/>
        <v>0</v>
      </c>
      <c r="Z113" s="164"/>
    </row>
    <row r="114" spans="2:26" s="18" customFormat="1" ht="17.25" hidden="1" customHeight="1">
      <c r="B114" s="180">
        <f t="shared" si="7"/>
        <v>7</v>
      </c>
      <c r="C114" s="184">
        <f t="shared" si="8"/>
        <v>45260</v>
      </c>
      <c r="D114" s="183">
        <v>5</v>
      </c>
      <c r="E114" s="26"/>
      <c r="F114" s="25">
        <f t="shared" si="9"/>
        <v>0</v>
      </c>
      <c r="G114" s="182"/>
      <c r="H114" s="26"/>
      <c r="I114" s="25">
        <f t="shared" si="10"/>
        <v>0</v>
      </c>
      <c r="J114" s="26">
        <f t="shared" si="11"/>
        <v>0</v>
      </c>
      <c r="K114" s="25">
        <f t="shared" si="12"/>
        <v>0</v>
      </c>
      <c r="L114" s="175"/>
      <c r="M114" s="17"/>
      <c r="N114" s="174"/>
      <c r="O114" s="173"/>
      <c r="P114" s="65"/>
      <c r="Q114" s="65" t="b">
        <f>IF(Frequency&lt;&gt;"Monthly",TRUE,FALSE)</f>
        <v>0</v>
      </c>
      <c r="R114" s="181" t="str" cm="1">
        <f t="array" ref="R114">IFERROR(INDEX(BAS_PAYGW_Values,$B114,R$106),"")</f>
        <v/>
      </c>
      <c r="S114" s="181">
        <f t="shared" si="13"/>
        <v>0</v>
      </c>
      <c r="T114" s="181">
        <f t="shared" si="14"/>
        <v>0</v>
      </c>
      <c r="V114" s="181" t="str" cm="1">
        <f t="array" ref="V114">IFERROR(INDEX(BAS_PAYGW_Values,$B114,V$106),"")</f>
        <v/>
      </c>
      <c r="W114" s="181">
        <f t="shared" si="15"/>
        <v>0</v>
      </c>
      <c r="X114" s="181">
        <f t="shared" si="16"/>
        <v>0</v>
      </c>
      <c r="Z114" s="166"/>
    </row>
    <row r="115" spans="2:26" s="18" customFormat="1" ht="17.25" hidden="1" customHeight="1">
      <c r="B115" s="180">
        <f t="shared" si="7"/>
        <v>8</v>
      </c>
      <c r="C115" s="184">
        <f t="shared" si="8"/>
        <v>45291</v>
      </c>
      <c r="D115" s="183">
        <v>6</v>
      </c>
      <c r="E115" s="26"/>
      <c r="F115" s="25">
        <f t="shared" si="9"/>
        <v>0</v>
      </c>
      <c r="G115" s="182"/>
      <c r="H115" s="26"/>
      <c r="I115" s="25">
        <f t="shared" si="10"/>
        <v>0</v>
      </c>
      <c r="J115" s="26">
        <f t="shared" si="11"/>
        <v>0</v>
      </c>
      <c r="K115" s="25">
        <f t="shared" si="12"/>
        <v>0</v>
      </c>
      <c r="L115" s="175"/>
      <c r="M115" s="17"/>
      <c r="N115" s="174"/>
      <c r="O115" s="173"/>
      <c r="P115" s="65"/>
      <c r="Q115" s="65"/>
      <c r="R115" s="181" t="str" cm="1">
        <f t="array" ref="R115">IFERROR(INDEX(BAS_PAYGW_Values,$B115,R$106),"")</f>
        <v/>
      </c>
      <c r="S115" s="181">
        <f t="shared" si="13"/>
        <v>0</v>
      </c>
      <c r="T115" s="181">
        <f t="shared" si="14"/>
        <v>0</v>
      </c>
      <c r="V115" s="181" t="str" cm="1">
        <f t="array" ref="V115">IFERROR(INDEX(BAS_PAYGW_Values,$B115,V$106),"")</f>
        <v/>
      </c>
      <c r="W115" s="181">
        <f t="shared" si="15"/>
        <v>0</v>
      </c>
      <c r="X115" s="181">
        <f t="shared" si="16"/>
        <v>0</v>
      </c>
      <c r="Z115" s="164"/>
    </row>
    <row r="116" spans="2:26" s="18" customFormat="1" ht="17.25" hidden="1" customHeight="1">
      <c r="B116" s="180">
        <f t="shared" si="7"/>
        <v>9</v>
      </c>
      <c r="C116" s="184">
        <f t="shared" si="8"/>
        <v>45322</v>
      </c>
      <c r="D116" s="183">
        <v>7</v>
      </c>
      <c r="E116" s="26"/>
      <c r="F116" s="25">
        <f t="shared" si="9"/>
        <v>0</v>
      </c>
      <c r="G116" s="182"/>
      <c r="H116" s="26"/>
      <c r="I116" s="25">
        <f t="shared" si="10"/>
        <v>0</v>
      </c>
      <c r="J116" s="26">
        <f t="shared" si="11"/>
        <v>0</v>
      </c>
      <c r="K116" s="25">
        <f t="shared" si="12"/>
        <v>0</v>
      </c>
      <c r="L116" s="175"/>
      <c r="M116" s="17"/>
      <c r="N116" s="174"/>
      <c r="O116" s="173"/>
      <c r="P116" s="65"/>
      <c r="Q116" s="65" t="b">
        <f>IF(Frequency&lt;&gt;"Monthly",TRUE,FALSE)</f>
        <v>0</v>
      </c>
      <c r="R116" s="181" t="str" cm="1">
        <f t="array" ref="R116">IFERROR(INDEX(BAS_PAYGW_Values,$B116,R$106),"")</f>
        <v/>
      </c>
      <c r="S116" s="181">
        <f t="shared" si="13"/>
        <v>0</v>
      </c>
      <c r="T116" s="181">
        <f t="shared" si="14"/>
        <v>0</v>
      </c>
      <c r="V116" s="181" t="str" cm="1">
        <f t="array" ref="V116">IFERROR(INDEX(BAS_PAYGW_Values,$B116,V$106),"")</f>
        <v/>
      </c>
      <c r="W116" s="181">
        <f t="shared" si="15"/>
        <v>0</v>
      </c>
      <c r="X116" s="181">
        <f t="shared" si="16"/>
        <v>0</v>
      </c>
      <c r="Z116" s="164"/>
    </row>
    <row r="117" spans="2:26" s="18" customFormat="1" ht="17.25" hidden="1" customHeight="1">
      <c r="B117" s="180">
        <f t="shared" si="7"/>
        <v>10</v>
      </c>
      <c r="C117" s="184">
        <f t="shared" si="8"/>
        <v>45351</v>
      </c>
      <c r="D117" s="183">
        <v>8</v>
      </c>
      <c r="E117" s="26"/>
      <c r="F117" s="25">
        <f t="shared" si="9"/>
        <v>0</v>
      </c>
      <c r="G117" s="182"/>
      <c r="H117" s="26"/>
      <c r="I117" s="25">
        <f t="shared" si="10"/>
        <v>0</v>
      </c>
      <c r="J117" s="26">
        <f t="shared" si="11"/>
        <v>0</v>
      </c>
      <c r="K117" s="25">
        <f t="shared" si="12"/>
        <v>0</v>
      </c>
      <c r="L117" s="175"/>
      <c r="M117" s="17"/>
      <c r="N117" s="174"/>
      <c r="O117" s="173"/>
      <c r="P117" s="65"/>
      <c r="Q117" s="65" t="b">
        <f>IF(Frequency&lt;&gt;"Monthly",TRUE,FALSE)</f>
        <v>0</v>
      </c>
      <c r="R117" s="181" t="str" cm="1">
        <f t="array" ref="R117">IFERROR(INDEX(BAS_PAYGW_Values,$B117,R$106),"")</f>
        <v/>
      </c>
      <c r="S117" s="181">
        <f t="shared" si="13"/>
        <v>0</v>
      </c>
      <c r="T117" s="181">
        <f t="shared" si="14"/>
        <v>0</v>
      </c>
      <c r="V117" s="181" t="str" cm="1">
        <f t="array" ref="V117">IFERROR(INDEX(BAS_PAYGW_Values,$B117,V$106),"")</f>
        <v/>
      </c>
      <c r="W117" s="181">
        <f t="shared" si="15"/>
        <v>0</v>
      </c>
      <c r="X117" s="181">
        <f t="shared" si="16"/>
        <v>0</v>
      </c>
      <c r="Z117" s="166"/>
    </row>
    <row r="118" spans="2:26" s="18" customFormat="1" ht="17.25" hidden="1" customHeight="1">
      <c r="B118" s="180">
        <f t="shared" si="7"/>
        <v>11</v>
      </c>
      <c r="C118" s="184">
        <f t="shared" si="8"/>
        <v>45382</v>
      </c>
      <c r="D118" s="183">
        <v>9</v>
      </c>
      <c r="E118" s="26"/>
      <c r="F118" s="25">
        <f t="shared" si="9"/>
        <v>0</v>
      </c>
      <c r="G118" s="182"/>
      <c r="H118" s="26"/>
      <c r="I118" s="25">
        <f t="shared" si="10"/>
        <v>0</v>
      </c>
      <c r="J118" s="26">
        <f t="shared" si="11"/>
        <v>0</v>
      </c>
      <c r="K118" s="25">
        <f t="shared" si="12"/>
        <v>0</v>
      </c>
      <c r="L118" s="175"/>
      <c r="M118" s="17"/>
      <c r="N118" s="174"/>
      <c r="O118" s="173"/>
      <c r="P118" s="65"/>
      <c r="Q118" s="65"/>
      <c r="R118" s="181" t="str" cm="1">
        <f t="array" ref="R118">IFERROR(INDEX(BAS_PAYGW_Values,$B118,R$106),"")</f>
        <v/>
      </c>
      <c r="S118" s="181">
        <f t="shared" si="13"/>
        <v>0</v>
      </c>
      <c r="T118" s="181">
        <f t="shared" si="14"/>
        <v>0</v>
      </c>
      <c r="V118" s="181" t="str" cm="1">
        <f t="array" ref="V118">IFERROR(INDEX(BAS_PAYGW_Values,$B118,V$106),"")</f>
        <v/>
      </c>
      <c r="W118" s="181">
        <f t="shared" si="15"/>
        <v>0</v>
      </c>
      <c r="X118" s="181">
        <f t="shared" si="16"/>
        <v>0</v>
      </c>
      <c r="Z118" s="164"/>
    </row>
    <row r="119" spans="2:26" s="18" customFormat="1" ht="17.25" hidden="1" customHeight="1">
      <c r="B119" s="180">
        <f t="shared" si="7"/>
        <v>12</v>
      </c>
      <c r="C119" s="184">
        <f t="shared" si="8"/>
        <v>45412</v>
      </c>
      <c r="D119" s="183">
        <v>10</v>
      </c>
      <c r="E119" s="26"/>
      <c r="F119" s="25">
        <f t="shared" si="9"/>
        <v>0</v>
      </c>
      <c r="G119" s="182"/>
      <c r="H119" s="26"/>
      <c r="I119" s="25">
        <f t="shared" si="10"/>
        <v>0</v>
      </c>
      <c r="J119" s="26">
        <f t="shared" si="11"/>
        <v>0</v>
      </c>
      <c r="K119" s="25">
        <f t="shared" si="12"/>
        <v>0</v>
      </c>
      <c r="L119" s="175"/>
      <c r="M119" s="17"/>
      <c r="N119" s="174"/>
      <c r="O119" s="173"/>
      <c r="P119" s="65"/>
      <c r="Q119" s="65" t="b">
        <f>IF(Frequency&lt;&gt;"Monthly",TRUE,FALSE)</f>
        <v>0</v>
      </c>
      <c r="R119" s="181" t="str" cm="1">
        <f t="array" ref="R119">IFERROR(INDEX(BAS_PAYGW_Values,$B119,R$106),"")</f>
        <v/>
      </c>
      <c r="S119" s="181">
        <f t="shared" si="13"/>
        <v>0</v>
      </c>
      <c r="T119" s="181">
        <f t="shared" si="14"/>
        <v>0</v>
      </c>
      <c r="V119" s="181" t="str" cm="1">
        <f t="array" ref="V119">IFERROR(INDEX(BAS_PAYGW_Values,$B119,V$106),"")</f>
        <v/>
      </c>
      <c r="W119" s="181">
        <f t="shared" si="15"/>
        <v>0</v>
      </c>
      <c r="X119" s="181">
        <f t="shared" si="16"/>
        <v>0</v>
      </c>
      <c r="Z119" s="164"/>
    </row>
    <row r="120" spans="2:26" s="18" customFormat="1" ht="17.25" hidden="1" customHeight="1">
      <c r="B120" s="180">
        <f t="shared" si="7"/>
        <v>13</v>
      </c>
      <c r="C120" s="184">
        <f t="shared" si="8"/>
        <v>45443</v>
      </c>
      <c r="D120" s="183">
        <v>11</v>
      </c>
      <c r="E120" s="26"/>
      <c r="F120" s="25">
        <f t="shared" si="9"/>
        <v>0</v>
      </c>
      <c r="G120" s="182"/>
      <c r="H120" s="26"/>
      <c r="I120" s="25">
        <f t="shared" si="10"/>
        <v>0</v>
      </c>
      <c r="J120" s="26">
        <f t="shared" si="11"/>
        <v>0</v>
      </c>
      <c r="K120" s="25">
        <f t="shared" si="12"/>
        <v>0</v>
      </c>
      <c r="L120" s="175"/>
      <c r="M120" s="17"/>
      <c r="N120" s="174"/>
      <c r="O120" s="173"/>
      <c r="P120" s="65"/>
      <c r="Q120" s="65" t="b">
        <f>IF(Frequency&lt;&gt;"Monthly",TRUE,FALSE)</f>
        <v>0</v>
      </c>
      <c r="R120" s="181" t="str" cm="1">
        <f t="array" ref="R120">IFERROR(INDEX(BAS_PAYGW_Values,$B120,R$106),"")</f>
        <v/>
      </c>
      <c r="S120" s="181">
        <f t="shared" si="13"/>
        <v>0</v>
      </c>
      <c r="T120" s="181">
        <f t="shared" si="14"/>
        <v>0</v>
      </c>
      <c r="V120" s="181" t="str" cm="1">
        <f t="array" ref="V120">IFERROR(INDEX(BAS_PAYGW_Values,$B120,V$106),"")</f>
        <v/>
      </c>
      <c r="W120" s="181">
        <f t="shared" si="15"/>
        <v>0</v>
      </c>
      <c r="X120" s="181">
        <f t="shared" si="16"/>
        <v>0</v>
      </c>
      <c r="Z120" s="166"/>
    </row>
    <row r="121" spans="2:26" s="18" customFormat="1" ht="17.25" hidden="1" customHeight="1">
      <c r="B121" s="180">
        <f t="shared" si="7"/>
        <v>14</v>
      </c>
      <c r="C121" s="184">
        <f>TaxYearEnd</f>
        <v>45473</v>
      </c>
      <c r="D121" s="183">
        <v>12</v>
      </c>
      <c r="E121" s="26"/>
      <c r="F121" s="25">
        <f t="shared" si="9"/>
        <v>0</v>
      </c>
      <c r="G121" s="182"/>
      <c r="H121" s="26"/>
      <c r="I121" s="25">
        <f t="shared" si="10"/>
        <v>0</v>
      </c>
      <c r="J121" s="26"/>
      <c r="K121" s="25">
        <f t="shared" si="12"/>
        <v>0</v>
      </c>
      <c r="L121" s="175"/>
      <c r="M121" s="17"/>
      <c r="N121" s="174"/>
      <c r="O121" s="173"/>
      <c r="P121" s="65"/>
      <c r="Q121" s="17"/>
      <c r="R121" s="181" cm="1">
        <f t="array" ref="R121">IFERROR(INDEX(BAS_PAYGW_Values,$B121,R$106),"")</f>
        <v>0</v>
      </c>
      <c r="S121" s="181">
        <f t="shared" si="13"/>
        <v>0</v>
      </c>
      <c r="T121" s="181">
        <f t="shared" si="14"/>
        <v>0</v>
      </c>
      <c r="V121" s="181" cm="1">
        <f t="array" ref="V121">IFERROR(INDEX(BAS_PAYGW_Values,$B121,V$106),"")</f>
        <v>0</v>
      </c>
      <c r="W121" s="181">
        <f t="shared" si="15"/>
        <v>0</v>
      </c>
      <c r="X121" s="181">
        <f t="shared" si="16"/>
        <v>0</v>
      </c>
      <c r="Z121" s="164"/>
    </row>
    <row r="122" spans="2:26" s="18" customFormat="1" ht="17.25" hidden="1" customHeight="1">
      <c r="B122" s="180"/>
      <c r="C122" s="178"/>
      <c r="D122" s="179"/>
      <c r="E122" s="176"/>
      <c r="F122" s="176">
        <f>SUM(F110:F121)</f>
        <v>0</v>
      </c>
      <c r="G122" s="178"/>
      <c r="H122" s="176"/>
      <c r="I122" s="176"/>
      <c r="J122" s="177"/>
      <c r="K122" s="176">
        <f>SUM(K110:K121)</f>
        <v>0</v>
      </c>
      <c r="L122" s="175"/>
      <c r="M122" s="17"/>
      <c r="N122" s="174"/>
      <c r="O122" s="173"/>
      <c r="P122" s="65"/>
      <c r="Q122" s="65"/>
      <c r="R122" s="65"/>
      <c r="S122" s="65"/>
      <c r="T122" s="65"/>
      <c r="U122" s="65"/>
      <c r="Z122" s="164"/>
    </row>
    <row r="123" spans="2:26" ht="7.5" hidden="1" customHeight="1">
      <c r="B123" s="172"/>
      <c r="E123" s="171"/>
      <c r="F123" s="170"/>
      <c r="G123" s="170"/>
      <c r="H123" s="169"/>
      <c r="I123" s="169"/>
      <c r="J123" s="169"/>
      <c r="K123" s="168"/>
      <c r="L123" s="167"/>
      <c r="Z123" s="166"/>
    </row>
    <row r="124" spans="2:26" ht="22.5" customHeight="1">
      <c r="C124" s="165"/>
      <c r="D124" s="165"/>
      <c r="Z124" s="164"/>
    </row>
    <row r="125" spans="2:26" ht="7.5" hidden="1" customHeight="1">
      <c r="B125" s="163"/>
      <c r="C125" s="162"/>
      <c r="D125" s="162"/>
      <c r="E125" s="162"/>
      <c r="F125" s="161"/>
      <c r="G125" s="161"/>
      <c r="H125" s="160"/>
      <c r="I125" s="160"/>
      <c r="J125" s="160"/>
      <c r="K125" s="159"/>
      <c r="L125" s="158"/>
    </row>
    <row r="126" spans="2:26" ht="17.25" hidden="1" customHeight="1">
      <c r="B126" s="148"/>
      <c r="C126" s="156" t="s">
        <v>264</v>
      </c>
      <c r="L126" s="143"/>
    </row>
    <row r="127" spans="2:26" ht="7.5" hidden="1" customHeight="1">
      <c r="B127" s="148"/>
      <c r="L127" s="143"/>
    </row>
    <row r="128" spans="2:26" ht="17.25" hidden="1" customHeight="1">
      <c r="B128" s="148"/>
      <c r="E128" s="149" t="s">
        <v>263</v>
      </c>
      <c r="F128" s="145" t="s">
        <v>262</v>
      </c>
      <c r="L128" s="143"/>
    </row>
    <row r="129" spans="2:12" ht="17.25" hidden="1" customHeight="1">
      <c r="B129" s="148"/>
      <c r="C129" s="155" t="s">
        <v>261</v>
      </c>
      <c r="E129" s="157"/>
      <c r="F129" s="157"/>
      <c r="L129" s="143"/>
    </row>
    <row r="130" spans="2:12" ht="17.25" hidden="1" customHeight="1">
      <c r="B130" s="148"/>
      <c r="C130" s="155" t="s">
        <v>260</v>
      </c>
      <c r="E130" s="157"/>
      <c r="F130" s="157"/>
      <c r="L130" s="143"/>
    </row>
    <row r="131" spans="2:12" ht="17.25" hidden="1" customHeight="1">
      <c r="B131" s="148"/>
      <c r="C131" s="155" t="s">
        <v>259</v>
      </c>
      <c r="E131" s="157"/>
      <c r="F131" s="157"/>
      <c r="L131" s="143"/>
    </row>
    <row r="132" spans="2:12" ht="17.25" hidden="1" customHeight="1">
      <c r="B132" s="148"/>
      <c r="C132" s="155" t="s">
        <v>258</v>
      </c>
      <c r="E132" s="157"/>
      <c r="F132" s="157"/>
      <c r="L132" s="143"/>
    </row>
    <row r="133" spans="2:12" ht="17.25" hidden="1" customHeight="1">
      <c r="B133" s="148"/>
      <c r="C133" s="155" t="s">
        <v>257</v>
      </c>
      <c r="E133" s="157"/>
      <c r="F133" s="157"/>
      <c r="L133" s="143"/>
    </row>
    <row r="134" spans="2:12" ht="17.25" hidden="1" customHeight="1">
      <c r="B134" s="148"/>
      <c r="C134" s="155" t="s">
        <v>256</v>
      </c>
      <c r="E134" s="157"/>
      <c r="F134" s="157"/>
      <c r="L134" s="143"/>
    </row>
    <row r="135" spans="2:12" ht="17.25" hidden="1" customHeight="1">
      <c r="B135" s="148"/>
      <c r="C135" s="155" t="s">
        <v>255</v>
      </c>
      <c r="E135" s="157"/>
      <c r="F135" s="157"/>
      <c r="L135" s="143"/>
    </row>
    <row r="136" spans="2:12" ht="17.25" hidden="1" customHeight="1">
      <c r="B136" s="148"/>
      <c r="C136" s="155" t="s">
        <v>254</v>
      </c>
      <c r="E136" s="157"/>
      <c r="F136" s="157"/>
      <c r="L136" s="143"/>
    </row>
    <row r="137" spans="2:12" ht="17.25" hidden="1" customHeight="1">
      <c r="B137" s="148"/>
      <c r="C137" s="155" t="s">
        <v>253</v>
      </c>
      <c r="E137" s="157"/>
      <c r="F137" s="157"/>
      <c r="L137" s="143"/>
    </row>
    <row r="138" spans="2:12" ht="17.25" hidden="1" customHeight="1">
      <c r="B138" s="148"/>
      <c r="C138" s="155" t="s">
        <v>252</v>
      </c>
      <c r="E138" s="157"/>
      <c r="F138" s="157"/>
      <c r="L138" s="143"/>
    </row>
    <row r="139" spans="2:12" ht="17.25" hidden="1" customHeight="1">
      <c r="B139" s="148"/>
      <c r="C139" s="155" t="s">
        <v>251</v>
      </c>
      <c r="E139" s="157"/>
      <c r="F139" s="157"/>
      <c r="L139" s="143"/>
    </row>
    <row r="140" spans="2:12" ht="17.25" hidden="1" customHeight="1">
      <c r="B140" s="148"/>
      <c r="C140" s="155" t="s">
        <v>250</v>
      </c>
      <c r="E140" s="157"/>
      <c r="F140" s="157"/>
      <c r="L140" s="143"/>
    </row>
    <row r="141" spans="2:12" ht="7.5" hidden="1" customHeight="1">
      <c r="B141" s="148"/>
      <c r="L141" s="143"/>
    </row>
    <row r="142" spans="2:12" ht="17.25" hidden="1" customHeight="1">
      <c r="B142" s="148"/>
      <c r="C142" s="156" t="s">
        <v>249</v>
      </c>
      <c r="D142" s="133"/>
      <c r="E142" s="149"/>
      <c r="F142" s="145"/>
      <c r="G142" s="145"/>
      <c r="H142" s="144"/>
      <c r="I142" s="144"/>
      <c r="J142" s="144"/>
      <c r="K142" s="133"/>
      <c r="L142" s="143"/>
    </row>
    <row r="143" spans="2:12" ht="7.5" hidden="1" customHeight="1">
      <c r="B143" s="148"/>
      <c r="C143" s="156"/>
      <c r="D143" s="133"/>
      <c r="E143" s="149"/>
      <c r="F143" s="145"/>
      <c r="G143" s="145"/>
      <c r="H143" s="144"/>
      <c r="I143" s="144"/>
      <c r="J143" s="144"/>
      <c r="K143" s="133"/>
      <c r="L143" s="143"/>
    </row>
    <row r="144" spans="2:12" ht="17.25" hidden="1" customHeight="1">
      <c r="B144" s="148"/>
      <c r="C144" s="155" t="s">
        <v>248</v>
      </c>
      <c r="D144" s="155"/>
      <c r="E144" s="149" t="s">
        <v>247</v>
      </c>
      <c r="F144" s="147" t="s">
        <v>246</v>
      </c>
      <c r="G144" s="145"/>
      <c r="H144" s="145"/>
      <c r="I144" s="154"/>
      <c r="J144" s="154"/>
      <c r="K144" s="154"/>
      <c r="L144" s="143"/>
    </row>
    <row r="145" spans="2:12" ht="17.25" hidden="1" customHeight="1">
      <c r="B145" s="148"/>
      <c r="C145" s="153">
        <v>2020</v>
      </c>
      <c r="D145" s="150"/>
      <c r="E145" s="152">
        <v>54166</v>
      </c>
      <c r="F145" s="150" t="s">
        <v>245</v>
      </c>
      <c r="G145" s="151"/>
      <c r="H145" s="150"/>
      <c r="I145" s="150"/>
      <c r="J145" s="150"/>
      <c r="K145" s="150"/>
      <c r="L145" s="143"/>
    </row>
    <row r="146" spans="2:12" ht="17.25" hidden="1" customHeight="1">
      <c r="B146" s="148"/>
      <c r="C146" s="153">
        <v>2021</v>
      </c>
      <c r="D146" s="150"/>
      <c r="E146" s="152">
        <v>54166</v>
      </c>
      <c r="F146" s="150" t="s">
        <v>245</v>
      </c>
      <c r="G146" s="151"/>
      <c r="H146" s="150"/>
      <c r="I146" s="150"/>
      <c r="J146" s="150"/>
      <c r="K146" s="150"/>
      <c r="L146" s="143"/>
    </row>
    <row r="147" spans="2:12" ht="17.25" hidden="1" customHeight="1">
      <c r="B147" s="148"/>
      <c r="C147" s="153">
        <v>2022</v>
      </c>
      <c r="D147" s="150"/>
      <c r="E147" s="150">
        <v>58333</v>
      </c>
      <c r="F147" s="150" t="s">
        <v>245</v>
      </c>
      <c r="G147" s="151"/>
      <c r="H147" s="150"/>
      <c r="I147" s="150"/>
      <c r="J147" s="150"/>
      <c r="K147" s="150"/>
      <c r="L147" s="143"/>
    </row>
    <row r="148" spans="2:12" ht="17.25" hidden="1" customHeight="1">
      <c r="B148" s="148"/>
      <c r="C148" s="153">
        <v>2023</v>
      </c>
      <c r="D148" s="150"/>
      <c r="E148" s="150">
        <v>58333</v>
      </c>
      <c r="F148" s="150" t="s">
        <v>245</v>
      </c>
      <c r="G148" s="151"/>
      <c r="H148" s="150"/>
      <c r="I148" s="150"/>
      <c r="J148" s="150"/>
      <c r="K148" s="150"/>
      <c r="L148" s="143"/>
    </row>
    <row r="149" spans="2:12" ht="17.25" hidden="1" customHeight="1">
      <c r="B149" s="148"/>
      <c r="C149" s="153">
        <v>2024</v>
      </c>
      <c r="D149" s="150"/>
      <c r="E149" s="150">
        <v>58333</v>
      </c>
      <c r="F149" s="150" t="s">
        <v>245</v>
      </c>
      <c r="G149" s="151"/>
      <c r="H149" s="150"/>
      <c r="I149" s="150"/>
      <c r="J149" s="150"/>
      <c r="K149" s="150"/>
      <c r="L149" s="143"/>
    </row>
    <row r="150" spans="2:12" ht="7.5" hidden="1" customHeight="1">
      <c r="B150" s="148"/>
      <c r="C150" s="153"/>
      <c r="D150" s="150"/>
      <c r="E150" s="152"/>
      <c r="F150" s="150"/>
      <c r="G150" s="151"/>
      <c r="H150" s="150"/>
      <c r="I150" s="150"/>
      <c r="J150" s="150"/>
      <c r="K150" s="150"/>
      <c r="L150" s="143"/>
    </row>
    <row r="151" spans="2:12" ht="7.5" hidden="1" customHeight="1">
      <c r="B151" s="148"/>
      <c r="C151" s="133"/>
      <c r="D151" s="133"/>
      <c r="E151" s="149"/>
      <c r="F151" s="145"/>
      <c r="G151" s="145"/>
      <c r="H151" s="144"/>
      <c r="I151" s="144"/>
      <c r="J151" s="144"/>
      <c r="K151" s="133"/>
      <c r="L151" s="143"/>
    </row>
    <row r="152" spans="2:12" ht="17.25" hidden="1" customHeight="1">
      <c r="B152" s="148"/>
      <c r="C152" s="133" t="s">
        <v>244</v>
      </c>
      <c r="D152" s="147"/>
      <c r="E152" s="146" t="s">
        <v>243</v>
      </c>
      <c r="F152" s="145"/>
      <c r="G152" s="145"/>
      <c r="H152" s="144"/>
      <c r="I152" s="144"/>
      <c r="J152" s="144"/>
      <c r="K152" s="133"/>
      <c r="L152" s="143"/>
    </row>
    <row r="153" spans="2:12" ht="7.5" hidden="1" customHeight="1">
      <c r="B153" s="142"/>
      <c r="C153" s="138"/>
      <c r="D153" s="138"/>
      <c r="E153" s="141"/>
      <c r="F153" s="140"/>
      <c r="G153" s="140"/>
      <c r="H153" s="139"/>
      <c r="I153" s="139"/>
      <c r="J153" s="139"/>
      <c r="K153" s="138"/>
      <c r="L153" s="137"/>
    </row>
  </sheetData>
  <sheetProtection sheet="1" objects="1" scenarios="1" formatCells="0" formatColumns="0" formatRows="0" insertColumns="0" insertRows="0" insertHyperlinks="0"/>
  <mergeCells count="39">
    <mergeCell ref="E108:F108"/>
    <mergeCell ref="E107:F107"/>
    <mergeCell ref="H107:K107"/>
    <mergeCell ref="H108:I108"/>
    <mergeCell ref="I27:K27"/>
    <mergeCell ref="C91:K91"/>
    <mergeCell ref="C98:D98"/>
    <mergeCell ref="T13:AB13"/>
    <mergeCell ref="E19:F19"/>
    <mergeCell ref="J19:K19"/>
    <mergeCell ref="C25:K25"/>
    <mergeCell ref="J17:K17"/>
    <mergeCell ref="J24:K24"/>
    <mergeCell ref="V105:X105"/>
    <mergeCell ref="E27:G27"/>
    <mergeCell ref="B88:D88"/>
    <mergeCell ref="B64:D64"/>
    <mergeCell ref="R105:T105"/>
    <mergeCell ref="B103:D103"/>
    <mergeCell ref="J105:K105"/>
    <mergeCell ref="C85:D85"/>
    <mergeCell ref="C83:D83"/>
    <mergeCell ref="C100:D100"/>
    <mergeCell ref="C66:K66"/>
    <mergeCell ref="C84:D84"/>
    <mergeCell ref="C45:G45"/>
    <mergeCell ref="N27:O28"/>
    <mergeCell ref="C5:E5"/>
    <mergeCell ref="C90:K90"/>
    <mergeCell ref="C13:K13"/>
    <mergeCell ref="C99:D99"/>
    <mergeCell ref="C105:I105"/>
    <mergeCell ref="E17:F17"/>
    <mergeCell ref="B22:D22"/>
    <mergeCell ref="C17:D17"/>
    <mergeCell ref="B15:D15"/>
    <mergeCell ref="C10:H10"/>
    <mergeCell ref="C11:H11"/>
    <mergeCell ref="C12:H12"/>
  </mergeCells>
  <conditionalFormatting sqref="C42">
    <cfRule type="cellIs" dxfId="138" priority="32" operator="equal">
      <formula>"Enter description…"</formula>
    </cfRule>
  </conditionalFormatting>
  <conditionalFormatting sqref="C48:C50">
    <cfRule type="cellIs" dxfId="137" priority="15" operator="equal">
      <formula>"Enter description…"</formula>
    </cfRule>
  </conditionalFormatting>
  <conditionalFormatting sqref="C56:C57">
    <cfRule type="cellIs" dxfId="136" priority="31" operator="equal">
      <formula>"Enter description…"</formula>
    </cfRule>
  </conditionalFormatting>
  <conditionalFormatting sqref="C71:C74">
    <cfRule type="cellIs" dxfId="135" priority="16" operator="equal">
      <formula>"Enter description…"</formula>
    </cfRule>
  </conditionalFormatting>
  <conditionalFormatting sqref="C77:C80">
    <cfRule type="cellIs" dxfId="134" priority="35" operator="equal">
      <formula>"Enter description…"</formula>
    </cfRule>
  </conditionalFormatting>
  <conditionalFormatting sqref="C94:C95">
    <cfRule type="cellIs" dxfId="133" priority="38" operator="equal">
      <formula>"Enter description…"</formula>
    </cfRule>
  </conditionalFormatting>
  <conditionalFormatting sqref="C45:G45">
    <cfRule type="expression" dxfId="132" priority="1">
      <formula>COUNTIF($H$30:$H$43,"i")&gt;0</formula>
    </cfRule>
  </conditionalFormatting>
  <conditionalFormatting sqref="E30:E41 I30:I41">
    <cfRule type="expression" dxfId="131" priority="5">
      <formula>ISERROR((SEARCH("IF(",_xlfn.FORMULATEXT(E30),1)))&lt;&gt;TRUE</formula>
    </cfRule>
  </conditionalFormatting>
  <conditionalFormatting sqref="E64">
    <cfRule type="cellIs" dxfId="130" priority="33" operator="equal">
      <formula>"Reconciled"</formula>
    </cfRule>
    <cfRule type="cellIs" dxfId="129" priority="34" operator="equal">
      <formula>"Out of Balance"</formula>
    </cfRule>
  </conditionalFormatting>
  <conditionalFormatting sqref="E83">
    <cfRule type="expression" dxfId="128" priority="25">
      <formula>E86="Reconciled"</formula>
    </cfRule>
    <cfRule type="expression" dxfId="127" priority="26">
      <formula>E86="Out of Balance"</formula>
    </cfRule>
  </conditionalFormatting>
  <conditionalFormatting sqref="E84">
    <cfRule type="expression" dxfId="126" priority="24">
      <formula>E86="Reconciled"</formula>
    </cfRule>
    <cfRule type="expression" dxfId="125" priority="27">
      <formula>E86="Out of Balance"</formula>
    </cfRule>
  </conditionalFormatting>
  <conditionalFormatting sqref="E85">
    <cfRule type="expression" dxfId="124" priority="23">
      <formula>E86="Reconciled"</formula>
    </cfRule>
    <cfRule type="expression" dxfId="123" priority="28">
      <formula>E86="Out of Balance"</formula>
    </cfRule>
  </conditionalFormatting>
  <conditionalFormatting sqref="E88">
    <cfRule type="cellIs" dxfId="122" priority="36" operator="equal">
      <formula>"Reconciled"</formula>
    </cfRule>
    <cfRule type="cellIs" dxfId="121" priority="37" operator="equal">
      <formula>"Out of Balance"</formula>
    </cfRule>
  </conditionalFormatting>
  <conditionalFormatting sqref="E98">
    <cfRule type="expression" dxfId="120" priority="19">
      <formula>E101="Reconciled"</formula>
    </cfRule>
    <cfRule type="expression" dxfId="119" priority="20">
      <formula>E101="Out of Balance"</formula>
    </cfRule>
  </conditionalFormatting>
  <conditionalFormatting sqref="E99">
    <cfRule type="expression" dxfId="118" priority="18">
      <formula>E101="Reconciled"</formula>
    </cfRule>
    <cfRule type="expression" dxfId="117" priority="21">
      <formula>E101="Out of Balance"</formula>
    </cfRule>
  </conditionalFormatting>
  <conditionalFormatting sqref="E100">
    <cfRule type="expression" dxfId="116" priority="17">
      <formula>E101="Reconciled"</formula>
    </cfRule>
    <cfRule type="expression" dxfId="115" priority="22">
      <formula>E101="Out of Balance"</formula>
    </cfRule>
  </conditionalFormatting>
  <conditionalFormatting sqref="E103">
    <cfRule type="cellIs" dxfId="114" priority="12" operator="equal">
      <formula>"Contains Data"</formula>
    </cfRule>
    <cfRule type="cellIs" dxfId="113" priority="13" operator="equal">
      <formula>"Out of Balance"</formula>
    </cfRule>
    <cfRule type="cellIs" dxfId="112" priority="14" operator="equal">
      <formula>"Reconciled"</formula>
    </cfRule>
  </conditionalFormatting>
  <conditionalFormatting sqref="F30:F41 J30:J41">
    <cfRule type="expression" dxfId="111" priority="2">
      <formula>ISERROR((SEARCH("N(1)",_xlfn.FORMULATEXT(F30),1)))&lt;&gt;TRUE</formula>
    </cfRule>
  </conditionalFormatting>
  <conditionalFormatting sqref="F61:G61">
    <cfRule type="expression" dxfId="110" priority="29">
      <formula>F62="Reconciled"</formula>
    </cfRule>
    <cfRule type="expression" dxfId="109" priority="30">
      <formula>F62="Out of Balance"</formula>
    </cfRule>
  </conditionalFormatting>
  <conditionalFormatting sqref="G30:G43">
    <cfRule type="expression" dxfId="108" priority="11">
      <formula>AND(G30&gt;=0,G30&lt;1)</formula>
    </cfRule>
  </conditionalFormatting>
  <conditionalFormatting sqref="J5">
    <cfRule type="expression" dxfId="107" priority="6">
      <formula>Tm_BalanceStatus="Reconciled"</formula>
    </cfRule>
    <cfRule type="expression" dxfId="106" priority="7">
      <formula>Tm_BalanceStatus="Out of Balance"</formula>
    </cfRule>
  </conditionalFormatting>
  <conditionalFormatting sqref="J61:K61">
    <cfRule type="expression" dxfId="105" priority="8">
      <formula>J62="Reconciled"</formula>
    </cfRule>
    <cfRule type="expression" dxfId="104" priority="9">
      <formula>J62="Out of Balance"</formula>
    </cfRule>
  </conditionalFormatting>
  <conditionalFormatting sqref="K5">
    <cfRule type="expression" dxfId="103" priority="3">
      <formula>Tm_BalanceStatus2="Out of Balance"</formula>
    </cfRule>
    <cfRule type="expression" dxfId="102" priority="4">
      <formula>Tm_BalanceStatus2="Reconciled"</formula>
    </cfRule>
  </conditionalFormatting>
  <conditionalFormatting sqref="K30:K43">
    <cfRule type="expression" dxfId="101" priority="10">
      <formula>AND(K30&gt;=0,K30&lt;1)</formula>
    </cfRule>
  </conditionalFormatting>
  <dataValidations count="6">
    <dataValidation allowBlank="1" showInputMessage="1" showErrorMessage="1" prompt="This is based on the lowest State/Territory registration threshold." sqref="C45" xr:uid="{10D9238B-1C06-4A3F-B20A-EFFB3D68DA0D}"/>
    <dataValidation allowBlank="1" showInputMessage="1" showErrorMessage="1" prompt="Threshold based on $25,000 per week" sqref="G144" xr:uid="{9273D842-CBFC-46BA-B856-D5E009B08979}"/>
    <dataValidation type="list" allowBlank="1" showInputMessage="1" showErrorMessage="1" sqref="J17:K17" xr:uid="{A380436A-DCF7-4442-A594-8F6EA8D32B32}">
      <formula1>"Yes, No"</formula1>
    </dataValidation>
    <dataValidation allowBlank="1" showInputMessage="1" showErrorMessage="1" prompt="Known other Business Fitness records that this workpaper draws values/data from._x000a__x000a_See below." sqref="R1" xr:uid="{581C334B-FAEF-467B-A793-67CA69D72DD5}"/>
    <dataValidation allowBlank="1" showInputMessage="1" showErrorMessage="1" prompt="Known other Business Fitness records that are 'dependent' on values from this worksheet._x000a__x000a_See below." sqref="S1" xr:uid="{4A7DFC20-B768-4FEC-897A-02A5D91762AA}"/>
    <dataValidation type="list" allowBlank="1" showInputMessage="1" showErrorMessage="1" sqref="E19:F19" xr:uid="{0807E8BE-89B7-45A2-8F42-7B122C12F2FB}">
      <formula1>"Monthly, Quarterly"</formula1>
    </dataValidation>
  </dataValidations>
  <hyperlinks>
    <hyperlink ref="J19" location="'BAS Monthly'!Go_ShowHideColumns" tooltip="Update Lodgement Periods i.e. columns" display="Update Lodgement Periods" xr:uid="{AB79A002-4D99-40C9-A7C9-05F77D59A093}"/>
    <hyperlink ref="J19:K19" location="'N80 Wages  PAYGW'!Go_ShowHideRows_01" tooltip="Update Lodgement Periods i.e. rows" display="Update Display" xr:uid="{8D349191-CB69-4D63-B181-E55BE5377272}"/>
    <hyperlink ref="K3" location="'N80 Wages  PAYGW'!Go_Index" tooltip="Go to Record" display="Show Record" xr:uid="{41AE8E1F-1C2C-42EE-B2DA-3D24C87D3894}"/>
    <hyperlink ref="J5" location="'N80 Wages  PAYGW'!Go_Variance_01" tooltip="Go To Reconciliation" display="'N80 Wages  PAYGW'!Go_Variance_01" xr:uid="{BCF580D0-8D49-4D85-A630-2FEE450C626B}"/>
    <hyperlink ref="K5" location="'N80 Wages  PAYGW'!Go_Variance_02" tooltip="Go To Reconciliation" display="'N80 Wages  PAYGW'!Go_Variance_02" xr:uid="{A50DB8F9-4E21-4F3D-9686-B458C40ED456}"/>
    <hyperlink ref="A15:D15" location="'N80 Wages  PAYGW'!Go_RollUp_3" tooltip="Show/Hide" display="'N80 Wages  PAYGW'!Go_RollUp_3" xr:uid="{F702E3DC-B1B2-4181-9BA9-870C403C617D}"/>
    <hyperlink ref="A22:D22" location="'N80 Wages  PAYGW'!Go_RollUp_4" tooltip="Show/Hide" display="'N80 Wages  PAYGW'!Go_RollUp_4" xr:uid="{235B3C0A-CB58-483E-A80D-0C6C314BA184}"/>
    <hyperlink ref="A64:D64" location="'N80 Wages  PAYGW'!Go_RollUp_5" tooltip="Show/Hide" display="'N80 Wages  PAYGW'!Go_RollUp_5" xr:uid="{A27D7FC3-E47F-4B96-BC82-0F3F1915FD52}"/>
    <hyperlink ref="A88:D88" location="'N80 Wages  PAYGW'!Go_RollUp_6" tooltip="Show/Hide" display="'N80 Wages  PAYGW'!Go_RollUp_6" xr:uid="{B2C7E214-F1F9-4A8E-AFFD-156EC020BCA8}"/>
    <hyperlink ref="A103:D103" location="'N80 Wages  PAYGW'!Go_RollUp_7" tooltip="Show/Hide" display="'N80 Wages  PAYGW'!Go_RollUp_7" xr:uid="{60507BBA-2C34-487B-9D56-ED73A823D3FD}"/>
    <hyperlink ref="J105:K105" location="'N80 Wages  PAYGW'!Go_SumRangeDetail_J50_PAYGW2" tooltip="Open" display="Open BAS Lodgements" xr:uid="{BD6CD6B1-A63F-4623-8E7C-178EF45A6114}"/>
    <hyperlink ref="D70" location="'N80 Wages  PAYGW'!N80_PayrollWages" tooltip="Go To Cell" display="}" xr:uid="{4BE753EE-1B48-4D27-8C8A-196A8B2EECA1}"/>
    <hyperlink ref="D93" location="'N80 Wages  PAYGW'!CurrentPAYGOutstanding" tooltip="Go To Cell" display="}" xr:uid="{E5B863BB-EDE2-451F-9819-B80E0F6A809F}"/>
    <hyperlink ref="J24:K24" location="'N80 Wages  PAYGW'!Go_Command.ImportWages" tooltip="Refresh Wages from Xero" display="Refresh" xr:uid="{4EB48BE0-C278-4001-B331-A577F7B39180}"/>
    <hyperlink ref="C10:H10" location="'N80 Wages  PAYGW'!Go_Step1" tooltip="Go to Step" display="Step 1 - Reconcile wages and PAYGW between the payroll system, single touch payroll and BAS lodgements (click here)" xr:uid="{04C8B441-64FC-48C6-AECC-C4147823CA36}"/>
    <hyperlink ref="C11:H11" location="'N80 Wages  PAYGW'!Go_Step2" tooltip="Go to Step" display="Step 2 - Reconcile payroll system with ledger balances (click here)" xr:uid="{F66E141F-9D7D-46B7-990B-70051E9BADA6}"/>
    <hyperlink ref="C12:H12" location="'N80 Wages  PAYGW'!Go_Step3" tooltip="Go to Step" display="Step 3 - Reconcile the amount of PAYGW Payable (click here)" xr:uid="{1D7FDFA8-422C-4FD4-B5E7-E13409E26A96}"/>
  </hyperlinks>
  <printOptions horizontalCentered="1"/>
  <pageMargins left="0.39370078740157483" right="0.39370078740157483" top="0.39370078740157483" bottom="0.39370078740157483" header="0" footer="0"/>
  <pageSetup paperSize="9" scale="71" fitToHeight="0" orientation="portrait" r:id="rId1"/>
  <headerFooter alignWithMargins="0">
    <oddFooter>&amp;L&amp;F
Copyright © 2003-Present Business Fitness Pty Ltd&amp;R&amp;A &amp;P</oddFooter>
  </headerFooter>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C9165D92-AEC9-4A78-9512-963781BA5DF7}">
          <xm:f>'N80 Wages  PAYGW'!N80_PayrollWages</xm:f>
        </x15:webExtension>
        <x15:webExtension appRef="{2C222DF5-D37B-4F21-B9AA-F47FFC306840}">
          <xm:f>'N80 Wages  PAYGW'!N80_Salaries</xm:f>
        </x15:webExtension>
        <x15:webExtension appRef="{B5BFBADA-F701-410A-A31C-96B8098AE702}">
          <xm:f>'N80 Wages  PAYGW'!Reconcile_Liability_PAYGWithholding</xm:f>
        </x15:webExtension>
        <x15:webExtension appRef="{5308AECC-4756-4484-9B0C-F6D226AB4305}">
          <xm:f>'N80 Wages  PAYGW'!ReconcileStatus_Expense_WagesExpense</xm:f>
        </x15:webExtension>
      </x15:webExtens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9810C-B2CB-4C15-BF48-064689DF9C2A}">
  <sheetPr>
    <pageSetUpPr autoPageBreaks="0" fitToPage="1"/>
  </sheetPr>
  <dimension ref="A1:AE327"/>
  <sheetViews>
    <sheetView showGridLines="0" topLeftCell="A2" zoomScaleNormal="100" workbookViewId="0">
      <selection activeCell="A2" sqref="A2"/>
    </sheetView>
  </sheetViews>
  <sheetFormatPr defaultRowHeight="15"/>
  <cols>
    <col min="1" max="1" width="4.28515625" style="65" customWidth="1"/>
    <col min="2" max="2" width="1.42578125" style="65" customWidth="1"/>
    <col min="3" max="3" width="44.28515625" style="65" customWidth="1"/>
    <col min="4" max="9" width="15.7109375" style="65" customWidth="1"/>
    <col min="10" max="10" width="1.7109375" style="65" customWidth="1"/>
    <col min="11" max="11" width="14.28515625" style="65" customWidth="1"/>
    <col min="12" max="13" width="15.7109375" style="65" customWidth="1"/>
    <col min="14" max="14" width="1.42578125" style="65" customWidth="1"/>
    <col min="15" max="17" width="15.7109375" style="65" customWidth="1"/>
    <col min="18" max="18" width="15.7109375" style="133" customWidth="1"/>
    <col min="19" max="19" width="1.42578125" style="65" customWidth="1"/>
    <col min="20" max="20" width="4.28515625" style="65" customWidth="1"/>
    <col min="21" max="22" width="15.7109375" style="65" customWidth="1"/>
    <col min="23" max="23" width="9.140625" style="65"/>
    <col min="24" max="26" width="15.7109375" style="65" hidden="1" customWidth="1"/>
    <col min="27" max="27" width="15.7109375" style="738" hidden="1" customWidth="1"/>
    <col min="28" max="28" width="9.140625" style="65" customWidth="1"/>
    <col min="29" max="29" width="9.140625" style="65" hidden="1" customWidth="1"/>
    <col min="30" max="16384" width="9.140625" style="65"/>
  </cols>
  <sheetData>
    <row r="1" spans="1:29" hidden="1">
      <c r="C1" s="389" t="s">
        <v>181</v>
      </c>
      <c r="D1" s="65" t="s">
        <v>628</v>
      </c>
      <c r="G1" s="562" t="s">
        <v>179</v>
      </c>
      <c r="H1" s="65" t="s">
        <v>494</v>
      </c>
      <c r="K1" s="389" t="s">
        <v>177</v>
      </c>
      <c r="L1" s="17" t="str">
        <f>IFERROR(Jurisdiction,"AU")</f>
        <v>AU</v>
      </c>
      <c r="AC1" s="65" t="s">
        <v>176</v>
      </c>
    </row>
    <row r="2" spans="1:29" ht="7.5" customHeight="1">
      <c r="C2" s="118"/>
    </row>
    <row r="3" spans="1:29" ht="24.75" customHeight="1">
      <c r="B3" s="118"/>
      <c r="C3" s="417" t="s">
        <v>627</v>
      </c>
      <c r="Q3"/>
      <c r="R3" s="773" t="s">
        <v>174</v>
      </c>
    </row>
    <row r="4" spans="1:29" ht="22.5" customHeight="1">
      <c r="B4" s="118"/>
      <c r="C4" s="560" t="str">
        <f>_xlfn.TEXTJOIN(" ",1,IFERROR(_xlfn.SINGLE(Cl_Name),"Client Name"),IF(IFERROR(_xlfn.SINGLE(Cl_Code),"")="","","("&amp;_xlfn.SINGLE(Cl_Code)&amp;")"))</f>
        <v>Springrange Holdings Pty Ltd (MuM001)</v>
      </c>
      <c r="Q4" s="770"/>
      <c r="R4" s="772" t="str">
        <f>IF(ISBLANK(Tm_TBAccount),_xlfn.TEXTJOIN("-",1,M6:N6),TEXT(Tm_TBAccount,"0"))</f>
        <v>850 Suspense</v>
      </c>
    </row>
    <row r="5" spans="1:29" ht="22.5" customHeight="1">
      <c r="C5" s="301">
        <f>IFERROR(_xlfn.SINGLE(PeriodEndDate),DATE(2000,6,30))</f>
        <v>45473</v>
      </c>
      <c r="D5" s="124"/>
      <c r="Q5" s="770"/>
      <c r="R5" s="771" t="str">
        <f>IF(AND(M35=0,M36=0,COUNT(Model_Creditors.Balances.Balance)=0),"Pending",IF(ABS(M37)&gt;Tm_Tolerance,"Out of Balance","Reconciled"))</f>
        <v>Out of Balance</v>
      </c>
      <c r="S5" s="363">
        <f>IFERROR(_xlfn.XLOOKUP("e4ade9f5-8114-417a-b81f-642497a81375",RecordInfo.RecordId,RecordInfo.Tolerances),0)</f>
        <v>0.01</v>
      </c>
    </row>
    <row r="6" spans="1:29" ht="17.25" hidden="1" customHeight="1">
      <c r="B6" s="121"/>
      <c r="C6" s="121"/>
      <c r="D6" s="121"/>
      <c r="L6" s="65" t="s">
        <v>629</v>
      </c>
      <c r="M6" s="770"/>
      <c r="N6" s="119"/>
      <c r="R6" s="65"/>
      <c r="S6" s="133"/>
    </row>
    <row r="7" spans="1:29" ht="7.5" customHeight="1">
      <c r="B7" s="117"/>
      <c r="C7" s="117"/>
      <c r="D7" s="275"/>
      <c r="E7" s="275"/>
      <c r="F7" s="275"/>
      <c r="G7" s="275"/>
      <c r="H7" s="275"/>
      <c r="I7" s="275"/>
      <c r="J7" s="275"/>
      <c r="K7" s="275"/>
      <c r="L7" s="275"/>
      <c r="M7" s="275"/>
      <c r="N7" s="275"/>
      <c r="O7" s="275"/>
      <c r="P7" s="275"/>
      <c r="Q7" s="275"/>
      <c r="R7" s="275"/>
      <c r="S7" s="275"/>
    </row>
    <row r="8" spans="1:29" ht="7.5" customHeight="1"/>
    <row r="9" spans="1:29" ht="15" customHeight="1">
      <c r="C9" s="1722" t="s">
        <v>626</v>
      </c>
      <c r="D9" s="1722"/>
      <c r="E9" s="1722"/>
      <c r="F9" s="1722"/>
      <c r="G9" s="1722"/>
      <c r="H9" s="1722"/>
      <c r="I9" s="1722"/>
      <c r="J9" s="1722"/>
      <c r="K9" s="1722"/>
      <c r="L9" s="1722"/>
      <c r="M9" s="1722"/>
      <c r="N9" s="1722"/>
      <c r="O9" s="1722"/>
      <c r="P9" s="1722"/>
      <c r="Q9" s="1722"/>
      <c r="R9" s="1722"/>
    </row>
    <row r="10" spans="1:29" ht="15" customHeight="1">
      <c r="C10" s="1721" t="s">
        <v>625</v>
      </c>
      <c r="D10" s="1721"/>
      <c r="E10" s="1721"/>
      <c r="F10" s="1721"/>
      <c r="G10" s="1721"/>
      <c r="H10" s="1721"/>
      <c r="I10" s="1721"/>
      <c r="J10" s="1721"/>
      <c r="K10" s="1721"/>
      <c r="L10" s="1721"/>
      <c r="M10" s="1721"/>
      <c r="N10" s="1721"/>
      <c r="O10" s="1721"/>
      <c r="P10" s="1721"/>
      <c r="Q10" s="1721"/>
      <c r="R10" s="1721"/>
    </row>
    <row r="11" spans="1:29" ht="17.25" hidden="1" customHeight="1">
      <c r="C11" s="1721" t="s">
        <v>624</v>
      </c>
      <c r="D11" s="1721"/>
      <c r="E11" s="1721"/>
      <c r="F11" s="1721"/>
      <c r="G11" s="1721"/>
      <c r="H11" s="1721"/>
      <c r="I11" s="1721"/>
      <c r="J11" s="1721"/>
      <c r="K11" s="1721"/>
      <c r="L11" s="1721"/>
      <c r="M11" s="1721"/>
      <c r="N11" s="1721"/>
      <c r="O11" s="1721"/>
      <c r="P11" s="1721"/>
      <c r="Q11" s="1721"/>
      <c r="R11" s="1721"/>
      <c r="AA11" s="65"/>
      <c r="AC11" s="65" t="b">
        <f>IF($L$1="GB",FALSE,TRUE)</f>
        <v>1</v>
      </c>
    </row>
    <row r="12" spans="1:29" ht="22.5" customHeight="1"/>
    <row r="13" spans="1:29" ht="22.5" customHeight="1">
      <c r="A13" s="61" t="str">
        <f>IF(SUBTOTAL(103,A14),"-","+")</f>
        <v>-</v>
      </c>
      <c r="B13" s="1517" t="s">
        <v>623</v>
      </c>
      <c r="C13" s="1518"/>
      <c r="D13" s="1614" t="str">
        <f>IF(COUNTA(C20:J29,O20:R29)=0,"No Data","Contains Data")</f>
        <v>Contains Data</v>
      </c>
      <c r="F13" s="355"/>
      <c r="G13" s="355"/>
      <c r="H13" s="355"/>
      <c r="I13" s="355"/>
      <c r="J13" s="355"/>
      <c r="K13" s="355"/>
      <c r="L13" s="355"/>
      <c r="M13" s="355"/>
      <c r="Q13" s="32"/>
    </row>
    <row r="14" spans="1:29" ht="7.5" customHeight="1">
      <c r="A14" s="65" t="s">
        <v>58</v>
      </c>
      <c r="B14" s="550"/>
      <c r="C14" s="355"/>
      <c r="D14" s="355"/>
      <c r="E14" s="769"/>
      <c r="F14" s="552"/>
      <c r="G14" s="552"/>
      <c r="H14" s="552"/>
      <c r="I14" s="552"/>
      <c r="J14" s="552"/>
      <c r="K14" s="552"/>
      <c r="L14" s="552"/>
      <c r="M14" s="552"/>
      <c r="N14" s="552"/>
      <c r="O14" s="552"/>
      <c r="P14" s="165"/>
      <c r="Q14" s="165"/>
      <c r="R14" s="165"/>
      <c r="S14" s="768"/>
      <c r="AA14" s="65"/>
      <c r="AB14" s="738"/>
    </row>
    <row r="15" spans="1:29" ht="22.5" customHeight="1">
      <c r="B15" s="550"/>
      <c r="C15" s="767" t="s">
        <v>622</v>
      </c>
      <c r="D15" s="355"/>
      <c r="E15" s="1621" t="s">
        <v>486</v>
      </c>
      <c r="F15" s="1621"/>
      <c r="G15" s="1621"/>
      <c r="H15" s="1621"/>
      <c r="I15" s="1621"/>
      <c r="J15" s="1621"/>
      <c r="K15" s="1621"/>
      <c r="L15" s="1621"/>
      <c r="M15" s="1621"/>
      <c r="N15" s="355"/>
      <c r="O15" s="355"/>
      <c r="R15" s="65"/>
      <c r="S15" s="766"/>
      <c r="AA15" s="65"/>
      <c r="AB15" s="738"/>
    </row>
    <row r="16" spans="1:29" ht="7.5" customHeight="1">
      <c r="B16" s="550"/>
      <c r="C16" s="355"/>
      <c r="D16" s="355"/>
      <c r="E16" s="355"/>
      <c r="F16" s="355"/>
      <c r="G16" s="355"/>
      <c r="H16" s="355"/>
      <c r="I16" s="355"/>
      <c r="J16" s="355"/>
      <c r="K16" s="355"/>
      <c r="L16" s="355"/>
      <c r="M16" s="355"/>
      <c r="N16" s="355"/>
      <c r="O16" s="355"/>
      <c r="P16" s="138"/>
      <c r="R16" s="65"/>
      <c r="S16" s="766"/>
      <c r="AA16" s="65"/>
      <c r="AB16" s="738"/>
    </row>
    <row r="17" spans="2:31" ht="30" customHeight="1">
      <c r="B17" s="278"/>
      <c r="C17" s="1624" t="s">
        <v>404</v>
      </c>
      <c r="D17" s="1599" t="s">
        <v>485</v>
      </c>
      <c r="E17" s="1599" t="s">
        <v>484</v>
      </c>
      <c r="F17" s="1599" t="str">
        <f>"Amount
Including "&amp;IF(IFERROR(Tm_Jurisdiction,"AU")="GB","VAT","GST")</f>
        <v>Amount
Including GST</v>
      </c>
      <c r="G17" s="549" t="s">
        <v>483</v>
      </c>
      <c r="H17" s="1599" t="str">
        <f>"Amount ("
&amp;IF(IFERROR(Tm_Jurisdiction,"AU")="GB","GBP",IF(IFERROR(Tm_Jurisdiction,"AU")="NZ","NZD","AUD"))&amp;")"</f>
        <v>Amount (AUD)</v>
      </c>
      <c r="I17" s="549" t="str">
        <f>IF(IFERROR(Tm_Jurisdiction,"AU")="GB","VAT","GST")</f>
        <v>GST</v>
      </c>
      <c r="J17" s="1599" t="s">
        <v>482</v>
      </c>
      <c r="K17" s="1599"/>
      <c r="L17" s="1599" t="str">
        <f>IF(IFERROR(Tm_Jurisdiction,"AU")="GB","VAT","GST")&amp;" on
Reconciliation Adjustment"</f>
        <v>GST on
Reconciliation Adjustment</v>
      </c>
      <c r="M17" s="1599" t="str">
        <f>"Adjusted Total "&amp;IF(IFERROR(Tm_Jurisdiction,"AU")="GB","(GBP)",IF(IFERROR(Tm_Jurisdiction,"AU")="NZ","(NZD)","(AUD)"))</f>
        <v>Adjusted Total (AUD)</v>
      </c>
      <c r="N17" s="548"/>
      <c r="O17" s="1451" t="str">
        <f>"Ageing ("&amp;IF(IFERROR(Tm_Jurisdiction,"AU")="GB","GBP",IF(IFERROR(Tm_Jurisdiction,"AU")="NZ","NZD","AUD"))&amp;")"</f>
        <v>Ageing (AUD)</v>
      </c>
      <c r="P17" s="1451"/>
      <c r="Q17" s="1451"/>
      <c r="R17" s="1452"/>
      <c r="S17" s="360"/>
      <c r="U17" s="1626" t="s">
        <v>155</v>
      </c>
      <c r="V17" s="1627"/>
      <c r="X17" s="1725" t="s">
        <v>621</v>
      </c>
      <c r="Y17" s="1726"/>
      <c r="Z17" s="1726"/>
      <c r="AA17" s="1727"/>
      <c r="AE17" s="738"/>
    </row>
    <row r="18" spans="2:31" ht="17.25" customHeight="1">
      <c r="B18" s="278"/>
      <c r="C18" s="1723"/>
      <c r="D18" s="1465"/>
      <c r="E18" s="1465"/>
      <c r="F18" s="1465"/>
      <c r="G18" s="546" t="str">
        <f>"(1 "&amp;IF(IFERROR(Tm_Jurisdiction,"AU")="GB","GBP",IF(IFERROR(Tm_Jurisdiction,"AU")="NZ","NZD","AUD"))&amp;" = xx.xx)"</f>
        <v>(1 AUD = xx.xx)</v>
      </c>
      <c r="H18" s="1465"/>
      <c r="I18" s="546" t="s">
        <v>480</v>
      </c>
      <c r="J18" s="1465"/>
      <c r="K18" s="1465"/>
      <c r="L18" s="1465"/>
      <c r="M18" s="1465"/>
      <c r="N18" s="544"/>
      <c r="O18" s="540" t="s">
        <v>476</v>
      </c>
      <c r="P18" s="539" t="s">
        <v>479</v>
      </c>
      <c r="Q18" s="539" t="s">
        <v>478</v>
      </c>
      <c r="R18" s="81" t="s">
        <v>477</v>
      </c>
      <c r="S18" s="360"/>
      <c r="U18" s="1628"/>
      <c r="V18" s="1629"/>
      <c r="X18" s="765" t="s">
        <v>476</v>
      </c>
      <c r="Y18" s="545" t="s">
        <v>475</v>
      </c>
      <c r="Z18" s="545" t="s">
        <v>474</v>
      </c>
      <c r="AA18" s="764" t="s">
        <v>473</v>
      </c>
      <c r="AE18" s="738"/>
    </row>
    <row r="19" spans="2:31" ht="7.5" customHeight="1">
      <c r="B19" s="278"/>
      <c r="C19" s="32"/>
      <c r="D19" s="32"/>
      <c r="E19" s="32"/>
      <c r="F19" s="32"/>
      <c r="G19" s="32"/>
      <c r="H19" s="32"/>
      <c r="I19" s="32"/>
      <c r="J19" s="32"/>
      <c r="L19" s="32"/>
      <c r="M19" s="32"/>
      <c r="N19" s="32"/>
      <c r="O19" s="32"/>
      <c r="P19" s="32"/>
      <c r="Q19" s="32"/>
      <c r="R19" s="32"/>
      <c r="S19" s="360"/>
      <c r="V19" s="133"/>
      <c r="X19" s="32"/>
      <c r="Y19" s="32"/>
      <c r="Z19" s="32"/>
      <c r="AA19" s="32"/>
      <c r="AE19" s="738"/>
    </row>
    <row r="20" spans="2:31" ht="17.25" customHeight="1">
      <c r="B20" s="278"/>
      <c r="C20" s="536"/>
      <c r="D20" s="535"/>
      <c r="E20" s="534"/>
      <c r="F20" s="463"/>
      <c r="G20" s="463">
        <v>1</v>
      </c>
      <c r="H20" s="463">
        <f t="shared" ref="H20:H29" si="0">IFERROR(F20/G20*N(1),0)</f>
        <v>0</v>
      </c>
      <c r="I20" s="26" cm="1">
        <f t="array" ref="I20">N("*** UK - Manually overwrite this formula in the VAT column ***") +
_xlfn.IFS(IFERROR(Tm_Jurisdiction,"AU")="GB",0,IFERROR(Tm_Jurisdiction,"AU")="NZ",IF(E20="",IFERROR(_xlfn.NUMBERVALUE(H20)/1.15*0.15,0),0),IFERROR(Tm_Jurisdiction,"AU")="AU",IF(E20="",_xlfn.NUMBERVALUE(H20)/11,0))</f>
        <v>0</v>
      </c>
      <c r="J20" s="1606"/>
      <c r="K20" s="1607"/>
      <c r="L20" s="26"/>
      <c r="M20" s="533">
        <f t="shared" ref="M20:M29" si="1">IF(AND(H20="",J20=""),"",H20+J20)</f>
        <v>0</v>
      </c>
      <c r="N20" s="526"/>
      <c r="O20" s="463">
        <f t="shared" ref="O20:O29" si="2">IFERROR(X20/G20*N(1),0)</f>
        <v>0</v>
      </c>
      <c r="P20" s="463">
        <f t="shared" ref="P20:P29" si="3">IFERROR(Y20/G20*N(1),0)</f>
        <v>0</v>
      </c>
      <c r="Q20" s="463">
        <f t="shared" ref="Q20:Q29" si="4">IFERROR(Z20/G20*N(1),0)</f>
        <v>0</v>
      </c>
      <c r="R20" s="463">
        <f t="shared" ref="R20:R29" si="5">IFERROR(AA20/G20*N(1),0)</f>
        <v>0</v>
      </c>
      <c r="S20" s="763" t="str" cm="1">
        <f t="array" aca="1" ref="S20" ca="1">CELL("address",C20)</f>
        <v>$C$20</v>
      </c>
      <c r="U20" s="436"/>
      <c r="V20" s="173"/>
      <c r="X20" s="531"/>
      <c r="Y20" s="531"/>
      <c r="Z20" s="531"/>
      <c r="AA20" s="531"/>
      <c r="AE20" s="738"/>
    </row>
    <row r="21" spans="2:31" ht="17.25" customHeight="1">
      <c r="B21" s="278"/>
      <c r="C21" s="536"/>
      <c r="D21" s="535"/>
      <c r="E21" s="534"/>
      <c r="F21" s="463"/>
      <c r="G21" s="463">
        <v>1</v>
      </c>
      <c r="H21" s="463">
        <f t="shared" si="0"/>
        <v>0</v>
      </c>
      <c r="I21" s="26" cm="1">
        <f t="array" ref="I21">N("*** UK - Manually overwrite this formula in the VAT column ***") +
_xlfn.IFS(IFERROR(Tm_Jurisdiction,"AU")="GB",0,IFERROR(Tm_Jurisdiction,"AU")="NZ",IF(E21="",IFERROR(_xlfn.NUMBERVALUE(H21)/1.15*0.15,0),0),IFERROR(Tm_Jurisdiction,"AU")="AU",IF(E21="",_xlfn.NUMBERVALUE(H21)/11,0))</f>
        <v>0</v>
      </c>
      <c r="J21" s="1606"/>
      <c r="K21" s="1607"/>
      <c r="L21" s="26"/>
      <c r="M21" s="533">
        <f t="shared" si="1"/>
        <v>0</v>
      </c>
      <c r="N21" s="526"/>
      <c r="O21" s="463">
        <f t="shared" si="2"/>
        <v>0</v>
      </c>
      <c r="P21" s="463">
        <f t="shared" si="3"/>
        <v>0</v>
      </c>
      <c r="Q21" s="463">
        <f t="shared" si="4"/>
        <v>0</v>
      </c>
      <c r="R21" s="463">
        <f t="shared" si="5"/>
        <v>0</v>
      </c>
      <c r="S21" s="763" t="str" cm="1">
        <f t="array" aca="1" ref="S21" ca="1">CELL("address",C21)</f>
        <v>$C$21</v>
      </c>
      <c r="U21" s="436"/>
      <c r="V21" s="173"/>
      <c r="X21" s="531"/>
      <c r="Y21" s="531"/>
      <c r="Z21" s="531"/>
      <c r="AA21" s="531"/>
      <c r="AE21" s="738"/>
    </row>
    <row r="22" spans="2:31" ht="17.25" customHeight="1">
      <c r="B22" s="278"/>
      <c r="C22" s="536"/>
      <c r="D22" s="535"/>
      <c r="E22" s="534"/>
      <c r="F22" s="463"/>
      <c r="G22" s="463">
        <v>1</v>
      </c>
      <c r="H22" s="463">
        <f t="shared" si="0"/>
        <v>0</v>
      </c>
      <c r="I22" s="26" cm="1">
        <f t="array" ref="I22">N("*** UK - Manually overwrite this formula in the VAT column ***") +
_xlfn.IFS(IFERROR(Tm_Jurisdiction,"AU")="GB",0,IFERROR(Tm_Jurisdiction,"AU")="NZ",IF(E22="",IFERROR(_xlfn.NUMBERVALUE(H22)/1.15*0.15,0),0),IFERROR(Tm_Jurisdiction,"AU")="AU",IF(E22="",_xlfn.NUMBERVALUE(H22)/11,0))</f>
        <v>0</v>
      </c>
      <c r="J22" s="1606"/>
      <c r="K22" s="1607"/>
      <c r="L22" s="26"/>
      <c r="M22" s="533">
        <f t="shared" si="1"/>
        <v>0</v>
      </c>
      <c r="N22" s="526"/>
      <c r="O22" s="463">
        <f t="shared" si="2"/>
        <v>0</v>
      </c>
      <c r="P22" s="463">
        <f t="shared" si="3"/>
        <v>0</v>
      </c>
      <c r="Q22" s="463">
        <f t="shared" si="4"/>
        <v>0</v>
      </c>
      <c r="R22" s="463">
        <f t="shared" si="5"/>
        <v>0</v>
      </c>
      <c r="S22" s="763" t="str" cm="1">
        <f t="array" aca="1" ref="S22" ca="1">CELL("address",C22)</f>
        <v>$C$22</v>
      </c>
      <c r="U22" s="436"/>
      <c r="V22" s="173"/>
      <c r="X22" s="531"/>
      <c r="Y22" s="531"/>
      <c r="Z22" s="531"/>
      <c r="AA22" s="531"/>
      <c r="AE22" s="738"/>
    </row>
    <row r="23" spans="2:31" ht="17.25" customHeight="1">
      <c r="B23" s="278"/>
      <c r="C23" s="536"/>
      <c r="D23" s="535"/>
      <c r="E23" s="534"/>
      <c r="F23" s="463"/>
      <c r="G23" s="463">
        <v>1</v>
      </c>
      <c r="H23" s="463">
        <f t="shared" si="0"/>
        <v>0</v>
      </c>
      <c r="I23" s="26" cm="1">
        <f t="array" ref="I23">N("*** UK - Manually overwrite this formula in the VAT column ***") +
_xlfn.IFS(IFERROR(Tm_Jurisdiction,"AU")="GB",0,IFERROR(Tm_Jurisdiction,"AU")="NZ",IF(E23="",IFERROR(_xlfn.NUMBERVALUE(H23)/1.15*0.15,0),0),IFERROR(Tm_Jurisdiction,"AU")="AU",IF(E23="",_xlfn.NUMBERVALUE(H23)/11,0))</f>
        <v>0</v>
      </c>
      <c r="J23" s="1606"/>
      <c r="K23" s="1607"/>
      <c r="L23" s="26"/>
      <c r="M23" s="533">
        <f t="shared" si="1"/>
        <v>0</v>
      </c>
      <c r="N23" s="526"/>
      <c r="O23" s="463">
        <f t="shared" si="2"/>
        <v>0</v>
      </c>
      <c r="P23" s="463">
        <f t="shared" si="3"/>
        <v>0</v>
      </c>
      <c r="Q23" s="463">
        <f t="shared" si="4"/>
        <v>0</v>
      </c>
      <c r="R23" s="463">
        <f t="shared" si="5"/>
        <v>0</v>
      </c>
      <c r="S23" s="763" t="str" cm="1">
        <f t="array" aca="1" ref="S23" ca="1">CELL("address",C23)</f>
        <v>$C$23</v>
      </c>
      <c r="U23" s="436"/>
      <c r="V23" s="173"/>
      <c r="X23" s="531"/>
      <c r="Y23" s="531"/>
      <c r="Z23" s="531"/>
      <c r="AA23" s="531"/>
      <c r="AE23" s="738"/>
    </row>
    <row r="24" spans="2:31" ht="17.25" customHeight="1">
      <c r="B24" s="278"/>
      <c r="C24" s="536"/>
      <c r="D24" s="535"/>
      <c r="E24" s="534"/>
      <c r="F24" s="463"/>
      <c r="G24" s="463">
        <v>1</v>
      </c>
      <c r="H24" s="463">
        <f t="shared" si="0"/>
        <v>0</v>
      </c>
      <c r="I24" s="26" cm="1">
        <f t="array" ref="I24">N("*** UK - Manually overwrite this formula in the VAT column ***") +
_xlfn.IFS(IFERROR(Tm_Jurisdiction,"AU")="GB",0,IFERROR(Tm_Jurisdiction,"AU")="NZ",IF(E24="",IFERROR(_xlfn.NUMBERVALUE(H24)/1.15*0.15,0),0),IFERROR(Tm_Jurisdiction,"AU")="AU",IF(E24="",_xlfn.NUMBERVALUE(H24)/11,0))</f>
        <v>0</v>
      </c>
      <c r="J24" s="1606"/>
      <c r="K24" s="1607"/>
      <c r="L24" s="26"/>
      <c r="M24" s="533">
        <f t="shared" si="1"/>
        <v>0</v>
      </c>
      <c r="N24" s="526"/>
      <c r="O24" s="463">
        <f t="shared" si="2"/>
        <v>0</v>
      </c>
      <c r="P24" s="463">
        <f t="shared" si="3"/>
        <v>0</v>
      </c>
      <c r="Q24" s="463">
        <f t="shared" si="4"/>
        <v>0</v>
      </c>
      <c r="R24" s="463">
        <f t="shared" si="5"/>
        <v>0</v>
      </c>
      <c r="S24" s="763" t="str" cm="1">
        <f t="array" aca="1" ref="S24" ca="1">CELL("address",C24)</f>
        <v>$C$24</v>
      </c>
      <c r="U24" s="436"/>
      <c r="V24" s="173"/>
      <c r="X24" s="531"/>
      <c r="Y24" s="531"/>
      <c r="Z24" s="531"/>
      <c r="AA24" s="531"/>
      <c r="AE24" s="738"/>
    </row>
    <row r="25" spans="2:31" ht="17.25" customHeight="1">
      <c r="B25" s="278"/>
      <c r="C25" s="536"/>
      <c r="D25" s="535"/>
      <c r="E25" s="534"/>
      <c r="F25" s="463"/>
      <c r="G25" s="463">
        <v>1</v>
      </c>
      <c r="H25" s="463">
        <f t="shared" si="0"/>
        <v>0</v>
      </c>
      <c r="I25" s="26" cm="1">
        <f t="array" ref="I25">N("*** UK - Manually overwrite this formula in the VAT column ***") +
_xlfn.IFS(IFERROR(Tm_Jurisdiction,"AU")="GB",0,IFERROR(Tm_Jurisdiction,"AU")="NZ",IF(E25="",IFERROR(_xlfn.NUMBERVALUE(H25)/1.15*0.15,0),0),IFERROR(Tm_Jurisdiction,"AU")="AU",IF(E25="",_xlfn.NUMBERVALUE(H25)/11,0))</f>
        <v>0</v>
      </c>
      <c r="J25" s="1606"/>
      <c r="K25" s="1607"/>
      <c r="L25" s="26"/>
      <c r="M25" s="533">
        <f t="shared" si="1"/>
        <v>0</v>
      </c>
      <c r="N25" s="526"/>
      <c r="O25" s="463">
        <f t="shared" si="2"/>
        <v>0</v>
      </c>
      <c r="P25" s="463">
        <f t="shared" si="3"/>
        <v>0</v>
      </c>
      <c r="Q25" s="463">
        <f t="shared" si="4"/>
        <v>0</v>
      </c>
      <c r="R25" s="463">
        <f t="shared" si="5"/>
        <v>0</v>
      </c>
      <c r="S25" s="763" t="str" cm="1">
        <f t="array" aca="1" ref="S25" ca="1">CELL("address",C25)</f>
        <v>$C$25</v>
      </c>
      <c r="U25" s="436"/>
      <c r="V25" s="173"/>
      <c r="X25" s="531"/>
      <c r="Y25" s="531"/>
      <c r="Z25" s="531"/>
      <c r="AA25" s="531"/>
      <c r="AE25" s="738"/>
    </row>
    <row r="26" spans="2:31" ht="17.25" customHeight="1">
      <c r="B26" s="278"/>
      <c r="C26" s="536"/>
      <c r="D26" s="535"/>
      <c r="E26" s="534"/>
      <c r="F26" s="463"/>
      <c r="G26" s="463">
        <v>1</v>
      </c>
      <c r="H26" s="463">
        <f t="shared" si="0"/>
        <v>0</v>
      </c>
      <c r="I26" s="26" cm="1">
        <f t="array" ref="I26">N("*** UK - Manually overwrite this formula in the VAT column ***") +
_xlfn.IFS(IFERROR(Tm_Jurisdiction,"AU")="GB",0,IFERROR(Tm_Jurisdiction,"AU")="NZ",IF(E26="",IFERROR(_xlfn.NUMBERVALUE(H26)/1.15*0.15,0),0),IFERROR(Tm_Jurisdiction,"AU")="AU",IF(E26="",_xlfn.NUMBERVALUE(H26)/11,0))</f>
        <v>0</v>
      </c>
      <c r="J26" s="1606"/>
      <c r="K26" s="1607"/>
      <c r="L26" s="26"/>
      <c r="M26" s="533">
        <f t="shared" si="1"/>
        <v>0</v>
      </c>
      <c r="N26" s="526"/>
      <c r="O26" s="463">
        <f t="shared" si="2"/>
        <v>0</v>
      </c>
      <c r="P26" s="463">
        <f t="shared" si="3"/>
        <v>0</v>
      </c>
      <c r="Q26" s="463">
        <f t="shared" si="4"/>
        <v>0</v>
      </c>
      <c r="R26" s="463">
        <f t="shared" si="5"/>
        <v>0</v>
      </c>
      <c r="S26" s="763" t="str" cm="1">
        <f t="array" aca="1" ref="S26" ca="1">CELL("address",C26)</f>
        <v>$C$26</v>
      </c>
      <c r="U26" s="436"/>
      <c r="V26" s="173"/>
      <c r="X26" s="531"/>
      <c r="Y26" s="531"/>
      <c r="Z26" s="531"/>
      <c r="AA26" s="531"/>
      <c r="AE26" s="738"/>
    </row>
    <row r="27" spans="2:31" ht="17.25" customHeight="1">
      <c r="B27" s="278"/>
      <c r="C27" s="536"/>
      <c r="D27" s="535"/>
      <c r="E27" s="534"/>
      <c r="F27" s="463"/>
      <c r="G27" s="463">
        <v>1</v>
      </c>
      <c r="H27" s="463">
        <f t="shared" si="0"/>
        <v>0</v>
      </c>
      <c r="I27" s="26" cm="1">
        <f t="array" ref="I27">N("*** UK - Manually overwrite this formula in the VAT column ***") +
_xlfn.IFS(IFERROR(Tm_Jurisdiction,"AU")="GB",0,IFERROR(Tm_Jurisdiction,"AU")="NZ",IF(E27="",IFERROR(_xlfn.NUMBERVALUE(H27)/1.15*0.15,0),0),IFERROR(Tm_Jurisdiction,"AU")="AU",IF(E27="",_xlfn.NUMBERVALUE(H27)/11,0))</f>
        <v>0</v>
      </c>
      <c r="J27" s="1606"/>
      <c r="K27" s="1607"/>
      <c r="L27" s="26"/>
      <c r="M27" s="533">
        <f t="shared" si="1"/>
        <v>0</v>
      </c>
      <c r="N27" s="526"/>
      <c r="O27" s="463">
        <f t="shared" si="2"/>
        <v>0</v>
      </c>
      <c r="P27" s="463">
        <f t="shared" si="3"/>
        <v>0</v>
      </c>
      <c r="Q27" s="463">
        <f t="shared" si="4"/>
        <v>0</v>
      </c>
      <c r="R27" s="463">
        <f t="shared" si="5"/>
        <v>0</v>
      </c>
      <c r="S27" s="763" t="str" cm="1">
        <f t="array" aca="1" ref="S27" ca="1">CELL("address",C27)</f>
        <v>$C$27</v>
      </c>
      <c r="U27" s="436"/>
      <c r="V27" s="173"/>
      <c r="X27" s="531"/>
      <c r="Y27" s="531"/>
      <c r="Z27" s="531"/>
      <c r="AA27" s="531"/>
      <c r="AE27" s="738"/>
    </row>
    <row r="28" spans="2:31" ht="17.25" customHeight="1">
      <c r="B28" s="278"/>
      <c r="C28" s="536"/>
      <c r="D28" s="535"/>
      <c r="E28" s="534"/>
      <c r="F28" s="463"/>
      <c r="G28" s="463">
        <v>1</v>
      </c>
      <c r="H28" s="463">
        <f t="shared" si="0"/>
        <v>0</v>
      </c>
      <c r="I28" s="26" cm="1">
        <f t="array" ref="I28">N("*** UK - Manually overwrite this formula in the VAT column ***") +
_xlfn.IFS(IFERROR(Tm_Jurisdiction,"AU")="GB",0,IFERROR(Tm_Jurisdiction,"AU")="NZ",IF(E28="",IFERROR(_xlfn.NUMBERVALUE(H28)/1.15*0.15,0),0),IFERROR(Tm_Jurisdiction,"AU")="AU",IF(E28="",_xlfn.NUMBERVALUE(H28)/11,0))</f>
        <v>0</v>
      </c>
      <c r="J28" s="1606"/>
      <c r="K28" s="1607"/>
      <c r="L28" s="26"/>
      <c r="M28" s="533">
        <f t="shared" si="1"/>
        <v>0</v>
      </c>
      <c r="N28" s="526"/>
      <c r="O28" s="463">
        <f t="shared" si="2"/>
        <v>0</v>
      </c>
      <c r="P28" s="463">
        <f t="shared" si="3"/>
        <v>0</v>
      </c>
      <c r="Q28" s="463">
        <f t="shared" si="4"/>
        <v>0</v>
      </c>
      <c r="R28" s="463">
        <f t="shared" si="5"/>
        <v>0</v>
      </c>
      <c r="S28" s="763" t="str" cm="1">
        <f t="array" aca="1" ref="S28" ca="1">CELL("address",C28)</f>
        <v>$C$28</v>
      </c>
      <c r="U28" s="436"/>
      <c r="V28" s="173"/>
      <c r="X28" s="531"/>
      <c r="Y28" s="531"/>
      <c r="Z28" s="531"/>
      <c r="AA28" s="531"/>
      <c r="AE28" s="738"/>
    </row>
    <row r="29" spans="2:31" ht="17.25" customHeight="1">
      <c r="B29" s="278"/>
      <c r="C29" s="536"/>
      <c r="D29" s="535"/>
      <c r="E29" s="534"/>
      <c r="F29" s="463"/>
      <c r="G29" s="463">
        <v>1</v>
      </c>
      <c r="H29" s="463">
        <f t="shared" si="0"/>
        <v>0</v>
      </c>
      <c r="I29" s="26" cm="1">
        <f t="array" ref="I29">N("*** UK - Manually overwrite this formula in the VAT column ***") +
_xlfn.IFS(IFERROR(Tm_Jurisdiction,"AU")="GB",0,IFERROR(Tm_Jurisdiction,"AU")="NZ",IF(E29="",IFERROR(_xlfn.NUMBERVALUE(H29)/1.15*0.15,0),0),IFERROR(Tm_Jurisdiction,"AU")="AU",IF(E29="",_xlfn.NUMBERVALUE(H29)/11,0))</f>
        <v>0</v>
      </c>
      <c r="J29" s="1606"/>
      <c r="K29" s="1607"/>
      <c r="L29" s="26"/>
      <c r="M29" s="533">
        <f t="shared" si="1"/>
        <v>0</v>
      </c>
      <c r="N29" s="526"/>
      <c r="O29" s="463">
        <f t="shared" si="2"/>
        <v>0</v>
      </c>
      <c r="P29" s="463">
        <f t="shared" si="3"/>
        <v>0</v>
      </c>
      <c r="Q29" s="463">
        <f t="shared" si="4"/>
        <v>0</v>
      </c>
      <c r="R29" s="463">
        <f t="shared" si="5"/>
        <v>0</v>
      </c>
      <c r="S29" s="763" t="str" cm="1">
        <f t="array" aca="1" ref="S29" ca="1">CELL("address",C29)</f>
        <v>$C$29</v>
      </c>
      <c r="U29" s="436"/>
      <c r="V29" s="173"/>
      <c r="X29" s="531"/>
      <c r="Y29" s="531"/>
      <c r="Z29" s="531"/>
      <c r="AA29" s="531"/>
      <c r="AE29" s="738"/>
    </row>
    <row r="30" spans="2:31" ht="17.25" customHeight="1">
      <c r="B30" s="278"/>
      <c r="C30" s="77"/>
      <c r="E30" s="488"/>
      <c r="F30" s="488">
        <f>SUM(F20:F29)</f>
        <v>0</v>
      </c>
      <c r="G30" s="488"/>
      <c r="H30" s="488">
        <f>SUM(H20:H29)</f>
        <v>0</v>
      </c>
      <c r="I30" s="488">
        <f>SUM(I20:I29)</f>
        <v>0</v>
      </c>
      <c r="J30" s="488">
        <f>SUM(J20:J29)</f>
        <v>0</v>
      </c>
      <c r="L30" s="488">
        <f>SUM(L20:L29)</f>
        <v>0</v>
      </c>
      <c r="M30" s="529"/>
      <c r="N30" s="529"/>
      <c r="O30" s="488">
        <f>SUM(O20:O29)</f>
        <v>0</v>
      </c>
      <c r="P30" s="488">
        <f>SUM(P20:P29)</f>
        <v>0</v>
      </c>
      <c r="Q30" s="488">
        <f>SUM(Q20:Q29)</f>
        <v>0</v>
      </c>
      <c r="R30" s="488">
        <f>SUM(R20:R29)</f>
        <v>0</v>
      </c>
      <c r="S30" s="360"/>
      <c r="U30" s="441"/>
      <c r="V30" s="64"/>
      <c r="X30" s="488">
        <f>SUM(X20:X29)</f>
        <v>0</v>
      </c>
      <c r="Y30" s="488">
        <f>SUM(Y20:Y29)</f>
        <v>0</v>
      </c>
      <c r="Z30" s="488">
        <f>SUM(Z20:Z29)</f>
        <v>0</v>
      </c>
      <c r="AA30" s="488">
        <f>SUM(AA20:AA29)</f>
        <v>0</v>
      </c>
      <c r="AE30" s="738"/>
    </row>
    <row r="31" spans="2:31" ht="17.25" customHeight="1">
      <c r="B31" s="278"/>
      <c r="C31" s="488" t="str">
        <f>IF(SUM(I30,L30)=0,"",IF(IFERROR(Tm_Jurisdiction,"AU")="GB","Total VAT","Total GST"))</f>
        <v/>
      </c>
      <c r="D31" s="488"/>
      <c r="E31" s="488"/>
      <c r="F31" s="488"/>
      <c r="G31" s="488"/>
      <c r="H31" s="762"/>
      <c r="I31" s="488"/>
      <c r="J31" s="488"/>
      <c r="L31" s="488" t="str">
        <f>IF(SUM(I30,L30)=0,"",SUM(I30,L30))</f>
        <v/>
      </c>
      <c r="M31" s="529"/>
      <c r="N31" s="529"/>
      <c r="O31" s="760" t="str">
        <f>IF(H05_TradeCreditors=0,"",$O30/H05_TradeCreditors)</f>
        <v/>
      </c>
      <c r="P31" s="760" t="str">
        <f>IF(H05_TradeCreditors=0,"",$P30/H05_TradeCreditors)</f>
        <v/>
      </c>
      <c r="Q31" s="528" t="str">
        <f>IF(H05_TradeCreditors=0,"",$Q30/H05_TradeCreditors)</f>
        <v/>
      </c>
      <c r="R31" s="528" t="str">
        <f>IF(H05_TradeCreditors=0,"",$R30/H05_TradeCreditors)</f>
        <v/>
      </c>
      <c r="S31" s="360"/>
      <c r="U31" s="441"/>
      <c r="V31" s="64"/>
      <c r="AA31" s="65"/>
      <c r="AE31" s="738"/>
    </row>
    <row r="32" spans="2:31" ht="7.5" customHeight="1">
      <c r="B32" s="278"/>
      <c r="C32" s="488"/>
      <c r="D32" s="488"/>
      <c r="E32" s="488"/>
      <c r="F32" s="488"/>
      <c r="G32" s="488"/>
      <c r="H32" s="762"/>
      <c r="I32" s="488"/>
      <c r="J32" s="488"/>
      <c r="L32" s="488"/>
      <c r="M32" s="529"/>
      <c r="N32" s="529"/>
      <c r="O32" s="760"/>
      <c r="P32" s="760"/>
      <c r="Q32" s="528"/>
      <c r="R32" s="528"/>
      <c r="S32" s="360"/>
      <c r="U32" s="441"/>
      <c r="V32" s="64"/>
      <c r="AA32" s="65"/>
      <c r="AE32" s="738"/>
    </row>
    <row r="33" spans="1:31" ht="17.25" customHeight="1">
      <c r="B33" s="278"/>
      <c r="C33" s="488"/>
      <c r="D33" s="488"/>
      <c r="E33" s="488"/>
      <c r="F33" s="488"/>
      <c r="G33" s="488"/>
      <c r="H33" s="762"/>
      <c r="I33" s="488"/>
      <c r="J33" s="488"/>
      <c r="L33" s="761" t="s">
        <v>472</v>
      </c>
      <c r="M33" s="463"/>
      <c r="N33" s="529"/>
      <c r="O33" s="760"/>
      <c r="P33" s="760"/>
      <c r="Q33" s="760"/>
      <c r="R33" s="760"/>
      <c r="S33" s="360"/>
      <c r="U33" s="441"/>
      <c r="V33" s="64"/>
      <c r="AA33" s="65"/>
      <c r="AE33" s="738"/>
    </row>
    <row r="34" spans="1:31" ht="7.5" customHeight="1">
      <c r="B34" s="278"/>
      <c r="C34" s="77"/>
      <c r="F34" s="527"/>
      <c r="G34" s="527"/>
      <c r="H34" s="527"/>
      <c r="I34" s="527"/>
      <c r="J34" s="484"/>
      <c r="K34" s="527"/>
      <c r="L34" s="527"/>
      <c r="M34" s="527"/>
      <c r="N34" s="527"/>
      <c r="O34" s="527"/>
      <c r="R34" s="441"/>
      <c r="S34" s="360"/>
      <c r="AA34" s="65"/>
      <c r="AB34" s="738"/>
    </row>
    <row r="35" spans="1:31" ht="17.25" customHeight="1">
      <c r="B35" s="278"/>
      <c r="C35" s="71" t="s">
        <v>620</v>
      </c>
      <c r="F35" s="484"/>
      <c r="G35" s="484"/>
      <c r="H35" s="484"/>
      <c r="I35" s="484"/>
      <c r="K35" s="484"/>
      <c r="L35" s="484"/>
      <c r="M35" s="487">
        <f>SUM(M20:M33)</f>
        <v>0</v>
      </c>
      <c r="N35" s="484"/>
      <c r="O35" s="484"/>
      <c r="R35" s="441"/>
      <c r="S35" s="360"/>
      <c r="AA35" s="65"/>
      <c r="AB35" s="738"/>
    </row>
    <row r="36" spans="1:31" ht="17.25" customHeight="1">
      <c r="B36" s="278"/>
      <c r="C36" s="77" t="s">
        <v>356</v>
      </c>
      <c r="F36" s="485"/>
      <c r="G36" s="484"/>
      <c r="H36" s="484"/>
      <c r="I36" s="484"/>
      <c r="K36" s="484"/>
      <c r="L36" s="484"/>
      <c r="M36" s="486">
        <f>IFERROR(-_xlfn.XLOOKUP("ff4df9c4-c69f-40c4-9682-be46371fef4e",Tx_LedgerReport.SourceAccountId,PrimaryBalances),0)</f>
        <v>-250</v>
      </c>
      <c r="N36" s="484"/>
      <c r="O36" s="484"/>
      <c r="R36" s="441"/>
      <c r="S36" s="360"/>
      <c r="AA36" s="65"/>
      <c r="AB36" s="738"/>
    </row>
    <row r="37" spans="1:31" ht="17.25" customHeight="1">
      <c r="B37" s="278"/>
      <c r="C37" s="77" t="s">
        <v>280</v>
      </c>
      <c r="F37" s="485"/>
      <c r="G37" s="484"/>
      <c r="H37" s="484"/>
      <c r="I37" s="484"/>
      <c r="K37" s="484"/>
      <c r="L37" s="484"/>
      <c r="M37" s="759">
        <f>+M36-M35</f>
        <v>-250</v>
      </c>
      <c r="N37" s="484"/>
      <c r="O37" s="484"/>
      <c r="R37" s="441"/>
      <c r="S37" s="360"/>
      <c r="AA37" s="65"/>
      <c r="AB37" s="738"/>
    </row>
    <row r="38" spans="1:31" ht="7.5" customHeight="1">
      <c r="B38" s="435"/>
      <c r="C38" s="275"/>
      <c r="D38" s="275"/>
      <c r="E38" s="275"/>
      <c r="F38" s="275"/>
      <c r="G38" s="275"/>
      <c r="H38" s="275"/>
      <c r="I38" s="275"/>
      <c r="J38" s="275"/>
      <c r="K38" s="275"/>
      <c r="L38" s="275"/>
      <c r="M38" s="275"/>
      <c r="N38" s="275"/>
      <c r="O38" s="275"/>
      <c r="P38" s="275"/>
      <c r="Q38" s="275"/>
      <c r="R38" s="275"/>
      <c r="S38" s="274"/>
      <c r="AA38" s="65"/>
      <c r="AB38" s="738"/>
    </row>
    <row r="39" spans="1:31" ht="22.5" customHeight="1"/>
    <row r="40" spans="1:31" ht="22.5" customHeight="1">
      <c r="A40" s="61" t="str">
        <f>IF(SUBTOTAL(103,A41),"-","+")</f>
        <v>+</v>
      </c>
      <c r="B40" s="1517" t="s">
        <v>619</v>
      </c>
      <c r="C40" s="1518"/>
      <c r="D40" s="1614"/>
      <c r="E40" s="467" t="str">
        <f>IF(COUNTA(E45:F45)+E51,"Contains Data","No Data")</f>
        <v>No Data</v>
      </c>
      <c r="F40" s="282"/>
      <c r="G40" s="282"/>
      <c r="H40" s="282"/>
      <c r="I40" s="282"/>
      <c r="J40" s="282"/>
      <c r="K40" s="282"/>
      <c r="L40" s="466"/>
    </row>
    <row r="41" spans="1:31" ht="7.5" hidden="1" customHeight="1">
      <c r="A41" s="65" t="s">
        <v>58</v>
      </c>
      <c r="B41" s="365"/>
      <c r="C41" s="758"/>
      <c r="D41" s="364"/>
      <c r="E41" s="364"/>
      <c r="F41" s="757"/>
      <c r="G41" s="757"/>
      <c r="H41" s="757"/>
      <c r="I41" s="757"/>
      <c r="J41" s="756"/>
      <c r="K41" s="744"/>
    </row>
    <row r="42" spans="1:31" ht="22.5" hidden="1" customHeight="1">
      <c r="B42" s="278"/>
      <c r="C42" s="464"/>
      <c r="D42" s="32"/>
      <c r="E42" s="406">
        <f>IFERROR(YEAR($C$5),"")</f>
        <v>2024</v>
      </c>
      <c r="F42" s="405">
        <f>IFERROR((YEAR($C$5)-1),"")</f>
        <v>2023</v>
      </c>
      <c r="G42" s="404">
        <f>IF(E42="","",E42-2)</f>
        <v>2022</v>
      </c>
      <c r="H42" s="32"/>
      <c r="J42" s="751"/>
      <c r="K42" s="744"/>
      <c r="Q42" s="1432"/>
      <c r="R42" s="1432"/>
    </row>
    <row r="43" spans="1:31" ht="7.5" hidden="1" customHeight="1">
      <c r="B43" s="278"/>
      <c r="C43" s="464"/>
      <c r="D43" s="32"/>
      <c r="E43" s="32"/>
      <c r="F43" s="32"/>
      <c r="G43" s="32"/>
      <c r="H43" s="32"/>
      <c r="J43" s="751"/>
      <c r="K43" s="744"/>
    </row>
    <row r="44" spans="1:31" ht="17.25" hidden="1" customHeight="1">
      <c r="B44" s="278"/>
      <c r="C44" s="77" t="s">
        <v>440</v>
      </c>
      <c r="D44" s="77"/>
      <c r="E44" s="463">
        <f>Tm_TBBalance</f>
        <v>-250</v>
      </c>
      <c r="F44" s="463"/>
      <c r="G44" s="463"/>
      <c r="H44" s="345"/>
      <c r="J44" s="751"/>
      <c r="K44" s="744"/>
      <c r="U44" s="436"/>
      <c r="V44" s="173"/>
    </row>
    <row r="45" spans="1:31" ht="17.25" hidden="1" customHeight="1">
      <c r="B45" s="278"/>
      <c r="C45" s="1427" t="s">
        <v>618</v>
      </c>
      <c r="D45" s="1609"/>
      <c r="E45" s="463"/>
      <c r="F45" s="463"/>
      <c r="G45" s="345"/>
      <c r="H45" s="345"/>
      <c r="J45" s="751"/>
      <c r="K45" s="744"/>
      <c r="U45" s="436"/>
      <c r="V45" s="173"/>
    </row>
    <row r="46" spans="1:31" ht="17.25" hidden="1" customHeight="1">
      <c r="B46" s="278"/>
      <c r="C46" s="1427" t="s">
        <v>437</v>
      </c>
      <c r="D46" s="1609"/>
      <c r="E46" s="461">
        <f>IFERROR(AVERAGE(E44:F44)/E45*_xlfn.DAYS($C$5,DATE(YEAR($C$5)-1,MONTH($C$5),DAY($C$5))),0)</f>
        <v>0</v>
      </c>
      <c r="F46" s="461">
        <f>IFERROR(AVERAGE(F44:G44)/F45*_xlfn.DAYS(DATE(YEAR($C$5)-1,MONTH($C$5),DAY($C$5)),DATE(YEAR($C$5)-2,MONTH($C$5),DAY($C$5))),0)</f>
        <v>0</v>
      </c>
      <c r="G46" s="345"/>
      <c r="H46" s="345"/>
      <c r="J46" s="751"/>
      <c r="K46" s="744"/>
      <c r="U46" s="755"/>
      <c r="V46" s="754"/>
    </row>
    <row r="47" spans="1:31" ht="17.25" hidden="1" customHeight="1">
      <c r="B47" s="278"/>
      <c r="C47" s="341"/>
      <c r="D47" s="454"/>
      <c r="E47" s="454"/>
      <c r="F47" s="454"/>
      <c r="G47" s="345"/>
      <c r="H47" s="345"/>
      <c r="J47" s="751"/>
      <c r="K47" s="744"/>
      <c r="U47" s="441"/>
      <c r="V47" s="64"/>
    </row>
    <row r="48" spans="1:31" ht="22.5" hidden="1" customHeight="1">
      <c r="B48" s="278"/>
      <c r="C48" s="1724" t="s">
        <v>436</v>
      </c>
      <c r="D48" s="1724"/>
      <c r="G48" s="345"/>
      <c r="H48" s="345"/>
      <c r="J48" s="751"/>
      <c r="K48" s="744"/>
      <c r="U48" s="441"/>
      <c r="V48" s="64"/>
    </row>
    <row r="49" spans="1:22" ht="7.5" hidden="1" customHeight="1">
      <c r="B49" s="278"/>
      <c r="C49" s="341"/>
      <c r="E49" s="454"/>
      <c r="F49" s="454"/>
      <c r="G49" s="345"/>
      <c r="H49" s="345"/>
      <c r="J49" s="751"/>
      <c r="K49" s="744"/>
      <c r="U49" s="441"/>
      <c r="V49" s="64"/>
    </row>
    <row r="50" spans="1:22" ht="17.25" hidden="1" customHeight="1">
      <c r="B50" s="278"/>
      <c r="C50" s="341"/>
      <c r="E50" s="453" t="s">
        <v>358</v>
      </c>
      <c r="F50" s="453" t="s">
        <v>614</v>
      </c>
      <c r="G50" s="345"/>
      <c r="H50" s="345"/>
      <c r="J50" s="751"/>
      <c r="K50" s="744"/>
      <c r="U50" s="441"/>
      <c r="V50" s="64"/>
    </row>
    <row r="51" spans="1:22" ht="17.25" hidden="1" customHeight="1">
      <c r="B51" s="278"/>
      <c r="C51" s="440" t="str">
        <f>"Creditor Owed the Most at "&amp;TEXT($C$5,"DD MMMM YYYY")</f>
        <v>Creditor Owed the Most at 30 June 2024</v>
      </c>
      <c r="E51" s="443">
        <f>MAX($M$20:$M$29)</f>
        <v>0</v>
      </c>
      <c r="F51" s="1610" t="str">
        <f>IF(E51=0,"",IF(ISERROR(INDEX($C$20:$M$29,MATCH(E51,$M$20:$M$29,0),1)),"",INDEX($C$20:$M$29,MATCH(E51,$M$20:$M$29,0),1)))</f>
        <v/>
      </c>
      <c r="G51" s="1611"/>
      <c r="H51" s="1612"/>
      <c r="J51" s="751"/>
      <c r="K51" s="744"/>
      <c r="U51" s="436"/>
      <c r="V51" s="753"/>
    </row>
    <row r="52" spans="1:22" ht="17.25" hidden="1" customHeight="1">
      <c r="B52" s="278"/>
      <c r="E52" s="346" t="str">
        <f>"   This represents "&amp;IFERROR(TEXT($E$51/H05_TradeCreditors,"##.#0%"),TEXT(0,"0%"))&amp;" of total trade creditors at "&amp;TEXT($C$5,"DD MMMM YYYY")</f>
        <v xml:space="preserve">   This represents 0% of total trade creditors at 30 June 2024</v>
      </c>
      <c r="F52" s="346"/>
      <c r="G52" s="345"/>
      <c r="H52" s="345"/>
      <c r="J52" s="751"/>
      <c r="K52" s="744"/>
      <c r="U52" s="436"/>
      <c r="V52" s="173"/>
    </row>
    <row r="53" spans="1:22" ht="7.5" hidden="1" customHeight="1">
      <c r="B53" s="278"/>
      <c r="E53" s="346"/>
      <c r="F53" s="346"/>
      <c r="G53" s="345"/>
      <c r="H53" s="345"/>
      <c r="J53" s="751"/>
      <c r="K53" s="744"/>
    </row>
    <row r="54" spans="1:22" ht="17.25" hidden="1" customHeight="1">
      <c r="B54" s="278"/>
      <c r="C54" s="440" t="str">
        <f>"Creditor with Greatest Amount Outstanding Between:"</f>
        <v>Creditor with Greatest Amount Outstanding Between:</v>
      </c>
      <c r="E54" s="431"/>
      <c r="F54" s="454"/>
      <c r="G54" s="345"/>
      <c r="H54" s="345"/>
      <c r="J54" s="751"/>
      <c r="K54" s="744"/>
      <c r="U54" s="436"/>
      <c r="V54" s="173"/>
    </row>
    <row r="55" spans="1:22" ht="17.25" hidden="1" customHeight="1">
      <c r="B55" s="278"/>
      <c r="C55" s="341" t="str">
        <f>"   0 - 30 days at "&amp;TEXT($C$5,"DD MMMM YYYY")</f>
        <v xml:space="preserve">   0 - 30 days at 30 June 2024</v>
      </c>
      <c r="E55" s="443">
        <f>MAX(Model_Creditors.Balances.Band30Days)</f>
        <v>0</v>
      </c>
      <c r="F55" s="1610" t="str">
        <f>IF(E55=0,"",IF(ISERROR(INDEX($C$20:$O$29,MATCH(E55,$O$20:$O$29,0),1)),"",INDEX($C$20:$O$29,MATCH(E55,$O$20:$O$29,0),1)))</f>
        <v/>
      </c>
      <c r="G55" s="1611"/>
      <c r="H55" s="1612"/>
      <c r="J55" s="751"/>
      <c r="K55" s="744"/>
      <c r="U55" s="436"/>
      <c r="V55" s="173"/>
    </row>
    <row r="56" spans="1:22" ht="17.25" hidden="1" customHeight="1">
      <c r="B56" s="278"/>
      <c r="C56" s="341" t="str">
        <f>"   30 - 60 days at "&amp;TEXT($C$5,"DD MMMM YYYY")</f>
        <v xml:space="preserve">   30 - 60 days at 30 June 2024</v>
      </c>
      <c r="E56" s="443">
        <f>MAX(Model_Creditors.Balances.Band60Days)</f>
        <v>0</v>
      </c>
      <c r="F56" s="1610" t="str">
        <f>IF(E56=0,"",IF(ISERROR(INDEX($C$20:$P$29,MATCH(E56,$P$20:$P$29,0),1)),"",INDEX($C$20:$P$29,MATCH(E56,$P$20:$P$29,0),1)))</f>
        <v/>
      </c>
      <c r="G56" s="1611"/>
      <c r="H56" s="1612"/>
      <c r="J56" s="751"/>
      <c r="K56" s="744"/>
      <c r="U56" s="436"/>
      <c r="V56" s="173"/>
    </row>
    <row r="57" spans="1:22" ht="17.25" hidden="1" customHeight="1">
      <c r="B57" s="278"/>
      <c r="C57" s="341" t="str">
        <f>"   60 - 90 days at "&amp;TEXT($C$5,"DD MMMM YYYY")</f>
        <v xml:space="preserve">   60 - 90 days at 30 June 2024</v>
      </c>
      <c r="E57" s="443">
        <f>MAX(Model_Creditors.Balances.Band90Days)</f>
        <v>0</v>
      </c>
      <c r="F57" s="1610" t="str">
        <f>IF(E57=0,"",IF(ISERROR(INDEX($C$20:$Q$29,MATCH(E57,$Q$20:$Q$29,0),1)),"",INDEX($C$20:$Q$29,MATCH(E57,$Q$20:$Q$29,0),1)))</f>
        <v/>
      </c>
      <c r="G57" s="1611"/>
      <c r="H57" s="1612"/>
      <c r="J57" s="751"/>
      <c r="K57" s="744"/>
      <c r="U57" s="436"/>
      <c r="V57" s="173"/>
    </row>
    <row r="58" spans="1:22" ht="17.25" hidden="1" customHeight="1">
      <c r="B58" s="278"/>
      <c r="C58" s="341" t="str">
        <f>"   Greater than 90 days at "&amp;TEXT($C$5,"DD MMMM YYYY")</f>
        <v xml:space="preserve">   Greater than 90 days at 30 June 2024</v>
      </c>
      <c r="E58" s="443">
        <f>MAX(Model_Creditors.Balances.Band90PlusDays)</f>
        <v>0</v>
      </c>
      <c r="F58" s="1610" t="str">
        <f>IF(E58=0,"",IF(ISERROR(INDEX($C$20:$R$29,MATCH(E58,$R$20:$R$29,0),1)),"",INDEX($C$20:$R$29,MATCH(E58,$R$20:$R$29,0),1)))</f>
        <v/>
      </c>
      <c r="G58" s="1611"/>
      <c r="H58" s="1612"/>
      <c r="J58" s="751"/>
      <c r="K58" s="744"/>
      <c r="U58" s="436"/>
      <c r="V58" s="173"/>
    </row>
    <row r="59" spans="1:22" ht="7.5" hidden="1" customHeight="1">
      <c r="B59" s="278"/>
      <c r="C59" s="341"/>
      <c r="J59" s="751"/>
      <c r="K59" s="744"/>
    </row>
    <row r="60" spans="1:22" ht="17.25" hidden="1" customHeight="1">
      <c r="B60" s="278"/>
      <c r="C60" s="440" t="str">
        <f>"Average Debt per Trade Creditor at "&amp;TEXT($C$5,"DD MMMM YYYY")</f>
        <v>Average Debt per Trade Creditor at 30 June 2024</v>
      </c>
      <c r="E60" s="443">
        <f>IF(ISERROR(AVERAGE($M$20:$M$29)),"",AVERAGE($M$20:$M$29))</f>
        <v>0</v>
      </c>
      <c r="F60" s="454"/>
      <c r="G60" s="345"/>
      <c r="H60" s="345"/>
      <c r="J60" s="751"/>
      <c r="K60" s="744"/>
      <c r="U60" s="436"/>
      <c r="V60" s="173"/>
    </row>
    <row r="61" spans="1:22" ht="17.25" hidden="1" customHeight="1">
      <c r="B61" s="278"/>
      <c r="C61" s="440" t="str">
        <f>"Median Debt per Trade Creditor at "&amp;TEXT($C$5,"DD MMMM YYYY")</f>
        <v>Median Debt per Trade Creditor at 30 June 2024</v>
      </c>
      <c r="E61" s="443">
        <f>IF(ISERROR(MEDIAN($M$20:$M$29)),"",MEDIAN($M$20:$M$29))</f>
        <v>0</v>
      </c>
      <c r="F61" s="454"/>
      <c r="G61" s="345"/>
      <c r="H61" s="345"/>
      <c r="J61" s="751"/>
      <c r="K61" s="744"/>
      <c r="U61" s="436"/>
      <c r="V61" s="173"/>
    </row>
    <row r="62" spans="1:22" ht="17.25" hidden="1" customHeight="1">
      <c r="B62" s="278"/>
      <c r="J62" s="751"/>
      <c r="U62" s="482"/>
      <c r="V62" s="481"/>
    </row>
    <row r="63" spans="1:22" ht="22.5" hidden="1" customHeight="1">
      <c r="A63" s="61" t="str">
        <f>IF(SUBTOTAL(103,Tm_StartRollUp_05),"-","+")</f>
        <v>+</v>
      </c>
      <c r="B63" s="1517" t="s">
        <v>617</v>
      </c>
      <c r="C63" s="1518" t="s">
        <v>617</v>
      </c>
      <c r="D63" s="1614"/>
      <c r="E63" s="752"/>
      <c r="F63" s="282"/>
      <c r="G63" s="282"/>
      <c r="H63" s="282"/>
      <c r="I63" s="282"/>
      <c r="J63" s="751"/>
      <c r="K63" s="750"/>
      <c r="L63" s="466"/>
      <c r="V63" s="133"/>
    </row>
    <row r="64" spans="1:22" ht="7.5" hidden="1" customHeight="1">
      <c r="A64" s="65" t="s">
        <v>58</v>
      </c>
      <c r="B64" s="749"/>
      <c r="N64" s="143"/>
      <c r="V64" s="133"/>
    </row>
    <row r="65" spans="2:22" ht="22.5" hidden="1" customHeight="1">
      <c r="B65" s="278"/>
      <c r="N65" s="143"/>
      <c r="U65" s="189"/>
      <c r="V65" s="189"/>
    </row>
    <row r="66" spans="2:22" ht="22.5" hidden="1" customHeight="1">
      <c r="B66" s="278"/>
      <c r="N66" s="143"/>
      <c r="U66" s="436"/>
      <c r="V66" s="173"/>
    </row>
    <row r="67" spans="2:22" ht="22.5" hidden="1" customHeight="1">
      <c r="B67" s="278"/>
      <c r="N67" s="143"/>
      <c r="U67" s="436"/>
      <c r="V67" s="173"/>
    </row>
    <row r="68" spans="2:22" ht="22.5" hidden="1" customHeight="1">
      <c r="B68" s="278"/>
      <c r="N68" s="143"/>
      <c r="U68" s="436"/>
      <c r="V68" s="173"/>
    </row>
    <row r="69" spans="2:22" ht="22.5" hidden="1" customHeight="1">
      <c r="B69" s="278"/>
      <c r="N69" s="143"/>
      <c r="U69" s="436"/>
      <c r="V69" s="173"/>
    </row>
    <row r="70" spans="2:22" ht="22.5" hidden="1" customHeight="1">
      <c r="B70" s="278"/>
      <c r="N70" s="143"/>
      <c r="U70" s="436"/>
      <c r="V70" s="173"/>
    </row>
    <row r="71" spans="2:22" ht="22.5" hidden="1" customHeight="1">
      <c r="B71" s="278"/>
      <c r="N71" s="143"/>
      <c r="U71" s="436"/>
      <c r="V71" s="173"/>
    </row>
    <row r="72" spans="2:22" ht="22.5" hidden="1" customHeight="1">
      <c r="B72" s="278"/>
      <c r="N72" s="143"/>
      <c r="U72" s="436"/>
      <c r="V72" s="173"/>
    </row>
    <row r="73" spans="2:22" ht="22.5" hidden="1" customHeight="1">
      <c r="B73" s="278"/>
      <c r="N73" s="143"/>
      <c r="U73" s="436"/>
      <c r="V73" s="173"/>
    </row>
    <row r="74" spans="2:22" ht="22.5" hidden="1" customHeight="1">
      <c r="B74" s="278"/>
      <c r="N74" s="143"/>
      <c r="U74" s="436"/>
      <c r="V74" s="173"/>
    </row>
    <row r="75" spans="2:22" ht="22.5" hidden="1" customHeight="1">
      <c r="B75" s="278"/>
      <c r="N75" s="143"/>
      <c r="U75" s="436"/>
      <c r="V75" s="173"/>
    </row>
    <row r="76" spans="2:22" ht="22.5" hidden="1" customHeight="1">
      <c r="B76" s="278"/>
      <c r="N76" s="143"/>
      <c r="U76" s="436"/>
      <c r="V76" s="173"/>
    </row>
    <row r="77" spans="2:22" ht="22.5" hidden="1" customHeight="1">
      <c r="B77" s="278"/>
      <c r="N77" s="143"/>
      <c r="U77" s="436"/>
      <c r="V77" s="173"/>
    </row>
    <row r="78" spans="2:22" ht="22.5" hidden="1" customHeight="1">
      <c r="B78" s="278"/>
      <c r="N78" s="143"/>
      <c r="U78" s="436"/>
      <c r="V78" s="173"/>
    </row>
    <row r="79" spans="2:22" ht="22.5" hidden="1" customHeight="1">
      <c r="B79" s="278"/>
      <c r="N79" s="143"/>
      <c r="U79" s="748"/>
      <c r="V79" s="173"/>
    </row>
    <row r="80" spans="2:22" ht="22.5" hidden="1" customHeight="1">
      <c r="B80" s="278"/>
      <c r="N80" s="143"/>
      <c r="U80" s="436"/>
      <c r="V80" s="173"/>
    </row>
    <row r="81" spans="2:22" ht="22.5" hidden="1" customHeight="1">
      <c r="B81" s="278"/>
      <c r="N81" s="143"/>
      <c r="U81" s="436"/>
      <c r="V81" s="173"/>
    </row>
    <row r="82" spans="2:22" ht="22.5" hidden="1" customHeight="1">
      <c r="B82" s="278"/>
      <c r="N82" s="143"/>
      <c r="U82" s="436"/>
      <c r="V82" s="173"/>
    </row>
    <row r="83" spans="2:22" ht="22.5" hidden="1" customHeight="1">
      <c r="B83" s="278"/>
      <c r="N83" s="143"/>
      <c r="U83" s="436"/>
      <c r="V83" s="173"/>
    </row>
    <row r="84" spans="2:22" ht="22.5" hidden="1" customHeight="1">
      <c r="B84" s="278"/>
      <c r="N84" s="143"/>
      <c r="U84" s="436"/>
      <c r="V84" s="173"/>
    </row>
    <row r="85" spans="2:22" ht="22.5" hidden="1" customHeight="1">
      <c r="B85" s="278"/>
      <c r="N85" s="143"/>
      <c r="U85" s="436"/>
      <c r="V85" s="173"/>
    </row>
    <row r="86" spans="2:22" ht="22.5" hidden="1" customHeight="1">
      <c r="B86" s="278"/>
      <c r="N86" s="143"/>
      <c r="U86" s="436"/>
      <c r="V86" s="173"/>
    </row>
    <row r="87" spans="2:22" ht="22.5" hidden="1" customHeight="1">
      <c r="B87" s="278"/>
      <c r="N87" s="143"/>
      <c r="U87" s="436"/>
      <c r="V87" s="173"/>
    </row>
    <row r="88" spans="2:22" ht="22.5" hidden="1" customHeight="1">
      <c r="B88" s="278"/>
      <c r="N88" s="143"/>
      <c r="U88" s="436"/>
      <c r="V88" s="173"/>
    </row>
    <row r="89" spans="2:22" ht="22.5" hidden="1" customHeight="1">
      <c r="B89" s="278"/>
      <c r="N89" s="143"/>
      <c r="U89" s="436"/>
      <c r="V89" s="173"/>
    </row>
    <row r="90" spans="2:22" ht="22.5" hidden="1" customHeight="1">
      <c r="B90" s="278"/>
      <c r="N90" s="143"/>
      <c r="U90" s="436"/>
      <c r="V90" s="173"/>
    </row>
    <row r="91" spans="2:22" ht="22.5" hidden="1" customHeight="1">
      <c r="B91" s="278"/>
      <c r="N91" s="143"/>
      <c r="U91" s="436"/>
      <c r="V91" s="173"/>
    </row>
    <row r="92" spans="2:22" ht="22.5" hidden="1" customHeight="1">
      <c r="B92" s="278"/>
      <c r="N92" s="143"/>
      <c r="U92" s="436"/>
      <c r="V92" s="173"/>
    </row>
    <row r="93" spans="2:22" ht="22.5" hidden="1" customHeight="1">
      <c r="B93" s="278"/>
      <c r="N93" s="143"/>
      <c r="U93" s="436"/>
      <c r="V93" s="173"/>
    </row>
    <row r="94" spans="2:22" ht="22.5" hidden="1" customHeight="1">
      <c r="B94" s="278"/>
      <c r="N94" s="143"/>
      <c r="U94" s="436"/>
      <c r="V94" s="173"/>
    </row>
    <row r="95" spans="2:22" ht="22.5" hidden="1" customHeight="1">
      <c r="B95" s="278"/>
      <c r="N95" s="143"/>
      <c r="U95" s="436"/>
      <c r="V95" s="173"/>
    </row>
    <row r="96" spans="2:22" ht="7.5" hidden="1" customHeight="1">
      <c r="B96" s="278"/>
      <c r="N96" s="143"/>
      <c r="Q96" s="441"/>
      <c r="R96" s="64"/>
    </row>
    <row r="97" spans="2:18" ht="22.5" hidden="1" customHeight="1">
      <c r="B97" s="278"/>
      <c r="C97" s="438" t="s">
        <v>434</v>
      </c>
      <c r="D97" s="747">
        <f>IF(COUNTA(Model_Creditors.Balances.Detail)&lt;15,COUNTA(Model_Creditors.Balances.Detail),15)</f>
        <v>0</v>
      </c>
      <c r="E97" s="439" t="str">
        <f>"Max: "&amp;D99</f>
        <v>Max: 0</v>
      </c>
      <c r="N97" s="143"/>
      <c r="Q97" s="441"/>
      <c r="R97" s="64"/>
    </row>
    <row r="98" spans="2:18" ht="22.5" hidden="1" customHeight="1">
      <c r="B98" s="278"/>
      <c r="C98" s="438" t="s">
        <v>616</v>
      </c>
      <c r="D98" s="746" t="s">
        <v>64</v>
      </c>
      <c r="F98" s="439"/>
      <c r="N98" s="143"/>
      <c r="Q98" s="441"/>
      <c r="R98" s="64"/>
    </row>
    <row r="99" spans="2:18" ht="7.5" customHeight="1">
      <c r="B99" s="435"/>
      <c r="C99" s="138"/>
      <c r="D99" s="434">
        <f>IF(COUNTA(Model_Creditors.Balances.Detail)&gt;15,15,COUNTA(Model_Creditors.Balances.Detail))</f>
        <v>0</v>
      </c>
      <c r="E99" s="138"/>
      <c r="F99" s="138"/>
      <c r="G99" s="138"/>
      <c r="H99" s="138"/>
      <c r="I99" s="138"/>
      <c r="J99" s="745"/>
      <c r="K99" s="744"/>
      <c r="Q99" s="441"/>
      <c r="R99" s="64"/>
    </row>
    <row r="100" spans="2:18" ht="22.5" hidden="1" customHeight="1">
      <c r="B100" s="278"/>
      <c r="O100" s="143"/>
      <c r="Q100" s="441"/>
      <c r="R100" s="64"/>
    </row>
    <row r="101" spans="2:18" ht="22.5" hidden="1" customHeight="1">
      <c r="B101" s="433" t="s">
        <v>432</v>
      </c>
      <c r="C101" s="268" t="s">
        <v>431</v>
      </c>
      <c r="D101" s="432" t="s">
        <v>430</v>
      </c>
      <c r="E101" s="432" t="s">
        <v>429</v>
      </c>
      <c r="F101" s="432" t="s">
        <v>615</v>
      </c>
      <c r="G101" s="432" t="s">
        <v>427</v>
      </c>
      <c r="H101" s="432" t="s">
        <v>614</v>
      </c>
      <c r="I101" s="432" t="s">
        <v>151</v>
      </c>
      <c r="J101" s="432" t="s">
        <v>425</v>
      </c>
      <c r="K101" s="432" t="s">
        <v>424</v>
      </c>
      <c r="L101" s="432" t="s">
        <v>423</v>
      </c>
      <c r="M101" s="432" t="s">
        <v>422</v>
      </c>
      <c r="N101" s="432" t="s">
        <v>421</v>
      </c>
      <c r="O101" s="143"/>
      <c r="Q101" s="441"/>
      <c r="R101" s="64"/>
    </row>
    <row r="102" spans="2:18" ht="22.5" hidden="1" customHeight="1">
      <c r="B102" s="278">
        <f>IF(I102="",1,COUNTIF($I$102:I102,I102))</f>
        <v>1</v>
      </c>
      <c r="C102" s="149" t="b">
        <f t="shared" ref="C102:C117" ca="1" si="6">IF(B102=2,VLOOKUP(I102,$M$20:$S$29,7,FALSE),IF(B102&gt;2,VLOOKUP(I102,OFFSET($M$20:$S$29,VLOOKUP(I102*(B102-1),$D$102:$E$117,2,FALSE),0),7,FALSE),TRUE))</f>
        <v>1</v>
      </c>
      <c r="D102" s="431" t="str">
        <f t="shared" ref="D102:D117" si="7">IF(B102&gt;1,I102*B102,"")</f>
        <v/>
      </c>
      <c r="E102" s="431" t="str">
        <f t="shared" ref="E102:E117" ca="1" si="8">IF(C102=TRUE,"",RIGHT(C102,LEN(C102)-3)-RIGHT($S$20,LEN($S$20)-3)+1)</f>
        <v/>
      </c>
      <c r="F102" s="431" t="str">
        <f t="shared" ref="F102:F117" ca="1" si="9">IF(B102&gt;1,INDEX(OFFSET($C$20:$M$29,E102,0),MATCH(I102,OFFSET($M$20:$M$29,E102,),0),1),"")</f>
        <v/>
      </c>
      <c r="G102" s="430">
        <v>1</v>
      </c>
      <c r="H102" s="429" t="str">
        <f t="shared" ref="H102:H117" ca="1" si="10">IF(F102="",IF(COUNTA(Model_Creditors.Balances.Detail)&gt;=$G102,IF(OR(H101="All Other Creditors",H101=""),"",IF($G102=16,"All Other Creditors",INDEX(Model_Creditors.Balances.Detail,MATCH($I102,$M$20:$M$29,0),1))),IF(OR($H101="All Other Creditors",$H101=""),"",IF($D$98="Yes","","All Other Creditors"))),$F102)</f>
        <v>All Other Creditors</v>
      </c>
      <c r="I102" s="150">
        <f>IF(_xlfn.NUMBERVALUE($G102)&lt;=COUNTA(Model_Creditors.Balances.Detail),IF($G101=$D$97,IF($D$98="Yes","",H05_TradeCreditors-SUM($I101:I$102)),IF(ISERROR(LARGE($M$20:$M$29,G102)),"",LARGE($M$20:$M$29,G102))),0)</f>
        <v>0</v>
      </c>
      <c r="J102" s="150" t="str">
        <f t="shared" ref="J102:J117" ca="1" si="11">IF($H102="","",IF($H102="All Other Creditors","",VLOOKUP($H102,$C$20:$R$29,13,FALSE)))</f>
        <v/>
      </c>
      <c r="K102" s="150" t="str">
        <f t="shared" ref="K102:K117" ca="1" si="12">IF($H102="","",IF($H102="All Other Creditors","",VLOOKUP($H102,$C$20:$R$29,14,FALSE)))</f>
        <v/>
      </c>
      <c r="L102" s="150" t="str">
        <f t="shared" ref="L102:L117" ca="1" si="13">IF($H102="","",IF($H102="All Other Creditors","",VLOOKUP($H102,$C$20:$R$29,15,FALSE)))</f>
        <v/>
      </c>
      <c r="M102" s="150" t="str">
        <f t="shared" ref="M102:M117" ca="1" si="14">IF($H102="","",IF($H102="All Other Creditors","",VLOOKUP($H102,$C$20:$R$29,16,FALSE)))</f>
        <v/>
      </c>
      <c r="N102" s="428" t="e">
        <f t="shared" ref="N102:N117" si="15">IF(I102="","",I102/H05_TradeCreditors)</f>
        <v>#DIV/0!</v>
      </c>
      <c r="O102" s="143"/>
      <c r="Q102" s="441"/>
      <c r="R102" s="64"/>
    </row>
    <row r="103" spans="2:18" ht="22.5" hidden="1" customHeight="1">
      <c r="B103" s="278">
        <f>IF(I103="",1,COUNTIF($I$102:I103,I103))</f>
        <v>1</v>
      </c>
      <c r="C103" s="149" t="b">
        <f t="shared" ca="1" si="6"/>
        <v>1</v>
      </c>
      <c r="D103" s="431" t="str">
        <f t="shared" si="7"/>
        <v/>
      </c>
      <c r="E103" s="431" t="str">
        <f t="shared" ca="1" si="8"/>
        <v/>
      </c>
      <c r="F103" s="431" t="str">
        <f t="shared" ca="1" si="9"/>
        <v/>
      </c>
      <c r="G103" s="430" t="str">
        <f t="shared" ref="G103:G117" si="16">IF(ISERROR(IF(G102+1&lt;=$D$97,G102+1,"")),"",IF(G102+1&lt;=$D$97,G102+1,""))</f>
        <v/>
      </c>
      <c r="H103" s="429" t="str">
        <f t="shared" ca="1" si="10"/>
        <v/>
      </c>
      <c r="I103" s="150" t="str">
        <f>IF(_xlfn.NUMBERVALUE($G103)&lt;=COUNTA(Model_Creditors.Balances.Detail),IF($G102=$D$97,IF($D$98="Yes","",H05_TradeCreditors-SUM($I$102:I102)),IF(ISERROR(LARGE($M$20:$M$29,G103)),"",LARGE($M$20:$M$29,G103))),0)</f>
        <v/>
      </c>
      <c r="J103" s="150" t="str">
        <f t="shared" ca="1" si="11"/>
        <v/>
      </c>
      <c r="K103" s="150" t="str">
        <f t="shared" ca="1" si="12"/>
        <v/>
      </c>
      <c r="L103" s="150" t="str">
        <f t="shared" ca="1" si="13"/>
        <v/>
      </c>
      <c r="M103" s="150" t="str">
        <f t="shared" ca="1" si="14"/>
        <v/>
      </c>
      <c r="N103" s="428" t="str">
        <f t="shared" si="15"/>
        <v/>
      </c>
      <c r="O103" s="143"/>
      <c r="Q103" s="441"/>
      <c r="R103" s="64"/>
    </row>
    <row r="104" spans="2:18" ht="22.5" hidden="1" customHeight="1">
      <c r="B104" s="278">
        <f>IF(I104="",1,COUNTIF($I$102:I104,I104))</f>
        <v>1</v>
      </c>
      <c r="C104" s="149" t="b">
        <f t="shared" ca="1" si="6"/>
        <v>1</v>
      </c>
      <c r="D104" s="431" t="str">
        <f t="shared" si="7"/>
        <v/>
      </c>
      <c r="E104" s="431" t="str">
        <f t="shared" ca="1" si="8"/>
        <v/>
      </c>
      <c r="F104" s="431" t="str">
        <f t="shared" ca="1" si="9"/>
        <v/>
      </c>
      <c r="G104" s="430" t="str">
        <f t="shared" si="16"/>
        <v/>
      </c>
      <c r="H104" s="429" t="str">
        <f t="shared" ca="1" si="10"/>
        <v/>
      </c>
      <c r="I104" s="150" t="str">
        <f>IF(_xlfn.NUMBERVALUE($G104)&lt;=COUNTA(Model_Creditors.Balances.Detail),IF($G103=$D$97,IF($D$98="Yes","",H05_TradeCreditors-SUM($I$102:I103)),IF(ISERROR(LARGE($M$20:$M$29,G104)),"",LARGE($M$20:$M$29,G104))),0)</f>
        <v/>
      </c>
      <c r="J104" s="150" t="str">
        <f t="shared" ca="1" si="11"/>
        <v/>
      </c>
      <c r="K104" s="150" t="str">
        <f t="shared" ca="1" si="12"/>
        <v/>
      </c>
      <c r="L104" s="150" t="str">
        <f t="shared" ca="1" si="13"/>
        <v/>
      </c>
      <c r="M104" s="150" t="str">
        <f t="shared" ca="1" si="14"/>
        <v/>
      </c>
      <c r="N104" s="428" t="str">
        <f t="shared" si="15"/>
        <v/>
      </c>
      <c r="O104" s="143"/>
      <c r="Q104" s="441"/>
      <c r="R104" s="64"/>
    </row>
    <row r="105" spans="2:18" ht="22.5" hidden="1" customHeight="1">
      <c r="B105" s="278">
        <f>IF(I105="",1,COUNTIF($I$102:I105,I105))</f>
        <v>1</v>
      </c>
      <c r="C105" s="149" t="b">
        <f t="shared" ca="1" si="6"/>
        <v>1</v>
      </c>
      <c r="D105" s="431" t="str">
        <f t="shared" si="7"/>
        <v/>
      </c>
      <c r="E105" s="431" t="str">
        <f t="shared" ca="1" si="8"/>
        <v/>
      </c>
      <c r="F105" s="431" t="str">
        <f t="shared" ca="1" si="9"/>
        <v/>
      </c>
      <c r="G105" s="430" t="str">
        <f t="shared" si="16"/>
        <v/>
      </c>
      <c r="H105" s="429" t="str">
        <f t="shared" ca="1" si="10"/>
        <v/>
      </c>
      <c r="I105" s="150" t="str">
        <f>IF(_xlfn.NUMBERVALUE($G105)&lt;=COUNTA(Model_Creditors.Balances.Detail),IF($G104=$D$97,IF($D$98="Yes","",H05_TradeCreditors-SUM($I$102:I104)),IF(ISERROR(LARGE($M$20:$M$29,G105)),"",LARGE($M$20:$M$29,G105))),0)</f>
        <v/>
      </c>
      <c r="J105" s="150" t="str">
        <f t="shared" ca="1" si="11"/>
        <v/>
      </c>
      <c r="K105" s="150" t="str">
        <f t="shared" ca="1" si="12"/>
        <v/>
      </c>
      <c r="L105" s="150" t="str">
        <f t="shared" ca="1" si="13"/>
        <v/>
      </c>
      <c r="M105" s="150" t="str">
        <f t="shared" ca="1" si="14"/>
        <v/>
      </c>
      <c r="N105" s="428" t="str">
        <f t="shared" si="15"/>
        <v/>
      </c>
      <c r="O105" s="143"/>
      <c r="Q105" s="441"/>
      <c r="R105" s="64"/>
    </row>
    <row r="106" spans="2:18" ht="22.5" hidden="1" customHeight="1">
      <c r="B106" s="278">
        <f>IF(I106="",1,COUNTIF($I$102:I106,I106))</f>
        <v>1</v>
      </c>
      <c r="C106" s="149" t="b">
        <f t="shared" ca="1" si="6"/>
        <v>1</v>
      </c>
      <c r="D106" s="431" t="str">
        <f t="shared" si="7"/>
        <v/>
      </c>
      <c r="E106" s="431" t="str">
        <f t="shared" ca="1" si="8"/>
        <v/>
      </c>
      <c r="F106" s="431" t="str">
        <f t="shared" ca="1" si="9"/>
        <v/>
      </c>
      <c r="G106" s="430" t="str">
        <f t="shared" si="16"/>
        <v/>
      </c>
      <c r="H106" s="429" t="str">
        <f t="shared" ca="1" si="10"/>
        <v/>
      </c>
      <c r="I106" s="150" t="str">
        <f>IF(_xlfn.NUMBERVALUE($G106)&lt;=COUNTA(Model_Creditors.Balances.Detail),IF($G105=$D$97,IF($D$98="Yes","",H05_TradeCreditors-SUM($I$102:I105)),IF(ISERROR(LARGE($M$20:$M$29,G106)),"",LARGE($M$20:$M$29,G106))),0)</f>
        <v/>
      </c>
      <c r="J106" s="150" t="str">
        <f t="shared" ca="1" si="11"/>
        <v/>
      </c>
      <c r="K106" s="150" t="str">
        <f t="shared" ca="1" si="12"/>
        <v/>
      </c>
      <c r="L106" s="150" t="str">
        <f t="shared" ca="1" si="13"/>
        <v/>
      </c>
      <c r="M106" s="150" t="str">
        <f t="shared" ca="1" si="14"/>
        <v/>
      </c>
      <c r="N106" s="428" t="str">
        <f t="shared" si="15"/>
        <v/>
      </c>
      <c r="O106" s="143"/>
      <c r="Q106" s="441"/>
      <c r="R106" s="64"/>
    </row>
    <row r="107" spans="2:18" ht="22.5" hidden="1" customHeight="1">
      <c r="B107" s="278">
        <f>IF(I107="",1,COUNTIF($I$102:I107,I107))</f>
        <v>1</v>
      </c>
      <c r="C107" s="149" t="b">
        <f t="shared" ca="1" si="6"/>
        <v>1</v>
      </c>
      <c r="D107" s="431" t="str">
        <f t="shared" si="7"/>
        <v/>
      </c>
      <c r="E107" s="431" t="str">
        <f t="shared" ca="1" si="8"/>
        <v/>
      </c>
      <c r="F107" s="431" t="str">
        <f t="shared" ca="1" si="9"/>
        <v/>
      </c>
      <c r="G107" s="430" t="str">
        <f t="shared" si="16"/>
        <v/>
      </c>
      <c r="H107" s="429" t="str">
        <f t="shared" ca="1" si="10"/>
        <v/>
      </c>
      <c r="I107" s="150" t="str">
        <f>IF(_xlfn.NUMBERVALUE($G107)&lt;=COUNTA(Model_Creditors.Balances.Detail),IF($G106=$D$97,IF($D$98="Yes","",H05_TradeCreditors-SUM($I$102:I106)),IF(ISERROR(LARGE($M$20:$M$29,G107)),"",LARGE($M$20:$M$29,G107))),0)</f>
        <v/>
      </c>
      <c r="J107" s="150" t="str">
        <f t="shared" ca="1" si="11"/>
        <v/>
      </c>
      <c r="K107" s="150" t="str">
        <f t="shared" ca="1" si="12"/>
        <v/>
      </c>
      <c r="L107" s="150" t="str">
        <f t="shared" ca="1" si="13"/>
        <v/>
      </c>
      <c r="M107" s="150" t="str">
        <f t="shared" ca="1" si="14"/>
        <v/>
      </c>
      <c r="N107" s="428" t="str">
        <f t="shared" si="15"/>
        <v/>
      </c>
      <c r="O107" s="143"/>
      <c r="Q107" s="441"/>
      <c r="R107" s="64"/>
    </row>
    <row r="108" spans="2:18" ht="22.5" hidden="1" customHeight="1">
      <c r="B108" s="278">
        <f>IF(I108="",1,COUNTIF($I$102:I108,I108))</f>
        <v>1</v>
      </c>
      <c r="C108" s="149" t="b">
        <f t="shared" ca="1" si="6"/>
        <v>1</v>
      </c>
      <c r="D108" s="431" t="str">
        <f t="shared" si="7"/>
        <v/>
      </c>
      <c r="E108" s="431" t="str">
        <f t="shared" ca="1" si="8"/>
        <v/>
      </c>
      <c r="F108" s="431" t="str">
        <f t="shared" ca="1" si="9"/>
        <v/>
      </c>
      <c r="G108" s="430" t="str">
        <f t="shared" si="16"/>
        <v/>
      </c>
      <c r="H108" s="429" t="str">
        <f t="shared" ca="1" si="10"/>
        <v/>
      </c>
      <c r="I108" s="150" t="str">
        <f>IF(_xlfn.NUMBERVALUE($G108)&lt;=COUNTA(Model_Creditors.Balances.Detail),IF($G107=$D$97,IF($D$98="Yes","",H05_TradeCreditors-SUM($I$102:I107)),IF(ISERROR(LARGE($M$20:$M$29,G108)),"",LARGE($M$20:$M$29,G108))),0)</f>
        <v/>
      </c>
      <c r="J108" s="150" t="str">
        <f t="shared" ca="1" si="11"/>
        <v/>
      </c>
      <c r="K108" s="150" t="str">
        <f t="shared" ca="1" si="12"/>
        <v/>
      </c>
      <c r="L108" s="150" t="str">
        <f t="shared" ca="1" si="13"/>
        <v/>
      </c>
      <c r="M108" s="150" t="str">
        <f t="shared" ca="1" si="14"/>
        <v/>
      </c>
      <c r="N108" s="428" t="str">
        <f t="shared" si="15"/>
        <v/>
      </c>
      <c r="O108" s="143"/>
      <c r="Q108" s="441"/>
      <c r="R108" s="64"/>
    </row>
    <row r="109" spans="2:18" ht="22.5" hidden="1" customHeight="1">
      <c r="B109" s="278">
        <f>IF(I109="",1,COUNTIF($I$102:I109,I109))</f>
        <v>1</v>
      </c>
      <c r="C109" s="149" t="b">
        <f t="shared" ca="1" si="6"/>
        <v>1</v>
      </c>
      <c r="D109" s="431" t="str">
        <f t="shared" si="7"/>
        <v/>
      </c>
      <c r="E109" s="431" t="str">
        <f t="shared" ca="1" si="8"/>
        <v/>
      </c>
      <c r="F109" s="431" t="str">
        <f t="shared" ca="1" si="9"/>
        <v/>
      </c>
      <c r="G109" s="430" t="str">
        <f t="shared" si="16"/>
        <v/>
      </c>
      <c r="H109" s="429" t="str">
        <f t="shared" ca="1" si="10"/>
        <v/>
      </c>
      <c r="I109" s="150" t="str">
        <f>IF(_xlfn.NUMBERVALUE($G109)&lt;=COUNTA(Model_Creditors.Balances.Detail),IF($G108=$D$97,IF($D$98="Yes","",H05_TradeCreditors-SUM($I$102:I108)),IF(ISERROR(LARGE($M$20:$M$29,G109)),"",LARGE($M$20:$M$29,G109))),0)</f>
        <v/>
      </c>
      <c r="J109" s="150" t="str">
        <f t="shared" ca="1" si="11"/>
        <v/>
      </c>
      <c r="K109" s="150" t="str">
        <f t="shared" ca="1" si="12"/>
        <v/>
      </c>
      <c r="L109" s="150" t="str">
        <f t="shared" ca="1" si="13"/>
        <v/>
      </c>
      <c r="M109" s="150" t="str">
        <f t="shared" ca="1" si="14"/>
        <v/>
      </c>
      <c r="N109" s="428" t="str">
        <f t="shared" si="15"/>
        <v/>
      </c>
      <c r="O109" s="143"/>
      <c r="Q109" s="441"/>
      <c r="R109" s="64"/>
    </row>
    <row r="110" spans="2:18" ht="22.5" hidden="1" customHeight="1">
      <c r="B110" s="278">
        <f>IF(I110="",1,COUNTIF($I$102:I110,I110))</f>
        <v>1</v>
      </c>
      <c r="C110" s="149" t="b">
        <f t="shared" ca="1" si="6"/>
        <v>1</v>
      </c>
      <c r="D110" s="431" t="str">
        <f t="shared" si="7"/>
        <v/>
      </c>
      <c r="E110" s="431" t="str">
        <f t="shared" ca="1" si="8"/>
        <v/>
      </c>
      <c r="F110" s="431" t="str">
        <f t="shared" ca="1" si="9"/>
        <v/>
      </c>
      <c r="G110" s="430" t="str">
        <f t="shared" si="16"/>
        <v/>
      </c>
      <c r="H110" s="429" t="str">
        <f t="shared" ca="1" si="10"/>
        <v/>
      </c>
      <c r="I110" s="150" t="str">
        <f>IF(_xlfn.NUMBERVALUE($G110)&lt;=COUNTA(Model_Creditors.Balances.Detail),IF($G109=$D$97,IF($D$98="Yes","",H05_TradeCreditors-SUM($I$102:I109)),IF(ISERROR(LARGE($M$20:$M$29,G110)),"",LARGE($M$20:$M$29,G110))),0)</f>
        <v/>
      </c>
      <c r="J110" s="150" t="str">
        <f t="shared" ca="1" si="11"/>
        <v/>
      </c>
      <c r="K110" s="150" t="str">
        <f t="shared" ca="1" si="12"/>
        <v/>
      </c>
      <c r="L110" s="150" t="str">
        <f t="shared" ca="1" si="13"/>
        <v/>
      </c>
      <c r="M110" s="150" t="str">
        <f t="shared" ca="1" si="14"/>
        <v/>
      </c>
      <c r="N110" s="428" t="str">
        <f t="shared" si="15"/>
        <v/>
      </c>
      <c r="O110" s="143"/>
      <c r="Q110" s="441"/>
      <c r="R110" s="64"/>
    </row>
    <row r="111" spans="2:18" ht="22.5" hidden="1" customHeight="1">
      <c r="B111" s="278">
        <f>IF(I111="",1,COUNTIF($I$102:I111,I111))</f>
        <v>1</v>
      </c>
      <c r="C111" s="149" t="b">
        <f t="shared" ca="1" si="6"/>
        <v>1</v>
      </c>
      <c r="D111" s="431" t="str">
        <f t="shared" si="7"/>
        <v/>
      </c>
      <c r="E111" s="431" t="str">
        <f t="shared" ca="1" si="8"/>
        <v/>
      </c>
      <c r="F111" s="431" t="str">
        <f t="shared" ca="1" si="9"/>
        <v/>
      </c>
      <c r="G111" s="430" t="str">
        <f t="shared" si="16"/>
        <v/>
      </c>
      <c r="H111" s="429" t="str">
        <f t="shared" ca="1" si="10"/>
        <v/>
      </c>
      <c r="I111" s="150" t="str">
        <f>IF(_xlfn.NUMBERVALUE($G111)&lt;=COUNTA(Model_Creditors.Balances.Detail),IF($G110=$D$97,IF($D$98="Yes","",H05_TradeCreditors-SUM($I$102:I110)),IF(ISERROR(LARGE($M$20:$M$29,G111)),"",LARGE($M$20:$M$29,G111))),0)</f>
        <v/>
      </c>
      <c r="J111" s="150" t="str">
        <f t="shared" ca="1" si="11"/>
        <v/>
      </c>
      <c r="K111" s="150" t="str">
        <f t="shared" ca="1" si="12"/>
        <v/>
      </c>
      <c r="L111" s="150" t="str">
        <f t="shared" ca="1" si="13"/>
        <v/>
      </c>
      <c r="M111" s="150" t="str">
        <f t="shared" ca="1" si="14"/>
        <v/>
      </c>
      <c r="N111" s="428" t="str">
        <f t="shared" si="15"/>
        <v/>
      </c>
      <c r="O111" s="143"/>
      <c r="Q111" s="441"/>
      <c r="R111" s="64"/>
    </row>
    <row r="112" spans="2:18" ht="22.5" hidden="1" customHeight="1">
      <c r="B112" s="278">
        <f>IF(I112="",1,COUNTIF($I$102:I112,I112))</f>
        <v>1</v>
      </c>
      <c r="C112" s="149" t="b">
        <f t="shared" ca="1" si="6"/>
        <v>1</v>
      </c>
      <c r="D112" s="431" t="str">
        <f t="shared" si="7"/>
        <v/>
      </c>
      <c r="E112" s="431" t="str">
        <f t="shared" ca="1" si="8"/>
        <v/>
      </c>
      <c r="F112" s="431" t="str">
        <f t="shared" ca="1" si="9"/>
        <v/>
      </c>
      <c r="G112" s="430" t="str">
        <f t="shared" si="16"/>
        <v/>
      </c>
      <c r="H112" s="429" t="str">
        <f t="shared" ca="1" si="10"/>
        <v/>
      </c>
      <c r="I112" s="150" t="str">
        <f>IF(_xlfn.NUMBERVALUE($G112)&lt;=COUNTA(Model_Creditors.Balances.Detail),IF($G111=$D$97,IF($D$98="Yes","",H05_TradeCreditors-SUM($I$102:I111)),IF(ISERROR(LARGE($M$20:$M$29,G112)),"",LARGE($M$20:$M$29,G112))),0)</f>
        <v/>
      </c>
      <c r="J112" s="150" t="str">
        <f t="shared" ca="1" si="11"/>
        <v/>
      </c>
      <c r="K112" s="150" t="str">
        <f t="shared" ca="1" si="12"/>
        <v/>
      </c>
      <c r="L112" s="150" t="str">
        <f t="shared" ca="1" si="13"/>
        <v/>
      </c>
      <c r="M112" s="150" t="str">
        <f t="shared" ca="1" si="14"/>
        <v/>
      </c>
      <c r="N112" s="428" t="str">
        <f t="shared" si="15"/>
        <v/>
      </c>
      <c r="O112" s="143"/>
      <c r="Q112" s="441"/>
      <c r="R112" s="64"/>
    </row>
    <row r="113" spans="2:27" ht="22.5" hidden="1" customHeight="1">
      <c r="B113" s="278">
        <f>IF(I113="",1,COUNTIF($I$102:I113,I113))</f>
        <v>1</v>
      </c>
      <c r="C113" s="149" t="b">
        <f t="shared" ca="1" si="6"/>
        <v>1</v>
      </c>
      <c r="D113" s="431" t="str">
        <f t="shared" si="7"/>
        <v/>
      </c>
      <c r="E113" s="431" t="str">
        <f t="shared" ca="1" si="8"/>
        <v/>
      </c>
      <c r="F113" s="431" t="str">
        <f t="shared" ca="1" si="9"/>
        <v/>
      </c>
      <c r="G113" s="430" t="str">
        <f t="shared" si="16"/>
        <v/>
      </c>
      <c r="H113" s="429" t="str">
        <f t="shared" ca="1" si="10"/>
        <v/>
      </c>
      <c r="I113" s="150" t="str">
        <f>IF(_xlfn.NUMBERVALUE($G113)&lt;=COUNTA(Model_Creditors.Balances.Detail),IF($G112=$D$97,IF($D$98="Yes","",H05_TradeCreditors-SUM($I$102:I112)),IF(ISERROR(LARGE($M$20:$M$29,G113)),"",LARGE($M$20:$M$29,G113))),0)</f>
        <v/>
      </c>
      <c r="J113" s="150" t="str">
        <f t="shared" ca="1" si="11"/>
        <v/>
      </c>
      <c r="K113" s="150" t="str">
        <f t="shared" ca="1" si="12"/>
        <v/>
      </c>
      <c r="L113" s="150" t="str">
        <f t="shared" ca="1" si="13"/>
        <v/>
      </c>
      <c r="M113" s="150" t="str">
        <f t="shared" ca="1" si="14"/>
        <v/>
      </c>
      <c r="N113" s="428" t="str">
        <f t="shared" si="15"/>
        <v/>
      </c>
      <c r="O113" s="143"/>
      <c r="Q113" s="441"/>
      <c r="R113" s="64"/>
    </row>
    <row r="114" spans="2:27" ht="22.5" hidden="1" customHeight="1">
      <c r="B114" s="278">
        <f>IF(I114="",1,COUNTIF($I$102:I114,I114))</f>
        <v>1</v>
      </c>
      <c r="C114" s="149" t="b">
        <f t="shared" ca="1" si="6"/>
        <v>1</v>
      </c>
      <c r="D114" s="431" t="str">
        <f t="shared" si="7"/>
        <v/>
      </c>
      <c r="E114" s="431" t="str">
        <f t="shared" ca="1" si="8"/>
        <v/>
      </c>
      <c r="F114" s="431" t="str">
        <f t="shared" ca="1" si="9"/>
        <v/>
      </c>
      <c r="G114" s="430" t="str">
        <f t="shared" si="16"/>
        <v/>
      </c>
      <c r="H114" s="429" t="str">
        <f t="shared" ca="1" si="10"/>
        <v/>
      </c>
      <c r="I114" s="150" t="str">
        <f>IF(_xlfn.NUMBERVALUE($G114)&lt;=COUNTA(Model_Creditors.Balances.Detail),IF($G113=$D$97,IF($D$98="Yes","",H05_TradeCreditors-SUM($I$102:I113)),IF(ISERROR(LARGE($M$20:$M$29,G114)),"",LARGE($M$20:$M$29,G114))),0)</f>
        <v/>
      </c>
      <c r="J114" s="150" t="str">
        <f t="shared" ca="1" si="11"/>
        <v/>
      </c>
      <c r="K114" s="150" t="str">
        <f t="shared" ca="1" si="12"/>
        <v/>
      </c>
      <c r="L114" s="150" t="str">
        <f t="shared" ca="1" si="13"/>
        <v/>
      </c>
      <c r="M114" s="150" t="str">
        <f t="shared" ca="1" si="14"/>
        <v/>
      </c>
      <c r="N114" s="428" t="str">
        <f t="shared" si="15"/>
        <v/>
      </c>
      <c r="O114" s="143"/>
      <c r="Q114" s="441"/>
      <c r="R114" s="64"/>
    </row>
    <row r="115" spans="2:27" ht="22.5" hidden="1" customHeight="1">
      <c r="B115" s="278">
        <f>IF(I115="",1,COUNTIF($I$102:I115,I115))</f>
        <v>1</v>
      </c>
      <c r="C115" s="149" t="b">
        <f t="shared" ca="1" si="6"/>
        <v>1</v>
      </c>
      <c r="D115" s="431" t="str">
        <f t="shared" si="7"/>
        <v/>
      </c>
      <c r="E115" s="431" t="str">
        <f t="shared" ca="1" si="8"/>
        <v/>
      </c>
      <c r="F115" s="431" t="str">
        <f t="shared" ca="1" si="9"/>
        <v/>
      </c>
      <c r="G115" s="430" t="str">
        <f t="shared" si="16"/>
        <v/>
      </c>
      <c r="H115" s="429" t="str">
        <f t="shared" ca="1" si="10"/>
        <v/>
      </c>
      <c r="I115" s="150" t="str">
        <f>IF(_xlfn.NUMBERVALUE($G115)&lt;=COUNTA(Model_Creditors.Balances.Detail),IF($G114=$D$97,IF($D$98="Yes","",H05_TradeCreditors-SUM($I$102:I114)),IF(ISERROR(LARGE($M$20:$M$29,G115)),"",LARGE($M$20:$M$29,G115))),0)</f>
        <v/>
      </c>
      <c r="J115" s="150" t="str">
        <f t="shared" ca="1" si="11"/>
        <v/>
      </c>
      <c r="K115" s="150" t="str">
        <f t="shared" ca="1" si="12"/>
        <v/>
      </c>
      <c r="L115" s="150" t="str">
        <f t="shared" ca="1" si="13"/>
        <v/>
      </c>
      <c r="M115" s="150" t="str">
        <f t="shared" ca="1" si="14"/>
        <v/>
      </c>
      <c r="N115" s="428" t="str">
        <f t="shared" si="15"/>
        <v/>
      </c>
      <c r="O115" s="143"/>
      <c r="Q115" s="441"/>
      <c r="R115" s="64"/>
    </row>
    <row r="116" spans="2:27" ht="22.5" hidden="1" customHeight="1">
      <c r="B116" s="278">
        <f>IF(I116="",1,COUNTIF($I$102:I116,I116))</f>
        <v>1</v>
      </c>
      <c r="C116" s="149" t="b">
        <f t="shared" ca="1" si="6"/>
        <v>1</v>
      </c>
      <c r="D116" s="431" t="str">
        <f t="shared" si="7"/>
        <v/>
      </c>
      <c r="E116" s="431" t="str">
        <f t="shared" ca="1" si="8"/>
        <v/>
      </c>
      <c r="F116" s="431" t="str">
        <f t="shared" ca="1" si="9"/>
        <v/>
      </c>
      <c r="G116" s="430" t="str">
        <f t="shared" si="16"/>
        <v/>
      </c>
      <c r="H116" s="429" t="str">
        <f t="shared" ca="1" si="10"/>
        <v/>
      </c>
      <c r="I116" s="150" t="str">
        <f>IF(_xlfn.NUMBERVALUE($G116)&lt;=COUNTA(Model_Creditors.Balances.Detail),IF($G115=$D$97,IF($D$98="Yes","",H05_TradeCreditors-SUM($I$102:I115)),IF(ISERROR(LARGE($M$20:$M$29,G116)),"",LARGE($M$20:$M$29,G116))),0)</f>
        <v/>
      </c>
      <c r="J116" s="150" t="str">
        <f t="shared" ca="1" si="11"/>
        <v/>
      </c>
      <c r="K116" s="150" t="str">
        <f t="shared" ca="1" si="12"/>
        <v/>
      </c>
      <c r="L116" s="150" t="str">
        <f t="shared" ca="1" si="13"/>
        <v/>
      </c>
      <c r="M116" s="150" t="str">
        <f t="shared" ca="1" si="14"/>
        <v/>
      </c>
      <c r="N116" s="428" t="str">
        <f t="shared" si="15"/>
        <v/>
      </c>
      <c r="O116" s="143"/>
      <c r="Q116" s="441"/>
      <c r="R116" s="64"/>
    </row>
    <row r="117" spans="2:27" ht="22.5" hidden="1" customHeight="1">
      <c r="B117" s="278">
        <f>IF(I117="",1,COUNTIF($I$102:I117,I117))</f>
        <v>1</v>
      </c>
      <c r="C117" s="149" t="b">
        <f t="shared" ca="1" si="6"/>
        <v>1</v>
      </c>
      <c r="D117" s="431" t="str">
        <f t="shared" si="7"/>
        <v/>
      </c>
      <c r="E117" s="431" t="str">
        <f t="shared" ca="1" si="8"/>
        <v/>
      </c>
      <c r="F117" s="431" t="str">
        <f t="shared" ca="1" si="9"/>
        <v/>
      </c>
      <c r="G117" s="430" t="str">
        <f t="shared" si="16"/>
        <v/>
      </c>
      <c r="H117" s="429" t="str">
        <f t="shared" ca="1" si="10"/>
        <v/>
      </c>
      <c r="I117" s="150" t="str">
        <f>IF(_xlfn.NUMBERVALUE($G117)&lt;=COUNTA(Model_Creditors.Balances.Detail),IF($G116=$D$97,IF($D$98="Yes","",H05_TradeCreditors-SUM($I$102:I116)),IF(ISERROR(LARGE($M$20:$M$29,G117)),"",LARGE($M$20:$M$29,G117))),0)</f>
        <v/>
      </c>
      <c r="J117" s="150" t="str">
        <f t="shared" ca="1" si="11"/>
        <v/>
      </c>
      <c r="K117" s="150" t="str">
        <f t="shared" ca="1" si="12"/>
        <v/>
      </c>
      <c r="L117" s="150" t="str">
        <f t="shared" ca="1" si="13"/>
        <v/>
      </c>
      <c r="M117" s="150" t="str">
        <f t="shared" ca="1" si="14"/>
        <v/>
      </c>
      <c r="N117" s="428" t="str">
        <f t="shared" si="15"/>
        <v/>
      </c>
      <c r="O117" s="143"/>
      <c r="Q117" s="441"/>
      <c r="R117" s="64"/>
    </row>
    <row r="118" spans="2:27" ht="22.5" hidden="1" customHeight="1">
      <c r="B118" s="278"/>
      <c r="C118" s="149"/>
      <c r="D118" s="431"/>
      <c r="E118" s="431"/>
      <c r="F118" s="431"/>
      <c r="G118" s="430"/>
      <c r="H118" s="429"/>
      <c r="I118" s="150"/>
      <c r="J118" s="150"/>
      <c r="K118" s="150"/>
      <c r="L118" s="150"/>
      <c r="M118" s="150"/>
      <c r="N118" s="428"/>
      <c r="O118" s="143"/>
      <c r="Q118" s="441"/>
      <c r="R118" s="64"/>
    </row>
    <row r="119" spans="2:27" s="426" customFormat="1" ht="22.5" hidden="1" customHeight="1">
      <c r="B119" s="427"/>
      <c r="C119" s="426" t="str">
        <f>"Total Creditors"</f>
        <v>Total Creditors</v>
      </c>
      <c r="D119" s="426" t="str">
        <f>IF(IFERROR(Tm_Jurisdiction,"AU")="GB","Total Creditors (£)","Total Creditors ($)")</f>
        <v>Total Creditors ($)</v>
      </c>
      <c r="O119" s="425"/>
      <c r="Q119" s="743"/>
      <c r="R119" s="742"/>
      <c r="AA119" s="739"/>
    </row>
    <row r="120" spans="2:27" s="426" customFormat="1" ht="7.5" hidden="1" customHeight="1">
      <c r="B120" s="424"/>
      <c r="C120" s="423"/>
      <c r="D120" s="423"/>
      <c r="E120" s="423"/>
      <c r="F120" s="423"/>
      <c r="G120" s="423"/>
      <c r="H120" s="423"/>
      <c r="I120" s="423"/>
      <c r="J120" s="423"/>
      <c r="K120" s="423"/>
      <c r="L120" s="423"/>
      <c r="M120" s="423"/>
      <c r="N120" s="423"/>
      <c r="O120" s="422"/>
      <c r="R120" s="740"/>
      <c r="AA120" s="739"/>
    </row>
    <row r="121" spans="2:27" s="426" customFormat="1" ht="22.5" customHeight="1">
      <c r="C121" s="741"/>
      <c r="D121" s="741"/>
      <c r="E121" s="741"/>
      <c r="F121" s="741"/>
      <c r="G121" s="741"/>
      <c r="H121" s="741"/>
      <c r="I121" s="741"/>
      <c r="J121" s="741"/>
      <c r="K121" s="741"/>
      <c r="L121" s="741"/>
      <c r="M121" s="741"/>
      <c r="N121" s="741"/>
      <c r="R121" s="740"/>
      <c r="AA121" s="739"/>
    </row>
    <row r="122" spans="2:27" ht="15.95" customHeight="1"/>
    <row r="123" spans="2:27" ht="15.95" customHeight="1"/>
    <row r="124" spans="2:27" ht="15.95" customHeight="1"/>
    <row r="125" spans="2:27" ht="15.95" customHeight="1"/>
    <row r="126" spans="2:27" ht="15.95" customHeight="1"/>
    <row r="127" spans="2:27" ht="15.95" customHeight="1"/>
    <row r="128" spans="2:27" ht="15.95" customHeight="1"/>
    <row r="129" ht="15.95" customHeight="1"/>
    <row r="130" ht="15.95" customHeight="1"/>
    <row r="131" ht="15.95" customHeight="1"/>
    <row r="132" ht="15.95" customHeight="1"/>
    <row r="133" ht="15.95" customHeight="1"/>
    <row r="134" ht="15.95" customHeight="1"/>
    <row r="135" ht="15.95" customHeight="1"/>
    <row r="136" ht="15.95" customHeight="1"/>
    <row r="137" ht="15.95" customHeight="1"/>
    <row r="138" ht="15.95" customHeight="1"/>
    <row r="139" ht="15.95" customHeight="1"/>
    <row r="140" ht="15.95" customHeight="1"/>
    <row r="141" ht="15.95" customHeight="1"/>
    <row r="142" ht="15.95" customHeight="1"/>
    <row r="143" ht="15.95" customHeight="1"/>
    <row r="144" ht="15.95" customHeight="1"/>
    <row r="145" ht="15.95" customHeight="1"/>
    <row r="146" ht="15.95" customHeight="1"/>
    <row r="147" ht="15.95" customHeight="1"/>
    <row r="148" ht="15.95" customHeight="1"/>
    <row r="149" ht="15.95" customHeight="1"/>
    <row r="150" ht="15.95" customHeight="1"/>
    <row r="151" ht="15.95" customHeight="1"/>
    <row r="152" ht="15.95" customHeight="1"/>
    <row r="153" ht="15.95" customHeight="1"/>
    <row r="154" ht="15.95" customHeight="1"/>
    <row r="155" ht="15.95" customHeight="1"/>
    <row r="156" ht="15.95" customHeight="1"/>
    <row r="157" ht="15.95" customHeight="1"/>
    <row r="158" ht="15.95" customHeight="1"/>
    <row r="159" ht="15.95" customHeight="1"/>
    <row r="160" ht="15.95" customHeight="1"/>
    <row r="161" ht="15.95" customHeight="1"/>
    <row r="162" ht="15.95" customHeight="1"/>
    <row r="163" ht="15.95" customHeight="1"/>
    <row r="164" ht="15.95" customHeight="1"/>
    <row r="165" ht="15.95" customHeight="1"/>
    <row r="166" ht="15.95" customHeight="1"/>
    <row r="167" ht="15.95" customHeight="1"/>
    <row r="168" ht="15.95" customHeight="1"/>
    <row r="169" ht="15.95" customHeight="1"/>
    <row r="170" ht="15.95" customHeight="1"/>
    <row r="171" ht="15.95" customHeight="1"/>
    <row r="172" ht="15.95" customHeight="1"/>
    <row r="173" ht="15.95" customHeight="1"/>
    <row r="174" ht="15.95" customHeight="1"/>
    <row r="175" ht="15.95" customHeight="1"/>
    <row r="176" ht="15.95" customHeight="1"/>
    <row r="177" ht="15.95" customHeight="1"/>
    <row r="178" ht="15.95" customHeight="1"/>
    <row r="179" ht="15.95" customHeight="1"/>
    <row r="180" ht="15.95" customHeight="1"/>
    <row r="181" ht="15.95" customHeight="1"/>
    <row r="182" ht="15.95" customHeight="1"/>
    <row r="183" ht="15.95" customHeight="1"/>
    <row r="184" ht="15.95" customHeight="1"/>
    <row r="185" ht="15.95" customHeight="1"/>
    <row r="186" ht="15.95" customHeight="1"/>
    <row r="187" ht="15.95" customHeight="1"/>
    <row r="188" ht="15.95" customHeight="1"/>
    <row r="189" ht="15.95" customHeight="1"/>
    <row r="190" ht="15.95" customHeight="1"/>
    <row r="191" ht="15.95" customHeight="1"/>
    <row r="192" ht="15.95" customHeight="1"/>
    <row r="193" ht="15.95" customHeight="1"/>
    <row r="194" ht="15.95" customHeight="1"/>
    <row r="195" ht="15.95" customHeight="1"/>
    <row r="196" ht="15.95" customHeight="1"/>
    <row r="197" ht="15.95" customHeight="1"/>
    <row r="198" ht="15.95" customHeight="1"/>
    <row r="199" ht="15.95" customHeight="1"/>
    <row r="200" ht="15.95" customHeight="1"/>
    <row r="201" ht="15.95" customHeight="1"/>
    <row r="202" ht="15.95" customHeight="1"/>
    <row r="203" ht="15.95" customHeight="1"/>
    <row r="204" ht="15.95" customHeight="1"/>
    <row r="205" ht="15.95" customHeight="1"/>
    <row r="206" ht="15.95" customHeight="1"/>
    <row r="207" ht="15.95" customHeight="1"/>
    <row r="208" ht="15.95" customHeight="1"/>
    <row r="209" ht="15.95" customHeight="1"/>
    <row r="210" ht="15.95" customHeight="1"/>
    <row r="211" ht="15.95" customHeight="1"/>
    <row r="212" ht="15.95" customHeight="1"/>
    <row r="213" ht="15.95" customHeight="1"/>
    <row r="214" ht="15.95" customHeight="1"/>
    <row r="215" ht="15.95" customHeight="1"/>
    <row r="216" ht="15.95" customHeight="1"/>
    <row r="217" ht="15.95" customHeight="1"/>
    <row r="218" ht="15.95" customHeight="1"/>
    <row r="219" ht="15.95" customHeight="1"/>
    <row r="220" ht="15.95" customHeight="1"/>
    <row r="221" ht="15.95" customHeight="1"/>
    <row r="222" ht="15.95" customHeight="1"/>
    <row r="223" ht="15.95" customHeight="1"/>
    <row r="224" ht="15.95" customHeight="1"/>
    <row r="225" ht="15.95" customHeight="1"/>
    <row r="226" ht="15.95" customHeight="1"/>
    <row r="227" ht="15.95" customHeight="1"/>
    <row r="228" ht="15.95" customHeight="1"/>
    <row r="229" ht="15.95" customHeight="1"/>
    <row r="230" ht="15.95" customHeight="1"/>
    <row r="231" ht="15.95" customHeight="1"/>
    <row r="232" ht="15.95" customHeight="1"/>
    <row r="233" ht="15.95" customHeight="1"/>
    <row r="234" ht="15.95" customHeight="1"/>
    <row r="235" ht="15.95" customHeight="1"/>
    <row r="236" ht="15.95" customHeight="1"/>
    <row r="237" ht="15.95" customHeight="1"/>
    <row r="238" ht="15.95" customHeight="1"/>
    <row r="239" ht="15.95" customHeight="1"/>
    <row r="240" ht="15.95" customHeight="1"/>
    <row r="241" ht="15.95" customHeight="1"/>
    <row r="242" ht="15.95" customHeight="1"/>
    <row r="243" ht="15.95" customHeight="1"/>
    <row r="244" ht="15.95" customHeight="1"/>
    <row r="245" ht="15.95" customHeight="1"/>
    <row r="246" ht="15.95" customHeight="1"/>
    <row r="247" ht="15.95" customHeight="1"/>
    <row r="248" ht="15.95" customHeight="1"/>
    <row r="249" ht="15.95" customHeight="1"/>
    <row r="250" ht="15.95" customHeight="1"/>
    <row r="251" ht="15.95" customHeight="1"/>
    <row r="252" ht="15.95" customHeight="1"/>
    <row r="253" ht="15.95" customHeight="1"/>
    <row r="254" ht="15.95" customHeight="1"/>
    <row r="255" ht="15.95" customHeight="1"/>
    <row r="256" ht="15.95" customHeight="1"/>
    <row r="257" ht="15.95" customHeight="1"/>
    <row r="258" ht="15.95" customHeight="1"/>
    <row r="259" ht="15.95" customHeight="1"/>
    <row r="260" ht="15.95" customHeight="1"/>
    <row r="261" ht="15.95" customHeight="1"/>
    <row r="262" ht="15.95" customHeight="1"/>
    <row r="263" ht="15.95" customHeight="1"/>
    <row r="264" ht="15.95" customHeight="1"/>
    <row r="265" ht="15.95" customHeight="1"/>
    <row r="266" ht="15.95" customHeight="1"/>
    <row r="267" ht="15.95" customHeight="1"/>
    <row r="268" ht="15.95" customHeight="1"/>
    <row r="269" ht="15.95" customHeight="1"/>
    <row r="270" ht="15.95" customHeight="1"/>
    <row r="271" ht="15.95" customHeight="1"/>
    <row r="272" ht="15.95" customHeight="1"/>
    <row r="273" ht="15.95" customHeight="1"/>
    <row r="274" ht="15.95" customHeight="1"/>
    <row r="275" ht="15.95" customHeight="1"/>
    <row r="276" ht="15.95" customHeight="1"/>
    <row r="277" ht="15.95" customHeight="1"/>
    <row r="278" ht="15.95" customHeight="1"/>
    <row r="279" ht="15.95" customHeight="1"/>
    <row r="280" ht="15.95" customHeight="1"/>
    <row r="281" ht="15.95" customHeight="1"/>
    <row r="282" ht="15.95" customHeight="1"/>
    <row r="283" ht="15.95" customHeight="1"/>
    <row r="284" ht="15.95" customHeight="1"/>
    <row r="285" ht="15.95" customHeight="1"/>
    <row r="286" ht="15.95" customHeight="1"/>
    <row r="287" ht="15.95" customHeight="1"/>
    <row r="288" ht="15.95" customHeight="1"/>
    <row r="289" ht="15.95" customHeight="1"/>
    <row r="290" ht="15.95" customHeight="1"/>
    <row r="291" ht="15.95" customHeight="1"/>
    <row r="292" ht="15.95" customHeight="1"/>
    <row r="293" ht="15.95" customHeight="1"/>
    <row r="294" ht="15.95" customHeight="1"/>
    <row r="295" ht="15.95" customHeight="1"/>
    <row r="296" ht="15.95" customHeight="1"/>
    <row r="297" ht="15.95" customHeight="1"/>
    <row r="298" ht="15.95" customHeight="1"/>
    <row r="299" ht="15.95" customHeight="1"/>
    <row r="300" ht="15.95" customHeight="1"/>
    <row r="301" ht="15.95" customHeight="1"/>
    <row r="302" ht="15.95" customHeight="1"/>
    <row r="303" ht="15.95" customHeight="1"/>
    <row r="304" ht="15.95" customHeight="1"/>
    <row r="305" ht="15.95" customHeight="1"/>
    <row r="306" ht="15.95" customHeight="1"/>
    <row r="307" ht="15.95" customHeight="1"/>
    <row r="308" ht="15.95" customHeight="1"/>
    <row r="309" ht="15.95" customHeight="1"/>
    <row r="310" ht="15.95" customHeight="1"/>
    <row r="311" ht="15.95" customHeight="1"/>
    <row r="312" ht="15.95" customHeight="1"/>
    <row r="313" ht="15.95" customHeight="1"/>
    <row r="314" ht="15.95" customHeight="1"/>
    <row r="315" ht="15.95" customHeight="1"/>
    <row r="316" ht="15.95" customHeight="1"/>
    <row r="317" ht="15.95" customHeight="1"/>
    <row r="318" ht="15.95" customHeight="1"/>
    <row r="319" ht="15.95" customHeight="1"/>
    <row r="320" ht="15.95" customHeight="1"/>
    <row r="321" ht="15.95" customHeight="1"/>
    <row r="322" ht="15.95" customHeight="1"/>
    <row r="323" ht="15.95" customHeight="1"/>
    <row r="324" ht="15.95" customHeight="1"/>
    <row r="325" ht="15.95" customHeight="1"/>
    <row r="326" ht="15.95" customHeight="1"/>
    <row r="327" ht="15.95" customHeight="1"/>
  </sheetData>
  <sheetProtection sheet="1" objects="1" scenarios="1" formatCells="0" formatColumns="0" formatRows="0" insertColumns="0" insertRows="0" insertHyperlinks="0"/>
  <dataConsolidate/>
  <mergeCells count="37">
    <mergeCell ref="B13:D13"/>
    <mergeCell ref="E17:E18"/>
    <mergeCell ref="X17:AA17"/>
    <mergeCell ref="H17:H18"/>
    <mergeCell ref="J17:K18"/>
    <mergeCell ref="U17:V18"/>
    <mergeCell ref="O17:R17"/>
    <mergeCell ref="L17:L18"/>
    <mergeCell ref="C46:D46"/>
    <mergeCell ref="C45:D45"/>
    <mergeCell ref="C48:D48"/>
    <mergeCell ref="Q42:R42"/>
    <mergeCell ref="J27:K27"/>
    <mergeCell ref="J20:K20"/>
    <mergeCell ref="J21:K21"/>
    <mergeCell ref="J22:K22"/>
    <mergeCell ref="J28:K28"/>
    <mergeCell ref="J29:K29"/>
    <mergeCell ref="J23:K23"/>
    <mergeCell ref="J24:K24"/>
    <mergeCell ref="J25:K25"/>
    <mergeCell ref="C11:R11"/>
    <mergeCell ref="C10:R10"/>
    <mergeCell ref="C9:R9"/>
    <mergeCell ref="B63:D63"/>
    <mergeCell ref="F55:H55"/>
    <mergeCell ref="F57:H57"/>
    <mergeCell ref="F58:H58"/>
    <mergeCell ref="M17:M18"/>
    <mergeCell ref="B40:D40"/>
    <mergeCell ref="C17:C18"/>
    <mergeCell ref="F56:H56"/>
    <mergeCell ref="E15:M15"/>
    <mergeCell ref="F51:H51"/>
    <mergeCell ref="J26:K26"/>
    <mergeCell ref="D17:D18"/>
    <mergeCell ref="F17:F18"/>
  </mergeCells>
  <conditionalFormatting sqref="B99:J99">
    <cfRule type="expression" dxfId="100" priority="15">
      <formula>IF(AND($A$63="+",$A$40="+"),TRUE,FALSE)</formula>
    </cfRule>
  </conditionalFormatting>
  <conditionalFormatting sqref="D97:D98">
    <cfRule type="expression" dxfId="99" priority="23">
      <formula>ISERROR((SEARCH("COUNTA(",_xlfn.FORMULATEXT(D97),1)))&lt;&gt;TRUE</formula>
    </cfRule>
  </conditionalFormatting>
  <conditionalFormatting sqref="E40">
    <cfRule type="cellIs" dxfId="98" priority="31" operator="equal">
      <formula>"Contains Data"</formula>
    </cfRule>
  </conditionalFormatting>
  <conditionalFormatting sqref="E15:M15">
    <cfRule type="expression" dxfId="97" priority="52">
      <formula>IF(COUNT(Model_Creditors.Balances.Balance)=COUNT(Model_Creditors.Balances.ForeignCurrencyRate),TRUE,FALSE)</formula>
    </cfRule>
    <cfRule type="expression" dxfId="96" priority="53">
      <formula>IF(COUNTA(Model_Creditors.Balances.ForeignCurrency)&lt;&gt;0,TRUE,FALSE)</formula>
    </cfRule>
  </conditionalFormatting>
  <conditionalFormatting sqref="F40:N40">
    <cfRule type="expression" dxfId="95" priority="20">
      <formula>IF($A$63="-",TRUE,FALSE)</formula>
    </cfRule>
  </conditionalFormatting>
  <conditionalFormatting sqref="G20:G29">
    <cfRule type="cellIs" dxfId="94" priority="13" operator="equal">
      <formula>1</formula>
    </cfRule>
  </conditionalFormatting>
  <conditionalFormatting sqref="I18">
    <cfRule type="expression" dxfId="93" priority="1">
      <formula>$L$1="GB"</formula>
    </cfRule>
  </conditionalFormatting>
  <conditionalFormatting sqref="I20:I29 L20:L29">
    <cfRule type="expression" dxfId="92" priority="32">
      <formula>ISERROR((SEARCH("/11",_xlfn.FORMULATEXT(I20),1)))&lt;&gt;TRUE</formula>
    </cfRule>
  </conditionalFormatting>
  <conditionalFormatting sqref="I20:L29">
    <cfRule type="expression" priority="2" stopIfTrue="1">
      <formula>$L$1="GB"</formula>
    </cfRule>
  </conditionalFormatting>
  <conditionalFormatting sqref="J41:J77 J81:J99 E97:E98">
    <cfRule type="expression" dxfId="91" priority="19">
      <formula>IF($A$63="-",TRUE,FALSE)</formula>
    </cfRule>
  </conditionalFormatting>
  <conditionalFormatting sqref="K99:N99">
    <cfRule type="expression" dxfId="90" priority="18">
      <formula>IF($A$63="-",TRUE,FALSE)</formula>
    </cfRule>
  </conditionalFormatting>
  <conditionalFormatting sqref="M35">
    <cfRule type="expression" dxfId="89" priority="44">
      <formula>$R$5="Out of Balance"</formula>
    </cfRule>
    <cfRule type="expression" dxfId="88" priority="45">
      <formula>$R$5="Reconciled"</formula>
    </cfRule>
  </conditionalFormatting>
  <conditionalFormatting sqref="M36">
    <cfRule type="expression" dxfId="87" priority="46">
      <formula>$R$5="Out of Balance"</formula>
    </cfRule>
    <cfRule type="expression" dxfId="86" priority="47">
      <formula>$R$5="Reconciled"</formula>
    </cfRule>
  </conditionalFormatting>
  <conditionalFormatting sqref="M37">
    <cfRule type="expression" dxfId="85" priority="48">
      <formula>$R$5="Reconciled"</formula>
    </cfRule>
    <cfRule type="expression" dxfId="84" priority="49">
      <formula>$R$5="Out of Balance"</formula>
    </cfRule>
  </conditionalFormatting>
  <conditionalFormatting sqref="N41">
    <cfRule type="expression" dxfId="83" priority="21">
      <formula>IF($A$63="-",TRUE,FALSE)</formula>
    </cfRule>
  </conditionalFormatting>
  <conditionalFormatting sqref="N42:N63">
    <cfRule type="expression" dxfId="82" priority="16">
      <formula>IF($A$63="-",TRUE,FALSE)</formula>
    </cfRule>
  </conditionalFormatting>
  <conditionalFormatting sqref="N99">
    <cfRule type="expression" dxfId="81" priority="17">
      <formula>IF($A$63="-",TRUE,FALSE)</formula>
    </cfRule>
  </conditionalFormatting>
  <conditionalFormatting sqref="O20:R29 H20:H29">
    <cfRule type="expression" dxfId="80" priority="54">
      <formula>ISERROR((SEARCH("N(1)",_xlfn.FORMULATEXT(H20),1)))&lt;&gt;TRUE</formula>
    </cfRule>
  </conditionalFormatting>
  <conditionalFormatting sqref="O20:R29">
    <cfRule type="expression" priority="50" stopIfTrue="1">
      <formula>AND($M20="",SUM($O20:$R20)=0)</formula>
    </cfRule>
    <cfRule type="expression" dxfId="79" priority="51">
      <formula>SUM($O20:$R20)&lt;&gt;$M20</formula>
    </cfRule>
  </conditionalFormatting>
  <conditionalFormatting sqref="Q4:Q5 M6">
    <cfRule type="cellIs" dxfId="78" priority="33" operator="equal">
      <formula>"Partner Approved"</formula>
    </cfRule>
    <cfRule type="cellIs" dxfId="77" priority="34" operator="equal">
      <formula>"Reviewed"</formula>
    </cfRule>
    <cfRule type="cellIs" dxfId="76" priority="35" operator="equal">
      <formula>"Rework Complete"</formula>
    </cfRule>
    <cfRule type="cellIs" dxfId="75" priority="36" operator="equal">
      <formula>"Client Query"</formula>
    </cfRule>
    <cfRule type="cellIs" dxfId="74" priority="37" operator="equal">
      <formula>"Started"</formula>
    </cfRule>
    <cfRule type="cellIs" dxfId="73" priority="38" operator="equal">
      <formula>"Ready for Review"</formula>
    </cfRule>
    <cfRule type="cellIs" dxfId="72" priority="39" operator="equal">
      <formula>"Rework Required"</formula>
    </cfRule>
    <cfRule type="cellIs" dxfId="71" priority="40" operator="equal">
      <formula>"Complete"</formula>
    </cfRule>
  </conditionalFormatting>
  <conditionalFormatting sqref="R5">
    <cfRule type="expression" dxfId="70" priority="29">
      <formula>Tm_BalanceStatus="Out of Balance"</formula>
    </cfRule>
    <cfRule type="expression" dxfId="69" priority="30">
      <formula>Tm_BalanceStatus="Reconciled"</formula>
    </cfRule>
  </conditionalFormatting>
  <conditionalFormatting sqref="X20:AA20">
    <cfRule type="expression" priority="9" stopIfTrue="1">
      <formula>AND($M20="",SUM($O20:$R20)=0)</formula>
    </cfRule>
    <cfRule type="expression" dxfId="68" priority="10">
      <formula>SUM($O20:$R20)&lt;&gt;$M20</formula>
    </cfRule>
  </conditionalFormatting>
  <conditionalFormatting sqref="X21:AA29">
    <cfRule type="expression" priority="11" stopIfTrue="1">
      <formula>AND($M21="",SUM($O21:$R21)=0)</formula>
    </cfRule>
    <cfRule type="expression" dxfId="67" priority="12">
      <formula>SUM($O21:$R21)&lt;&gt;$M21</formula>
    </cfRule>
  </conditionalFormatting>
  <conditionalFormatting sqref="AA1:AA10 AA12:AA13 AA39:AA1048576">
    <cfRule type="expression" dxfId="66" priority="3">
      <formula>AA1=22.5</formula>
    </cfRule>
    <cfRule type="expression" dxfId="65" priority="4">
      <formula>AA1=30</formula>
    </cfRule>
    <cfRule type="expression" dxfId="64" priority="5">
      <formula>AA1=7.5</formula>
    </cfRule>
    <cfRule type="expression" dxfId="63" priority="6">
      <formula>AA1=15</formula>
    </cfRule>
    <cfRule type="expression" dxfId="62" priority="7">
      <formula>AA1=17.25</formula>
    </cfRule>
  </conditionalFormatting>
  <conditionalFormatting sqref="AB14:AB16 AE17:AE33 AB34:AB38">
    <cfRule type="expression" dxfId="61" priority="24">
      <formula>AB14=22.5</formula>
    </cfRule>
    <cfRule type="expression" dxfId="60" priority="25">
      <formula>AB14=30</formula>
    </cfRule>
    <cfRule type="expression" dxfId="59" priority="26">
      <formula>AB14=7.5</formula>
    </cfRule>
    <cfRule type="expression" dxfId="58" priority="27">
      <formula>AB14=15</formula>
    </cfRule>
    <cfRule type="expression" dxfId="57" priority="28">
      <formula>AB14=17.25</formula>
    </cfRule>
  </conditionalFormatting>
  <dataValidations count="5">
    <dataValidation allowBlank="1" showInputMessage="1" showErrorMessage="1" prompt="Due to API constraints, we cannot automatically pull GST information from the client's source file. To help, we've calculated the GST using a formula. Please remove or edit values as necessary." sqref="I18" xr:uid="{C8CBB031-2CBC-4107-8206-89593454549E}"/>
    <dataValidation allowBlank="1" showInputMessage="1" showErrorMessage="1" prompt="Due to API constraints, we can't automatically pull translated foreign currency transactions from the client's source file. To help, we've pulled in the foreign currency code, please input the correct conversion rate in column G." sqref="E17:E18" xr:uid="{AED2CC84-2A97-4B2A-B669-FD6DE6B54FC3}"/>
    <dataValidation allowBlank="1" showInputMessage="1" showErrorMessage="1" prompt="Enter a decrease adjustment as negative" sqref="J20:J29 L20:L29" xr:uid="{B3D68CE0-25F0-4AD1-AD12-9CDA472EE0B6}"/>
    <dataValidation type="whole" allowBlank="1" showInputMessage="1" showErrorMessage="1" errorTitle="Invalid Number" error="The number of creditors you have selected to graph exceeds the total number of creditors.  _x000a__x000a_Please enter a number less than or equal to the total number of creditors (Max 50)." sqref="D97" xr:uid="{54997648-9A26-4D6E-BCF6-86F2A92CC80E}">
      <formula1>1</formula1>
      <formula2>$D$99</formula2>
    </dataValidation>
    <dataValidation type="list" allowBlank="1" showInputMessage="1" showErrorMessage="1" sqref="D98" xr:uid="{5E00B634-5AD0-4E4E-A24E-206F9826AC6B}">
      <formula1>"Yes,No"</formula1>
    </dataValidation>
  </dataValidations>
  <hyperlinks>
    <hyperlink ref="R5" location="'H05 Trade Creditors'!Go_Variance" tooltip="Go To Reconciliation" display="'H05 Trade Creditors'!Go_Variance" xr:uid="{F40D659C-026A-4BA8-8BB8-306C3ACBAF37}"/>
    <hyperlink ref="A40:D40" location="'H05 Trade Creditors'!Go_RollUp_04" tooltip="Show/Hide" display="'H05 Trade Creditors'!Go_RollUp_04" xr:uid="{9273E6B6-D1A1-4C94-9AA3-21CF2560A837}"/>
    <hyperlink ref="A13:D13" location="'H05 Trade Creditors'!Go_RollUp_03" tooltip="Show/Hide" display="'H05 Trade Creditors'!Go_RollUp_03" xr:uid="{054430CE-1AEA-4835-B773-8097406D340E}"/>
    <hyperlink ref="C15" location="'H05 Trade Creditors'!Go_Command.ImportCreditors" tooltip="Refresh Creditors from Client's Source File" display="P Refresh Data Feed" xr:uid="{4FB4EE81-845C-44E2-A8CB-059DC91D4C0E}"/>
    <hyperlink ref="R3" location="'H05 Trade Creditors'!Go_Index" tooltip="Go to Record" display="Show Record" xr:uid="{CB740E0B-99C9-4270-856C-F9106333ECE2}"/>
    <hyperlink ref="A63:D63" location="'H05 Trade Creditors'!Go_RollUp_05" tooltip="Show/Hide" display="'H05 Trade Creditors'!Go_RollUp_05" xr:uid="{C3818F0A-52D5-4C4C-971A-990742AD6998}"/>
  </hyperlinks>
  <printOptions horizontalCentered="1"/>
  <pageMargins left="0.39370078740157483" right="0.39370078740157483" top="0.39370078740157483" bottom="0.39370078740157483" header="0" footer="0"/>
  <pageSetup paperSize="9" scale="63" fitToHeight="0" orientation="landscape" r:id="rId1"/>
  <headerFooter alignWithMargins="0">
    <oddFooter>&amp;L&amp;F
Copyright © 2003-Present Business Fitness Pty Ltd&amp;R&amp;A &amp;P</oddFooter>
  </headerFooter>
  <rowBreaks count="2" manualBreakCount="2">
    <brk id="27" max="14" man="1"/>
    <brk id="39" max="14" man="1"/>
  </rowBreaks>
  <customProperties>
    <customPr name="SheetId" r:id="rId2"/>
    <customPr name="SheetName" r:id="rId3"/>
  </customProperties>
  <drawing r:id="rId4"/>
  <extLst>
    <ext xmlns:x15="http://schemas.microsoft.com/office/spreadsheetml/2010/11/main" uri="{F7C9EE02-42E1-4005-9D12-6889AFFD525C}">
      <x15:webExtensions xmlns:xm="http://schemas.microsoft.com/office/excel/2006/main">
        <x15:webExtension appRef="{8F1BA3C1-6CEB-4A27-9DE9-931513A2A47F}">
          <xm:f>'H05 Trade Creditors'!H05_GSTInCreditors</xm:f>
        </x15:webExtension>
        <x15:webExtension appRef="{52A499ED-F4EC-42B9-80E9-5C7D9F9589F0}">
          <xm:f>'H05 Trade Creditors'!H05_TradeCreditors</xm:f>
        </x15:webExtension>
        <x15:webExtension appRef="{93895EC1-43EC-4F5F-86E2-A4E65D86C795}">
          <xm:f>'H05 Trade Creditors'!Reconcile_AccountsPayable</xm:f>
        </x15:webExtension>
      </x15:webExtens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AD360-D36E-4ADB-90F2-5BEB567A15AE}">
  <sheetPr>
    <pageSetUpPr autoPageBreaks="0" fitToPage="1"/>
  </sheetPr>
  <dimension ref="A1:M199"/>
  <sheetViews>
    <sheetView showGridLines="0" topLeftCell="A2" zoomScaleNormal="100" workbookViewId="0">
      <selection activeCell="A2" sqref="A2"/>
    </sheetView>
  </sheetViews>
  <sheetFormatPr defaultRowHeight="15"/>
  <cols>
    <col min="1" max="1" width="4.28515625" style="65" customWidth="1"/>
    <col min="2" max="2" width="1.42578125" style="65" customWidth="1"/>
    <col min="3" max="3" width="12.7109375" style="65" customWidth="1"/>
    <col min="4" max="4" width="19" style="65" customWidth="1"/>
    <col min="5" max="7" width="14.7109375" style="65" customWidth="1"/>
    <col min="8" max="9" width="15.7109375" style="65" customWidth="1"/>
    <col min="10" max="10" width="1.42578125" style="65" customWidth="1"/>
    <col min="11" max="11" width="4.28515625" style="65" customWidth="1"/>
    <col min="12" max="13" width="15.7109375" style="65" customWidth="1"/>
    <col min="14" max="16384" width="9.140625" style="65"/>
  </cols>
  <sheetData>
    <row r="1" spans="1:13" s="17" customFormat="1" ht="17.25" hidden="1" customHeight="1">
      <c r="C1" s="419" t="s">
        <v>181</v>
      </c>
      <c r="D1" s="418" t="s">
        <v>414</v>
      </c>
      <c r="F1" s="129" t="s">
        <v>179</v>
      </c>
      <c r="G1" s="17" t="s">
        <v>318</v>
      </c>
      <c r="H1" s="111" t="s">
        <v>177</v>
      </c>
      <c r="I1" s="17" t="str">
        <f>IFERROR(Jurisdiction,"AU")</f>
        <v>AU</v>
      </c>
    </row>
    <row r="2" spans="1:13" s="17" customFormat="1" ht="7.5" customHeight="1">
      <c r="C2" s="420"/>
      <c r="D2" s="419"/>
      <c r="E2" s="418"/>
      <c r="H2" s="129"/>
    </row>
    <row r="3" spans="1:13" ht="24.95" customHeight="1">
      <c r="C3" s="1547" t="e">
        <f>_xlfn.XLOOKUP("5489bc5a-4938-4681-af31-1209c717a5d9",RecordInfo.SheetId,RecordInfo.RecordTitle)</f>
        <v>#N/A</v>
      </c>
      <c r="D3" s="1547"/>
      <c r="E3" s="1547"/>
      <c r="F3" s="1547"/>
      <c r="H3"/>
      <c r="I3" s="421" t="s">
        <v>174</v>
      </c>
    </row>
    <row r="4" spans="1:13" ht="22.5" customHeight="1">
      <c r="C4" s="1729" t="str">
        <f>_xlfn.TEXTJOIN(" ",1,IFERROR(Cl_Name,"Client Name"),IF(IFERROR(Cl_Code,"")="","","("&amp;Cl_Code&amp;")"))</f>
        <v>Springrange Holdings Pty Ltd (MuM001)</v>
      </c>
      <c r="D4" s="1729"/>
      <c r="E4" s="1729"/>
      <c r="F4" s="1729"/>
      <c r="G4" s="1730"/>
      <c r="H4" s="416"/>
      <c r="I4" s="415" t="str">
        <f>IF(ISBLANK(_xlfn.SINGLE(Tm_TBAccount)),_xlfn.TEXTJOIN("-",1,H6:I6),TEXT(_xlfn.SINGLE(Tm_TBAccount),"0"))</f>
        <v>900 Business Loan</v>
      </c>
    </row>
    <row r="5" spans="1:13" ht="22.5" customHeight="1">
      <c r="C5" s="1520">
        <f>IFERROR(_xlfn.SINGLE(PeriodEndDate),DATE(1901,1,1))</f>
        <v>45473</v>
      </c>
      <c r="D5" s="1521"/>
      <c r="E5" s="1521"/>
      <c r="F5" s="1731"/>
      <c r="G5" s="414"/>
      <c r="I5" s="413" t="str">
        <f>I36</f>
        <v>Out of Balance</v>
      </c>
      <c r="J5" s="363">
        <f>IFERROR(_xlfn.XLOOKUP("7b446d22-0b10-4223-8ea6-39780c80ca14",RecordInfo.RecordId,RecordInfo.Tolerances),0)</f>
        <v>0.01</v>
      </c>
    </row>
    <row r="6" spans="1:13" ht="17.25" hidden="1" customHeight="1">
      <c r="G6" s="412" t="s">
        <v>415</v>
      </c>
      <c r="H6" s="412"/>
      <c r="I6" s="412"/>
    </row>
    <row r="7" spans="1:13" ht="7.5" customHeight="1">
      <c r="B7" s="411"/>
      <c r="C7" s="411"/>
      <c r="D7" s="411"/>
      <c r="E7" s="411"/>
      <c r="F7" s="275"/>
      <c r="G7" s="275"/>
      <c r="H7" s="275"/>
      <c r="I7" s="275"/>
      <c r="J7" s="275"/>
    </row>
    <row r="8" spans="1:13" ht="7.5" customHeight="1"/>
    <row r="9" spans="1:13" ht="22.5" customHeight="1">
      <c r="C9" s="1438" t="s">
        <v>413</v>
      </c>
      <c r="D9" s="1438"/>
      <c r="E9" s="1438"/>
      <c r="F9" s="1438"/>
      <c r="G9" s="1438"/>
      <c r="H9" s="1438"/>
      <c r="I9" s="1438"/>
    </row>
    <row r="10" spans="1:13" s="17" customFormat="1" ht="17.25" customHeight="1">
      <c r="C10" s="1732" t="s">
        <v>412</v>
      </c>
      <c r="D10" s="1732"/>
      <c r="E10" s="1732"/>
      <c r="F10" s="1732"/>
      <c r="G10" s="1732"/>
      <c r="H10" s="1732"/>
      <c r="I10" s="1732"/>
    </row>
    <row r="11" spans="1:13" s="409" customFormat="1" ht="17.25" customHeight="1">
      <c r="C11" s="1733" t="s">
        <v>411</v>
      </c>
      <c r="D11" s="1733"/>
      <c r="E11" s="1733"/>
      <c r="F11" s="1733"/>
      <c r="G11" s="1733"/>
      <c r="H11" s="1733"/>
      <c r="I11" s="1733"/>
    </row>
    <row r="12" spans="1:13" ht="22.5" customHeight="1">
      <c r="A12" s="277"/>
      <c r="J12" s="282"/>
    </row>
    <row r="13" spans="1:13" ht="22.5" customHeight="1">
      <c r="B13" s="1739" t="s">
        <v>410</v>
      </c>
      <c r="C13" s="1740"/>
      <c r="D13" s="1740"/>
      <c r="E13" s="1741"/>
      <c r="L13" s="1477" t="s">
        <v>409</v>
      </c>
      <c r="M13" s="1478"/>
    </row>
    <row r="14" spans="1:13" ht="7.5" customHeight="1">
      <c r="A14" s="65" t="s">
        <v>58</v>
      </c>
      <c r="B14" s="408"/>
      <c r="C14" s="364"/>
      <c r="D14" s="364"/>
      <c r="E14" s="364"/>
      <c r="F14" s="364"/>
      <c r="G14" s="364"/>
      <c r="H14" s="364"/>
      <c r="I14" s="364"/>
      <c r="J14" s="407"/>
    </row>
    <row r="15" spans="1:13" ht="17.25" customHeight="1">
      <c r="B15" s="148"/>
      <c r="C15" s="1734" t="s">
        <v>408</v>
      </c>
      <c r="D15" s="1734"/>
      <c r="F15" s="1742"/>
      <c r="G15" s="1743"/>
      <c r="H15" s="1744"/>
      <c r="J15" s="143"/>
      <c r="L15" s="392"/>
      <c r="M15" s="391"/>
    </row>
    <row r="16" spans="1:13" ht="17.25" customHeight="1">
      <c r="B16" s="148"/>
      <c r="C16" s="1734" t="s">
        <v>407</v>
      </c>
      <c r="D16" s="1734"/>
      <c r="F16" s="1745"/>
      <c r="G16" s="1746"/>
      <c r="H16" s="1747"/>
      <c r="J16" s="143"/>
      <c r="L16" s="392"/>
      <c r="M16" s="391"/>
    </row>
    <row r="17" spans="2:13" ht="17.25" customHeight="1">
      <c r="B17" s="148"/>
      <c r="C17" s="1734" t="s">
        <v>406</v>
      </c>
      <c r="D17" s="1734"/>
      <c r="F17" s="1745"/>
      <c r="G17" s="1746"/>
      <c r="H17" s="1747"/>
      <c r="J17" s="143"/>
      <c r="L17" s="392"/>
      <c r="M17" s="391"/>
    </row>
    <row r="18" spans="2:13" ht="17.25" customHeight="1">
      <c r="B18" s="148"/>
      <c r="C18" s="1734" t="s">
        <v>405</v>
      </c>
      <c r="D18" s="1734"/>
      <c r="F18" s="1735"/>
      <c r="G18" s="1736"/>
      <c r="H18" s="1737"/>
      <c r="I18" s="148"/>
      <c r="J18" s="143"/>
      <c r="L18" s="392"/>
      <c r="M18" s="391"/>
    </row>
    <row r="19" spans="2:13" ht="17.25" customHeight="1">
      <c r="B19" s="148"/>
      <c r="G19" s="165"/>
      <c r="H19" s="165"/>
      <c r="J19" s="143"/>
      <c r="L19" s="403"/>
      <c r="M19" s="403"/>
    </row>
    <row r="20" spans="2:13" ht="30" customHeight="1">
      <c r="B20" s="148"/>
      <c r="C20" s="406" t="s">
        <v>361</v>
      </c>
      <c r="D20" s="405" t="s">
        <v>404</v>
      </c>
      <c r="E20" s="405"/>
      <c r="F20" s="405"/>
      <c r="G20" s="405"/>
      <c r="H20" s="405" t="s">
        <v>403</v>
      </c>
      <c r="I20" s="404" t="s">
        <v>358</v>
      </c>
      <c r="J20" s="143"/>
      <c r="L20" s="403"/>
      <c r="M20" s="403"/>
    </row>
    <row r="21" spans="2:13" ht="7.5" customHeight="1">
      <c r="B21" s="148"/>
      <c r="J21" s="143"/>
      <c r="L21" s="403"/>
      <c r="M21" s="403"/>
    </row>
    <row r="22" spans="2:13" ht="17.25" customHeight="1">
      <c r="B22" s="148"/>
      <c r="C22" s="399">
        <f>IFERROR(DATE(YEAR($C$5),MONTH($C$5)-12,DAY($C$5)+1),"")</f>
        <v>45108</v>
      </c>
      <c r="D22" s="1423" t="s">
        <v>402</v>
      </c>
      <c r="E22" s="1423"/>
      <c r="F22" s="1423"/>
      <c r="I22" s="347"/>
      <c r="J22" s="143"/>
      <c r="L22" s="392"/>
      <c r="M22" s="391"/>
    </row>
    <row r="23" spans="2:13" ht="17.25" customHeight="1">
      <c r="B23" s="148"/>
      <c r="D23" s="1423" t="s">
        <v>401</v>
      </c>
      <c r="E23" s="1423"/>
      <c r="F23" s="1423"/>
      <c r="J23" s="143"/>
      <c r="L23" s="401"/>
      <c r="M23" s="400"/>
    </row>
    <row r="24" spans="2:13" ht="17.25" customHeight="1">
      <c r="B24" s="148"/>
      <c r="D24" s="1427" t="s">
        <v>400</v>
      </c>
      <c r="E24" s="1427"/>
      <c r="F24" s="1427"/>
      <c r="I24" s="347"/>
      <c r="J24" s="143"/>
      <c r="L24" s="392"/>
      <c r="M24" s="391"/>
    </row>
    <row r="25" spans="2:13" ht="17.25" customHeight="1">
      <c r="B25" s="148"/>
      <c r="D25" s="1427" t="s">
        <v>399</v>
      </c>
      <c r="E25" s="1427"/>
      <c r="F25" s="1427"/>
      <c r="H25" s="393"/>
      <c r="I25" s="347"/>
      <c r="J25" s="143"/>
      <c r="L25" s="392"/>
      <c r="M25" s="391"/>
    </row>
    <row r="26" spans="2:13" ht="17.25" customHeight="1">
      <c r="B26" s="148"/>
      <c r="D26" s="1427" t="s">
        <v>398</v>
      </c>
      <c r="E26" s="1427"/>
      <c r="F26" s="1427"/>
      <c r="H26" s="393"/>
      <c r="I26" s="347"/>
      <c r="J26" s="143"/>
      <c r="L26" s="392"/>
      <c r="M26" s="391"/>
    </row>
    <row r="27" spans="2:13" ht="17.25" customHeight="1">
      <c r="B27" s="148"/>
      <c r="D27" s="77" t="s">
        <v>397</v>
      </c>
      <c r="E27" s="77"/>
      <c r="F27" s="77"/>
      <c r="I27" s="398">
        <f>SUM(I22:I26)</f>
        <v>0</v>
      </c>
      <c r="J27" s="143"/>
      <c r="L27" s="392"/>
      <c r="M27" s="391"/>
    </row>
    <row r="28" spans="2:13" ht="17.25" customHeight="1">
      <c r="B28" s="148"/>
      <c r="D28" s="77" t="s">
        <v>396</v>
      </c>
      <c r="E28" s="77"/>
      <c r="F28" s="77"/>
      <c r="J28" s="143"/>
      <c r="L28" s="401"/>
      <c r="M28" s="400"/>
    </row>
    <row r="29" spans="2:13" ht="17.25" customHeight="1">
      <c r="B29" s="148"/>
      <c r="D29" s="1427" t="s">
        <v>395</v>
      </c>
      <c r="E29" s="1427"/>
      <c r="F29" s="1427"/>
      <c r="I29" s="347"/>
      <c r="J29" s="143"/>
      <c r="L29" s="392"/>
      <c r="M29" s="391"/>
    </row>
    <row r="30" spans="2:13" ht="17.25" customHeight="1">
      <c r="B30" s="148"/>
      <c r="D30" s="1427" t="s">
        <v>394</v>
      </c>
      <c r="E30" s="1427"/>
      <c r="F30" s="1427"/>
      <c r="I30" s="347"/>
      <c r="J30" s="143"/>
      <c r="L30" s="392"/>
      <c r="M30" s="391"/>
    </row>
    <row r="31" spans="2:13" ht="17.25" customHeight="1">
      <c r="B31" s="148"/>
      <c r="D31" s="402"/>
      <c r="E31" s="402"/>
      <c r="F31" s="402"/>
      <c r="I31" s="398">
        <f>SUM(I29:I30)</f>
        <v>0</v>
      </c>
      <c r="J31" s="143"/>
      <c r="L31" s="392"/>
      <c r="M31" s="391"/>
    </row>
    <row r="32" spans="2:13" ht="7.5" customHeight="1">
      <c r="B32" s="148"/>
      <c r="D32" s="402"/>
      <c r="E32" s="402"/>
      <c r="F32" s="402"/>
      <c r="J32" s="143"/>
      <c r="L32" s="401"/>
      <c r="M32" s="400"/>
    </row>
    <row r="33" spans="2:13" ht="17.25" customHeight="1">
      <c r="B33" s="148"/>
      <c r="C33" s="399">
        <f>IFERROR($C$5,"")</f>
        <v>45473</v>
      </c>
      <c r="D33" s="1738" t="s">
        <v>393</v>
      </c>
      <c r="E33" s="1423"/>
      <c r="F33" s="1423"/>
      <c r="I33" s="398">
        <f>I27-I31</f>
        <v>0</v>
      </c>
      <c r="J33" s="143"/>
      <c r="L33" s="392"/>
      <c r="M33" s="391"/>
    </row>
    <row r="34" spans="2:13" ht="17.25" customHeight="1">
      <c r="B34" s="148"/>
      <c r="D34" s="1423" t="s">
        <v>356</v>
      </c>
      <c r="E34" s="1423"/>
      <c r="F34" s="1423"/>
      <c r="I34" s="347">
        <f>IFERROR(-_xlfn.XLOOKUP("f55db5b9-1a03-4f23-80dd-94c9444fa9fd",Tx_LedgerReport.SourceAccountId,PrimaryBalances),0)</f>
        <v>-11888.76</v>
      </c>
      <c r="J34" s="143"/>
      <c r="L34" s="392"/>
      <c r="M34" s="391"/>
    </row>
    <row r="35" spans="2:13" ht="17.25" customHeight="1">
      <c r="B35" s="148"/>
      <c r="D35" s="1423" t="s">
        <v>280</v>
      </c>
      <c r="E35" s="1423"/>
      <c r="F35" s="1423"/>
      <c r="I35" s="398">
        <f>IF(AND(I34=0,I33=0),"",I34-I33)</f>
        <v>-11888.76</v>
      </c>
      <c r="J35" s="143"/>
      <c r="L35" s="392"/>
      <c r="M35" s="391"/>
    </row>
    <row r="36" spans="2:13" ht="7.5" customHeight="1">
      <c r="B36" s="148"/>
      <c r="D36" s="77"/>
      <c r="E36" s="77"/>
      <c r="F36" s="77"/>
      <c r="H36" s="77"/>
      <c r="I36" s="183" t="str">
        <f>IF(I35="","Pending",IF(ABS(I35)&gt;VALUE(_xlfn.SINGLE(IFERROR(Options_Tolerance,0.01))),"Out of Balance","Reconciled"))</f>
        <v>Out of Balance</v>
      </c>
      <c r="J36" s="143"/>
      <c r="L36" s="397"/>
      <c r="M36" s="396"/>
    </row>
    <row r="37" spans="2:13" ht="17.25" customHeight="1">
      <c r="B37" s="148"/>
      <c r="D37" s="1423" t="s">
        <v>392</v>
      </c>
      <c r="E37" s="1423"/>
      <c r="F37" s="1423"/>
      <c r="J37" s="143"/>
      <c r="L37" s="395"/>
      <c r="M37" s="394"/>
    </row>
    <row r="38" spans="2:13" ht="17.25" customHeight="1">
      <c r="B38" s="148"/>
      <c r="D38" s="1427" t="s">
        <v>391</v>
      </c>
      <c r="E38" s="1427"/>
      <c r="F38" s="1427"/>
      <c r="H38" s="393"/>
      <c r="I38" s="347"/>
      <c r="J38" s="143"/>
      <c r="L38" s="392"/>
      <c r="M38" s="391"/>
    </row>
    <row r="39" spans="2:13" ht="17.25" customHeight="1">
      <c r="B39" s="148"/>
      <c r="D39" s="1427" t="s">
        <v>390</v>
      </c>
      <c r="E39" s="1427"/>
      <c r="F39" s="1427"/>
      <c r="H39" s="393"/>
      <c r="I39" s="347"/>
      <c r="J39" s="143"/>
      <c r="L39" s="392"/>
      <c r="M39" s="391"/>
    </row>
    <row r="40" spans="2:13" ht="7.5" customHeight="1">
      <c r="B40" s="142"/>
      <c r="C40" s="138"/>
      <c r="D40" s="138"/>
      <c r="E40" s="138"/>
      <c r="F40" s="1728"/>
      <c r="G40" s="1728"/>
      <c r="H40" s="1728"/>
      <c r="I40" s="1728"/>
      <c r="J40" s="137"/>
    </row>
    <row r="41" spans="2:13" ht="17.25" customHeight="1"/>
    <row r="42" spans="2:13" ht="15.95" customHeight="1"/>
    <row r="43" spans="2:13" ht="15.95" customHeight="1"/>
    <row r="44" spans="2:13" ht="15.95" customHeight="1"/>
    <row r="45" spans="2:13" ht="15.95" customHeight="1"/>
    <row r="46" spans="2:13" ht="15.95" customHeight="1"/>
    <row r="47" spans="2:13" ht="15.95" customHeight="1"/>
    <row r="48" spans="2:13" ht="15.95" customHeight="1"/>
    <row r="49" ht="15.95" customHeight="1"/>
    <row r="50" ht="15.95" customHeight="1"/>
    <row r="51" ht="15.95" customHeight="1"/>
    <row r="52" ht="15.95" customHeight="1"/>
    <row r="53" ht="15.95" customHeight="1"/>
    <row r="54" ht="15.95" customHeight="1"/>
    <row r="55" ht="15.95" customHeight="1"/>
    <row r="56" ht="15.95" customHeight="1"/>
    <row r="57" ht="15.95" customHeight="1"/>
    <row r="58" ht="15.95" customHeight="1"/>
    <row r="59" ht="15.95" customHeight="1"/>
    <row r="60" ht="15.95" customHeight="1"/>
    <row r="61" ht="15.95" customHeight="1"/>
    <row r="62" ht="15.95" customHeight="1"/>
    <row r="63" ht="15.95" customHeight="1"/>
    <row r="64" ht="15.95" customHeight="1"/>
    <row r="65" ht="15.95" customHeight="1"/>
    <row r="66" ht="15.95" customHeight="1"/>
    <row r="67" ht="15.95" customHeight="1"/>
    <row r="68" ht="15.95" customHeight="1"/>
    <row r="69" ht="15.95" customHeight="1"/>
    <row r="70" ht="15.95" customHeight="1"/>
    <row r="71" ht="15.95" customHeight="1"/>
    <row r="72" ht="15.95" customHeight="1"/>
    <row r="73" ht="15.95" customHeight="1"/>
    <row r="74" ht="15.95" customHeight="1"/>
    <row r="75" ht="15.95" customHeight="1"/>
    <row r="76" ht="15.95" customHeight="1"/>
    <row r="77" ht="15.95" customHeight="1"/>
    <row r="78" ht="15.95" customHeight="1"/>
    <row r="79" ht="15.95" customHeight="1"/>
    <row r="80" ht="15.95" customHeight="1"/>
    <row r="81" ht="15.95" customHeight="1"/>
    <row r="82" ht="15.95" customHeight="1"/>
    <row r="83" ht="15.95" customHeight="1"/>
    <row r="84" ht="15.95" customHeight="1"/>
    <row r="85" ht="15.95" customHeight="1"/>
    <row r="86" ht="15.95" customHeight="1"/>
    <row r="87" ht="15.95" customHeight="1"/>
    <row r="88" ht="15.95" customHeight="1"/>
    <row r="89" ht="15.95" customHeight="1"/>
    <row r="90" ht="15.95" customHeight="1"/>
    <row r="91" ht="15.95" customHeight="1"/>
    <row r="92" ht="15.95" customHeight="1"/>
    <row r="93" ht="15.95" customHeight="1"/>
    <row r="94" ht="15.95" customHeight="1"/>
    <row r="95" ht="15.95" customHeight="1"/>
    <row r="96" ht="15.95" customHeight="1"/>
    <row r="97" ht="15.95" customHeight="1"/>
    <row r="98" ht="15.95" customHeight="1"/>
    <row r="99" ht="15.95" customHeight="1"/>
    <row r="100" ht="15.95" customHeight="1"/>
    <row r="101" ht="15.95" customHeight="1"/>
    <row r="102" ht="15.95" customHeight="1"/>
    <row r="103" ht="15.95" customHeight="1"/>
    <row r="104" ht="15.95" customHeight="1"/>
    <row r="105" ht="15.95" customHeight="1"/>
    <row r="106" ht="15.95" customHeight="1"/>
    <row r="107" ht="15.95" customHeight="1"/>
    <row r="108" ht="15.95" customHeight="1"/>
    <row r="109" ht="15.95" customHeight="1"/>
    <row r="110" ht="15.95" customHeight="1"/>
    <row r="111" ht="15.95" customHeight="1"/>
    <row r="112" ht="15.95" customHeight="1"/>
    <row r="113" ht="15.95" customHeight="1"/>
    <row r="114" ht="15.95" customHeight="1"/>
    <row r="115" ht="15.95" customHeight="1"/>
    <row r="116" ht="15.95" customHeight="1"/>
    <row r="117" ht="15.95" customHeight="1"/>
    <row r="118" ht="15.95" customHeight="1"/>
    <row r="119" ht="15.95" customHeight="1"/>
    <row r="120" ht="15.95" customHeight="1"/>
    <row r="121" ht="15.95" customHeight="1"/>
    <row r="122" ht="15.95" customHeight="1"/>
    <row r="123" ht="15.95" customHeight="1"/>
    <row r="124" ht="15.95" customHeight="1"/>
    <row r="125" ht="15.95" customHeight="1"/>
    <row r="126" ht="15.95" customHeight="1"/>
    <row r="127" ht="15.95" customHeight="1"/>
    <row r="128" ht="15.95" customHeight="1"/>
    <row r="129" ht="15.95" customHeight="1"/>
    <row r="130" ht="15.95" customHeight="1"/>
    <row r="131" ht="15.95" customHeight="1"/>
    <row r="132" ht="15.95" customHeight="1"/>
    <row r="133" ht="15.95" customHeight="1"/>
    <row r="134" ht="15.95" customHeight="1"/>
    <row r="135" ht="15.95" customHeight="1"/>
    <row r="136" ht="15.95" customHeight="1"/>
    <row r="137" ht="15.95" customHeight="1"/>
    <row r="138" ht="15.95" customHeight="1"/>
    <row r="139" ht="15.95" customHeight="1"/>
    <row r="140" ht="15.95" customHeight="1"/>
    <row r="141" ht="15.95" customHeight="1"/>
    <row r="142" ht="15.95" customHeight="1"/>
    <row r="143" ht="15.95" customHeight="1"/>
    <row r="144" ht="15.95" customHeight="1"/>
    <row r="145" ht="15.95" customHeight="1"/>
    <row r="146" ht="15.95" customHeight="1"/>
    <row r="147" ht="15.95" customHeight="1"/>
    <row r="148" ht="15.95" customHeight="1"/>
    <row r="149" ht="15.95" customHeight="1"/>
    <row r="150" ht="15.95" customHeight="1"/>
    <row r="151" ht="15.95" customHeight="1"/>
    <row r="152" ht="15.95" customHeight="1"/>
    <row r="153" ht="15.95" customHeight="1"/>
    <row r="154" ht="15.95" customHeight="1"/>
    <row r="155" ht="15.95" customHeight="1"/>
    <row r="156" ht="15.95" customHeight="1"/>
    <row r="157" ht="15.95" customHeight="1"/>
    <row r="158" ht="15.95" customHeight="1"/>
    <row r="159" ht="15.95" customHeight="1"/>
    <row r="160" ht="15.95" customHeight="1"/>
    <row r="161" ht="15.95" customHeight="1"/>
    <row r="162" ht="15.95" customHeight="1"/>
    <row r="163" ht="15.95" customHeight="1"/>
    <row r="164" ht="15.95" customHeight="1"/>
    <row r="165" ht="15.95" customHeight="1"/>
    <row r="166" ht="15.95" customHeight="1"/>
    <row r="167" ht="15.95" customHeight="1"/>
    <row r="168" ht="15.95" customHeight="1"/>
    <row r="169" ht="15.95" customHeight="1"/>
    <row r="170" ht="15.95" customHeight="1"/>
    <row r="171" ht="15.95" customHeight="1"/>
    <row r="172" ht="15.95" customHeight="1"/>
    <row r="173" ht="15.95" customHeight="1"/>
    <row r="174" ht="15.95" customHeight="1"/>
    <row r="175" ht="15.95" customHeight="1"/>
    <row r="176" ht="15.95" customHeight="1"/>
    <row r="177" ht="15.95" customHeight="1"/>
    <row r="178" ht="15.95" customHeight="1"/>
    <row r="179" ht="15.95" customHeight="1"/>
    <row r="180" ht="15.95" customHeight="1"/>
    <row r="181" ht="15.95" customHeight="1"/>
    <row r="182" ht="15.95" customHeight="1"/>
    <row r="183" ht="15.95" customHeight="1"/>
    <row r="184" ht="15.95" customHeight="1"/>
    <row r="185" ht="15.95" customHeight="1"/>
    <row r="186" ht="15.95" customHeight="1"/>
    <row r="187" ht="15.95" customHeight="1"/>
    <row r="188" ht="15.95" customHeight="1"/>
    <row r="189" ht="15.95" customHeight="1"/>
    <row r="190" ht="15.95" customHeight="1"/>
    <row r="191" ht="15.95" customHeight="1"/>
    <row r="192" ht="15.95" customHeight="1"/>
    <row r="193" ht="15.95" customHeight="1"/>
    <row r="194" ht="15.95" customHeight="1"/>
    <row r="195" ht="15.95" customHeight="1"/>
    <row r="196" ht="15.95" customHeight="1"/>
    <row r="197" ht="15.95" customHeight="1"/>
    <row r="198" ht="15.95" customHeight="1"/>
    <row r="199" ht="15.95" customHeight="1"/>
  </sheetData>
  <sheetProtection sheet="1" formatCells="0" formatColumns="0" formatRows="0" insertColumns="0" insertRows="0" insertHyperlinks="0"/>
  <mergeCells count="30">
    <mergeCell ref="L13:M13"/>
    <mergeCell ref="B13:E13"/>
    <mergeCell ref="C15:D15"/>
    <mergeCell ref="C16:D16"/>
    <mergeCell ref="C17:D17"/>
    <mergeCell ref="F15:H15"/>
    <mergeCell ref="F16:H16"/>
    <mergeCell ref="F17:H17"/>
    <mergeCell ref="D38:F38"/>
    <mergeCell ref="D22:F22"/>
    <mergeCell ref="D23:F23"/>
    <mergeCell ref="D24:F24"/>
    <mergeCell ref="D29:F29"/>
    <mergeCell ref="D30:F30"/>
    <mergeCell ref="F40:I40"/>
    <mergeCell ref="D25:F25"/>
    <mergeCell ref="D26:F26"/>
    <mergeCell ref="C3:F3"/>
    <mergeCell ref="C4:G4"/>
    <mergeCell ref="C5:F5"/>
    <mergeCell ref="C10:I10"/>
    <mergeCell ref="C11:I11"/>
    <mergeCell ref="C9:I9"/>
    <mergeCell ref="D39:F39"/>
    <mergeCell ref="C18:D18"/>
    <mergeCell ref="F18:H18"/>
    <mergeCell ref="D33:F33"/>
    <mergeCell ref="D34:F34"/>
    <mergeCell ref="D35:F35"/>
    <mergeCell ref="D37:F37"/>
  </mergeCells>
  <conditionalFormatting sqref="G5">
    <cfRule type="cellIs" dxfId="56" priority="10" operator="equal">
      <formula>"Partner Approved"</formula>
    </cfRule>
    <cfRule type="cellIs" dxfId="55" priority="11" operator="equal">
      <formula>"Reviewed"</formula>
    </cfRule>
    <cfRule type="cellIs" dxfId="54" priority="12" operator="equal">
      <formula>"Rework Complete"</formula>
    </cfRule>
    <cfRule type="cellIs" dxfId="53" priority="13" operator="equal">
      <formula>"Client Query"</formula>
    </cfRule>
    <cfRule type="cellIs" dxfId="52" priority="14" operator="equal">
      <formula>"Started"</formula>
    </cfRule>
    <cfRule type="cellIs" dxfId="51" priority="15" operator="equal">
      <formula>"Ready for Review"</formula>
    </cfRule>
    <cfRule type="cellIs" dxfId="50" priority="16" operator="equal">
      <formula>"Rework Required"</formula>
    </cfRule>
    <cfRule type="cellIs" dxfId="49" priority="17" operator="equal">
      <formula>"Complete"</formula>
    </cfRule>
  </conditionalFormatting>
  <conditionalFormatting sqref="I5">
    <cfRule type="expression" dxfId="48" priority="18">
      <formula>Tm_BalanceStatus="Reconciled"</formula>
    </cfRule>
    <cfRule type="expression" dxfId="47" priority="19">
      <formula>Tm_BalanceStatus="Out of Balance"</formula>
    </cfRule>
  </conditionalFormatting>
  <conditionalFormatting sqref="I33">
    <cfRule type="expression" dxfId="46" priority="4">
      <formula>Tm_BalanceStatus="Out of Balance"</formula>
    </cfRule>
    <cfRule type="expression" dxfId="45" priority="6">
      <formula>Tm_BalanceStatus="Reconciled"</formula>
    </cfRule>
  </conditionalFormatting>
  <conditionalFormatting sqref="I34:I35">
    <cfRule type="expression" dxfId="44" priority="3">
      <formula>Tm_BalanceStatus="Out of Balance"</formula>
    </cfRule>
    <cfRule type="expression" dxfId="43" priority="5">
      <formula>Tm_BalanceStatus="Reconciled"</formula>
    </cfRule>
  </conditionalFormatting>
  <conditionalFormatting sqref="I35">
    <cfRule type="expression" dxfId="42" priority="1">
      <formula>Tm_BalanceStatus="Out of Balance"</formula>
    </cfRule>
    <cfRule type="expression" dxfId="41" priority="2">
      <formula>Tm_BalanceStatus="Reconciled"</formula>
    </cfRule>
  </conditionalFormatting>
  <dataValidations count="1">
    <dataValidation allowBlank="1" showErrorMessage="1" prompt="This field is optional." sqref="F18" xr:uid="{8C8562FE-A186-4F24-B823-6DB6BF23237F}"/>
  </dataValidations>
  <hyperlinks>
    <hyperlink ref="I3" location="'H25 Bank Loan'!Go_Index" tooltip="Go to Record" display="Show Record" xr:uid="{C0F2E868-9265-4E7F-9BB0-D79F758D1342}"/>
    <hyperlink ref="I5" location="'H25 Bank Loan'!Go_Variance_01" tooltip="Go to Reconciliation" display="Loans!Go_Variance_01" xr:uid="{D934744F-005A-4E08-91AF-6D1F17F6C704}"/>
  </hyperlinks>
  <printOptions horizontalCentered="1"/>
  <pageMargins left="0.39370078740157483" right="0.39370078740157483" top="0.39370078740157483" bottom="0.39370078740157483" header="0" footer="0"/>
  <pageSetup paperSize="9" scale="86" orientation="portrait" r:id="rId1"/>
  <headerFooter alignWithMargins="0">
    <oddFooter>&amp;L&amp;F
Copyright © 2003-Present Business Fitness Pty Ltd&amp;R&amp;A &amp;P</oddFooter>
  </headerFooter>
  <colBreaks count="1" manualBreakCount="1">
    <brk id="9" max="1048575" man="1"/>
  </colBreaks>
  <customProperties>
    <customPr name="SheetId" r:id="rId2"/>
    <customPr name="SheetName" r:id="rId3"/>
  </customProperties>
  <extLst>
    <ext xmlns:x15="http://schemas.microsoft.com/office/spreadsheetml/2010/11/main" uri="{F7C9EE02-42E1-4005-9D12-6889AFFD525C}">
      <x15:webExtensions xmlns:xm="http://schemas.microsoft.com/office/excel/2006/main">
        <x15:webExtension appRef="{715303F9-CE46-49C0-9A62-DA857FD132F0}">
          <xm:f>'H25 Bank Loan'!H25_BankFees</xm:f>
        </x15:webExtension>
        <x15:webExtension appRef="{078E3F72-4F6C-449E-B3C0-C0E01C150A50}">
          <xm:f>'H25 Bank Loan'!H25_InterestExpense</xm:f>
        </x15:webExtension>
        <x15:webExtension appRef="{4D318553-36BE-49CC-A8B9-77E3AF37945E}">
          <xm:f>'H25 Bank Loan'!H25_Loan_1</xm:f>
        </x15:webExtension>
        <x15:webExtension appRef="{231A8C59-7042-40B3-93BC-E6C41E80696B}">
          <xm:f>'H25 Bank Loan'!H25_TotalLiability</xm:f>
        </x15:webExtension>
        <x15:webExtension appRef="{D175B056-AC93-497B-A2AC-6F7BF5828B0E}">
          <xm:f>'H25 Bank Loan'!Reconcile_Loan1</xm:f>
        </x15:webExtension>
      </x15:webExtens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8294E-6011-45C2-86D0-29ED3330FE8C}">
  <sheetPr>
    <pageSetUpPr fitToPage="1"/>
  </sheetPr>
  <dimension ref="A1:AG147"/>
  <sheetViews>
    <sheetView showGridLines="0" topLeftCell="A2" zoomScaleNormal="100" zoomScaleSheetLayoutView="115" workbookViewId="0">
      <selection activeCell="A2" sqref="A2"/>
    </sheetView>
  </sheetViews>
  <sheetFormatPr defaultRowHeight="15"/>
  <cols>
    <col min="1" max="1" width="4.28515625" style="65" customWidth="1"/>
    <col min="2" max="2" width="1.42578125" style="65" customWidth="1"/>
    <col min="3" max="3" width="32.28515625" style="65" customWidth="1"/>
    <col min="4" max="4" width="4" style="65" customWidth="1"/>
    <col min="5" max="5" width="15.7109375" style="136" customWidth="1"/>
    <col min="6" max="6" width="13.7109375" style="135" customWidth="1"/>
    <col min="7" max="7" width="15.7109375" style="135" customWidth="1"/>
    <col min="8" max="10" width="15.7109375" style="134" customWidth="1"/>
    <col min="11" max="11" width="13.7109375" style="134" hidden="1" customWidth="1"/>
    <col min="12" max="12" width="2.85546875" style="65" customWidth="1"/>
    <col min="13" max="13" width="1.42578125" style="65" customWidth="1"/>
    <col min="14" max="14" width="3.7109375" style="65" customWidth="1"/>
    <col min="15" max="16" width="15.7109375" style="133" customWidth="1"/>
    <col min="17" max="25" width="8.85546875" style="65" customWidth="1"/>
    <col min="26" max="16384" width="9.140625" style="65"/>
  </cols>
  <sheetData>
    <row r="1" spans="1:33" hidden="1">
      <c r="B1" s="156"/>
      <c r="C1" s="156"/>
      <c r="F1" s="156" t="s">
        <v>177</v>
      </c>
      <c r="G1" s="65" t="str" cm="1">
        <f t="array" ref="G1">IFERROR(Tm_Jurisdiction,"AU")</f>
        <v>AU</v>
      </c>
      <c r="H1" s="65"/>
    </row>
    <row r="2" spans="1:33" ht="7.5" customHeight="1">
      <c r="C2" s="282"/>
      <c r="D2" s="282"/>
      <c r="E2" s="135"/>
    </row>
    <row r="3" spans="1:33" ht="24.75" customHeight="1">
      <c r="C3" s="128" t="s">
        <v>682</v>
      </c>
      <c r="D3" s="127"/>
      <c r="E3" s="127"/>
      <c r="I3"/>
      <c r="J3" s="813" t="s">
        <v>174</v>
      </c>
      <c r="K3" s="65"/>
      <c r="M3" s="17"/>
      <c r="N3" s="17"/>
      <c r="O3" s="812" t="s">
        <v>179</v>
      </c>
      <c r="P3" s="811" t="s">
        <v>691</v>
      </c>
    </row>
    <row r="4" spans="1:33" ht="22.5" customHeight="1">
      <c r="B4" s="282"/>
      <c r="C4" s="125" t="str">
        <f>_xlfn.TEXTJOIN(" ",1,IFERROR(_xlfn.SINGLE(Cl_Name),"Client Name"),IF(IFERROR(_xlfn.SINGLE(Cl_Code),"")="","","("&amp;_xlfn.SINGLE(Cl_Code)&amp;")"))</f>
        <v>Springrange Holdings Pty Ltd (MuM001)</v>
      </c>
      <c r="D4" s="282"/>
      <c r="E4" s="135"/>
      <c r="F4" s="65"/>
      <c r="G4" s="65"/>
      <c r="I4" s="303" t="s">
        <v>690</v>
      </c>
      <c r="J4" s="303" t="s">
        <v>689</v>
      </c>
      <c r="K4" s="810"/>
      <c r="L4" s="809"/>
      <c r="N4" s="65" t="s">
        <v>58</v>
      </c>
      <c r="O4" s="18"/>
      <c r="P4" s="18"/>
    </row>
    <row r="5" spans="1:33" s="17" customFormat="1" ht="22.5" customHeight="1">
      <c r="A5" s="118"/>
      <c r="C5" s="122">
        <f>IFERROR(_xlfn.SINGLE(PeriodEndDate),DATE(1901,6,30))</f>
        <v>45473</v>
      </c>
      <c r="D5" s="124"/>
      <c r="E5" s="124"/>
      <c r="I5" s="771" t="str">
        <f>E68</f>
        <v>Pending</v>
      </c>
      <c r="J5" s="808" t="str">
        <f>J68</f>
        <v>Pending</v>
      </c>
      <c r="L5" s="667">
        <f>IFERROR(_xlfn.XLOOKUP("ab8fff7d-873f-4ab0-a574-b7856162cedd",RecordInfo.RecordId,RecordInfo.Tolerances),0)</f>
        <v>0.01</v>
      </c>
      <c r="M5" s="298">
        <f>IFERROR(_xlfn.SINGLE(Options_Tolerance),0.01)</f>
        <v>0.01</v>
      </c>
      <c r="O5" s="18"/>
      <c r="P5" s="18"/>
    </row>
    <row r="6" spans="1:33" s="17" customFormat="1" ht="22.5" customHeight="1">
      <c r="A6" s="118"/>
      <c r="C6" s="1751"/>
      <c r="D6" s="1751"/>
      <c r="E6" s="1751"/>
      <c r="F6" s="1751"/>
      <c r="G6" s="1751"/>
      <c r="O6" s="18"/>
      <c r="P6" s="18"/>
    </row>
    <row r="7" spans="1:33" s="17" customFormat="1" ht="14.45" hidden="1" customHeight="1">
      <c r="A7" s="118"/>
      <c r="B7" s="297"/>
      <c r="C7" s="297"/>
      <c r="D7" s="297"/>
      <c r="E7" s="297"/>
      <c r="J7" s="807"/>
      <c r="K7" s="806"/>
      <c r="L7" s="806"/>
      <c r="O7" s="18"/>
      <c r="P7" s="18"/>
    </row>
    <row r="8" spans="1:33" s="17" customFormat="1" ht="7.5" customHeight="1">
      <c r="B8" s="296"/>
      <c r="C8" s="296"/>
      <c r="D8" s="296"/>
      <c r="E8" s="295"/>
      <c r="F8" s="295"/>
      <c r="G8" s="295"/>
      <c r="H8" s="295"/>
      <c r="I8" s="295"/>
      <c r="J8" s="295"/>
      <c r="K8" s="295"/>
      <c r="L8" s="295"/>
      <c r="M8" s="295"/>
      <c r="N8" s="292"/>
      <c r="O8" s="293"/>
      <c r="P8" s="293"/>
      <c r="Q8" s="292"/>
    </row>
    <row r="9" spans="1:33" s="17" customFormat="1" ht="7.5" customHeight="1">
      <c r="B9" s="294"/>
      <c r="C9" s="294"/>
      <c r="D9" s="294"/>
      <c r="E9" s="292"/>
      <c r="F9" s="292"/>
      <c r="G9" s="292"/>
      <c r="H9" s="292"/>
      <c r="I9" s="292"/>
      <c r="J9" s="292"/>
      <c r="K9" s="292"/>
      <c r="L9" s="292"/>
      <c r="M9" s="292"/>
      <c r="N9" s="292"/>
      <c r="O9" s="293"/>
      <c r="P9" s="293"/>
      <c r="Q9" s="292"/>
    </row>
    <row r="10" spans="1:33" s="17" customFormat="1" ht="16.899999999999999" customHeight="1">
      <c r="C10" s="1516" t="s">
        <v>688</v>
      </c>
      <c r="D10" s="1516"/>
      <c r="E10" s="1516"/>
      <c r="F10" s="1516"/>
      <c r="G10" s="1516"/>
      <c r="H10" s="1516"/>
      <c r="I10" s="1516"/>
      <c r="J10" s="1516"/>
      <c r="K10" s="291"/>
      <c r="L10" s="291"/>
      <c r="M10" s="291"/>
      <c r="N10" s="54"/>
      <c r="O10" s="99"/>
      <c r="P10" s="99"/>
      <c r="Q10" s="54"/>
    </row>
    <row r="11" spans="1:33" s="17" customFormat="1" ht="17.25" customHeight="1">
      <c r="C11" s="1447" t="s">
        <v>687</v>
      </c>
      <c r="D11" s="1447"/>
      <c r="E11" s="1447"/>
      <c r="F11" s="1447"/>
      <c r="G11" s="1447"/>
      <c r="H11" s="1447"/>
      <c r="I11" s="1447"/>
      <c r="J11" s="1447"/>
      <c r="K11" s="779"/>
      <c r="L11" s="779"/>
      <c r="M11" s="779"/>
      <c r="N11" s="779"/>
      <c r="O11" s="114"/>
      <c r="P11" s="114"/>
      <c r="Q11" s="289"/>
    </row>
    <row r="12" spans="1:33" s="17" customFormat="1" ht="17.25" customHeight="1">
      <c r="C12" s="1447" t="s">
        <v>686</v>
      </c>
      <c r="D12" s="1447"/>
      <c r="E12" s="1447"/>
      <c r="F12" s="1447"/>
      <c r="G12" s="1447"/>
      <c r="H12" s="1447"/>
      <c r="I12" s="1447"/>
      <c r="J12" s="1447"/>
      <c r="K12" s="779"/>
      <c r="L12" s="779"/>
      <c r="M12" s="779"/>
      <c r="N12" s="779"/>
      <c r="O12" s="114"/>
      <c r="P12" s="114"/>
      <c r="Q12" s="289"/>
    </row>
    <row r="13" spans="1:33" ht="22.5" customHeight="1">
      <c r="C13" s="32"/>
      <c r="D13" s="32"/>
      <c r="E13" s="32"/>
      <c r="F13" s="32"/>
      <c r="G13" s="32"/>
      <c r="H13" s="719"/>
      <c r="I13" s="719"/>
      <c r="J13" s="719"/>
      <c r="K13" s="719"/>
      <c r="L13" s="32"/>
      <c r="M13" s="32"/>
      <c r="N13" s="32"/>
      <c r="O13" s="32"/>
      <c r="P13" s="32"/>
    </row>
    <row r="14" spans="1:33" ht="22.15" customHeight="1">
      <c r="A14" s="61" t="str">
        <f>IF(SUBTOTAL(103,B15),"-","+")</f>
        <v>-</v>
      </c>
      <c r="B14" s="1517" t="s">
        <v>167</v>
      </c>
      <c r="C14" s="1518"/>
      <c r="D14" s="1614"/>
      <c r="E14" s="283"/>
      <c r="F14" s="283"/>
      <c r="G14" s="283"/>
      <c r="M14" s="282"/>
      <c r="N14" s="281"/>
      <c r="O14" s="280"/>
      <c r="P14" s="279"/>
    </row>
    <row r="15" spans="1:33" s="17" customFormat="1" ht="7.15" customHeight="1">
      <c r="A15" s="17" t="s">
        <v>58</v>
      </c>
      <c r="B15" s="52" t="s">
        <v>58</v>
      </c>
      <c r="C15" s="51"/>
      <c r="D15" s="51"/>
      <c r="E15" s="51"/>
      <c r="F15" s="51"/>
      <c r="G15" s="51"/>
      <c r="H15" s="194"/>
      <c r="I15" s="194"/>
      <c r="J15" s="194"/>
      <c r="K15" s="194"/>
      <c r="L15" s="193"/>
      <c r="M15" s="192"/>
      <c r="N15" s="65"/>
      <c r="O15" s="133"/>
      <c r="P15" s="18"/>
      <c r="AG15" s="110"/>
    </row>
    <row r="16" spans="1:33" s="17" customFormat="1" ht="22.5" customHeight="1">
      <c r="B16" s="53"/>
      <c r="C16" s="1649" t="s">
        <v>166</v>
      </c>
      <c r="D16" s="1649"/>
      <c r="E16" s="1503">
        <f>IFERROR(DATE(_xlfn.SINGLE(Tax_Year),6,30),DATE(IF(MONTH(C5)&gt;6,1,0)+YEAR(C5),6,30))</f>
        <v>45473</v>
      </c>
      <c r="F16" s="1504"/>
      <c r="G16" s="134"/>
      <c r="I16" s="134"/>
      <c r="J16" s="134"/>
      <c r="K16" s="134"/>
      <c r="L16" s="65"/>
      <c r="M16" s="201"/>
      <c r="N16" s="65"/>
      <c r="O16" s="133"/>
      <c r="P16" s="18"/>
      <c r="AG16" s="110"/>
    </row>
    <row r="17" spans="1:28" s="17" customFormat="1" ht="7.15" customHeight="1">
      <c r="B17" s="40"/>
      <c r="C17" s="107"/>
      <c r="D17" s="107"/>
      <c r="E17" s="107"/>
      <c r="F17" s="107"/>
      <c r="G17" s="108"/>
      <c r="H17" s="169"/>
      <c r="I17" s="169"/>
      <c r="J17" s="169"/>
      <c r="K17" s="169"/>
      <c r="L17" s="286"/>
      <c r="M17" s="285"/>
      <c r="N17" s="65"/>
      <c r="O17" s="133"/>
      <c r="P17" s="18"/>
    </row>
    <row r="18" spans="1:28" ht="22.5" customHeight="1">
      <c r="F18" s="145"/>
      <c r="L18" s="284"/>
      <c r="M18" s="284"/>
      <c r="Z18" s="164"/>
    </row>
    <row r="19" spans="1:28" ht="22.5" customHeight="1">
      <c r="A19" s="61" t="str">
        <f>IF(SUBTOTAL(103,A20),"-","+")</f>
        <v>-</v>
      </c>
      <c r="B19" s="1449" t="s">
        <v>682</v>
      </c>
      <c r="C19" s="1449"/>
      <c r="D19" s="1449"/>
      <c r="E19" s="65"/>
      <c r="F19" s="65"/>
      <c r="G19" s="197"/>
      <c r="H19" s="197"/>
      <c r="I19" s="197"/>
      <c r="J19" s="197"/>
      <c r="K19" s="197"/>
      <c r="Z19" s="164"/>
    </row>
    <row r="20" spans="1:28" ht="7.15" customHeight="1">
      <c r="A20" s="65" t="s">
        <v>58</v>
      </c>
      <c r="B20" s="196"/>
      <c r="C20" s="193"/>
      <c r="D20" s="193"/>
      <c r="E20" s="219"/>
      <c r="F20" s="218"/>
      <c r="G20" s="195"/>
      <c r="H20" s="194"/>
      <c r="I20" s="194"/>
      <c r="J20" s="194"/>
      <c r="K20" s="194"/>
      <c r="L20" s="193"/>
      <c r="M20" s="192"/>
      <c r="Z20" s="166"/>
    </row>
    <row r="21" spans="1:28" s="17" customFormat="1" ht="22.5" customHeight="1">
      <c r="B21" s="59"/>
      <c r="C21" s="1516" t="s">
        <v>685</v>
      </c>
      <c r="D21" s="1516"/>
      <c r="E21" s="1516"/>
      <c r="F21" s="1516"/>
      <c r="G21" s="1516"/>
      <c r="H21" s="1516"/>
      <c r="I21" s="1748" t="s">
        <v>622</v>
      </c>
      <c r="J21" s="1749"/>
      <c r="K21" s="272"/>
      <c r="L21" s="272"/>
      <c r="M21" s="191"/>
      <c r="O21" s="18"/>
      <c r="P21" s="186"/>
      <c r="Q21" s="65"/>
      <c r="R21" s="65"/>
      <c r="S21" s="65"/>
      <c r="T21" s="65"/>
      <c r="U21" s="65"/>
      <c r="V21" s="65"/>
      <c r="Z21" s="164"/>
    </row>
    <row r="22" spans="1:28" s="17" customFormat="1" ht="17.25" customHeight="1">
      <c r="B22" s="59"/>
      <c r="C22" s="1447" t="s">
        <v>684</v>
      </c>
      <c r="D22" s="1447"/>
      <c r="E22" s="1447"/>
      <c r="F22" s="1447"/>
      <c r="G22" s="1447"/>
      <c r="H22" s="1447"/>
      <c r="I22" s="804"/>
      <c r="J22" s="804"/>
      <c r="K22" s="216"/>
      <c r="L22" s="216"/>
      <c r="M22" s="191"/>
      <c r="O22" s="18"/>
      <c r="P22" s="186"/>
      <c r="Q22" s="65"/>
      <c r="R22" s="65"/>
      <c r="S22" s="65"/>
      <c r="T22" s="65"/>
      <c r="U22" s="65"/>
      <c r="V22" s="65"/>
      <c r="Z22" s="164"/>
    </row>
    <row r="23" spans="1:28" s="17" customFormat="1" ht="17.25" customHeight="1">
      <c r="B23" s="59"/>
      <c r="C23" s="1447" t="s">
        <v>683</v>
      </c>
      <c r="D23" s="1447"/>
      <c r="E23" s="1447"/>
      <c r="F23" s="1447"/>
      <c r="G23" s="1447"/>
      <c r="H23" s="1447"/>
      <c r="I23" s="115"/>
      <c r="J23" s="115"/>
      <c r="K23" s="98"/>
      <c r="L23" s="98"/>
      <c r="M23" s="191"/>
      <c r="O23" s="18"/>
      <c r="P23" s="186"/>
      <c r="Q23" s="65"/>
      <c r="R23" s="65"/>
      <c r="S23" s="65"/>
      <c r="T23" s="65"/>
      <c r="U23" s="65"/>
      <c r="V23" s="65"/>
      <c r="W23" s="98"/>
      <c r="X23" s="98"/>
      <c r="Y23" s="98"/>
      <c r="Z23" s="98"/>
      <c r="AA23" s="98"/>
      <c r="AB23" s="98"/>
    </row>
    <row r="24" spans="1:28" s="17" customFormat="1" ht="17.25" customHeight="1">
      <c r="B24" s="59"/>
      <c r="C24" s="216"/>
      <c r="D24" s="216"/>
      <c r="E24" s="216"/>
      <c r="F24" s="216"/>
      <c r="G24" s="216"/>
      <c r="H24" s="216"/>
      <c r="I24" s="216"/>
      <c r="J24" s="272"/>
      <c r="K24" s="272"/>
      <c r="L24" s="272"/>
      <c r="M24" s="191"/>
      <c r="O24" s="18"/>
      <c r="P24" s="186"/>
      <c r="Q24" s="65"/>
      <c r="R24" s="65"/>
      <c r="S24" s="65"/>
      <c r="T24" s="65"/>
      <c r="U24" s="65"/>
      <c r="V24" s="65"/>
    </row>
    <row r="25" spans="1:28" s="17" customFormat="1" ht="22.15" customHeight="1">
      <c r="B25" s="53"/>
      <c r="E25" s="803" t="s">
        <v>682</v>
      </c>
      <c r="G25" s="1706" t="s">
        <v>681</v>
      </c>
      <c r="H25" s="1753"/>
      <c r="I25" s="1753"/>
      <c r="J25" s="1754"/>
      <c r="K25" s="272"/>
      <c r="L25" s="272"/>
      <c r="M25" s="33"/>
      <c r="O25" s="1626" t="s">
        <v>155</v>
      </c>
      <c r="P25" s="1627"/>
      <c r="Q25" s="65"/>
      <c r="R25" s="65"/>
      <c r="S25" s="65"/>
      <c r="T25" s="65"/>
      <c r="U25" s="65"/>
      <c r="V25" s="65"/>
      <c r="W25" s="65"/>
    </row>
    <row r="26" spans="1:28" s="31" customFormat="1" ht="31.5" customHeight="1">
      <c r="B26" s="41"/>
      <c r="C26" s="17"/>
      <c r="D26" s="17"/>
      <c r="E26" s="34" t="s">
        <v>680</v>
      </c>
      <c r="G26" s="87" t="s">
        <v>679</v>
      </c>
      <c r="H26" s="36" t="s">
        <v>678</v>
      </c>
      <c r="I26" s="36" t="s">
        <v>677</v>
      </c>
      <c r="J26" s="801" t="s">
        <v>269</v>
      </c>
      <c r="K26" s="272"/>
      <c r="L26" s="272"/>
      <c r="M26" s="190"/>
      <c r="N26" s="17"/>
      <c r="O26" s="1628"/>
      <c r="P26" s="1629"/>
      <c r="Q26" s="65"/>
      <c r="R26" s="65"/>
      <c r="S26" s="65"/>
      <c r="T26" s="65"/>
      <c r="U26" s="65"/>
      <c r="V26" s="65"/>
      <c r="W26" s="65"/>
    </row>
    <row r="27" spans="1:28" ht="7.15" customHeight="1">
      <c r="B27" s="204"/>
      <c r="H27" s="145"/>
      <c r="I27" s="135"/>
      <c r="K27" s="797">
        <f>DATE(YEAR(K33),MONTH(K33)-3,DAY(K33))</f>
        <v>45135</v>
      </c>
      <c r="L27" s="272"/>
      <c r="M27" s="201"/>
    </row>
    <row r="28" spans="1:28" s="17" customFormat="1" ht="16.899999999999999" customHeight="1">
      <c r="B28" s="53"/>
      <c r="C28" s="232" t="s">
        <v>676</v>
      </c>
      <c r="D28" s="202"/>
      <c r="E28" s="267"/>
      <c r="F28" s="18"/>
      <c r="G28" s="263"/>
      <c r="H28" s="263"/>
      <c r="I28" s="798"/>
      <c r="J28" s="221">
        <f>E28-H28+G28</f>
        <v>0</v>
      </c>
      <c r="K28" s="797">
        <f>K$27</f>
        <v>45135</v>
      </c>
      <c r="L28" s="796" t="str">
        <f>IF(AND(H28&gt;0,I28&gt;K28),"i","")</f>
        <v/>
      </c>
      <c r="M28" s="33"/>
      <c r="O28" s="174"/>
      <c r="P28" s="173"/>
    </row>
    <row r="29" spans="1:28" s="17" customFormat="1" ht="16.899999999999999" customHeight="1">
      <c r="B29" s="53"/>
      <c r="C29" s="212" t="s">
        <v>283</v>
      </c>
      <c r="D29" s="202"/>
      <c r="E29" s="207"/>
      <c r="F29" s="230"/>
      <c r="G29" s="263"/>
      <c r="H29" s="263"/>
      <c r="I29" s="798"/>
      <c r="J29" s="221">
        <f>E29-H29+G29</f>
        <v>0</v>
      </c>
      <c r="K29" s="797">
        <f>K$27</f>
        <v>45135</v>
      </c>
      <c r="L29" s="796" t="str">
        <f>IF(AND(H29&gt;0,I29&gt;K29),"i","")</f>
        <v/>
      </c>
      <c r="M29" s="33"/>
      <c r="O29" s="174"/>
      <c r="P29" s="173"/>
    </row>
    <row r="30" spans="1:28" s="17" customFormat="1" ht="16.899999999999999" customHeight="1">
      <c r="B30" s="53"/>
      <c r="C30" s="212"/>
      <c r="D30" s="202"/>
      <c r="E30" s="207"/>
      <c r="F30" s="230"/>
      <c r="G30" s="263"/>
      <c r="H30" s="263"/>
      <c r="I30" s="798"/>
      <c r="J30" s="221">
        <f>E30-H30+G30</f>
        <v>0</v>
      </c>
      <c r="K30" s="797">
        <f>K$27</f>
        <v>45135</v>
      </c>
      <c r="L30" s="796" t="str">
        <f>IF(AND(H30&gt;0,I30&gt;K30),"i","")</f>
        <v/>
      </c>
      <c r="M30" s="33"/>
      <c r="O30" s="174"/>
      <c r="P30" s="173"/>
    </row>
    <row r="31" spans="1:28" s="17" customFormat="1" ht="16.899999999999999" customHeight="1">
      <c r="B31" s="53"/>
      <c r="C31" s="800"/>
      <c r="D31" s="202"/>
      <c r="E31" s="222">
        <f>SUBTOTAL(9,E28:E30)</f>
        <v>0</v>
      </c>
      <c r="F31" s="230"/>
      <c r="G31" s="222">
        <f>SUBTOTAL(9,G28:G30)</f>
        <v>0</v>
      </c>
      <c r="H31" s="222">
        <f>SUBTOTAL(9,H28:H30)</f>
        <v>0</v>
      </c>
      <c r="I31" s="222"/>
      <c r="J31" s="222">
        <f>SUBTOTAL(9,J28:J30)</f>
        <v>0</v>
      </c>
      <c r="K31" s="229"/>
      <c r="M31" s="33"/>
      <c r="O31" s="174"/>
      <c r="P31" s="173"/>
    </row>
    <row r="32" spans="1:28" ht="7.15" customHeight="1">
      <c r="B32" s="204"/>
      <c r="H32" s="145"/>
      <c r="I32" s="135"/>
      <c r="K32" s="272"/>
      <c r="M32" s="33"/>
    </row>
    <row r="33" spans="2:23" ht="16.899999999999999" customHeight="1">
      <c r="B33" s="204"/>
      <c r="C33" s="1440" t="s">
        <v>675</v>
      </c>
      <c r="D33" s="1440"/>
      <c r="H33" s="145"/>
      <c r="I33" s="135"/>
      <c r="K33" s="797">
        <f>DATE(YEAR(C36),ROUNDUP(MONTH(C36)/3,0)*3+1,28)</f>
        <v>45227</v>
      </c>
      <c r="M33" s="33"/>
    </row>
    <row r="34" spans="2:23" s="18" customFormat="1" ht="16.899999999999999" customHeight="1">
      <c r="B34" s="30"/>
      <c r="C34" s="184">
        <f>DATE(YEAR(C35),MONTH(C35),0)</f>
        <v>45138</v>
      </c>
      <c r="D34" s="65"/>
      <c r="E34" s="267"/>
      <c r="G34" s="263"/>
      <c r="H34" s="263"/>
      <c r="I34" s="798"/>
      <c r="J34" s="221">
        <f>E34-H34+G34</f>
        <v>0</v>
      </c>
      <c r="K34" s="797">
        <f>K$33</f>
        <v>45227</v>
      </c>
      <c r="L34" s="796" t="str">
        <f>IF(AND(H34&gt;0,I34&gt;K34),"i","")</f>
        <v/>
      </c>
      <c r="M34" s="33"/>
      <c r="N34" s="17"/>
      <c r="O34" s="174"/>
      <c r="P34" s="173"/>
      <c r="Q34" s="65"/>
      <c r="R34" s="65"/>
      <c r="S34" s="65"/>
      <c r="T34" s="65"/>
      <c r="U34" s="65"/>
      <c r="V34" s="65"/>
      <c r="W34" s="65"/>
    </row>
    <row r="35" spans="2:23" s="18" customFormat="1" ht="16.899999999999999" customHeight="1">
      <c r="B35" s="30"/>
      <c r="C35" s="184">
        <f>DATE(YEAR(C36),MONTH(C36),0)</f>
        <v>45169</v>
      </c>
      <c r="D35" s="65"/>
      <c r="E35" s="267"/>
      <c r="G35" s="263"/>
      <c r="H35" s="263"/>
      <c r="I35" s="798"/>
      <c r="J35" s="221">
        <f>E35-H35+G35</f>
        <v>0</v>
      </c>
      <c r="K35" s="797">
        <f>K$33</f>
        <v>45227</v>
      </c>
      <c r="L35" s="796" t="str">
        <f>IF(AND(H35&gt;0,I35&gt;K35),"i","")</f>
        <v/>
      </c>
      <c r="M35" s="33"/>
      <c r="N35" s="17"/>
      <c r="O35" s="174"/>
      <c r="P35" s="173"/>
      <c r="Q35" s="65"/>
      <c r="T35" s="65"/>
      <c r="U35" s="65"/>
      <c r="V35" s="65"/>
      <c r="W35" s="65"/>
    </row>
    <row r="36" spans="2:23" s="18" customFormat="1" ht="16.899999999999999" customHeight="1">
      <c r="B36" s="30"/>
      <c r="C36" s="184">
        <f>DATE(YEAR(C42),MONTH(C42),0)</f>
        <v>45199</v>
      </c>
      <c r="D36" s="65"/>
      <c r="E36" s="267"/>
      <c r="G36" s="263"/>
      <c r="H36" s="263"/>
      <c r="I36" s="798"/>
      <c r="J36" s="221">
        <f>E36-H36+G36</f>
        <v>0</v>
      </c>
      <c r="K36" s="797">
        <f>K$33</f>
        <v>45227</v>
      </c>
      <c r="L36" s="796" t="str">
        <f>IF(AND(H36&gt;0,I36&gt;K36),"i","")</f>
        <v/>
      </c>
      <c r="M36" s="33"/>
      <c r="N36" s="17"/>
      <c r="O36" s="174"/>
      <c r="P36" s="173"/>
      <c r="Q36" s="65"/>
      <c r="T36" s="65"/>
      <c r="U36" s="65"/>
      <c r="V36" s="65"/>
      <c r="W36" s="65"/>
    </row>
    <row r="37" spans="2:23" s="17" customFormat="1" ht="16.899999999999999" customHeight="1">
      <c r="B37" s="53"/>
      <c r="C37" s="212" t="s">
        <v>283</v>
      </c>
      <c r="D37" s="202"/>
      <c r="E37" s="207"/>
      <c r="F37" s="230"/>
      <c r="G37" s="263"/>
      <c r="H37" s="263"/>
      <c r="I37" s="798"/>
      <c r="J37" s="221">
        <f>E37-H37+G37</f>
        <v>0</v>
      </c>
      <c r="K37" s="797">
        <f>K$33</f>
        <v>45227</v>
      </c>
      <c r="L37" s="796" t="str">
        <f>IF(AND(H37&gt;0,I37&gt;K37),"i","")</f>
        <v/>
      </c>
      <c r="M37" s="33"/>
      <c r="O37" s="174"/>
      <c r="P37" s="173"/>
    </row>
    <row r="38" spans="2:23" s="17" customFormat="1" ht="16.899999999999999" customHeight="1">
      <c r="B38" s="53"/>
      <c r="C38" s="212"/>
      <c r="D38" s="202"/>
      <c r="E38" s="207"/>
      <c r="F38" s="230"/>
      <c r="G38" s="263"/>
      <c r="H38" s="263"/>
      <c r="I38" s="798"/>
      <c r="J38" s="221">
        <f>E38-H38+G38</f>
        <v>0</v>
      </c>
      <c r="K38" s="797">
        <f>K$33</f>
        <v>45227</v>
      </c>
      <c r="L38" s="796" t="str">
        <f>IF(AND(H38&gt;0,I38&gt;K38),"i","")</f>
        <v/>
      </c>
      <c r="M38" s="33"/>
      <c r="O38" s="174"/>
      <c r="P38" s="173"/>
    </row>
    <row r="39" spans="2:23" s="17" customFormat="1" ht="16.899999999999999" customHeight="1">
      <c r="B39" s="53"/>
      <c r="C39" s="231"/>
      <c r="D39" s="202"/>
      <c r="E39" s="222">
        <f>SUBTOTAL(9,E34:E38)</f>
        <v>0</v>
      </c>
      <c r="F39" s="230"/>
      <c r="G39" s="222">
        <f>SUBTOTAL(9,G34:G38)</f>
        <v>0</v>
      </c>
      <c r="H39" s="222">
        <f>SUBTOTAL(9,H34:H38)</f>
        <v>0</v>
      </c>
      <c r="I39" s="222"/>
      <c r="J39" s="222">
        <f>SUBTOTAL(9,J34:J38)</f>
        <v>0</v>
      </c>
      <c r="K39" s="229"/>
      <c r="L39" s="229"/>
      <c r="M39" s="33"/>
      <c r="O39" s="174"/>
      <c r="P39" s="173"/>
    </row>
    <row r="40" spans="2:23" ht="7.15" customHeight="1">
      <c r="B40" s="204"/>
      <c r="H40" s="145"/>
      <c r="I40" s="135"/>
      <c r="K40" s="795"/>
      <c r="L40" s="272"/>
      <c r="M40" s="33"/>
    </row>
    <row r="41" spans="2:23" ht="16.899999999999999" customHeight="1">
      <c r="B41" s="204"/>
      <c r="C41" s="1750" t="s">
        <v>674</v>
      </c>
      <c r="D41" s="1750"/>
      <c r="H41" s="145"/>
      <c r="I41" s="135"/>
      <c r="K41" s="797">
        <f>DATE(YEAR(C44),ROUNDUP(MONTH(C44)/3,0)*3+1,28)</f>
        <v>45319</v>
      </c>
      <c r="M41" s="33"/>
    </row>
    <row r="42" spans="2:23" s="18" customFormat="1" ht="16.899999999999999" customHeight="1">
      <c r="B42" s="30"/>
      <c r="C42" s="799">
        <f>DATE(YEAR(C43),MONTH(C43),0)</f>
        <v>45230</v>
      </c>
      <c r="D42" s="316"/>
      <c r="E42" s="267"/>
      <c r="G42" s="263"/>
      <c r="H42" s="263"/>
      <c r="I42" s="798"/>
      <c r="J42" s="221">
        <f>E42-H42+G42</f>
        <v>0</v>
      </c>
      <c r="K42" s="797">
        <f>K$41</f>
        <v>45319</v>
      </c>
      <c r="L42" s="796" t="str">
        <f>IF(AND(H42&gt;0,I42&gt;K42),"i","")</f>
        <v/>
      </c>
      <c r="M42" s="33"/>
      <c r="N42" s="17"/>
      <c r="O42" s="174"/>
      <c r="P42" s="173"/>
      <c r="Q42" s="65"/>
      <c r="T42" s="65"/>
      <c r="U42" s="65"/>
      <c r="V42" s="65"/>
      <c r="W42" s="65"/>
    </row>
    <row r="43" spans="2:23" s="18" customFormat="1" ht="16.899999999999999" customHeight="1">
      <c r="B43" s="30"/>
      <c r="C43" s="799">
        <f>DATE(YEAR(C44),MONTH(C44),0)</f>
        <v>45260</v>
      </c>
      <c r="D43" s="316"/>
      <c r="E43" s="267"/>
      <c r="G43" s="263"/>
      <c r="H43" s="263"/>
      <c r="I43" s="798"/>
      <c r="J43" s="221">
        <f>E43-H43+G43</f>
        <v>0</v>
      </c>
      <c r="K43" s="797">
        <f>K$41</f>
        <v>45319</v>
      </c>
      <c r="L43" s="796" t="str">
        <f>IF(AND(H43&gt;0,I43&gt;K43),"i","")</f>
        <v/>
      </c>
      <c r="M43" s="33"/>
      <c r="N43" s="17"/>
      <c r="O43" s="174"/>
      <c r="P43" s="173"/>
      <c r="Q43" s="65"/>
      <c r="T43" s="65"/>
      <c r="U43" s="65"/>
      <c r="V43" s="65"/>
      <c r="W43" s="65"/>
    </row>
    <row r="44" spans="2:23" s="18" customFormat="1" ht="16.899999999999999" customHeight="1">
      <c r="B44" s="30"/>
      <c r="C44" s="799">
        <f>DATE(YEAR(C50),MONTH(C50),0)</f>
        <v>45291</v>
      </c>
      <c r="D44" s="316"/>
      <c r="E44" s="267"/>
      <c r="G44" s="263"/>
      <c r="H44" s="263"/>
      <c r="I44" s="798"/>
      <c r="J44" s="221">
        <f>E44-H44+G44</f>
        <v>0</v>
      </c>
      <c r="K44" s="797">
        <f>K$41</f>
        <v>45319</v>
      </c>
      <c r="L44" s="796" t="str">
        <f>IF(AND(H44&gt;0,I44&gt;K44),"i","")</f>
        <v/>
      </c>
      <c r="M44" s="33"/>
      <c r="N44" s="17"/>
      <c r="O44" s="174"/>
      <c r="P44" s="173"/>
      <c r="Q44" s="65"/>
      <c r="T44" s="65"/>
      <c r="U44" s="65"/>
      <c r="V44" s="65"/>
      <c r="W44" s="65"/>
    </row>
    <row r="45" spans="2:23" s="17" customFormat="1" ht="16.899999999999999" customHeight="1">
      <c r="B45" s="53"/>
      <c r="C45" s="212" t="s">
        <v>283</v>
      </c>
      <c r="D45" s="202"/>
      <c r="E45" s="207"/>
      <c r="F45" s="230"/>
      <c r="G45" s="263"/>
      <c r="H45" s="263"/>
      <c r="I45" s="798"/>
      <c r="J45" s="221">
        <f>E45-H45+G45</f>
        <v>0</v>
      </c>
      <c r="K45" s="797">
        <f>K$41</f>
        <v>45319</v>
      </c>
      <c r="L45" s="796" t="str">
        <f>IF(AND(H45&gt;0,I45&gt;K45),"i","")</f>
        <v/>
      </c>
      <c r="M45" s="33"/>
      <c r="O45" s="174"/>
      <c r="P45" s="173"/>
    </row>
    <row r="46" spans="2:23" s="17" customFormat="1" ht="16.899999999999999" customHeight="1">
      <c r="B46" s="53"/>
      <c r="C46" s="212"/>
      <c r="D46" s="202"/>
      <c r="E46" s="207"/>
      <c r="F46" s="230"/>
      <c r="G46" s="263"/>
      <c r="H46" s="263"/>
      <c r="I46" s="798"/>
      <c r="J46" s="221">
        <f>E46-H46+G46</f>
        <v>0</v>
      </c>
      <c r="K46" s="797">
        <f>K$41</f>
        <v>45319</v>
      </c>
      <c r="L46" s="796" t="str">
        <f>IF(AND(H46&gt;0,I46&gt;K46),"i","")</f>
        <v/>
      </c>
      <c r="M46" s="33"/>
      <c r="O46" s="174"/>
      <c r="P46" s="173"/>
    </row>
    <row r="47" spans="2:23" s="17" customFormat="1" ht="16.899999999999999" customHeight="1">
      <c r="B47" s="53"/>
      <c r="C47" s="231"/>
      <c r="D47" s="202"/>
      <c r="E47" s="222">
        <f>SUBTOTAL(9,E42:E46)</f>
        <v>0</v>
      </c>
      <c r="F47" s="230"/>
      <c r="G47" s="222">
        <f>SUBTOTAL(9,G42:G46)</f>
        <v>0</v>
      </c>
      <c r="H47" s="222">
        <f>SUBTOTAL(9,H42:H46)</f>
        <v>0</v>
      </c>
      <c r="I47" s="222"/>
      <c r="J47" s="222">
        <f>SUBTOTAL(9,J42:J46)</f>
        <v>0</v>
      </c>
      <c r="K47" s="229"/>
      <c r="L47" s="229"/>
      <c r="M47" s="33"/>
      <c r="O47" s="174"/>
      <c r="P47" s="173"/>
    </row>
    <row r="48" spans="2:23" ht="7.15" customHeight="1">
      <c r="B48" s="204"/>
      <c r="H48" s="145"/>
      <c r="I48" s="135"/>
      <c r="K48" s="795"/>
      <c r="L48" s="272"/>
      <c r="M48" s="33"/>
    </row>
    <row r="49" spans="2:23" ht="16.899999999999999" customHeight="1">
      <c r="B49" s="204"/>
      <c r="C49" s="1440" t="s">
        <v>673</v>
      </c>
      <c r="D49" s="1440"/>
      <c r="H49" s="145"/>
      <c r="I49" s="135"/>
      <c r="K49" s="797">
        <f>DATE(YEAR(C52),ROUNDUP(MONTH(C52)/3,0)*3+1,28)</f>
        <v>45410</v>
      </c>
      <c r="M49" s="33"/>
    </row>
    <row r="50" spans="2:23" s="18" customFormat="1" ht="16.899999999999999" customHeight="1">
      <c r="B50" s="30"/>
      <c r="C50" s="799">
        <f>DATE(YEAR(C51),MONTH(C51),0)</f>
        <v>45322</v>
      </c>
      <c r="D50" s="65"/>
      <c r="E50" s="267"/>
      <c r="G50" s="263"/>
      <c r="H50" s="263"/>
      <c r="I50" s="798"/>
      <c r="J50" s="221">
        <f>E50-H50+G50</f>
        <v>0</v>
      </c>
      <c r="K50" s="797">
        <f>K$49</f>
        <v>45410</v>
      </c>
      <c r="L50" s="796" t="str">
        <f>IF(AND(H50&gt;0,I50&gt;K50),"i","")</f>
        <v/>
      </c>
      <c r="M50" s="33"/>
      <c r="N50" s="17"/>
      <c r="O50" s="174"/>
      <c r="P50" s="173"/>
      <c r="Q50" s="65"/>
      <c r="T50" s="65"/>
      <c r="U50" s="65"/>
      <c r="V50" s="65"/>
      <c r="W50" s="65"/>
    </row>
    <row r="51" spans="2:23" s="18" customFormat="1" ht="16.899999999999999" customHeight="1">
      <c r="B51" s="30"/>
      <c r="C51" s="799">
        <f>DATE(YEAR(C52),MONTH(C52),0)</f>
        <v>45351</v>
      </c>
      <c r="D51" s="65"/>
      <c r="E51" s="267"/>
      <c r="G51" s="263"/>
      <c r="H51" s="263"/>
      <c r="I51" s="798"/>
      <c r="J51" s="221">
        <f>E51-H51+G51</f>
        <v>0</v>
      </c>
      <c r="K51" s="797">
        <f>K$49</f>
        <v>45410</v>
      </c>
      <c r="L51" s="796" t="str">
        <f>IF(AND(H51&gt;0,I51&gt;K51),"i","")</f>
        <v/>
      </c>
      <c r="M51" s="33"/>
      <c r="N51" s="17"/>
      <c r="O51" s="174"/>
      <c r="P51" s="173"/>
      <c r="Q51" s="65"/>
      <c r="T51" s="65"/>
      <c r="U51" s="65"/>
      <c r="V51" s="65"/>
      <c r="W51" s="65"/>
    </row>
    <row r="52" spans="2:23" s="18" customFormat="1" ht="16.899999999999999" customHeight="1">
      <c r="B52" s="30"/>
      <c r="C52" s="799">
        <f>DATE(YEAR(C58),MONTH(C58),0)</f>
        <v>45382</v>
      </c>
      <c r="D52" s="65"/>
      <c r="E52" s="267"/>
      <c r="G52" s="263"/>
      <c r="H52" s="263"/>
      <c r="I52" s="798"/>
      <c r="J52" s="221">
        <f>E52-H52+G52</f>
        <v>0</v>
      </c>
      <c r="K52" s="797">
        <f>K$49</f>
        <v>45410</v>
      </c>
      <c r="L52" s="796" t="str">
        <f>IF(AND(H52&gt;0,I52&gt;K52),"i","")</f>
        <v/>
      </c>
      <c r="M52" s="33"/>
      <c r="N52" s="17"/>
      <c r="O52" s="174"/>
      <c r="P52" s="173"/>
      <c r="Q52" s="65"/>
      <c r="T52" s="65"/>
      <c r="U52" s="65"/>
      <c r="V52" s="65"/>
      <c r="W52" s="65"/>
    </row>
    <row r="53" spans="2:23" s="17" customFormat="1" ht="16.899999999999999" customHeight="1">
      <c r="B53" s="53"/>
      <c r="C53" s="212" t="s">
        <v>283</v>
      </c>
      <c r="D53" s="202"/>
      <c r="E53" s="207"/>
      <c r="F53" s="230"/>
      <c r="G53" s="263"/>
      <c r="H53" s="263"/>
      <c r="I53" s="798"/>
      <c r="J53" s="221">
        <f>E53-H53+G53</f>
        <v>0</v>
      </c>
      <c r="K53" s="797">
        <f>K$49</f>
        <v>45410</v>
      </c>
      <c r="L53" s="796" t="str">
        <f>IF(AND(H53&gt;0,I53&gt;K53),"i","")</f>
        <v/>
      </c>
      <c r="M53" s="33"/>
      <c r="O53" s="174"/>
      <c r="P53" s="173"/>
    </row>
    <row r="54" spans="2:23" s="17" customFormat="1" ht="16.899999999999999" customHeight="1">
      <c r="B54" s="53"/>
      <c r="C54" s="212"/>
      <c r="D54" s="202"/>
      <c r="E54" s="207"/>
      <c r="F54" s="230"/>
      <c r="G54" s="263"/>
      <c r="H54" s="263"/>
      <c r="I54" s="798"/>
      <c r="J54" s="221">
        <f>E54-H54+G54</f>
        <v>0</v>
      </c>
      <c r="K54" s="797">
        <f>K$49</f>
        <v>45410</v>
      </c>
      <c r="L54" s="796" t="str">
        <f>IF(AND(H54&gt;0,I54&gt;K54),"i","")</f>
        <v/>
      </c>
      <c r="M54" s="33"/>
      <c r="O54" s="174"/>
      <c r="P54" s="173"/>
    </row>
    <row r="55" spans="2:23" s="17" customFormat="1" ht="16.899999999999999" customHeight="1">
      <c r="B55" s="53"/>
      <c r="C55" s="231"/>
      <c r="D55" s="202"/>
      <c r="E55" s="222">
        <f>SUBTOTAL(9,E50:E54)</f>
        <v>0</v>
      </c>
      <c r="F55" s="230"/>
      <c r="G55" s="222">
        <f>SUBTOTAL(9,G50:G54)</f>
        <v>0</v>
      </c>
      <c r="H55" s="222">
        <f>SUBTOTAL(9,H50:H54)</f>
        <v>0</v>
      </c>
      <c r="I55" s="222"/>
      <c r="J55" s="222">
        <f>SUBTOTAL(9,J50:J54)</f>
        <v>0</v>
      </c>
      <c r="K55" s="229"/>
      <c r="L55" s="229"/>
      <c r="M55" s="33"/>
      <c r="O55" s="174"/>
      <c r="P55" s="173"/>
    </row>
    <row r="56" spans="2:23" ht="7.15" customHeight="1">
      <c r="B56" s="204"/>
      <c r="H56" s="145"/>
      <c r="I56" s="135"/>
      <c r="K56" s="795"/>
      <c r="L56" s="272"/>
      <c r="M56" s="33"/>
    </row>
    <row r="57" spans="2:23" ht="16.899999999999999" customHeight="1">
      <c r="B57" s="204"/>
      <c r="C57" s="1750" t="s">
        <v>672</v>
      </c>
      <c r="D57" s="1750"/>
      <c r="H57" s="145"/>
      <c r="I57" s="135"/>
      <c r="K57" s="797">
        <f>DATE(YEAR(C60),ROUNDUP(MONTH(C60)/3,0)*3+1,28)</f>
        <v>45501</v>
      </c>
      <c r="M57" s="33"/>
    </row>
    <row r="58" spans="2:23" s="18" customFormat="1" ht="16.899999999999999" customHeight="1">
      <c r="B58" s="30"/>
      <c r="C58" s="799">
        <f>DATE(YEAR(C59),MONTH(C59),0)</f>
        <v>45412</v>
      </c>
      <c r="D58" s="316"/>
      <c r="E58" s="267"/>
      <c r="G58" s="263"/>
      <c r="H58" s="263"/>
      <c r="I58" s="798"/>
      <c r="J58" s="221">
        <f>E58-H58+G58</f>
        <v>0</v>
      </c>
      <c r="K58" s="797">
        <f>K$57</f>
        <v>45501</v>
      </c>
      <c r="L58" s="796" t="str">
        <f>IF(AND(H58&gt;0,I58&gt;K58),"i","")</f>
        <v/>
      </c>
      <c r="M58" s="33"/>
      <c r="N58" s="17"/>
      <c r="O58" s="174"/>
      <c r="P58" s="173"/>
      <c r="Q58" s="65"/>
      <c r="T58" s="65"/>
      <c r="U58" s="65"/>
      <c r="V58" s="65"/>
      <c r="W58" s="65"/>
    </row>
    <row r="59" spans="2:23" s="18" customFormat="1" ht="16.899999999999999" customHeight="1">
      <c r="B59" s="30"/>
      <c r="C59" s="799">
        <f>DATE(YEAR(C60),MONTH(C60),0)</f>
        <v>45443</v>
      </c>
      <c r="D59" s="316"/>
      <c r="E59" s="267"/>
      <c r="G59" s="263"/>
      <c r="H59" s="263"/>
      <c r="I59" s="798"/>
      <c r="J59" s="221">
        <f>E59-H59+G59</f>
        <v>0</v>
      </c>
      <c r="K59" s="797">
        <f>K$57</f>
        <v>45501</v>
      </c>
      <c r="L59" s="796" t="str">
        <f>IF(AND(H59&gt;0,I59&gt;K59),"i","")</f>
        <v/>
      </c>
      <c r="M59" s="33"/>
      <c r="N59" s="17"/>
      <c r="O59" s="174"/>
      <c r="P59" s="173"/>
      <c r="Q59" s="17"/>
      <c r="T59" s="17"/>
      <c r="U59" s="17"/>
      <c r="V59" s="17"/>
      <c r="W59" s="17"/>
    </row>
    <row r="60" spans="2:23" s="18" customFormat="1" ht="16.899999999999999" customHeight="1">
      <c r="B60" s="30"/>
      <c r="C60" s="799">
        <f>TaxYearEnd</f>
        <v>45473</v>
      </c>
      <c r="D60" s="316"/>
      <c r="E60" s="267"/>
      <c r="G60" s="263"/>
      <c r="H60" s="263"/>
      <c r="I60" s="798"/>
      <c r="J60" s="221">
        <f>E60-H60+G60</f>
        <v>0</v>
      </c>
      <c r="K60" s="797">
        <f>K$57</f>
        <v>45501</v>
      </c>
      <c r="L60" s="796" t="str">
        <f>IF(AND(H60&gt;0,I60&gt;K60),"i","")</f>
        <v/>
      </c>
      <c r="M60" s="33"/>
      <c r="N60" s="17"/>
      <c r="O60" s="174"/>
      <c r="P60" s="173"/>
      <c r="Q60" s="17"/>
      <c r="T60" s="17"/>
      <c r="U60" s="17"/>
      <c r="V60" s="17"/>
      <c r="W60" s="17"/>
    </row>
    <row r="61" spans="2:23" s="17" customFormat="1" ht="16.899999999999999" customHeight="1">
      <c r="B61" s="53"/>
      <c r="C61" s="212" t="s">
        <v>283</v>
      </c>
      <c r="D61" s="202"/>
      <c r="E61" s="207"/>
      <c r="F61" s="230"/>
      <c r="G61" s="263"/>
      <c r="H61" s="263"/>
      <c r="I61" s="798"/>
      <c r="J61" s="221">
        <f>E61-H61+G61</f>
        <v>0</v>
      </c>
      <c r="K61" s="797">
        <f>K$57</f>
        <v>45501</v>
      </c>
      <c r="L61" s="796" t="str">
        <f>IF(AND(H61&gt;0,I61&gt;K61),"i","")</f>
        <v/>
      </c>
      <c r="M61" s="33"/>
      <c r="O61" s="174"/>
      <c r="P61" s="173"/>
    </row>
    <row r="62" spans="2:23" s="17" customFormat="1" ht="16.899999999999999" customHeight="1">
      <c r="B62" s="53"/>
      <c r="C62" s="212"/>
      <c r="D62" s="202"/>
      <c r="E62" s="207"/>
      <c r="F62" s="230"/>
      <c r="G62" s="263"/>
      <c r="H62" s="263"/>
      <c r="I62" s="798"/>
      <c r="J62" s="221">
        <f>E62-H62+G62</f>
        <v>0</v>
      </c>
      <c r="K62" s="797">
        <f>K$57</f>
        <v>45501</v>
      </c>
      <c r="L62" s="796" t="str">
        <f>IF(AND(H62&gt;0,I62&gt;K62),"i","")</f>
        <v/>
      </c>
      <c r="M62" s="33"/>
      <c r="O62" s="174"/>
      <c r="P62" s="173"/>
    </row>
    <row r="63" spans="2:23" s="17" customFormat="1" ht="16.899999999999999" customHeight="1">
      <c r="B63" s="53"/>
      <c r="C63" s="231"/>
      <c r="D63" s="202"/>
      <c r="E63" s="222">
        <f>SUBTOTAL(9,E58:E62)</f>
        <v>0</v>
      </c>
      <c r="F63" s="230"/>
      <c r="G63" s="222">
        <f>SUBTOTAL(9,G58:G62)</f>
        <v>0</v>
      </c>
      <c r="H63" s="222">
        <f>SUBTOTAL(9,H58:H62)</f>
        <v>0</v>
      </c>
      <c r="I63" s="222"/>
      <c r="J63" s="222">
        <f>SUBTOTAL(9,J58:J62)</f>
        <v>0</v>
      </c>
      <c r="K63" s="229"/>
      <c r="L63" s="229"/>
      <c r="M63" s="33"/>
      <c r="O63" s="174"/>
      <c r="P63" s="173"/>
    </row>
    <row r="64" spans="2:23" ht="7.15" customHeight="1">
      <c r="B64" s="204"/>
      <c r="H64" s="145"/>
      <c r="I64" s="135"/>
      <c r="K64" s="795"/>
      <c r="L64" s="272"/>
      <c r="M64" s="33"/>
    </row>
    <row r="65" spans="1:26" ht="17.25" customHeight="1">
      <c r="B65" s="204"/>
      <c r="C65" s="1750" t="s">
        <v>671</v>
      </c>
      <c r="D65" s="1750"/>
      <c r="E65" s="208">
        <f>SUBTOTAL(9,E34:E64)</f>
        <v>0</v>
      </c>
      <c r="F65" s="206"/>
      <c r="G65" s="222">
        <f>SUBTOTAL(9,G28:G64)</f>
        <v>0</v>
      </c>
      <c r="H65" s="222">
        <f>SUBTOTAL(9,H28:H64)</f>
        <v>0</v>
      </c>
      <c r="J65" s="208">
        <f>SUBTOTAL(9,J28:J64)</f>
        <v>0</v>
      </c>
      <c r="K65" s="272"/>
      <c r="L65" s="272"/>
      <c r="M65" s="33"/>
      <c r="O65" s="174"/>
      <c r="P65" s="173"/>
      <c r="Z65" s="166"/>
    </row>
    <row r="66" spans="1:26" ht="17.25" customHeight="1">
      <c r="B66" s="204"/>
      <c r="C66" s="1750" t="s">
        <v>281</v>
      </c>
      <c r="D66" s="1750"/>
      <c r="E66" s="207">
        <f>IFERROR(_xlfn.XLOOKUP("b70112e4-fcbe-4428-b0b7-20d69a1c9201",Tx_LedgerReport.SourceAccountId,PrimaryBalances),0)</f>
        <v>1226.93</v>
      </c>
      <c r="F66" s="206"/>
      <c r="H66" s="135"/>
      <c r="J66" s="207">
        <f>IFERROR(-_xlfn.XLOOKUP("09fad9c0-476d-4701-b074-97b436f2a571",Tx_LedgerReport.SourceAccountId,PrimaryBalances),0)</f>
        <v>1226.93</v>
      </c>
      <c r="K66" s="272"/>
      <c r="L66" s="272"/>
      <c r="M66" s="33"/>
      <c r="O66" s="174"/>
      <c r="P66" s="173"/>
      <c r="Z66" s="205"/>
    </row>
    <row r="67" spans="1:26" ht="17.25" customHeight="1">
      <c r="B67" s="204"/>
      <c r="C67" s="1750" t="s">
        <v>280</v>
      </c>
      <c r="D67" s="1750"/>
      <c r="E67" s="203">
        <f>E66-E65</f>
        <v>1226.93</v>
      </c>
      <c r="F67" s="202"/>
      <c r="H67" s="135"/>
      <c r="J67" s="203">
        <f>J66-J65</f>
        <v>1226.93</v>
      </c>
      <c r="M67" s="33"/>
      <c r="O67" s="174"/>
      <c r="P67" s="173"/>
      <c r="Z67" s="164"/>
    </row>
    <row r="68" spans="1:26" ht="7.9" customHeight="1">
      <c r="B68" s="204"/>
      <c r="C68" s="202"/>
      <c r="D68" s="202"/>
      <c r="E68" s="363" t="str">
        <f>IF(OR(COUNTIF(E28:E65,"&gt;0")=0,ISBLANK(Tm_TBBalance_SuperExpense)),"Pending",IF(ABS(E67)&gt;Tm_Tolerance,"Out of Balance","Reconciled"))</f>
        <v>Pending</v>
      </c>
      <c r="G68" s="134"/>
      <c r="J68" s="363" t="str">
        <f>IF(OR(AND(COUNTIF(H28:H65,"&gt;0")=0,Reconcile_Liability_SuperPayable=0),ISBLANK(Tm_TBBalance_SuperPayable)),"Pending",IF(ABS(J67)&gt;Tm_Tolerance,"Out of Balance","Reconciled"))</f>
        <v>Pending</v>
      </c>
      <c r="K68" s="135"/>
      <c r="M68" s="33"/>
      <c r="O68" s="64"/>
      <c r="P68" s="64"/>
      <c r="Z68" s="164"/>
    </row>
    <row r="69" spans="1:26" ht="17.25" customHeight="1">
      <c r="B69" s="204"/>
      <c r="C69" s="1755" t="s">
        <v>670</v>
      </c>
      <c r="D69" s="1756"/>
      <c r="E69" s="1756"/>
      <c r="F69" s="1756"/>
      <c r="G69" s="1756"/>
      <c r="H69" s="1756"/>
      <c r="I69" s="1756"/>
      <c r="J69" s="1756"/>
      <c r="K69" s="1756"/>
      <c r="L69" s="1756"/>
      <c r="M69" s="33"/>
      <c r="O69" s="64"/>
      <c r="P69" s="64"/>
      <c r="Z69" s="164"/>
    </row>
    <row r="70" spans="1:26" ht="17.25" customHeight="1">
      <c r="B70" s="204"/>
      <c r="C70" s="794" t="s">
        <v>669</v>
      </c>
      <c r="D70" s="202"/>
      <c r="E70" s="202"/>
      <c r="F70" s="202"/>
      <c r="H70" s="135"/>
      <c r="I70" s="135"/>
      <c r="J70" s="135"/>
      <c r="K70" s="135"/>
      <c r="M70" s="33"/>
      <c r="O70" s="64"/>
      <c r="P70" s="64"/>
      <c r="Z70" s="164"/>
    </row>
    <row r="71" spans="1:26" ht="17.25" customHeight="1">
      <c r="B71" s="204"/>
      <c r="C71" s="792" t="s">
        <v>514</v>
      </c>
      <c r="D71" s="202"/>
      <c r="E71" s="221">
        <f>E31</f>
        <v>0</v>
      </c>
      <c r="F71" s="202"/>
      <c r="G71" s="134"/>
      <c r="M71" s="33"/>
      <c r="O71" s="174"/>
      <c r="P71" s="173"/>
      <c r="Z71" s="164"/>
    </row>
    <row r="72" spans="1:26" ht="17.25" customHeight="1">
      <c r="B72" s="204"/>
      <c r="C72" s="793" t="s">
        <v>668</v>
      </c>
      <c r="D72" s="202"/>
      <c r="E72" s="221">
        <f>Reconcile_Expense_SuperExpense</f>
        <v>0</v>
      </c>
      <c r="F72" s="202"/>
      <c r="G72" s="134"/>
      <c r="M72" s="33"/>
      <c r="O72" s="174"/>
      <c r="P72" s="173"/>
      <c r="Z72" s="164"/>
    </row>
    <row r="73" spans="1:26" s="17" customFormat="1" ht="16.899999999999999" customHeight="1">
      <c r="B73" s="53"/>
      <c r="C73" s="792" t="s">
        <v>667</v>
      </c>
      <c r="D73" s="65"/>
      <c r="E73" s="221">
        <f>-H65</f>
        <v>0</v>
      </c>
      <c r="F73" s="65"/>
      <c r="G73" s="272"/>
      <c r="H73" s="272"/>
      <c r="I73" s="272"/>
      <c r="J73" s="272"/>
      <c r="K73" s="272"/>
      <c r="L73" s="272"/>
      <c r="M73" s="33"/>
      <c r="O73" s="174"/>
      <c r="P73" s="173"/>
    </row>
    <row r="74" spans="1:26" ht="17.25" customHeight="1">
      <c r="B74" s="204"/>
      <c r="C74" s="202"/>
      <c r="D74" s="202"/>
      <c r="E74" s="222">
        <f>SUM(E71:E73)</f>
        <v>0</v>
      </c>
      <c r="F74" s="202"/>
      <c r="G74" s="134"/>
      <c r="M74" s="33"/>
      <c r="O74" s="174"/>
      <c r="P74" s="173"/>
      <c r="Z74" s="164"/>
    </row>
    <row r="75" spans="1:26" ht="7.15" customHeight="1">
      <c r="B75" s="172"/>
      <c r="C75" s="286"/>
      <c r="D75" s="286"/>
      <c r="E75" s="171"/>
      <c r="F75" s="170"/>
      <c r="G75" s="170"/>
      <c r="H75" s="169"/>
      <c r="I75" s="169"/>
      <c r="J75" s="169"/>
      <c r="K75" s="169"/>
      <c r="L75" s="168"/>
      <c r="M75" s="167"/>
      <c r="Z75" s="166"/>
    </row>
    <row r="76" spans="1:26" s="17" customFormat="1" ht="16.899999999999999" hidden="1" customHeight="1">
      <c r="C76" s="223" t="s">
        <v>666</v>
      </c>
      <c r="D76" s="223"/>
      <c r="E76" s="223" t="str" cm="1">
        <f t="array" ref="E76">_xlfn.IFS(COUNTIF(F76:G76,"&lt;0")&gt;0,"Out of Balance",COUNTIF(F76:G76,"&gt;0")&gt;0,"Reconciled",TRUE,"Pending")</f>
        <v>Pending</v>
      </c>
      <c r="F76" s="791" cm="1">
        <f t="array" ref="F76">_xlfn.IFS(E68="Reconciled",1,E68="Out of Balance",-1,TRUE,0)</f>
        <v>0</v>
      </c>
      <c r="G76" s="791" cm="1">
        <f t="array" ref="G76">_xlfn.IFS(J68="Reconciled",1,J68="Out of Balance",-1,TRUE,0)</f>
        <v>0</v>
      </c>
      <c r="O76" s="18"/>
      <c r="P76" s="18"/>
      <c r="Z76" s="166"/>
    </row>
    <row r="77" spans="1:26" ht="22.15" customHeight="1">
      <c r="L77" s="134"/>
      <c r="Z77" s="164"/>
    </row>
    <row r="78" spans="1:26" ht="22.5" customHeight="1">
      <c r="A78" s="61" t="str">
        <f>IF(SUBTOTAL(103,A79),"-","+")</f>
        <v>-</v>
      </c>
      <c r="B78" s="1449" t="s">
        <v>665</v>
      </c>
      <c r="C78" s="1449"/>
      <c r="D78" s="1449"/>
      <c r="E78" s="675" t="str">
        <f>F100</f>
        <v>Pending</v>
      </c>
      <c r="F78" s="65"/>
      <c r="G78" s="197"/>
      <c r="H78" s="197"/>
      <c r="I78" s="197"/>
      <c r="J78" s="197"/>
      <c r="K78" s="197"/>
      <c r="Z78" s="164"/>
    </row>
    <row r="79" spans="1:26" ht="7.15" customHeight="1">
      <c r="A79" s="65" t="s">
        <v>58</v>
      </c>
      <c r="B79" s="196"/>
      <c r="C79" s="193"/>
      <c r="D79" s="193"/>
      <c r="E79" s="219"/>
      <c r="F79" s="218"/>
      <c r="G79" s="195"/>
      <c r="H79" s="194"/>
      <c r="I79" s="194"/>
      <c r="J79" s="194"/>
      <c r="K79" s="194"/>
      <c r="L79" s="193"/>
      <c r="M79" s="192"/>
      <c r="Z79" s="166"/>
    </row>
    <row r="80" spans="1:26" s="17" customFormat="1" ht="16.899999999999999" customHeight="1">
      <c r="B80" s="59"/>
      <c r="C80" s="1498" t="s">
        <v>664</v>
      </c>
      <c r="D80" s="1498"/>
      <c r="E80" s="1498"/>
      <c r="F80" s="1498"/>
      <c r="G80" s="1498"/>
      <c r="H80" s="1498"/>
      <c r="I80" s="1498"/>
      <c r="J80" s="1498"/>
      <c r="K80" s="1498"/>
      <c r="L80" s="1498"/>
      <c r="M80" s="191"/>
      <c r="O80" s="18"/>
      <c r="P80" s="186"/>
      <c r="Q80" s="65"/>
      <c r="R80" s="65"/>
      <c r="S80" s="65"/>
      <c r="T80" s="65"/>
      <c r="U80" s="65"/>
      <c r="V80" s="65"/>
      <c r="Z80" s="164"/>
    </row>
    <row r="81" spans="2:26" s="17" customFormat="1" ht="22.5" customHeight="1">
      <c r="B81" s="59"/>
      <c r="C81" s="216"/>
      <c r="D81" s="216"/>
      <c r="E81" s="216"/>
      <c r="G81" s="216"/>
      <c r="H81" s="216"/>
      <c r="I81" s="216"/>
      <c r="J81" s="216"/>
      <c r="K81" s="216"/>
      <c r="L81" s="216"/>
      <c r="M81" s="191"/>
      <c r="O81" s="18"/>
      <c r="P81" s="186"/>
      <c r="Q81" s="65"/>
      <c r="R81" s="65"/>
      <c r="S81" s="65"/>
      <c r="T81" s="65"/>
      <c r="U81" s="65"/>
      <c r="V81" s="65"/>
      <c r="Z81" s="164"/>
    </row>
    <row r="82" spans="2:26" s="18" customFormat="1" ht="16.899999999999999" customHeight="1">
      <c r="B82" s="30">
        <f>IFERROR(MATCH(L82,BAS_Dates,0),0)</f>
        <v>0</v>
      </c>
      <c r="C82" s="232" t="s">
        <v>663</v>
      </c>
      <c r="D82" s="214" t="s">
        <v>284</v>
      </c>
      <c r="E82" s="207"/>
      <c r="F82" s="790">
        <f>IF(ISBLANK(E82),IFERROR(SUMIF(SheetNamedRangesNames,"N80_Salaries",SheetNamedRangesValues),0),E82)</f>
        <v>0</v>
      </c>
      <c r="G82" s="216"/>
      <c r="H82" s="216"/>
      <c r="I82" s="134"/>
      <c r="J82" s="134"/>
      <c r="K82" s="134"/>
      <c r="L82" s="65"/>
      <c r="M82" s="175"/>
      <c r="N82" s="17"/>
      <c r="O82" s="174"/>
      <c r="P82" s="173"/>
      <c r="Q82" s="65"/>
      <c r="R82" s="65"/>
      <c r="S82" s="65"/>
      <c r="T82" s="65"/>
      <c r="U82" s="65"/>
      <c r="V82" s="65"/>
      <c r="W82" s="65"/>
      <c r="Z82" s="164"/>
    </row>
    <row r="83" spans="2:26" s="17" customFormat="1" ht="16.899999999999999" customHeight="1">
      <c r="B83" s="53"/>
      <c r="C83" s="232" t="s">
        <v>662</v>
      </c>
      <c r="D83" s="202"/>
      <c r="F83" s="207"/>
      <c r="G83" s="216"/>
      <c r="H83" s="216"/>
      <c r="I83" s="229"/>
      <c r="J83" s="229"/>
      <c r="K83" s="229"/>
      <c r="L83" s="229"/>
      <c r="M83" s="33"/>
      <c r="O83" s="174"/>
      <c r="P83" s="173"/>
    </row>
    <row r="84" spans="2:26" s="17" customFormat="1" ht="16.899999999999999" customHeight="1">
      <c r="B84" s="53"/>
      <c r="C84" s="232" t="s">
        <v>661</v>
      </c>
      <c r="D84" s="202"/>
      <c r="F84" s="207"/>
      <c r="G84" s="216"/>
      <c r="H84" s="216"/>
      <c r="I84" s="229"/>
      <c r="J84" s="229"/>
      <c r="K84" s="229"/>
      <c r="L84" s="229"/>
      <c r="M84" s="33"/>
      <c r="O84" s="174"/>
      <c r="P84" s="173"/>
    </row>
    <row r="85" spans="2:26" s="17" customFormat="1" ht="16.899999999999999" customHeight="1">
      <c r="B85" s="53"/>
      <c r="C85" s="212" t="s">
        <v>283</v>
      </c>
      <c r="D85" s="202"/>
      <c r="F85" s="207"/>
      <c r="G85" s="216"/>
      <c r="H85" s="216"/>
      <c r="I85" s="229"/>
      <c r="J85" s="229"/>
      <c r="K85" s="229"/>
      <c r="L85" s="229"/>
      <c r="M85" s="33"/>
      <c r="O85" s="174"/>
      <c r="P85" s="173"/>
    </row>
    <row r="86" spans="2:26" s="17" customFormat="1" ht="16.899999999999999" customHeight="1">
      <c r="B86" s="53"/>
      <c r="C86" s="212"/>
      <c r="D86" s="202"/>
      <c r="F86" s="207"/>
      <c r="G86" s="216"/>
      <c r="H86" s="216"/>
      <c r="I86" s="229"/>
      <c r="J86" s="229"/>
      <c r="K86" s="229"/>
      <c r="L86" s="229"/>
      <c r="M86" s="33"/>
      <c r="O86" s="174"/>
      <c r="P86" s="173"/>
    </row>
    <row r="87" spans="2:26" s="17" customFormat="1" ht="16.899999999999999" customHeight="1">
      <c r="B87" s="53"/>
      <c r="C87" s="231"/>
      <c r="D87" s="202"/>
      <c r="F87" s="222">
        <f>SUM(F82:F86)</f>
        <v>0</v>
      </c>
      <c r="G87" s="216"/>
      <c r="H87" s="216"/>
      <c r="I87" s="229"/>
      <c r="J87" s="229"/>
      <c r="K87" s="229"/>
      <c r="L87" s="229"/>
      <c r="M87" s="33"/>
      <c r="O87" s="174"/>
      <c r="P87" s="173"/>
    </row>
    <row r="88" spans="2:26" s="17" customFormat="1" ht="7.5" customHeight="1">
      <c r="B88" s="53"/>
      <c r="C88" s="231"/>
      <c r="D88" s="202"/>
      <c r="F88" s="222"/>
      <c r="G88" s="216"/>
      <c r="H88" s="216"/>
      <c r="I88" s="229"/>
      <c r="J88" s="229"/>
      <c r="K88" s="229"/>
      <c r="L88" s="229"/>
      <c r="M88" s="33"/>
      <c r="O88" s="65"/>
      <c r="P88" s="65"/>
    </row>
    <row r="89" spans="2:26" s="17" customFormat="1" ht="16.899999999999999" customHeight="1">
      <c r="B89" s="53"/>
      <c r="C89" s="231" t="s">
        <v>660</v>
      </c>
      <c r="D89" s="202"/>
      <c r="E89" s="789"/>
      <c r="F89" s="788">
        <f>IFERROR(IF(ISBLANK(E89),VLOOKUP(YEAR(TaxYearEnd),C102:E118,3,0),E89),0)</f>
        <v>0.11</v>
      </c>
      <c r="G89" s="216"/>
      <c r="H89" s="216"/>
      <c r="I89" s="229"/>
      <c r="J89" s="229"/>
      <c r="K89" s="229"/>
      <c r="L89" s="229"/>
      <c r="M89" s="33"/>
      <c r="O89" s="174"/>
      <c r="P89" s="173"/>
    </row>
    <row r="90" spans="2:26" s="17" customFormat="1" ht="16.899999999999999" customHeight="1">
      <c r="B90" s="53"/>
      <c r="C90" s="231" t="s">
        <v>659</v>
      </c>
      <c r="D90" s="202"/>
      <c r="F90" s="222">
        <f>F87*F89</f>
        <v>0</v>
      </c>
      <c r="G90" s="216"/>
      <c r="H90" s="216"/>
      <c r="I90" s="229"/>
      <c r="J90" s="229"/>
      <c r="K90" s="229"/>
      <c r="L90" s="229"/>
      <c r="M90" s="33"/>
      <c r="O90" s="174"/>
      <c r="P90" s="173"/>
    </row>
    <row r="91" spans="2:26" ht="7.5" customHeight="1">
      <c r="B91" s="204"/>
      <c r="C91" s="227"/>
      <c r="F91" s="224"/>
      <c r="G91" s="216"/>
      <c r="H91" s="216"/>
      <c r="M91" s="201"/>
      <c r="Z91" s="166"/>
    </row>
    <row r="92" spans="2:26" ht="16.899999999999999" customHeight="1">
      <c r="B92" s="204"/>
      <c r="C92" s="225" t="s">
        <v>658</v>
      </c>
      <c r="F92" s="224"/>
      <c r="G92" s="216"/>
      <c r="H92" s="216"/>
      <c r="M92" s="201"/>
      <c r="Z92" s="166"/>
    </row>
    <row r="93" spans="2:26" ht="16.899999999999999" customHeight="1">
      <c r="B93" s="204"/>
      <c r="C93" s="782" t="s">
        <v>657</v>
      </c>
      <c r="D93" s="214" t="s">
        <v>284</v>
      </c>
      <c r="F93" s="25">
        <f>Reconcile_Expense_SuperExpense</f>
        <v>0</v>
      </c>
      <c r="G93" s="216"/>
      <c r="H93" s="216"/>
      <c r="M93" s="201"/>
      <c r="O93" s="174"/>
      <c r="P93" s="173"/>
      <c r="Z93" s="164"/>
    </row>
    <row r="94" spans="2:26" ht="16.899999999999999" customHeight="1">
      <c r="B94" s="204"/>
      <c r="C94" s="782" t="s">
        <v>656</v>
      </c>
      <c r="F94" s="207"/>
      <c r="G94" s="216"/>
      <c r="H94" s="216"/>
      <c r="M94" s="201"/>
      <c r="O94" s="174"/>
      <c r="P94" s="173"/>
      <c r="Z94" s="164"/>
    </row>
    <row r="95" spans="2:26" ht="16.899999999999999" customHeight="1">
      <c r="B95" s="204"/>
      <c r="C95" s="212" t="s">
        <v>283</v>
      </c>
      <c r="F95" s="207"/>
      <c r="G95" s="216"/>
      <c r="H95" s="216"/>
      <c r="M95" s="201"/>
      <c r="O95" s="174"/>
      <c r="P95" s="173"/>
      <c r="Z95" s="164"/>
    </row>
    <row r="96" spans="2:26" ht="16.899999999999999" customHeight="1">
      <c r="B96" s="204"/>
      <c r="C96" s="212"/>
      <c r="D96" s="202"/>
      <c r="F96" s="207"/>
      <c r="G96" s="216"/>
      <c r="H96" s="216"/>
      <c r="M96" s="201"/>
      <c r="O96" s="174"/>
      <c r="P96" s="173"/>
      <c r="Z96" s="164"/>
    </row>
    <row r="97" spans="2:26" ht="16.899999999999999" customHeight="1">
      <c r="B97" s="204"/>
      <c r="C97" s="223"/>
      <c r="D97" s="202"/>
      <c r="F97" s="222">
        <f>SUM(F93:F96)</f>
        <v>0</v>
      </c>
      <c r="G97" s="216"/>
      <c r="H97" s="216"/>
      <c r="M97" s="201"/>
      <c r="O97" s="174"/>
      <c r="P97" s="173"/>
      <c r="Z97" s="166"/>
    </row>
    <row r="98" spans="2:26" ht="16.899999999999999" customHeight="1">
      <c r="B98" s="204"/>
      <c r="C98" s="223"/>
      <c r="D98" s="202"/>
      <c r="F98" s="222"/>
      <c r="G98" s="216"/>
      <c r="H98" s="216"/>
      <c r="M98" s="201"/>
      <c r="O98" s="64"/>
      <c r="P98" s="64"/>
      <c r="Z98" s="166"/>
    </row>
    <row r="99" spans="2:26" ht="16.899999999999999" customHeight="1">
      <c r="B99" s="204"/>
      <c r="C99" s="223" t="s">
        <v>280</v>
      </c>
      <c r="D99" s="202"/>
      <c r="F99" s="203">
        <f>F90-F97</f>
        <v>0</v>
      </c>
      <c r="I99" s="787" t="s">
        <v>655</v>
      </c>
      <c r="J99" s="207"/>
      <c r="M99" s="201"/>
      <c r="O99" s="174"/>
      <c r="P99" s="173"/>
      <c r="Z99" s="166"/>
    </row>
    <row r="100" spans="2:26" ht="7.9" customHeight="1">
      <c r="B100" s="172"/>
      <c r="C100" s="241"/>
      <c r="D100" s="786"/>
      <c r="E100" s="171"/>
      <c r="F100" s="785" t="str">
        <f>IF(COUNTIF(F90:F97,"&gt;0")=0,"Pending",IF(ISBLANK($J$99),IF(ABS(F99)&gt;Tm_Tolerance,"Not Acceptable","Acceptable"),IF(ABS(F99)&gt;$J$99,"Not Acceptable","Acceptable")))</f>
        <v>Pending</v>
      </c>
      <c r="G100" s="170"/>
      <c r="H100" s="170"/>
      <c r="I100" s="169"/>
      <c r="J100" s="169"/>
      <c r="K100" s="169"/>
      <c r="L100" s="286"/>
      <c r="M100" s="285"/>
      <c r="O100" s="64"/>
      <c r="P100" s="64"/>
      <c r="Z100" s="166"/>
    </row>
    <row r="101" spans="2:26" ht="16.899999999999999" hidden="1" customHeight="1">
      <c r="C101" s="245" t="s">
        <v>654</v>
      </c>
      <c r="D101" s="202"/>
      <c r="F101" s="222"/>
      <c r="H101" s="222"/>
      <c r="M101" s="201"/>
      <c r="O101" s="64"/>
      <c r="P101" s="64"/>
      <c r="Z101" s="166"/>
    </row>
    <row r="102" spans="2:26" ht="16.899999999999999" hidden="1" customHeight="1">
      <c r="C102" s="227">
        <v>2012</v>
      </c>
      <c r="D102" s="202"/>
      <c r="E102" s="784">
        <v>0.09</v>
      </c>
      <c r="F102" s="222"/>
      <c r="H102" s="222"/>
      <c r="M102" s="201"/>
      <c r="O102" s="64"/>
      <c r="P102" s="64"/>
      <c r="Z102" s="166"/>
    </row>
    <row r="103" spans="2:26" ht="16.899999999999999" hidden="1" customHeight="1">
      <c r="C103" s="227">
        <v>2013</v>
      </c>
      <c r="E103" s="784">
        <v>0.09</v>
      </c>
      <c r="F103" s="222"/>
      <c r="H103" s="222"/>
      <c r="M103" s="201"/>
      <c r="O103" s="64"/>
      <c r="P103" s="64"/>
      <c r="Z103" s="166"/>
    </row>
    <row r="104" spans="2:26" ht="16.899999999999999" hidden="1" customHeight="1">
      <c r="C104" s="227">
        <v>2014</v>
      </c>
      <c r="E104" s="784">
        <v>9.2499999999999999E-2</v>
      </c>
      <c r="F104" s="222"/>
      <c r="H104" s="222"/>
      <c r="M104" s="201"/>
      <c r="O104" s="64"/>
      <c r="P104" s="64"/>
      <c r="Z104" s="166"/>
    </row>
    <row r="105" spans="2:26" ht="16.899999999999999" hidden="1" customHeight="1">
      <c r="C105" s="227">
        <v>2015</v>
      </c>
      <c r="E105" s="784">
        <v>9.5000000000000001E-2</v>
      </c>
      <c r="F105" s="222"/>
      <c r="H105" s="222"/>
      <c r="M105" s="201"/>
      <c r="O105" s="64"/>
      <c r="P105" s="64"/>
      <c r="Z105" s="166"/>
    </row>
    <row r="106" spans="2:26" ht="16.899999999999999" hidden="1" customHeight="1">
      <c r="C106" s="227">
        <v>2016</v>
      </c>
      <c r="E106" s="784">
        <v>9.5000000000000001E-2</v>
      </c>
      <c r="F106" s="222"/>
      <c r="H106" s="222"/>
      <c r="M106" s="201"/>
      <c r="O106" s="64"/>
      <c r="P106" s="64"/>
      <c r="Z106" s="166"/>
    </row>
    <row r="107" spans="2:26" ht="16.899999999999999" hidden="1" customHeight="1">
      <c r="C107" s="227">
        <v>2017</v>
      </c>
      <c r="E107" s="784">
        <v>9.5000000000000001E-2</v>
      </c>
      <c r="F107" s="222"/>
      <c r="H107" s="222"/>
      <c r="M107" s="201"/>
      <c r="O107" s="64"/>
      <c r="P107" s="64"/>
      <c r="Z107" s="166"/>
    </row>
    <row r="108" spans="2:26" ht="16.899999999999999" hidden="1" customHeight="1">
      <c r="C108" s="227">
        <v>2018</v>
      </c>
      <c r="E108" s="784">
        <v>9.5000000000000001E-2</v>
      </c>
      <c r="F108" s="222"/>
      <c r="H108" s="222"/>
      <c r="M108" s="201"/>
      <c r="O108" s="64"/>
      <c r="P108" s="64"/>
      <c r="Z108" s="166"/>
    </row>
    <row r="109" spans="2:26" ht="16.899999999999999" hidden="1" customHeight="1">
      <c r="C109" s="227">
        <v>2019</v>
      </c>
      <c r="E109" s="784">
        <v>9.5000000000000001E-2</v>
      </c>
      <c r="F109" s="222"/>
      <c r="H109" s="222"/>
      <c r="M109" s="201"/>
      <c r="O109" s="64"/>
      <c r="P109" s="64"/>
      <c r="Z109" s="166"/>
    </row>
    <row r="110" spans="2:26" ht="16.899999999999999" hidden="1" customHeight="1">
      <c r="C110" s="227">
        <v>2020</v>
      </c>
      <c r="E110" s="784">
        <v>9.5000000000000001E-2</v>
      </c>
      <c r="F110" s="222"/>
      <c r="H110" s="222"/>
      <c r="M110" s="201"/>
      <c r="O110" s="64"/>
      <c r="P110" s="64"/>
      <c r="Z110" s="166"/>
    </row>
    <row r="111" spans="2:26" ht="16.899999999999999" hidden="1" customHeight="1">
      <c r="C111" s="227">
        <v>2021</v>
      </c>
      <c r="E111" s="784">
        <v>9.5000000000000001E-2</v>
      </c>
      <c r="F111" s="222"/>
      <c r="H111" s="222"/>
      <c r="M111" s="201"/>
      <c r="O111" s="64"/>
      <c r="P111" s="64"/>
      <c r="Z111" s="166"/>
    </row>
    <row r="112" spans="2:26" ht="16.899999999999999" hidden="1" customHeight="1">
      <c r="C112" s="227">
        <v>2022</v>
      </c>
      <c r="E112" s="784">
        <v>0.1</v>
      </c>
      <c r="F112" s="222"/>
      <c r="H112" s="222"/>
      <c r="M112" s="201"/>
      <c r="O112" s="64"/>
      <c r="P112" s="64"/>
      <c r="Z112" s="166"/>
    </row>
    <row r="113" spans="1:28" ht="16.899999999999999" hidden="1" customHeight="1">
      <c r="C113" s="227">
        <v>2023</v>
      </c>
      <c r="E113" s="784">
        <v>0.105</v>
      </c>
      <c r="F113" s="222"/>
      <c r="H113" s="222"/>
      <c r="M113" s="201"/>
      <c r="O113" s="64"/>
      <c r="P113" s="64"/>
      <c r="Z113" s="166"/>
    </row>
    <row r="114" spans="1:28" ht="16.899999999999999" hidden="1" customHeight="1">
      <c r="C114" s="227">
        <v>2024</v>
      </c>
      <c r="E114" s="784">
        <v>0.11</v>
      </c>
      <c r="F114" s="222"/>
      <c r="H114" s="222"/>
      <c r="M114" s="201"/>
      <c r="O114" s="64"/>
      <c r="P114" s="64"/>
      <c r="Z114" s="166"/>
    </row>
    <row r="115" spans="1:28" ht="16.899999999999999" hidden="1" customHeight="1">
      <c r="C115" s="227">
        <v>2025</v>
      </c>
      <c r="E115" s="784">
        <v>0.115</v>
      </c>
      <c r="F115" s="222"/>
      <c r="H115" s="222"/>
      <c r="M115" s="201"/>
      <c r="O115" s="64"/>
      <c r="P115" s="64"/>
      <c r="Z115" s="166"/>
    </row>
    <row r="116" spans="1:28" ht="16.899999999999999" hidden="1" customHeight="1">
      <c r="C116" s="227">
        <v>2026</v>
      </c>
      <c r="E116" s="784">
        <v>0.12</v>
      </c>
      <c r="F116" s="222"/>
      <c r="H116" s="222"/>
      <c r="M116" s="201"/>
      <c r="O116" s="64"/>
      <c r="P116" s="64"/>
      <c r="Z116" s="166"/>
    </row>
    <row r="117" spans="1:28" ht="16.899999999999999" hidden="1" customHeight="1">
      <c r="C117" s="227">
        <v>2027</v>
      </c>
      <c r="E117" s="784">
        <v>0.12</v>
      </c>
      <c r="F117" s="222"/>
      <c r="H117" s="222"/>
      <c r="M117" s="201"/>
      <c r="O117" s="64"/>
      <c r="P117" s="64"/>
      <c r="Z117" s="166"/>
    </row>
    <row r="118" spans="1:28" ht="16.899999999999999" hidden="1" customHeight="1">
      <c r="C118" s="227">
        <v>2028</v>
      </c>
      <c r="E118" s="784">
        <v>0.12</v>
      </c>
      <c r="F118" s="222"/>
      <c r="H118" s="222"/>
      <c r="M118" s="201"/>
      <c r="O118" s="64"/>
      <c r="P118" s="64"/>
      <c r="Z118" s="166"/>
    </row>
    <row r="119" spans="1:28" ht="22.15" customHeight="1">
      <c r="Z119" s="164"/>
    </row>
    <row r="120" spans="1:28" ht="22.5" customHeight="1">
      <c r="A120" s="61" t="str">
        <f>IF(SUBTOTAL(103,A121),"-","+")</f>
        <v>+</v>
      </c>
      <c r="B120" s="1449" t="s">
        <v>653</v>
      </c>
      <c r="C120" s="1449"/>
      <c r="D120" s="1449"/>
      <c r="E120" s="197"/>
      <c r="F120" s="197"/>
      <c r="G120" s="197"/>
      <c r="H120" s="197"/>
      <c r="I120" s="197"/>
      <c r="J120" s="197"/>
      <c r="K120" s="197"/>
      <c r="Z120" s="164"/>
    </row>
    <row r="121" spans="1:28" ht="7.15" hidden="1" customHeight="1">
      <c r="A121" s="65" t="s">
        <v>58</v>
      </c>
      <c r="B121" s="196"/>
      <c r="C121" s="193"/>
      <c r="D121" s="193"/>
      <c r="E121" s="219"/>
      <c r="F121" s="218"/>
      <c r="G121" s="195"/>
      <c r="H121" s="194"/>
      <c r="I121" s="194"/>
      <c r="J121" s="194"/>
      <c r="K121" s="194"/>
      <c r="L121" s="193"/>
      <c r="M121" s="192"/>
      <c r="Z121" s="166"/>
    </row>
    <row r="122" spans="1:28" s="17" customFormat="1" ht="16.899999999999999" hidden="1" customHeight="1">
      <c r="B122" s="59"/>
      <c r="C122" s="1752" t="s">
        <v>652</v>
      </c>
      <c r="D122" s="1752"/>
      <c r="E122" s="1752"/>
      <c r="F122" s="1752"/>
      <c r="G122" s="1752"/>
      <c r="H122" s="1752"/>
      <c r="I122" s="1752"/>
      <c r="J122" s="1752"/>
      <c r="K122" s="1752"/>
      <c r="L122" s="1752"/>
      <c r="M122" s="191"/>
      <c r="O122" s="1432"/>
      <c r="P122" s="1432"/>
      <c r="Q122" s="65"/>
      <c r="R122" s="65"/>
      <c r="S122" s="65"/>
      <c r="T122" s="65"/>
      <c r="U122" s="65"/>
      <c r="V122" s="65"/>
      <c r="W122" s="98"/>
      <c r="X122" s="98"/>
      <c r="Y122" s="98"/>
      <c r="Z122" s="98"/>
      <c r="AA122" s="98"/>
      <c r="AB122" s="98"/>
    </row>
    <row r="123" spans="1:28" s="17" customFormat="1" ht="7.15" hidden="1" customHeight="1">
      <c r="B123" s="59"/>
      <c r="C123" s="216"/>
      <c r="D123" s="216"/>
      <c r="E123" s="216"/>
      <c r="F123" s="216"/>
      <c r="G123" s="216"/>
      <c r="H123" s="216"/>
      <c r="I123" s="216"/>
      <c r="J123" s="216"/>
      <c r="K123" s="216"/>
      <c r="L123" s="216"/>
      <c r="M123" s="191"/>
      <c r="O123" s="18"/>
      <c r="P123" s="186"/>
      <c r="Q123" s="65"/>
      <c r="R123" s="65"/>
      <c r="S123" s="65"/>
      <c r="T123" s="65"/>
      <c r="U123" s="65"/>
      <c r="V123" s="65"/>
      <c r="Z123" s="164"/>
    </row>
    <row r="124" spans="1:28" ht="16.899999999999999" hidden="1" customHeight="1">
      <c r="B124" s="204"/>
      <c r="C124" s="782" t="s">
        <v>651</v>
      </c>
      <c r="D124" s="216"/>
      <c r="F124" s="213">
        <f>Reconcile_Expense_SuperExpense</f>
        <v>0</v>
      </c>
      <c r="G124" s="134"/>
      <c r="M124" s="201"/>
      <c r="O124" s="174"/>
      <c r="P124" s="173"/>
      <c r="Z124" s="164"/>
    </row>
    <row r="125" spans="1:28" ht="7.9" hidden="1" customHeight="1">
      <c r="B125" s="776"/>
      <c r="C125" s="134"/>
      <c r="D125" s="134"/>
      <c r="E125" s="134"/>
      <c r="F125" s="134"/>
      <c r="G125" s="134"/>
      <c r="M125" s="201"/>
      <c r="Z125" s="164"/>
    </row>
    <row r="126" spans="1:28" ht="16.899999999999999" hidden="1" customHeight="1">
      <c r="B126" s="776"/>
      <c r="C126" s="225" t="s">
        <v>650</v>
      </c>
      <c r="D126" s="134"/>
      <c r="E126" s="134"/>
      <c r="F126" s="134"/>
      <c r="G126" s="134"/>
      <c r="M126" s="201"/>
      <c r="O126" s="174"/>
      <c r="P126" s="173"/>
      <c r="Z126" s="164"/>
    </row>
    <row r="127" spans="1:28" ht="16.899999999999999" hidden="1" customHeight="1">
      <c r="B127" s="204"/>
      <c r="C127" s="782" t="s">
        <v>649</v>
      </c>
      <c r="D127" s="214" t="s">
        <v>284</v>
      </c>
      <c r="E127" s="783"/>
      <c r="F127" s="213">
        <f>E71</f>
        <v>0</v>
      </c>
      <c r="G127" s="134"/>
      <c r="M127" s="201"/>
      <c r="O127" s="174"/>
      <c r="P127" s="173"/>
      <c r="Z127" s="164"/>
    </row>
    <row r="128" spans="1:28" ht="16.899999999999999" hidden="1" customHeight="1">
      <c r="B128" s="204"/>
      <c r="C128" s="782" t="s">
        <v>648</v>
      </c>
      <c r="D128" s="214" t="s">
        <v>284</v>
      </c>
      <c r="E128" s="781">
        <f>-F128</f>
        <v>0</v>
      </c>
      <c r="F128" s="213">
        <f>-Reconcile_Liability_SuperPayable</f>
        <v>0</v>
      </c>
      <c r="M128" s="201"/>
      <c r="O128" s="174"/>
      <c r="P128" s="173"/>
      <c r="Z128" s="164"/>
    </row>
    <row r="129" spans="1:28" ht="16.899999999999999" hidden="1" customHeight="1">
      <c r="B129" s="204"/>
      <c r="C129" s="782" t="s">
        <v>647</v>
      </c>
      <c r="D129" s="214" t="s">
        <v>284</v>
      </c>
      <c r="E129" s="781">
        <f>-F129</f>
        <v>0</v>
      </c>
      <c r="F129" s="207"/>
      <c r="G129" s="209"/>
      <c r="M129" s="201"/>
      <c r="O129" s="174"/>
      <c r="P129" s="173"/>
      <c r="Z129" s="164"/>
    </row>
    <row r="130" spans="1:28" ht="16.899999999999999" hidden="1" customHeight="1">
      <c r="B130" s="204"/>
      <c r="C130" s="202"/>
      <c r="D130" s="209"/>
      <c r="E130" s="209"/>
      <c r="F130" s="222">
        <f>SUM(F127:F129)</f>
        <v>0</v>
      </c>
      <c r="G130" s="209"/>
      <c r="M130" s="201"/>
      <c r="O130" s="174"/>
      <c r="P130" s="173"/>
      <c r="Z130" s="164"/>
    </row>
    <row r="131" spans="1:28" ht="7.9" hidden="1" customHeight="1">
      <c r="B131" s="776"/>
      <c r="C131" s="134"/>
      <c r="D131" s="134"/>
      <c r="E131" s="134"/>
      <c r="F131" s="134"/>
      <c r="G131" s="134"/>
      <c r="M131" s="201"/>
      <c r="Z131" s="164"/>
    </row>
    <row r="132" spans="1:28" ht="16.899999999999999" hidden="1" customHeight="1">
      <c r="B132" s="204"/>
      <c r="C132" s="202" t="s">
        <v>646</v>
      </c>
      <c r="D132" s="209"/>
      <c r="E132" s="209"/>
      <c r="F132" s="222">
        <f>F124+F130</f>
        <v>0</v>
      </c>
      <c r="G132" s="209"/>
      <c r="M132" s="201"/>
      <c r="O132" s="174"/>
      <c r="P132" s="173"/>
      <c r="Z132" s="164"/>
    </row>
    <row r="133" spans="1:28" ht="7.5" hidden="1" customHeight="1">
      <c r="B133" s="172"/>
      <c r="C133" s="286"/>
      <c r="D133" s="286"/>
      <c r="E133" s="171"/>
      <c r="F133" s="170"/>
      <c r="G133" s="170"/>
      <c r="H133" s="169"/>
      <c r="I133" s="169"/>
      <c r="J133" s="169"/>
      <c r="K133" s="169"/>
      <c r="L133" s="168"/>
      <c r="M133" s="167"/>
      <c r="Z133" s="166"/>
    </row>
    <row r="134" spans="1:28" ht="22.15" customHeight="1">
      <c r="Z134" s="164"/>
    </row>
    <row r="135" spans="1:28" ht="22.5" customHeight="1">
      <c r="A135" s="61" t="str">
        <f>IF(SUBTOTAL(103,A136),"-","+")</f>
        <v>+</v>
      </c>
      <c r="B135" s="1449" t="s">
        <v>645</v>
      </c>
      <c r="C135" s="1449"/>
      <c r="D135" s="1449"/>
      <c r="E135" s="780" t="str">
        <f>E147</f>
        <v>Pending</v>
      </c>
      <c r="F135" s="197"/>
      <c r="G135" s="197"/>
      <c r="H135" s="197"/>
      <c r="I135" s="197"/>
      <c r="J135" s="197"/>
      <c r="K135" s="197"/>
      <c r="L135" s="197"/>
      <c r="O135" s="65"/>
      <c r="P135" s="65"/>
      <c r="Z135" s="164"/>
    </row>
    <row r="136" spans="1:28" ht="7.5" hidden="1" customHeight="1">
      <c r="A136" s="65" t="s">
        <v>644</v>
      </c>
      <c r="B136" s="196"/>
      <c r="C136" s="193"/>
      <c r="D136" s="193"/>
      <c r="E136" s="219"/>
      <c r="F136" s="218"/>
      <c r="G136" s="195"/>
      <c r="H136" s="194"/>
      <c r="I136" s="194"/>
      <c r="J136" s="194"/>
      <c r="K136" s="194"/>
      <c r="L136" s="194"/>
      <c r="M136" s="192"/>
      <c r="O136" s="65"/>
      <c r="P136" s="65"/>
      <c r="Z136" s="166"/>
    </row>
    <row r="137" spans="1:28" s="17" customFormat="1" ht="17.25" hidden="1" customHeight="1">
      <c r="B137" s="59"/>
      <c r="C137" s="225" t="s">
        <v>290</v>
      </c>
      <c r="D137" s="65"/>
      <c r="E137" s="224"/>
      <c r="F137" s="65"/>
      <c r="G137" s="65"/>
      <c r="H137" s="65"/>
      <c r="I137" s="65"/>
      <c r="J137" s="65"/>
      <c r="K137" s="779"/>
      <c r="L137" s="779"/>
      <c r="M137" s="191"/>
      <c r="O137" s="1432"/>
      <c r="P137" s="1432"/>
      <c r="Q137" s="65"/>
      <c r="R137" s="65"/>
      <c r="S137" s="65"/>
      <c r="T137" s="65"/>
      <c r="U137" s="65"/>
      <c r="V137" s="65"/>
      <c r="W137" s="98"/>
      <c r="X137" s="98"/>
      <c r="Y137" s="98"/>
      <c r="Z137" s="98"/>
      <c r="AA137" s="98"/>
      <c r="AB137" s="98"/>
    </row>
    <row r="138" spans="1:28" s="17" customFormat="1" ht="17.25" hidden="1" customHeight="1">
      <c r="B138" s="59"/>
      <c r="C138" s="212" t="s">
        <v>283</v>
      </c>
      <c r="D138" s="65"/>
      <c r="E138" s="207"/>
      <c r="F138" s="65"/>
      <c r="G138" s="65"/>
      <c r="H138" s="65"/>
      <c r="I138" s="65"/>
      <c r="J138" s="65"/>
      <c r="K138" s="216"/>
      <c r="L138" s="216"/>
      <c r="M138" s="191"/>
      <c r="O138" s="174"/>
      <c r="P138" s="173"/>
      <c r="Q138" s="65"/>
      <c r="R138" s="65"/>
      <c r="S138" s="65"/>
      <c r="T138" s="65"/>
      <c r="U138" s="65"/>
      <c r="V138" s="65"/>
      <c r="Z138" s="164"/>
    </row>
    <row r="139" spans="1:28" ht="17.25" hidden="1" customHeight="1">
      <c r="B139" s="204"/>
      <c r="C139" s="212"/>
      <c r="E139" s="207"/>
      <c r="F139" s="65"/>
      <c r="G139" s="65"/>
      <c r="H139" s="65"/>
      <c r="I139" s="65"/>
      <c r="J139" s="65"/>
      <c r="L139" s="134"/>
      <c r="M139" s="201"/>
      <c r="O139" s="174"/>
      <c r="P139" s="173"/>
      <c r="Z139" s="164"/>
    </row>
    <row r="140" spans="1:28" ht="17.25" hidden="1" customHeight="1">
      <c r="B140" s="776"/>
      <c r="C140" s="212"/>
      <c r="E140" s="207"/>
      <c r="F140" s="65"/>
      <c r="G140" s="65"/>
      <c r="H140" s="65"/>
      <c r="I140" s="65"/>
      <c r="J140" s="65"/>
      <c r="L140" s="134"/>
      <c r="M140" s="201"/>
      <c r="O140" s="174"/>
      <c r="P140" s="173"/>
      <c r="Z140" s="164"/>
    </row>
    <row r="141" spans="1:28" ht="17.25" hidden="1" customHeight="1">
      <c r="B141" s="776"/>
      <c r="C141" s="212"/>
      <c r="D141" s="202"/>
      <c r="E141" s="207"/>
      <c r="F141" s="65"/>
      <c r="G141" s="65"/>
      <c r="H141" s="65"/>
      <c r="I141" s="65"/>
      <c r="J141" s="65"/>
      <c r="L141" s="134"/>
      <c r="M141" s="201"/>
      <c r="O141" s="174"/>
      <c r="P141" s="173"/>
      <c r="Z141" s="164"/>
    </row>
    <row r="142" spans="1:28" ht="17.25" hidden="1" customHeight="1">
      <c r="B142" s="204"/>
      <c r="C142" s="223"/>
      <c r="D142" s="202"/>
      <c r="E142" s="222">
        <f>SUM(E138:E141)</f>
        <v>0</v>
      </c>
      <c r="F142" s="65"/>
      <c r="G142" s="65"/>
      <c r="H142" s="65"/>
      <c r="I142" s="65"/>
      <c r="J142" s="65"/>
      <c r="L142" s="134"/>
      <c r="M142" s="201"/>
      <c r="O142" s="174"/>
      <c r="P142" s="173"/>
      <c r="Z142" s="164"/>
    </row>
    <row r="143" spans="1:28" ht="7.5" hidden="1" customHeight="1">
      <c r="B143" s="204"/>
      <c r="C143" s="209"/>
      <c r="D143" s="209"/>
      <c r="E143" s="210"/>
      <c r="F143" s="65"/>
      <c r="G143" s="65"/>
      <c r="H143" s="65"/>
      <c r="I143" s="65"/>
      <c r="J143" s="65"/>
      <c r="L143" s="134"/>
      <c r="M143" s="201"/>
      <c r="O143" s="65"/>
      <c r="P143" s="65"/>
      <c r="Z143" s="164"/>
    </row>
    <row r="144" spans="1:28" ht="17.25" hidden="1" customHeight="1">
      <c r="B144" s="204"/>
      <c r="C144" s="1440" t="s">
        <v>643</v>
      </c>
      <c r="D144" s="1440"/>
      <c r="E144" s="778">
        <f>E142</f>
        <v>0</v>
      </c>
      <c r="F144" s="65"/>
      <c r="G144" s="65"/>
      <c r="H144" s="65"/>
      <c r="I144" s="65"/>
      <c r="J144" s="65"/>
      <c r="L144" s="134"/>
      <c r="M144" s="201"/>
      <c r="O144" s="174"/>
      <c r="P144" s="173"/>
      <c r="Z144" s="164"/>
    </row>
    <row r="145" spans="2:26" ht="16.899999999999999" hidden="1" customHeight="1">
      <c r="B145" s="204"/>
      <c r="C145" s="1440" t="s">
        <v>642</v>
      </c>
      <c r="D145" s="1440"/>
      <c r="E145" s="777">
        <f>E65</f>
        <v>0</v>
      </c>
      <c r="F145" s="65"/>
      <c r="G145" s="65"/>
      <c r="H145" s="65"/>
      <c r="I145" s="65"/>
      <c r="J145" s="65"/>
      <c r="L145" s="134"/>
      <c r="M145" s="201"/>
      <c r="O145" s="174"/>
      <c r="P145" s="173"/>
      <c r="Z145" s="164"/>
    </row>
    <row r="146" spans="2:26" ht="17.25" hidden="1" customHeight="1">
      <c r="B146" s="776"/>
      <c r="C146" s="1440" t="s">
        <v>280</v>
      </c>
      <c r="D146" s="1440"/>
      <c r="E146" s="775">
        <f>E145-E144</f>
        <v>0</v>
      </c>
      <c r="F146" s="65"/>
      <c r="G146" s="65"/>
      <c r="H146" s="65"/>
      <c r="I146" s="65"/>
      <c r="J146" s="65"/>
      <c r="L146" s="134"/>
      <c r="M146" s="201"/>
      <c r="O146" s="174"/>
      <c r="P146" s="173"/>
      <c r="Z146" s="164"/>
    </row>
    <row r="147" spans="2:26" ht="7.5" hidden="1" customHeight="1">
      <c r="B147" s="172"/>
      <c r="C147" s="286"/>
      <c r="D147" s="286"/>
      <c r="E147" s="774" t="str">
        <f>IF(OR(COUNTIF(E138:E141,"&gt;0")=0,ISBLANK(E145)),"Pending",IF(ABS(E146)&gt;Tm_Tolerance,"Out of Balance","Reconciled"))</f>
        <v>Pending</v>
      </c>
      <c r="F147" s="170"/>
      <c r="G147" s="170"/>
      <c r="H147" s="169"/>
      <c r="I147" s="169"/>
      <c r="J147" s="169"/>
      <c r="K147" s="169"/>
      <c r="L147" s="169"/>
      <c r="M147" s="167"/>
      <c r="O147" s="65"/>
      <c r="P147" s="65"/>
      <c r="Z147" s="166"/>
    </row>
  </sheetData>
  <sheetProtection sheet="1" objects="1" scenarios="1" formatCells="0" formatColumns="0" formatRows="0" insertColumns="0" insertRows="0" insertHyperlinks="0"/>
  <mergeCells count="32">
    <mergeCell ref="O25:P26"/>
    <mergeCell ref="B135:D135"/>
    <mergeCell ref="O137:P137"/>
    <mergeCell ref="C144:D144"/>
    <mergeCell ref="C145:D145"/>
    <mergeCell ref="C122:L122"/>
    <mergeCell ref="O122:P122"/>
    <mergeCell ref="C67:D67"/>
    <mergeCell ref="B120:D120"/>
    <mergeCell ref="B78:D78"/>
    <mergeCell ref="C49:D49"/>
    <mergeCell ref="C57:D57"/>
    <mergeCell ref="G25:J25"/>
    <mergeCell ref="C80:L80"/>
    <mergeCell ref="C66:D66"/>
    <mergeCell ref="C69:L69"/>
    <mergeCell ref="C6:G6"/>
    <mergeCell ref="C10:J10"/>
    <mergeCell ref="C11:J11"/>
    <mergeCell ref="C12:J12"/>
    <mergeCell ref="B14:D14"/>
    <mergeCell ref="C146:D146"/>
    <mergeCell ref="E16:F16"/>
    <mergeCell ref="C16:D16"/>
    <mergeCell ref="C21:H21"/>
    <mergeCell ref="I21:J21"/>
    <mergeCell ref="B19:D19"/>
    <mergeCell ref="C41:D41"/>
    <mergeCell ref="C23:H23"/>
    <mergeCell ref="C22:H22"/>
    <mergeCell ref="C33:D33"/>
    <mergeCell ref="C65:D65"/>
  </mergeCells>
  <conditionalFormatting sqref="C29:C30">
    <cfRule type="cellIs" dxfId="40" priority="34" operator="equal">
      <formula>"Enter description…"</formula>
    </cfRule>
  </conditionalFormatting>
  <conditionalFormatting sqref="C37:C39">
    <cfRule type="cellIs" dxfId="39" priority="35" operator="equal">
      <formula>"Enter description…"</formula>
    </cfRule>
  </conditionalFormatting>
  <conditionalFormatting sqref="C45:C47">
    <cfRule type="cellIs" dxfId="38" priority="25" operator="equal">
      <formula>"Enter description…"</formula>
    </cfRule>
  </conditionalFormatting>
  <conditionalFormatting sqref="C53:C55">
    <cfRule type="cellIs" dxfId="37" priority="24" operator="equal">
      <formula>"Enter description…"</formula>
    </cfRule>
  </conditionalFormatting>
  <conditionalFormatting sqref="C61:C63">
    <cfRule type="cellIs" dxfId="36" priority="23" operator="equal">
      <formula>"Enter description…"</formula>
    </cfRule>
  </conditionalFormatting>
  <conditionalFormatting sqref="C69">
    <cfRule type="expression" dxfId="35" priority="48">
      <formula>COUNTIF(J68:J71,"i")</formula>
    </cfRule>
  </conditionalFormatting>
  <conditionalFormatting sqref="C71">
    <cfRule type="cellIs" dxfId="34" priority="28" operator="equal">
      <formula>"Enter description…"</formula>
    </cfRule>
  </conditionalFormatting>
  <conditionalFormatting sqref="C73">
    <cfRule type="cellIs" dxfId="33" priority="29" operator="equal">
      <formula>"Enter description…"</formula>
    </cfRule>
  </conditionalFormatting>
  <conditionalFormatting sqref="C85:C90">
    <cfRule type="cellIs" dxfId="32" priority="33" operator="equal">
      <formula>"Enter description…"</formula>
    </cfRule>
  </conditionalFormatting>
  <conditionalFormatting sqref="C93:C96">
    <cfRule type="cellIs" dxfId="31" priority="32" operator="equal">
      <formula>"Enter description…"</formula>
    </cfRule>
  </conditionalFormatting>
  <conditionalFormatting sqref="C124">
    <cfRule type="cellIs" dxfId="30" priority="40" operator="equal">
      <formula>"Enter description…"</formula>
    </cfRule>
  </conditionalFormatting>
  <conditionalFormatting sqref="C127:C129">
    <cfRule type="cellIs" dxfId="29" priority="26" operator="equal">
      <formula>"Enter description…"</formula>
    </cfRule>
  </conditionalFormatting>
  <conditionalFormatting sqref="C138:C141">
    <cfRule type="cellIs" dxfId="28" priority="11" operator="equal">
      <formula>"Enter description…"</formula>
    </cfRule>
  </conditionalFormatting>
  <conditionalFormatting sqref="C69:L69">
    <cfRule type="expression" dxfId="27" priority="22">
      <formula>COUNTIF(K28:L62,"i")&gt;0</formula>
    </cfRule>
  </conditionalFormatting>
  <conditionalFormatting sqref="E65 J65">
    <cfRule type="expression" dxfId="26" priority="42">
      <formula>E68="Reconciled"</formula>
    </cfRule>
    <cfRule type="expression" dxfId="25" priority="43">
      <formula>E68="Out of Balance"</formula>
    </cfRule>
  </conditionalFormatting>
  <conditionalFormatting sqref="E66 J66">
    <cfRule type="expression" dxfId="24" priority="44">
      <formula>E68="Reconciled"</formula>
    </cfRule>
    <cfRule type="expression" dxfId="23" priority="45">
      <formula>E68="Out of Balance"</formula>
    </cfRule>
  </conditionalFormatting>
  <conditionalFormatting sqref="E67 J67">
    <cfRule type="expression" dxfId="22" priority="46">
      <formula>E68="Reconciled"</formula>
    </cfRule>
    <cfRule type="expression" dxfId="21" priority="47">
      <formula>E68="Out of Balance"</formula>
    </cfRule>
  </conditionalFormatting>
  <conditionalFormatting sqref="E78">
    <cfRule type="cellIs" dxfId="20" priority="38" operator="equal">
      <formula>"Acceptable"</formula>
    </cfRule>
    <cfRule type="cellIs" dxfId="19" priority="39" operator="equal">
      <formula>"Not Acceptable"</formula>
    </cfRule>
  </conditionalFormatting>
  <conditionalFormatting sqref="E135">
    <cfRule type="expression" dxfId="18" priority="3">
      <formula>E147="Reconciled"</formula>
    </cfRule>
    <cfRule type="expression" dxfId="17" priority="4">
      <formula>E147="Out of Balance"</formula>
    </cfRule>
  </conditionalFormatting>
  <conditionalFormatting sqref="E144">
    <cfRule type="expression" dxfId="16" priority="5">
      <formula>E147="Reconciled"</formula>
    </cfRule>
    <cfRule type="expression" dxfId="15" priority="6">
      <formula>E147="Out of Balance"</formula>
    </cfRule>
  </conditionalFormatting>
  <conditionalFormatting sqref="E145">
    <cfRule type="expression" dxfId="14" priority="7">
      <formula>E147="Reconciled"</formula>
    </cfRule>
    <cfRule type="expression" dxfId="13" priority="8">
      <formula>E147="Out of Balance"</formula>
    </cfRule>
  </conditionalFormatting>
  <conditionalFormatting sqref="E146">
    <cfRule type="expression" dxfId="12" priority="9">
      <formula>E147="Reconciled"</formula>
    </cfRule>
    <cfRule type="expression" dxfId="11" priority="10">
      <formula>E147="Out of Balance"</formula>
    </cfRule>
  </conditionalFormatting>
  <conditionalFormatting sqref="F99">
    <cfRule type="expression" dxfId="10" priority="30">
      <formula>F100="Acceptable"</formula>
    </cfRule>
    <cfRule type="expression" dxfId="9" priority="31">
      <formula>F100="Not Acceptable"</formula>
    </cfRule>
  </conditionalFormatting>
  <conditionalFormatting sqref="H66:H67 G68 J68:K68 G70:K70 L70:L72 L74:L75">
    <cfRule type="expression" dxfId="8" priority="37">
      <formula>AND(G66&gt;=0,G66&lt;1)</formula>
    </cfRule>
  </conditionalFormatting>
  <conditionalFormatting sqref="I28:I64">
    <cfRule type="cellIs" dxfId="7" priority="27" operator="greaterThan">
      <formula>TaxYearEnd</formula>
    </cfRule>
  </conditionalFormatting>
  <conditionalFormatting sqref="I5:J5">
    <cfRule type="expression" dxfId="6" priority="1">
      <formula>I5="Reconciled"</formula>
    </cfRule>
    <cfRule type="expression" dxfId="5" priority="2">
      <formula>I5="Out of Balance"</formula>
    </cfRule>
  </conditionalFormatting>
  <conditionalFormatting sqref="L67:L68">
    <cfRule type="expression" dxfId="4" priority="36">
      <formula>AND(L67&gt;=0,L67&lt;1)</formula>
    </cfRule>
  </conditionalFormatting>
  <dataValidations count="1">
    <dataValidation allowBlank="1" showInputMessage="1" showErrorMessage="1" prompt="From 1 January 2020 the only salary sacrificed superannuation amounts are subject to SGC." sqref="C84" xr:uid="{25A84461-D204-4F83-8DBB-620A445F7020}"/>
  </dataValidations>
  <hyperlinks>
    <hyperlink ref="D82" location="'N75 Super'!Go_SumRangeDetail_N80_Salaries" tooltip="Go to worksheet" display="}" xr:uid="{83F7E9A1-882E-4CE3-BD91-53D24D81504E}"/>
    <hyperlink ref="D93" location="'N75 Super'!Reconcile_Expense_SuperExpense" tooltip="Go to cell" display="}" xr:uid="{93931B78-C2D7-4ADE-AAD9-C47AC56104B9}"/>
    <hyperlink ref="A19:D19" location="'N75 Super'!Go_RollUp_4" tooltip="Show/Hide" display="Super!Go_RollUp_4" xr:uid="{17117AFE-3227-412B-A90F-9DD52AC2F573}"/>
    <hyperlink ref="C69:L69" r:id="rId1" tooltip="Superannuation Guarantee Charge Statement and Calculator Tool" display="Please refer to the Superannuation Guarantee Charge (SGC) calculator when preparing SGC assessments" xr:uid="{149705D6-2B3C-47C3-89D8-9C0AEA4D0F68}"/>
    <hyperlink ref="A14:D14" location="'N75 Super'!Go_RollUp_1" tooltip="Show/Hide" display="Super!Go_RollUp_1" xr:uid="{CEE9FA4B-EC68-4FFF-89DE-1BD673346F1F}"/>
    <hyperlink ref="A78:D78" location="'N75 Super'!Go_RollUp_5" tooltip="Show/Hide" display="Super!Go_RollUp_5" xr:uid="{E891E15A-2505-451B-BEA1-0964D83E8F21}"/>
    <hyperlink ref="A120:D120" location="'N75 Super'!Go_RollUp_6" tooltip="Show/Hide" display="Super!Go_RollUp_6" xr:uid="{7BECC969-0DEA-4D6E-BBE8-6FEAA5FDADE8}"/>
    <hyperlink ref="I5" location="'N75 Super'!Go_Variance_01" tooltip="Go To Reconciliation" display="Super!Go_Variance_01" xr:uid="{1BAA61EC-A8CF-414B-89B1-F4F5901E94CD}"/>
    <hyperlink ref="I21:J21" location="'N75 Super'!Go_Command.ImportWages" tooltip="Reimport from Xero" display="Refresh" xr:uid="{B4E17224-4914-4378-87F3-98EE3EAEB473}"/>
    <hyperlink ref="D127" location="'N75 Super'!Go_SumRangeDetail_CC20_OpeningSuperPayable" tooltip="Go to C20 Tax Reconciliation" display="}" xr:uid="{4D68A216-3599-4B30-B397-7E6FF876944B}"/>
    <hyperlink ref="D128" location="'N75 Super'!Go_SumRangeDetail_CC20_ClosingSuperPayable" tooltip="Go to C20 Tax Reconciliation" display="}" xr:uid="{1DFCF471-2530-470D-9D97-8D54F04A774C}"/>
    <hyperlink ref="D129" location="'N75 Super'!Go_SumRangeDetail_CC20_NonDeductibleSGC" tooltip="Go to C20 Tax Reconciliation" display="}" xr:uid="{41B198A1-532C-4720-8158-C1C0140B8724}"/>
    <hyperlink ref="J5" location="'N75 Super'!Go_Variance_02" tooltip="Go to Reconciliation" display="Super!Go_Variance_02" xr:uid="{C63EE56E-F093-4CCA-B1C0-83F238F73371}"/>
    <hyperlink ref="J3" location="'N75 Super'!Go_Index" tooltip="Go to Record" display="Show Record" xr:uid="{5696B6AF-A167-4743-814F-23C51E3A823A}"/>
    <hyperlink ref="A135:D135" location="'N75 Super'!Go_RollUp_7" tooltip="Hide/Show Cells" display="Super!Go_RollUp_7" xr:uid="{5AF9F4B6-7473-4378-A210-973E81109402}"/>
  </hyperlinks>
  <printOptions horizontalCentered="1"/>
  <pageMargins left="0.39370078740157483" right="0.39370078740157483" top="0.39370078740157483" bottom="0.39370078740157483" header="0" footer="0"/>
  <pageSetup paperSize="9" scale="71" fitToHeight="0" orientation="portrait" r:id="rId2"/>
  <headerFooter alignWithMargins="0">
    <oddFooter>&amp;L&amp;F
Copyright © 2003-Present Business Fitness Pty Ltd&amp;R&amp;A &amp;P</oddFooter>
  </headerFooter>
  <customProperties>
    <customPr name="SheetId" r:id="rId3"/>
    <customPr name="SheetName" r:id="rId4"/>
  </customProperties>
  <drawing r:id="rId5"/>
  <extLst>
    <ext xmlns:x15="http://schemas.microsoft.com/office/spreadsheetml/2010/11/main" uri="{F7C9EE02-42E1-4005-9D12-6889AFFD525C}">
      <x15:webExtensions xmlns:xm="http://schemas.microsoft.com/office/excel/2006/main">
        <x15:webExtension appRef="{46D8CD47-A462-4AF0-A4C5-5732D3F8DBAC}">
          <xm:f>'N75 Super'!N75_ClosingSuperPayable</xm:f>
        </x15:webExtension>
        <x15:webExtension appRef="{29FE5239-B543-4907-8BB3-BB54B78B8386}">
          <xm:f>'N75 Super'!N75_DeductibleSuperExpense</xm:f>
        </x15:webExtension>
        <x15:webExtension appRef="{743E1616-A835-4832-86EF-7F13BD92CD38}">
          <xm:f>'N75 Super'!N75_NonDeductibleSGC</xm:f>
        </x15:webExtension>
        <x15:webExtension appRef="{50250A85-28D8-4838-8669-A8B96B94FD62}">
          <xm:f>'N75 Super'!N75_OpeningSuperPayable</xm:f>
        </x15:webExtension>
        <x15:webExtension appRef="{EBCF0981-B685-48B6-9925-40BC7690962E}">
          <xm:f>'N75 Super'!N75_SuperExpense</xm:f>
        </x15:webExtension>
        <x15:webExtension appRef="{1C6A6D14-554A-4CCA-841C-ED820AFBCF99}">
          <xm:f>'N75 Super'!N75_SuperPaid</xm:f>
        </x15:webExtension>
        <x15:webExtension appRef="{7DD6BD5F-2766-4165-9B1C-DE0AE5E09176}">
          <xm:f>'N75 Super'!Reconcile_Expense_SuperExpense</xm:f>
        </x15:webExtension>
        <x15:webExtension appRef="{DE8D3991-CFDB-4858-9759-C433FA0CA814}">
          <xm:f>'N75 Super'!Reconcile_Liability_SuperPayable</xm:f>
        </x15:webExtension>
      </x15:webExtens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383EC-181E-41C5-A042-9D1E51D356F2}">
  <dimension ref="A1:R183"/>
  <sheetViews>
    <sheetView showGridLines="0" workbookViewId="0">
      <pane ySplit="2" topLeftCell="A3" activePane="bottomLeft" state="frozen"/>
      <selection pane="bottomLeft"/>
    </sheetView>
  </sheetViews>
  <sheetFormatPr defaultRowHeight="15"/>
  <cols>
    <col min="1" max="1" width="2.85546875" customWidth="1"/>
    <col min="2" max="2" width="1.42578125" customWidth="1"/>
    <col min="3" max="3" width="43.7109375" hidden="1" customWidth="1"/>
    <col min="4" max="4" width="9.7109375" hidden="1" customWidth="1"/>
    <col min="5" max="5" width="55.7109375" bestFit="1" customWidth="1"/>
    <col min="6" max="6" width="11" bestFit="1" customWidth="1"/>
    <col min="7" max="7" width="9.85546875" bestFit="1" customWidth="1"/>
    <col min="8" max="8" width="11" bestFit="1" customWidth="1"/>
    <col min="9" max="9" width="6.28515625" bestFit="1" customWidth="1"/>
    <col min="10" max="10" width="7.85546875" bestFit="1" customWidth="1"/>
    <col min="11" max="11" width="6" bestFit="1" customWidth="1"/>
    <col min="12" max="12" width="11.140625" bestFit="1" customWidth="1"/>
    <col min="13" max="13" width="36.140625" bestFit="1" customWidth="1"/>
    <col min="14" max="14" width="17.42578125" bestFit="1" customWidth="1"/>
    <col min="15" max="15" width="8.7109375" bestFit="1" customWidth="1"/>
    <col min="16" max="16" width="1.42578125" customWidth="1"/>
    <col min="18" max="18" width="9.7109375" bestFit="1" customWidth="1"/>
  </cols>
  <sheetData>
    <row r="1" spans="1:18" hidden="1">
      <c r="A1" t="s">
        <v>5</v>
      </c>
      <c r="B1" t="s">
        <v>6</v>
      </c>
      <c r="C1" t="s">
        <v>7</v>
      </c>
      <c r="D1" t="s">
        <v>8</v>
      </c>
      <c r="E1" t="s">
        <v>9</v>
      </c>
      <c r="F1" t="s">
        <v>2173</v>
      </c>
      <c r="G1" t="s">
        <v>2174</v>
      </c>
      <c r="H1" t="s">
        <v>2175</v>
      </c>
      <c r="I1" t="s">
        <v>10</v>
      </c>
      <c r="J1" t="s">
        <v>11</v>
      </c>
      <c r="K1" t="s">
        <v>12</v>
      </c>
      <c r="L1" t="s">
        <v>13</v>
      </c>
      <c r="M1" t="s">
        <v>14</v>
      </c>
      <c r="N1" t="s">
        <v>15</v>
      </c>
      <c r="O1" t="s">
        <v>16</v>
      </c>
      <c r="P1" t="s">
        <v>17</v>
      </c>
      <c r="R1" t="s">
        <v>18</v>
      </c>
    </row>
    <row r="2" spans="1:18" ht="30" customHeight="1">
      <c r="A2" s="2"/>
      <c r="B2" s="2"/>
      <c r="C2" s="2" t="s">
        <v>19</v>
      </c>
      <c r="D2" s="2"/>
      <c r="E2" s="2" t="s">
        <v>20</v>
      </c>
      <c r="F2" s="2">
        <v>2024</v>
      </c>
      <c r="G2" s="2">
        <v>2023</v>
      </c>
      <c r="H2" s="2" t="s">
        <v>280</v>
      </c>
      <c r="I2" s="2" t="s">
        <v>10</v>
      </c>
      <c r="J2" s="2" t="s">
        <v>21</v>
      </c>
      <c r="K2" s="2"/>
      <c r="L2" s="2" t="s">
        <v>13</v>
      </c>
      <c r="M2" s="2" t="s">
        <v>22</v>
      </c>
      <c r="N2" s="2"/>
      <c r="O2" s="2"/>
      <c r="R2" t="s">
        <v>18</v>
      </c>
    </row>
    <row r="4" spans="1:18">
      <c r="B4" s="3"/>
      <c r="C4" s="3" t="s">
        <v>2176</v>
      </c>
      <c r="D4" s="3"/>
      <c r="E4" s="3" t="s">
        <v>2177</v>
      </c>
    </row>
    <row r="5" spans="1:18" ht="7.5" customHeight="1">
      <c r="B5" s="7"/>
      <c r="C5" s="4"/>
      <c r="D5" s="4"/>
      <c r="E5" s="4"/>
      <c r="F5" s="4"/>
      <c r="G5" s="4"/>
      <c r="H5" s="4"/>
      <c r="I5" s="4"/>
      <c r="J5" s="4"/>
      <c r="K5" s="4"/>
      <c r="L5" s="4"/>
      <c r="M5" s="5"/>
      <c r="N5" s="4"/>
      <c r="O5" s="4"/>
      <c r="P5" s="5"/>
    </row>
    <row r="6" spans="1:18">
      <c r="B6" s="12"/>
      <c r="C6" s="2274" t="s">
        <v>1572</v>
      </c>
      <c r="D6" s="2274">
        <v>1</v>
      </c>
      <c r="E6" s="2261" t="s">
        <v>1573</v>
      </c>
      <c r="F6" s="2261"/>
      <c r="G6" s="2261"/>
      <c r="H6" s="2261"/>
      <c r="I6" s="2261"/>
      <c r="J6" s="2261"/>
      <c r="K6" s="2261"/>
      <c r="L6" s="2261" t="s">
        <v>2178</v>
      </c>
      <c r="M6" s="2262" t="s">
        <v>2179</v>
      </c>
      <c r="N6" s="2263"/>
      <c r="O6" s="2263"/>
      <c r="P6" s="6"/>
    </row>
    <row r="7" spans="1:18" ht="14.25" customHeight="1">
      <c r="B7" s="8"/>
      <c r="C7" s="2275" t="s">
        <v>2157</v>
      </c>
      <c r="D7" s="2275">
        <v>2</v>
      </c>
      <c r="E7" s="2272" t="s">
        <v>2159</v>
      </c>
      <c r="F7" s="2263"/>
      <c r="G7" s="2263"/>
      <c r="H7" s="2263"/>
      <c r="I7" s="2263"/>
      <c r="J7" s="2263"/>
      <c r="K7" s="2263"/>
      <c r="L7" s="2263" t="s">
        <v>2178</v>
      </c>
      <c r="M7" s="2263" t="s">
        <v>2180</v>
      </c>
      <c r="N7" s="2263"/>
      <c r="O7" s="2263"/>
      <c r="P7" s="6"/>
    </row>
    <row r="8" spans="1:18" ht="14.25" customHeight="1">
      <c r="B8" s="8"/>
      <c r="C8" s="2275" t="s">
        <v>2160</v>
      </c>
      <c r="D8" s="2275">
        <v>3</v>
      </c>
      <c r="E8" s="2272" t="s">
        <v>2162</v>
      </c>
      <c r="F8" s="2263"/>
      <c r="G8" s="2263"/>
      <c r="H8" s="2263"/>
      <c r="I8" s="2263"/>
      <c r="J8" s="2263"/>
      <c r="K8" s="2263"/>
      <c r="L8" s="2263" t="s">
        <v>2178</v>
      </c>
      <c r="M8" s="2263" t="s">
        <v>2180</v>
      </c>
      <c r="N8" s="2263"/>
      <c r="O8" s="2263"/>
      <c r="P8" s="6"/>
    </row>
    <row r="9" spans="1:18" ht="14.25" customHeight="1">
      <c r="B9" s="8"/>
      <c r="C9" s="2275" t="s">
        <v>2167</v>
      </c>
      <c r="D9" s="2275">
        <v>4</v>
      </c>
      <c r="E9" s="2263" t="s">
        <v>2168</v>
      </c>
      <c r="F9" s="2263"/>
      <c r="G9" s="2263"/>
      <c r="H9" s="2263"/>
      <c r="I9" s="2263"/>
      <c r="J9" s="2263"/>
      <c r="K9" s="2263"/>
      <c r="L9" s="2263" t="s">
        <v>2178</v>
      </c>
      <c r="M9" s="2263" t="s">
        <v>2180</v>
      </c>
      <c r="N9" s="2263"/>
      <c r="O9" s="2263"/>
      <c r="P9" s="6"/>
    </row>
    <row r="10" spans="1:18" ht="14.25" customHeight="1">
      <c r="B10" s="8"/>
      <c r="C10" s="2275" t="s">
        <v>2154</v>
      </c>
      <c r="D10" s="2275">
        <v>5</v>
      </c>
      <c r="E10" s="2272" t="s">
        <v>2143</v>
      </c>
      <c r="F10" s="2263"/>
      <c r="G10" s="2263"/>
      <c r="H10" s="2263"/>
      <c r="I10" s="2263"/>
      <c r="J10" s="2263"/>
      <c r="K10" s="2263"/>
      <c r="L10" s="2263" t="s">
        <v>2178</v>
      </c>
      <c r="M10" s="2263" t="s">
        <v>2180</v>
      </c>
      <c r="N10" s="2263"/>
      <c r="O10" s="2263"/>
      <c r="P10" s="6"/>
    </row>
    <row r="11" spans="1:18" ht="14.25" customHeight="1">
      <c r="B11" s="8"/>
      <c r="C11" s="2275" t="s">
        <v>2156</v>
      </c>
      <c r="D11" s="2275">
        <v>6</v>
      </c>
      <c r="E11" s="2272" t="s">
        <v>1589</v>
      </c>
      <c r="F11" s="2263"/>
      <c r="G11" s="2263"/>
      <c r="H11" s="2263"/>
      <c r="I11" s="2263"/>
      <c r="J11" s="2263"/>
      <c r="K11" s="2263"/>
      <c r="L11" s="2263" t="s">
        <v>2178</v>
      </c>
      <c r="M11" s="2263" t="s">
        <v>2180</v>
      </c>
      <c r="N11" s="2263"/>
      <c r="O11" s="2263"/>
      <c r="P11" s="6"/>
    </row>
    <row r="12" spans="1:18" ht="14.25" customHeight="1">
      <c r="B12" s="8"/>
      <c r="C12" s="2275" t="s">
        <v>2169</v>
      </c>
      <c r="D12" s="2275">
        <v>7</v>
      </c>
      <c r="E12" s="2272" t="s">
        <v>1579</v>
      </c>
      <c r="F12" s="2263"/>
      <c r="G12" s="2263"/>
      <c r="H12" s="2263"/>
      <c r="I12" s="2263"/>
      <c r="J12" s="2263"/>
      <c r="K12" s="2263"/>
      <c r="L12" s="2263" t="s">
        <v>2178</v>
      </c>
      <c r="M12" s="2263" t="s">
        <v>2180</v>
      </c>
      <c r="N12" s="2263"/>
      <c r="O12" s="2263"/>
      <c r="P12" s="6"/>
    </row>
    <row r="13" spans="1:18" ht="14.25" customHeight="1">
      <c r="B13" s="8"/>
      <c r="C13" s="2275" t="s">
        <v>2152</v>
      </c>
      <c r="D13" s="2275">
        <v>8</v>
      </c>
      <c r="E13" s="2272" t="s">
        <v>2153</v>
      </c>
      <c r="F13" s="2263"/>
      <c r="G13" s="2263"/>
      <c r="H13" s="2263"/>
      <c r="I13" s="2263"/>
      <c r="J13" s="2263"/>
      <c r="K13" s="2263"/>
      <c r="L13" s="2263" t="s">
        <v>2178</v>
      </c>
      <c r="M13" s="2263" t="s">
        <v>2180</v>
      </c>
      <c r="N13" s="2263"/>
      <c r="O13" s="2263"/>
      <c r="P13" s="6"/>
    </row>
    <row r="14" spans="1:18" ht="14.25" customHeight="1">
      <c r="B14" s="8"/>
      <c r="C14" s="2275" t="s">
        <v>2163</v>
      </c>
      <c r="D14" s="2275">
        <v>9</v>
      </c>
      <c r="E14" s="2272" t="s">
        <v>2165</v>
      </c>
      <c r="F14" s="2263"/>
      <c r="G14" s="2263"/>
      <c r="H14" s="2263"/>
      <c r="I14" s="2263"/>
      <c r="J14" s="2263"/>
      <c r="K14" s="2263"/>
      <c r="L14" s="2263" t="s">
        <v>2178</v>
      </c>
      <c r="M14" s="2263" t="s">
        <v>2180</v>
      </c>
      <c r="N14" s="2263"/>
      <c r="O14" s="2263"/>
      <c r="P14" s="6"/>
    </row>
    <row r="15" spans="1:18" ht="14.25" customHeight="1">
      <c r="B15" s="8"/>
      <c r="C15" s="2275" t="s">
        <v>2171</v>
      </c>
      <c r="D15" s="2275">
        <v>10</v>
      </c>
      <c r="E15" s="2272" t="s">
        <v>2074</v>
      </c>
      <c r="F15" s="2263"/>
      <c r="G15" s="2263"/>
      <c r="H15" s="2263"/>
      <c r="I15" s="2263"/>
      <c r="J15" s="2263"/>
      <c r="K15" s="2263"/>
      <c r="L15" s="2263" t="s">
        <v>2178</v>
      </c>
      <c r="M15" s="2263" t="s">
        <v>2180</v>
      </c>
      <c r="N15" s="2263"/>
      <c r="O15" s="2263"/>
      <c r="P15" s="6"/>
    </row>
    <row r="16" spans="1:18">
      <c r="B16" s="8"/>
      <c r="C16" s="2275" t="s">
        <v>2150</v>
      </c>
      <c r="D16" s="2275">
        <v>11</v>
      </c>
      <c r="E16" s="2272" t="s">
        <v>2080</v>
      </c>
      <c r="F16" s="2263"/>
      <c r="G16" s="2263"/>
      <c r="H16" s="2263"/>
      <c r="I16" s="2263"/>
      <c r="J16" s="2263"/>
      <c r="K16" s="2263"/>
      <c r="L16" s="2263" t="s">
        <v>2178</v>
      </c>
      <c r="M16" s="2263" t="s">
        <v>2180</v>
      </c>
      <c r="N16" s="2263"/>
      <c r="O16" s="2263"/>
      <c r="P16" s="6"/>
    </row>
    <row r="17" spans="2:16">
      <c r="B17" s="8"/>
      <c r="C17" s="2275" t="s">
        <v>2148</v>
      </c>
      <c r="D17" s="2275">
        <v>12</v>
      </c>
      <c r="E17" s="2272" t="s">
        <v>2086</v>
      </c>
      <c r="F17" s="2263"/>
      <c r="G17" s="2263"/>
      <c r="H17" s="2263"/>
      <c r="I17" s="2263"/>
      <c r="J17" s="2263"/>
      <c r="K17" s="2263"/>
      <c r="L17" s="2263" t="s">
        <v>2178</v>
      </c>
      <c r="M17" s="2263" t="s">
        <v>2180</v>
      </c>
      <c r="N17" s="2263"/>
      <c r="O17" s="2263"/>
      <c r="P17" s="6"/>
    </row>
    <row r="18" spans="2:16">
      <c r="B18" s="8"/>
      <c r="C18" s="2275" t="s">
        <v>2166</v>
      </c>
      <c r="D18" s="2275">
        <v>13</v>
      </c>
      <c r="E18" s="2272" t="s">
        <v>2162</v>
      </c>
      <c r="F18" s="2263"/>
      <c r="G18" s="2263"/>
      <c r="H18" s="2263"/>
      <c r="I18" s="2263"/>
      <c r="J18" s="2263"/>
      <c r="K18" s="2263"/>
      <c r="L18" s="2263" t="s">
        <v>2178</v>
      </c>
      <c r="M18" s="2263" t="s">
        <v>2180</v>
      </c>
      <c r="N18" s="2263"/>
      <c r="O18" s="2263"/>
      <c r="P18" s="6"/>
    </row>
    <row r="19" spans="2:16" ht="7.5" customHeight="1">
      <c r="B19" s="9"/>
      <c r="C19" s="10"/>
      <c r="D19" s="10"/>
      <c r="E19" s="10"/>
      <c r="F19" s="10"/>
      <c r="G19" s="10"/>
      <c r="H19" s="10"/>
      <c r="I19" s="10"/>
      <c r="J19" s="10"/>
      <c r="K19" s="10"/>
      <c r="L19" s="10"/>
      <c r="M19" s="10"/>
      <c r="N19" s="10"/>
      <c r="O19" s="10"/>
      <c r="P19" s="11"/>
    </row>
    <row r="21" spans="2:16">
      <c r="B21" s="3"/>
      <c r="C21" s="3" t="s">
        <v>2181</v>
      </c>
      <c r="D21" s="3"/>
      <c r="E21" s="3" t="s">
        <v>2182</v>
      </c>
    </row>
    <row r="22" spans="2:16" ht="7.5" customHeight="1">
      <c r="B22" s="7"/>
      <c r="C22" s="4"/>
      <c r="D22" s="4"/>
      <c r="E22" s="4"/>
      <c r="F22" s="4"/>
      <c r="G22" s="4"/>
      <c r="H22" s="4"/>
      <c r="I22" s="4"/>
      <c r="J22" s="4"/>
      <c r="K22" s="4"/>
      <c r="L22" s="4"/>
      <c r="M22" s="4"/>
      <c r="N22" s="4"/>
      <c r="O22" s="4"/>
      <c r="P22" s="5"/>
    </row>
    <row r="23" spans="2:16">
      <c r="B23" s="8"/>
      <c r="C23" s="2275" t="s">
        <v>1592</v>
      </c>
      <c r="D23" s="2275">
        <v>1</v>
      </c>
      <c r="E23" s="2272" t="s">
        <v>1594</v>
      </c>
      <c r="F23" s="2263"/>
      <c r="G23" s="2263"/>
      <c r="H23" s="2263"/>
      <c r="I23" s="2263"/>
      <c r="J23" s="2263"/>
      <c r="K23" s="2263"/>
      <c r="L23" s="2263" t="s">
        <v>2178</v>
      </c>
      <c r="M23" s="2263" t="s">
        <v>2179</v>
      </c>
      <c r="N23" s="2263"/>
      <c r="O23" s="2263"/>
      <c r="P23" s="6"/>
    </row>
    <row r="24" spans="2:16">
      <c r="B24" s="8"/>
      <c r="C24" s="2275" t="s">
        <v>1585</v>
      </c>
      <c r="D24" s="2275">
        <v>2</v>
      </c>
      <c r="E24" s="2272" t="s">
        <v>1587</v>
      </c>
      <c r="F24" s="2263"/>
      <c r="G24" s="2263"/>
      <c r="H24" s="2263"/>
      <c r="I24" s="2263"/>
      <c r="J24" s="2263"/>
      <c r="K24" s="2263"/>
      <c r="L24" s="2263" t="s">
        <v>2178</v>
      </c>
      <c r="M24" s="2263" t="s">
        <v>2179</v>
      </c>
      <c r="N24" s="2263"/>
      <c r="O24" s="2263"/>
      <c r="P24" s="6"/>
    </row>
    <row r="25" spans="2:16">
      <c r="B25" s="8"/>
      <c r="C25" s="2275" t="s">
        <v>1575</v>
      </c>
      <c r="D25" s="2275">
        <v>3</v>
      </c>
      <c r="E25" s="2272" t="s">
        <v>1332</v>
      </c>
      <c r="F25" s="2263"/>
      <c r="G25" s="2263"/>
      <c r="H25" s="2263"/>
      <c r="I25" s="2263"/>
      <c r="J25" s="2263"/>
      <c r="K25" s="2263"/>
      <c r="L25" s="2263" t="s">
        <v>2178</v>
      </c>
      <c r="M25" s="2263" t="s">
        <v>2183</v>
      </c>
      <c r="N25" s="2263"/>
      <c r="O25" s="2263"/>
      <c r="P25" s="6"/>
    </row>
    <row r="26" spans="2:16">
      <c r="B26" s="8"/>
      <c r="C26" s="2275" t="s">
        <v>1580</v>
      </c>
      <c r="D26" s="2275">
        <v>4</v>
      </c>
      <c r="E26" s="2263" t="s">
        <v>1581</v>
      </c>
      <c r="F26" s="2263"/>
      <c r="G26" s="2263"/>
      <c r="H26" s="2263"/>
      <c r="I26" s="2263"/>
      <c r="J26" s="2263"/>
      <c r="K26" s="2263"/>
      <c r="L26" s="2263" t="s">
        <v>2178</v>
      </c>
      <c r="M26" s="2263" t="s">
        <v>2179</v>
      </c>
      <c r="N26" s="2263"/>
      <c r="O26" s="2263"/>
      <c r="P26" s="6"/>
    </row>
    <row r="27" spans="2:16">
      <c r="B27" s="8"/>
      <c r="C27" s="2275" t="s">
        <v>1596</v>
      </c>
      <c r="D27" s="2275">
        <v>5</v>
      </c>
      <c r="E27" s="2263" t="s">
        <v>175</v>
      </c>
      <c r="F27" s="2263"/>
      <c r="G27" s="2263"/>
      <c r="H27" s="2263"/>
      <c r="I27" s="2263"/>
      <c r="J27" s="2263"/>
      <c r="K27" s="2263"/>
      <c r="L27" s="2263" t="s">
        <v>2178</v>
      </c>
      <c r="M27" s="2263" t="s">
        <v>2179</v>
      </c>
      <c r="N27" s="2263"/>
      <c r="O27" s="2263"/>
      <c r="P27" s="6"/>
    </row>
    <row r="28" spans="2:16">
      <c r="B28" s="8"/>
      <c r="C28" s="2275" t="s">
        <v>1598</v>
      </c>
      <c r="D28" s="2275">
        <v>6</v>
      </c>
      <c r="E28" s="2263" t="s">
        <v>1490</v>
      </c>
      <c r="F28" s="2263"/>
      <c r="G28" s="2263"/>
      <c r="H28" s="2263"/>
      <c r="I28" s="2263"/>
      <c r="J28" s="2263"/>
      <c r="K28" s="2263"/>
      <c r="L28" s="2263" t="s">
        <v>2178</v>
      </c>
      <c r="M28" s="2263" t="s">
        <v>2179</v>
      </c>
      <c r="N28" s="2263"/>
      <c r="O28" s="2263"/>
      <c r="P28" s="6"/>
    </row>
    <row r="29" spans="2:16">
      <c r="B29" s="8"/>
      <c r="C29" s="2275" t="s">
        <v>1582</v>
      </c>
      <c r="D29" s="2275">
        <v>7</v>
      </c>
      <c r="E29" s="2263" t="s">
        <v>1456</v>
      </c>
      <c r="F29" s="2263"/>
      <c r="G29" s="2263"/>
      <c r="H29" s="2263"/>
      <c r="I29" s="2263"/>
      <c r="J29" s="2263"/>
      <c r="K29" s="2263"/>
      <c r="L29" s="2263" t="s">
        <v>2178</v>
      </c>
      <c r="M29" s="2263" t="s">
        <v>2179</v>
      </c>
      <c r="N29" s="2263"/>
      <c r="O29" s="2263"/>
      <c r="P29" s="6"/>
    </row>
    <row r="30" spans="2:16">
      <c r="B30" s="8"/>
      <c r="C30" s="2275" t="s">
        <v>1588</v>
      </c>
      <c r="D30" s="2275">
        <v>8</v>
      </c>
      <c r="E30" s="2272" t="s">
        <v>1589</v>
      </c>
      <c r="F30" s="2263"/>
      <c r="G30" s="2263"/>
      <c r="H30" s="2263"/>
      <c r="I30" s="2263"/>
      <c r="J30" s="2263"/>
      <c r="K30" s="2263"/>
      <c r="L30" s="2263" t="s">
        <v>2178</v>
      </c>
      <c r="M30" s="2263" t="s">
        <v>2180</v>
      </c>
      <c r="N30" s="2263"/>
      <c r="O30" s="2263"/>
      <c r="P30" s="6"/>
    </row>
    <row r="31" spans="2:16" ht="7.5" customHeight="1">
      <c r="B31" s="9"/>
      <c r="C31" s="10"/>
      <c r="D31" s="10"/>
      <c r="E31" s="10"/>
      <c r="F31" s="10"/>
      <c r="G31" s="10"/>
      <c r="H31" s="10"/>
      <c r="I31" s="10"/>
      <c r="J31" s="10"/>
      <c r="K31" s="10"/>
      <c r="L31" s="10"/>
      <c r="M31" s="10"/>
      <c r="N31" s="10"/>
      <c r="O31" s="10"/>
      <c r="P31" s="11"/>
    </row>
    <row r="33" spans="2:18">
      <c r="B33" s="3"/>
      <c r="C33" s="3"/>
      <c r="D33" s="3"/>
      <c r="E33" s="3" t="s">
        <v>2184</v>
      </c>
    </row>
    <row r="34" spans="2:18" ht="7.5" customHeight="1">
      <c r="B34" s="7"/>
      <c r="C34" s="4"/>
      <c r="D34" s="4"/>
      <c r="E34" s="4"/>
      <c r="F34" s="4"/>
      <c r="G34" s="4"/>
      <c r="H34" s="4"/>
      <c r="I34" s="4"/>
      <c r="J34" s="4"/>
      <c r="K34" s="4"/>
      <c r="L34" s="4"/>
      <c r="M34" s="4"/>
      <c r="N34" s="4"/>
      <c r="O34" s="4"/>
      <c r="P34" s="5"/>
    </row>
    <row r="35" spans="2:18">
      <c r="B35" s="12"/>
      <c r="C35" s="2259"/>
      <c r="D35" s="2259"/>
      <c r="E35" s="2259"/>
      <c r="F35" s="2259">
        <v>2024</v>
      </c>
      <c r="G35" s="2259">
        <v>2023</v>
      </c>
      <c r="H35" s="2259" t="s">
        <v>280</v>
      </c>
      <c r="I35" s="2259"/>
      <c r="J35" s="2259"/>
      <c r="K35" s="2259"/>
      <c r="L35" s="2259"/>
      <c r="M35" s="2259"/>
      <c r="N35" s="2259"/>
      <c r="O35" s="2259"/>
      <c r="P35" s="13"/>
    </row>
    <row r="36" spans="2:18" ht="18.75">
      <c r="B36" s="8"/>
      <c r="C36" s="2276" t="s">
        <v>1606</v>
      </c>
      <c r="D36" s="2275">
        <v>0</v>
      </c>
      <c r="E36" s="2265" t="s">
        <v>1607</v>
      </c>
      <c r="F36" s="2266">
        <v>89428.709999999992</v>
      </c>
      <c r="G36" s="2266"/>
      <c r="H36" s="2266">
        <v>89428.709999999992</v>
      </c>
      <c r="I36" s="2260"/>
      <c r="J36" s="2260"/>
      <c r="K36" s="2260"/>
      <c r="L36" s="2260"/>
      <c r="M36" s="2260"/>
      <c r="N36" s="2260"/>
      <c r="O36" s="2260"/>
      <c r="P36" s="6"/>
    </row>
    <row r="37" spans="2:18">
      <c r="B37" s="8"/>
      <c r="C37" s="2276" t="s">
        <v>1610</v>
      </c>
      <c r="D37" s="2275">
        <v>1</v>
      </c>
      <c r="E37" s="2264" t="s">
        <v>1611</v>
      </c>
      <c r="F37" s="2266">
        <v>87593.59</v>
      </c>
      <c r="G37" s="2266"/>
      <c r="H37" s="2266">
        <v>87593.59</v>
      </c>
      <c r="I37" s="2260"/>
      <c r="J37" s="2260"/>
      <c r="K37" s="2260"/>
      <c r="L37" s="2260"/>
      <c r="M37" s="2260"/>
      <c r="N37" s="2260"/>
      <c r="O37" s="2260"/>
      <c r="P37" s="6"/>
    </row>
    <row r="38" spans="2:18">
      <c r="B38" s="8"/>
      <c r="C38" s="2276" t="s">
        <v>1613</v>
      </c>
      <c r="D38" s="2275">
        <v>2</v>
      </c>
      <c r="E38" s="2260" t="s">
        <v>387</v>
      </c>
      <c r="F38" s="2266">
        <v>28029.55</v>
      </c>
      <c r="G38" s="2266"/>
      <c r="H38" s="2266">
        <v>28029.55</v>
      </c>
      <c r="I38" s="2260"/>
      <c r="J38" s="2260"/>
      <c r="K38" s="2260"/>
      <c r="L38" s="2260"/>
      <c r="M38" s="2260"/>
      <c r="N38" s="2260"/>
      <c r="O38" s="2260"/>
      <c r="P38" s="6"/>
    </row>
    <row r="39" spans="2:18">
      <c r="B39" s="8"/>
      <c r="C39" s="2275" t="s">
        <v>1577</v>
      </c>
      <c r="D39" s="2275">
        <v>3</v>
      </c>
      <c r="E39" s="2273" t="s">
        <v>370</v>
      </c>
      <c r="F39" s="2266"/>
      <c r="G39" s="2266"/>
      <c r="H39" s="2266"/>
      <c r="I39" s="2260"/>
      <c r="J39" s="2260"/>
      <c r="K39" s="2260"/>
      <c r="L39" s="2260" t="s">
        <v>2178</v>
      </c>
      <c r="M39" s="2260" t="s">
        <v>2179</v>
      </c>
      <c r="N39" s="2260"/>
      <c r="O39" s="2260"/>
      <c r="P39" s="6"/>
      <c r="R39">
        <v>1</v>
      </c>
    </row>
    <row r="40" spans="2:18">
      <c r="B40" s="8"/>
      <c r="C40" s="2276" t="s">
        <v>1618</v>
      </c>
      <c r="D40" s="2275">
        <v>4</v>
      </c>
      <c r="E40" s="2260" t="s">
        <v>1619</v>
      </c>
      <c r="F40" s="2266"/>
      <c r="G40" s="2266"/>
      <c r="H40" s="2266"/>
      <c r="I40" s="2260"/>
      <c r="J40" s="2260"/>
      <c r="K40" s="2260"/>
      <c r="L40" s="2260"/>
      <c r="M40" s="2260"/>
      <c r="N40" s="2260"/>
      <c r="O40" s="2260"/>
      <c r="P40" s="6"/>
    </row>
    <row r="41" spans="2:18">
      <c r="B41" s="8"/>
      <c r="C41" s="2276" t="s">
        <v>1620</v>
      </c>
      <c r="D41" s="2275">
        <v>5</v>
      </c>
      <c r="E41" s="2260" t="s">
        <v>1621</v>
      </c>
      <c r="F41" s="2266"/>
      <c r="G41" s="2266"/>
      <c r="H41" s="2266"/>
      <c r="I41" s="2260"/>
      <c r="J41" s="2260"/>
      <c r="K41" s="2260"/>
      <c r="L41" s="2260"/>
      <c r="M41" s="2260"/>
      <c r="N41" s="2260"/>
      <c r="O41" s="2260"/>
      <c r="P41" s="6"/>
    </row>
    <row r="42" spans="2:18">
      <c r="B42" s="8"/>
      <c r="C42" s="2276" t="s">
        <v>1622</v>
      </c>
      <c r="D42" s="2275">
        <v>6</v>
      </c>
      <c r="E42" s="2260" t="s">
        <v>2185</v>
      </c>
      <c r="F42" s="2266">
        <v>59951.75</v>
      </c>
      <c r="G42" s="2266"/>
      <c r="H42" s="2266">
        <v>59951.75</v>
      </c>
      <c r="I42" s="2260"/>
      <c r="J42" s="2260"/>
      <c r="K42" s="2260"/>
      <c r="L42" s="2260"/>
      <c r="M42" s="2260"/>
      <c r="N42" s="2260"/>
      <c r="O42" s="2260"/>
      <c r="P42" s="6"/>
    </row>
    <row r="43" spans="2:18">
      <c r="B43" s="8"/>
      <c r="C43" s="2275" t="s">
        <v>1583</v>
      </c>
      <c r="D43" s="2275">
        <v>7</v>
      </c>
      <c r="E43" s="2273" t="s">
        <v>492</v>
      </c>
      <c r="F43" s="2266"/>
      <c r="G43" s="2266"/>
      <c r="H43" s="2266"/>
      <c r="I43" s="2260"/>
      <c r="J43" s="2260"/>
      <c r="K43" s="2260"/>
      <c r="L43" s="2260" t="s">
        <v>2178</v>
      </c>
      <c r="M43" s="2260" t="s">
        <v>2179</v>
      </c>
      <c r="N43" s="2260"/>
      <c r="O43" s="2260"/>
      <c r="P43" s="6"/>
      <c r="R43">
        <v>0.01</v>
      </c>
    </row>
    <row r="44" spans="2:18">
      <c r="B44" s="8"/>
      <c r="C44" s="2276" t="s">
        <v>1625</v>
      </c>
      <c r="D44" s="2275">
        <v>8</v>
      </c>
      <c r="E44" s="2260" t="s">
        <v>1626</v>
      </c>
      <c r="F44" s="2266"/>
      <c r="G44" s="2266"/>
      <c r="H44" s="2266"/>
      <c r="I44" s="2260"/>
      <c r="J44" s="2260"/>
      <c r="K44" s="2260"/>
      <c r="L44" s="2260"/>
      <c r="M44" s="2260"/>
      <c r="N44" s="2260"/>
      <c r="O44" s="2260"/>
      <c r="P44" s="6"/>
    </row>
    <row r="45" spans="2:18">
      <c r="B45" s="8"/>
      <c r="C45" s="2276" t="s">
        <v>1627</v>
      </c>
      <c r="D45" s="2275">
        <v>9</v>
      </c>
      <c r="E45" s="2260" t="s">
        <v>1628</v>
      </c>
      <c r="F45" s="2266"/>
      <c r="G45" s="2266"/>
      <c r="H45" s="2266"/>
      <c r="I45" s="2260"/>
      <c r="J45" s="2260"/>
      <c r="K45" s="2260"/>
      <c r="L45" s="2260"/>
      <c r="M45" s="2260"/>
      <c r="N45" s="2260"/>
      <c r="O45" s="2260"/>
      <c r="P45" s="6"/>
    </row>
    <row r="46" spans="2:18">
      <c r="B46" s="8"/>
      <c r="C46" s="2276" t="s">
        <v>1629</v>
      </c>
      <c r="D46" s="2275">
        <v>10</v>
      </c>
      <c r="E46" s="2260" t="s">
        <v>2186</v>
      </c>
      <c r="F46" s="2266">
        <v>-1310.44</v>
      </c>
      <c r="G46" s="2266"/>
      <c r="H46" s="2266">
        <v>-1310.44</v>
      </c>
      <c r="I46" s="2260"/>
      <c r="J46" s="2260"/>
      <c r="K46" s="2260"/>
      <c r="L46" s="2260"/>
      <c r="M46" s="2260"/>
      <c r="N46" s="2260"/>
      <c r="O46" s="2260"/>
      <c r="P46" s="6"/>
    </row>
    <row r="47" spans="2:18">
      <c r="B47" s="8"/>
      <c r="C47" s="2276" t="s">
        <v>1633</v>
      </c>
      <c r="D47" s="2275">
        <v>11</v>
      </c>
      <c r="E47" s="2260" t="s">
        <v>1634</v>
      </c>
      <c r="F47" s="2266"/>
      <c r="G47" s="2266"/>
      <c r="H47" s="2266"/>
      <c r="I47" s="2260"/>
      <c r="J47" s="2260"/>
      <c r="K47" s="2260"/>
      <c r="L47" s="2260"/>
      <c r="M47" s="2260"/>
      <c r="N47" s="2260"/>
      <c r="O47" s="2260"/>
      <c r="P47" s="6"/>
    </row>
    <row r="48" spans="2:18">
      <c r="B48" s="8"/>
      <c r="C48" s="2276" t="s">
        <v>1635</v>
      </c>
      <c r="D48" s="2275">
        <v>12</v>
      </c>
      <c r="E48" s="2260" t="s">
        <v>388</v>
      </c>
      <c r="F48" s="2266">
        <v>-314.52</v>
      </c>
      <c r="G48" s="2266"/>
      <c r="H48" s="2266">
        <v>-314.52</v>
      </c>
      <c r="I48" s="2260"/>
      <c r="J48" s="2260"/>
      <c r="K48" s="2260"/>
      <c r="L48" s="2260"/>
      <c r="M48" s="2260"/>
      <c r="N48" s="2260"/>
      <c r="O48" s="2260"/>
      <c r="P48" s="6"/>
    </row>
    <row r="49" spans="2:18">
      <c r="B49" s="8"/>
      <c r="C49" s="2275" t="s">
        <v>1584</v>
      </c>
      <c r="D49" s="2275">
        <v>13</v>
      </c>
      <c r="E49" s="2273" t="s">
        <v>370</v>
      </c>
      <c r="F49" s="2266"/>
      <c r="G49" s="2266"/>
      <c r="H49" s="2266"/>
      <c r="I49" s="2260"/>
      <c r="J49" s="2260"/>
      <c r="K49" s="2260"/>
      <c r="L49" s="2260" t="s">
        <v>2178</v>
      </c>
      <c r="M49" s="2260" t="s">
        <v>2179</v>
      </c>
      <c r="N49" s="2260"/>
      <c r="O49" s="2260"/>
      <c r="P49" s="6"/>
      <c r="R49">
        <v>1</v>
      </c>
    </row>
    <row r="50" spans="2:18">
      <c r="B50" s="8"/>
      <c r="C50" s="2276" t="s">
        <v>1638</v>
      </c>
      <c r="D50" s="2275">
        <v>14</v>
      </c>
      <c r="E50" s="2260" t="s">
        <v>1639</v>
      </c>
      <c r="F50" s="2266"/>
      <c r="G50" s="2266"/>
      <c r="H50" s="2266"/>
      <c r="I50" s="2260"/>
      <c r="J50" s="2260"/>
      <c r="K50" s="2260"/>
      <c r="L50" s="2260"/>
      <c r="M50" s="2260"/>
      <c r="N50" s="2260"/>
      <c r="O50" s="2260"/>
      <c r="P50" s="6"/>
    </row>
    <row r="51" spans="2:18">
      <c r="B51" s="8"/>
      <c r="C51" s="2276" t="s">
        <v>1640</v>
      </c>
      <c r="D51" s="2275">
        <v>15</v>
      </c>
      <c r="E51" s="2260" t="s">
        <v>1641</v>
      </c>
      <c r="F51" s="2266"/>
      <c r="G51" s="2266"/>
      <c r="H51" s="2266"/>
      <c r="I51" s="2260"/>
      <c r="J51" s="2260"/>
      <c r="K51" s="2260"/>
      <c r="L51" s="2260"/>
      <c r="M51" s="2260"/>
      <c r="N51" s="2260"/>
      <c r="O51" s="2260"/>
      <c r="P51" s="6"/>
    </row>
    <row r="52" spans="2:18">
      <c r="B52" s="8"/>
      <c r="C52" s="2276" t="s">
        <v>1642</v>
      </c>
      <c r="D52" s="2275">
        <v>16</v>
      </c>
      <c r="E52" s="2260" t="s">
        <v>389</v>
      </c>
      <c r="F52" s="2266">
        <v>1237.25</v>
      </c>
      <c r="G52" s="2266"/>
      <c r="H52" s="2266">
        <v>1237.25</v>
      </c>
      <c r="I52" s="2260"/>
      <c r="J52" s="2260"/>
      <c r="K52" s="2260"/>
      <c r="L52" s="2260"/>
      <c r="M52" s="2260"/>
      <c r="N52" s="2260"/>
      <c r="O52" s="2260"/>
      <c r="P52" s="6"/>
    </row>
    <row r="53" spans="2:18">
      <c r="B53" s="8"/>
      <c r="C53" s="2275" t="s">
        <v>1601</v>
      </c>
      <c r="D53" s="2275">
        <v>17</v>
      </c>
      <c r="E53" s="2273" t="s">
        <v>370</v>
      </c>
      <c r="F53" s="2266"/>
      <c r="G53" s="2266"/>
      <c r="H53" s="2266"/>
      <c r="I53" s="2260"/>
      <c r="J53" s="2260"/>
      <c r="K53" s="2260"/>
      <c r="L53" s="2260" t="s">
        <v>2178</v>
      </c>
      <c r="M53" s="2260" t="s">
        <v>2179</v>
      </c>
      <c r="N53" s="2260"/>
      <c r="O53" s="2260"/>
      <c r="P53" s="6"/>
      <c r="R53">
        <v>1</v>
      </c>
    </row>
    <row r="54" spans="2:18">
      <c r="B54" s="8"/>
      <c r="C54" s="2276" t="s">
        <v>1645</v>
      </c>
      <c r="D54" s="2275">
        <v>18</v>
      </c>
      <c r="E54" s="2260" t="s">
        <v>1646</v>
      </c>
      <c r="F54" s="2266"/>
      <c r="G54" s="2266"/>
      <c r="H54" s="2266"/>
      <c r="I54" s="2260"/>
      <c r="J54" s="2260"/>
      <c r="K54" s="2260"/>
      <c r="L54" s="2260"/>
      <c r="M54" s="2260"/>
      <c r="N54" s="2260"/>
      <c r="O54" s="2260"/>
      <c r="P54" s="6"/>
    </row>
    <row r="55" spans="2:18">
      <c r="B55" s="8"/>
      <c r="C55" s="2276" t="s">
        <v>1647</v>
      </c>
      <c r="D55" s="2275">
        <v>19</v>
      </c>
      <c r="E55" s="2260" t="s">
        <v>1648</v>
      </c>
      <c r="F55" s="2266"/>
      <c r="G55" s="2266"/>
      <c r="H55" s="2266"/>
      <c r="I55" s="2260"/>
      <c r="J55" s="2260"/>
      <c r="K55" s="2260"/>
      <c r="L55" s="2260"/>
      <c r="M55" s="2260"/>
      <c r="N55" s="2260"/>
      <c r="O55" s="2260"/>
      <c r="P55" s="6"/>
    </row>
    <row r="56" spans="2:18">
      <c r="B56" s="8"/>
      <c r="C56" s="2276" t="s">
        <v>1649</v>
      </c>
      <c r="D56" s="2275">
        <v>20</v>
      </c>
      <c r="E56" s="2260" t="s">
        <v>1650</v>
      </c>
      <c r="F56" s="2266"/>
      <c r="G56" s="2266"/>
      <c r="H56" s="2266"/>
      <c r="I56" s="2260"/>
      <c r="J56" s="2260"/>
      <c r="K56" s="2260"/>
      <c r="L56" s="2260"/>
      <c r="M56" s="2260"/>
      <c r="N56" s="2260"/>
      <c r="O56" s="2260"/>
      <c r="P56" s="6"/>
    </row>
    <row r="57" spans="2:18">
      <c r="B57" s="8"/>
      <c r="C57" s="2276" t="s">
        <v>1651</v>
      </c>
      <c r="D57" s="2275">
        <v>21</v>
      </c>
      <c r="E57" s="2264" t="s">
        <v>1652</v>
      </c>
      <c r="F57" s="2267">
        <v>87593.59</v>
      </c>
      <c r="G57" s="2267"/>
      <c r="H57" s="2267">
        <v>87593.59</v>
      </c>
      <c r="I57" s="2260"/>
      <c r="J57" s="2260"/>
      <c r="K57" s="2260"/>
      <c r="L57" s="2260"/>
      <c r="M57" s="2260"/>
      <c r="N57" s="2260"/>
      <c r="O57" s="2260"/>
      <c r="P57" s="6"/>
    </row>
    <row r="58" spans="2:18">
      <c r="B58" s="8"/>
      <c r="C58" s="2276" t="s">
        <v>1653</v>
      </c>
      <c r="D58" s="2275">
        <v>22</v>
      </c>
      <c r="E58" s="2264" t="s">
        <v>1654</v>
      </c>
      <c r="F58" s="2266">
        <v>1835.12</v>
      </c>
      <c r="G58" s="2266"/>
      <c r="H58" s="2266">
        <v>1835.12</v>
      </c>
      <c r="I58" s="2260"/>
      <c r="J58" s="2260"/>
      <c r="K58" s="2260"/>
      <c r="L58" s="2260"/>
      <c r="M58" s="2260"/>
      <c r="N58" s="2260"/>
      <c r="O58" s="2260"/>
      <c r="P58" s="6"/>
    </row>
    <row r="59" spans="2:18">
      <c r="B59" s="8"/>
      <c r="C59" s="2276" t="s">
        <v>1656</v>
      </c>
      <c r="D59" s="2275">
        <v>23</v>
      </c>
      <c r="E59" s="2260" t="s">
        <v>2187</v>
      </c>
      <c r="F59" s="2266">
        <v>739.67</v>
      </c>
      <c r="G59" s="2266"/>
      <c r="H59" s="2266">
        <v>739.67</v>
      </c>
      <c r="I59" s="2260"/>
      <c r="J59" s="2260"/>
      <c r="K59" s="2260"/>
      <c r="L59" s="2260"/>
      <c r="M59" s="2260"/>
      <c r="N59" s="2260"/>
      <c r="O59" s="2260"/>
      <c r="P59" s="6"/>
    </row>
    <row r="60" spans="2:18">
      <c r="B60" s="8"/>
      <c r="C60" s="2276" t="s">
        <v>1660</v>
      </c>
      <c r="D60" s="2275">
        <v>24</v>
      </c>
      <c r="E60" s="2260" t="s">
        <v>2188</v>
      </c>
      <c r="F60" s="2266">
        <v>1095.45</v>
      </c>
      <c r="G60" s="2266"/>
      <c r="H60" s="2266">
        <v>1095.45</v>
      </c>
      <c r="I60" s="2260"/>
      <c r="J60" s="2260"/>
      <c r="K60" s="2260"/>
      <c r="L60" s="2260"/>
      <c r="M60" s="2260"/>
      <c r="N60" s="2260"/>
      <c r="O60" s="2260"/>
      <c r="P60" s="6"/>
    </row>
    <row r="61" spans="2:18">
      <c r="B61" s="8"/>
      <c r="C61" s="2276" t="s">
        <v>1664</v>
      </c>
      <c r="D61" s="2275">
        <v>25</v>
      </c>
      <c r="E61" s="2260" t="s">
        <v>1665</v>
      </c>
      <c r="F61" s="2266"/>
      <c r="G61" s="2266"/>
      <c r="H61" s="2266"/>
      <c r="I61" s="2260"/>
      <c r="J61" s="2260"/>
      <c r="K61" s="2260"/>
      <c r="L61" s="2260"/>
      <c r="M61" s="2260"/>
      <c r="N61" s="2260"/>
      <c r="O61" s="2260"/>
      <c r="P61" s="6"/>
    </row>
    <row r="62" spans="2:18">
      <c r="B62" s="8"/>
      <c r="C62" s="2276" t="s">
        <v>1666</v>
      </c>
      <c r="D62" s="2275">
        <v>26</v>
      </c>
      <c r="E62" s="2260" t="s">
        <v>1667</v>
      </c>
      <c r="F62" s="2266"/>
      <c r="G62" s="2266"/>
      <c r="H62" s="2266"/>
      <c r="I62" s="2260"/>
      <c r="J62" s="2260"/>
      <c r="K62" s="2260"/>
      <c r="L62" s="2260"/>
      <c r="M62" s="2260"/>
      <c r="N62" s="2260"/>
      <c r="O62" s="2260"/>
      <c r="P62" s="6"/>
    </row>
    <row r="63" spans="2:18">
      <c r="B63" s="8"/>
      <c r="C63" s="2276" t="s">
        <v>1668</v>
      </c>
      <c r="D63" s="2275">
        <v>27</v>
      </c>
      <c r="E63" s="2264" t="s">
        <v>1669</v>
      </c>
      <c r="F63" s="2267">
        <v>1835.12</v>
      </c>
      <c r="G63" s="2267"/>
      <c r="H63" s="2267">
        <v>1835.12</v>
      </c>
      <c r="I63" s="2260"/>
      <c r="J63" s="2260"/>
      <c r="K63" s="2260"/>
      <c r="L63" s="2260"/>
      <c r="M63" s="2260"/>
      <c r="N63" s="2260"/>
      <c r="O63" s="2260"/>
      <c r="P63" s="6"/>
    </row>
    <row r="64" spans="2:18">
      <c r="B64" s="8"/>
      <c r="C64" s="2276" t="s">
        <v>1670</v>
      </c>
      <c r="D64" s="2275">
        <v>28</v>
      </c>
      <c r="E64" s="2264" t="s">
        <v>1671</v>
      </c>
      <c r="F64" s="2267">
        <v>89428.709999999992</v>
      </c>
      <c r="G64" s="2267"/>
      <c r="H64" s="2267">
        <v>89428.709999999992</v>
      </c>
      <c r="I64" s="2260"/>
      <c r="J64" s="2260"/>
      <c r="K64" s="2260"/>
      <c r="L64" s="2260"/>
      <c r="M64" s="2260"/>
      <c r="N64" s="2260"/>
      <c r="O64" s="2260"/>
      <c r="P64" s="6"/>
    </row>
    <row r="65" spans="2:18" ht="18.75">
      <c r="B65" s="8"/>
      <c r="C65" s="2276" t="s">
        <v>1672</v>
      </c>
      <c r="D65" s="2275">
        <v>29</v>
      </c>
      <c r="E65" s="2265" t="s">
        <v>1673</v>
      </c>
      <c r="F65" s="2266">
        <v>-8356.49</v>
      </c>
      <c r="G65" s="2266"/>
      <c r="H65" s="2266">
        <v>-8356.49</v>
      </c>
      <c r="I65" s="2260"/>
      <c r="J65" s="2260"/>
      <c r="K65" s="2260"/>
      <c r="L65" s="2260"/>
      <c r="M65" s="2260"/>
      <c r="N65" s="2260"/>
      <c r="O65" s="2260"/>
      <c r="P65" s="6"/>
    </row>
    <row r="66" spans="2:18">
      <c r="B66" s="8"/>
      <c r="C66" s="2276" t="s">
        <v>1675</v>
      </c>
      <c r="D66" s="2275">
        <v>30</v>
      </c>
      <c r="E66" s="2264" t="s">
        <v>1676</v>
      </c>
      <c r="F66" s="2266">
        <v>-8356.49</v>
      </c>
      <c r="G66" s="2266"/>
      <c r="H66" s="2266">
        <v>-8356.49</v>
      </c>
      <c r="I66" s="2260"/>
      <c r="J66" s="2260"/>
      <c r="K66" s="2260"/>
      <c r="L66" s="2260"/>
      <c r="M66" s="2260"/>
      <c r="N66" s="2260"/>
      <c r="O66" s="2260"/>
      <c r="P66" s="6"/>
    </row>
    <row r="67" spans="2:18">
      <c r="B67" s="8"/>
      <c r="C67" s="2276" t="s">
        <v>1678</v>
      </c>
      <c r="D67" s="2275">
        <v>31</v>
      </c>
      <c r="E67" s="2260" t="s">
        <v>2189</v>
      </c>
      <c r="F67" s="2266">
        <v>8032</v>
      </c>
      <c r="G67" s="2266"/>
      <c r="H67" s="2266">
        <v>8032</v>
      </c>
      <c r="I67" s="2260"/>
      <c r="J67" s="2260"/>
      <c r="K67" s="2260"/>
      <c r="L67" s="2260"/>
      <c r="M67" s="2260"/>
      <c r="N67" s="2260"/>
      <c r="O67" s="2260"/>
      <c r="P67" s="6"/>
    </row>
    <row r="68" spans="2:18">
      <c r="B68" s="8"/>
      <c r="C68" s="2276" t="s">
        <v>1682</v>
      </c>
      <c r="D68" s="2275">
        <v>32</v>
      </c>
      <c r="E68" s="2260" t="s">
        <v>1683</v>
      </c>
      <c r="F68" s="2266"/>
      <c r="G68" s="2266"/>
      <c r="H68" s="2266"/>
      <c r="I68" s="2260"/>
      <c r="J68" s="2260"/>
      <c r="K68" s="2260"/>
      <c r="L68" s="2260"/>
      <c r="M68" s="2260"/>
      <c r="N68" s="2260"/>
      <c r="O68" s="2260"/>
      <c r="P68" s="6"/>
    </row>
    <row r="69" spans="2:18">
      <c r="B69" s="8"/>
      <c r="C69" s="2276" t="s">
        <v>1684</v>
      </c>
      <c r="D69" s="2275">
        <v>33</v>
      </c>
      <c r="E69" s="2260" t="s">
        <v>1685</v>
      </c>
      <c r="F69" s="2266"/>
      <c r="G69" s="2266"/>
      <c r="H69" s="2266"/>
      <c r="I69" s="2260"/>
      <c r="J69" s="2260"/>
      <c r="K69" s="2260"/>
      <c r="L69" s="2260"/>
      <c r="M69" s="2260"/>
      <c r="N69" s="2260"/>
      <c r="O69" s="2260"/>
      <c r="P69" s="6"/>
    </row>
    <row r="70" spans="2:18">
      <c r="B70" s="8"/>
      <c r="C70" s="2276" t="s">
        <v>1686</v>
      </c>
      <c r="D70" s="2275">
        <v>34</v>
      </c>
      <c r="E70" s="2260" t="s">
        <v>2190</v>
      </c>
      <c r="F70" s="2266">
        <v>507</v>
      </c>
      <c r="G70" s="2266"/>
      <c r="H70" s="2266">
        <v>507</v>
      </c>
      <c r="I70" s="2260"/>
      <c r="J70" s="2260"/>
      <c r="K70" s="2260"/>
      <c r="L70" s="2260"/>
      <c r="M70" s="2260"/>
      <c r="N70" s="2260"/>
      <c r="O70" s="2260"/>
      <c r="P70" s="6"/>
    </row>
    <row r="71" spans="2:18">
      <c r="B71" s="8"/>
      <c r="C71" s="2276" t="s">
        <v>1688</v>
      </c>
      <c r="D71" s="2275">
        <v>35</v>
      </c>
      <c r="E71" s="2260" t="s">
        <v>2191</v>
      </c>
      <c r="F71" s="2266">
        <v>1302.08</v>
      </c>
      <c r="G71" s="2266"/>
      <c r="H71" s="2266">
        <v>1302.08</v>
      </c>
      <c r="I71" s="2260"/>
      <c r="J71" s="2260"/>
      <c r="K71" s="2260"/>
      <c r="L71" s="2260"/>
      <c r="M71" s="2260"/>
      <c r="N71" s="2260"/>
      <c r="O71" s="2260"/>
      <c r="P71" s="6"/>
    </row>
    <row r="72" spans="2:18">
      <c r="B72" s="8"/>
      <c r="C72" s="2276" t="s">
        <v>1690</v>
      </c>
      <c r="D72" s="2275">
        <v>36</v>
      </c>
      <c r="E72" s="2260" t="s">
        <v>611</v>
      </c>
      <c r="F72" s="2266">
        <v>11071.92</v>
      </c>
      <c r="G72" s="2266"/>
      <c r="H72" s="2266">
        <v>11071.92</v>
      </c>
      <c r="I72" s="2260"/>
      <c r="J72" s="2260"/>
      <c r="K72" s="2260"/>
      <c r="L72" s="2260"/>
      <c r="M72" s="2260"/>
      <c r="N72" s="2260"/>
      <c r="O72" s="2260"/>
      <c r="P72" s="6"/>
    </row>
    <row r="73" spans="2:18">
      <c r="B73" s="8"/>
      <c r="C73" s="2275" t="s">
        <v>1590</v>
      </c>
      <c r="D73" s="2275">
        <v>37</v>
      </c>
      <c r="E73" s="2273" t="s">
        <v>1591</v>
      </c>
      <c r="F73" s="2266"/>
      <c r="G73" s="2266"/>
      <c r="H73" s="2266"/>
      <c r="I73" s="2260"/>
      <c r="J73" s="2260"/>
      <c r="K73" s="2260"/>
      <c r="L73" s="2260" t="s">
        <v>2178</v>
      </c>
      <c r="M73" s="2260" t="s">
        <v>2179</v>
      </c>
      <c r="N73" s="2260"/>
      <c r="O73" s="2260"/>
      <c r="P73" s="6"/>
      <c r="R73">
        <v>10</v>
      </c>
    </row>
    <row r="74" spans="2:18">
      <c r="B74" s="8"/>
      <c r="C74" s="2276" t="s">
        <v>1693</v>
      </c>
      <c r="D74" s="2275">
        <v>38</v>
      </c>
      <c r="E74" s="2260" t="s">
        <v>2192</v>
      </c>
      <c r="F74" s="2266">
        <v>1668</v>
      </c>
      <c r="G74" s="2266"/>
      <c r="H74" s="2266">
        <v>1668</v>
      </c>
      <c r="I74" s="2260"/>
      <c r="J74" s="2260"/>
      <c r="K74" s="2260"/>
      <c r="L74" s="2260"/>
      <c r="M74" s="2260"/>
      <c r="N74" s="2260"/>
      <c r="O74" s="2260"/>
      <c r="P74" s="6"/>
    </row>
    <row r="75" spans="2:18">
      <c r="B75" s="8"/>
      <c r="C75" s="2275" t="s">
        <v>1599</v>
      </c>
      <c r="D75" s="2275">
        <v>39</v>
      </c>
      <c r="E75" s="2273" t="s">
        <v>1600</v>
      </c>
      <c r="F75" s="2266"/>
      <c r="G75" s="2266"/>
      <c r="H75" s="2266"/>
      <c r="I75" s="2260"/>
      <c r="J75" s="2260"/>
      <c r="K75" s="2260"/>
      <c r="L75" s="2260" t="s">
        <v>2178</v>
      </c>
      <c r="M75" s="2260" t="s">
        <v>2179</v>
      </c>
      <c r="N75" s="2260"/>
      <c r="O75" s="2260"/>
      <c r="P75" s="6"/>
      <c r="R75">
        <v>0.01</v>
      </c>
    </row>
    <row r="76" spans="2:18">
      <c r="B76" s="8"/>
      <c r="C76" s="2276" t="s">
        <v>1697</v>
      </c>
      <c r="D76" s="2275">
        <v>40</v>
      </c>
      <c r="E76" s="2260" t="s">
        <v>2193</v>
      </c>
      <c r="F76" s="2266">
        <v>1226.93</v>
      </c>
      <c r="G76" s="2266"/>
      <c r="H76" s="2266">
        <v>1226.93</v>
      </c>
      <c r="I76" s="2260"/>
      <c r="J76" s="2260"/>
      <c r="K76" s="2260"/>
      <c r="L76" s="2260"/>
      <c r="M76" s="2260"/>
      <c r="N76" s="2260"/>
      <c r="O76" s="2260"/>
      <c r="P76" s="6"/>
    </row>
    <row r="77" spans="2:18">
      <c r="B77" s="8"/>
      <c r="C77" s="2275" t="s">
        <v>1595</v>
      </c>
      <c r="D77" s="2275">
        <v>41</v>
      </c>
      <c r="E77" s="2273" t="s">
        <v>682</v>
      </c>
      <c r="F77" s="2266"/>
      <c r="G77" s="2266"/>
      <c r="H77" s="2266"/>
      <c r="I77" s="2260"/>
      <c r="J77" s="2260"/>
      <c r="K77" s="2260"/>
      <c r="L77" s="2260" t="s">
        <v>2178</v>
      </c>
      <c r="M77" s="2260" t="s">
        <v>2179</v>
      </c>
      <c r="N77" s="2260"/>
      <c r="O77" s="2260"/>
      <c r="P77" s="6"/>
      <c r="R77">
        <v>0.01</v>
      </c>
    </row>
    <row r="78" spans="2:18">
      <c r="B78" s="8"/>
      <c r="C78" s="2276" t="s">
        <v>1698</v>
      </c>
      <c r="D78" s="2275">
        <v>42</v>
      </c>
      <c r="E78" s="2260" t="s">
        <v>1699</v>
      </c>
      <c r="F78" s="2266"/>
      <c r="G78" s="2266"/>
      <c r="H78" s="2266"/>
      <c r="I78" s="2260"/>
      <c r="J78" s="2260"/>
      <c r="K78" s="2260"/>
      <c r="L78" s="2260"/>
      <c r="M78" s="2260"/>
      <c r="N78" s="2260"/>
      <c r="O78" s="2260"/>
      <c r="P78" s="6"/>
    </row>
    <row r="79" spans="2:18">
      <c r="B79" s="8"/>
      <c r="C79" s="2276" t="s">
        <v>1700</v>
      </c>
      <c r="D79" s="2275">
        <v>43</v>
      </c>
      <c r="E79" s="2260" t="s">
        <v>1701</v>
      </c>
      <c r="F79" s="2266"/>
      <c r="G79" s="2266"/>
      <c r="H79" s="2266"/>
      <c r="I79" s="2260"/>
      <c r="J79" s="2260"/>
      <c r="K79" s="2260"/>
      <c r="L79" s="2260"/>
      <c r="M79" s="2260"/>
      <c r="N79" s="2260"/>
      <c r="O79" s="2260"/>
      <c r="P79" s="6"/>
    </row>
    <row r="80" spans="2:18">
      <c r="B80" s="8"/>
      <c r="C80" s="2276" t="s">
        <v>1702</v>
      </c>
      <c r="D80" s="2275">
        <v>44</v>
      </c>
      <c r="E80" s="2260" t="s">
        <v>629</v>
      </c>
      <c r="F80" s="2266">
        <v>-250</v>
      </c>
      <c r="G80" s="2266"/>
      <c r="H80" s="2266">
        <v>-250</v>
      </c>
      <c r="I80" s="2260"/>
      <c r="J80" s="2260"/>
      <c r="K80" s="2260"/>
      <c r="L80" s="2260"/>
      <c r="M80" s="2260"/>
      <c r="N80" s="2260"/>
      <c r="O80" s="2260"/>
      <c r="P80" s="6"/>
    </row>
    <row r="81" spans="2:18">
      <c r="B81" s="8"/>
      <c r="C81" s="2275" t="s">
        <v>1597</v>
      </c>
      <c r="D81" s="2275">
        <v>45</v>
      </c>
      <c r="E81" s="2273" t="s">
        <v>627</v>
      </c>
      <c r="F81" s="2266"/>
      <c r="G81" s="2266"/>
      <c r="H81" s="2266"/>
      <c r="I81" s="2260"/>
      <c r="J81" s="2260"/>
      <c r="K81" s="2260"/>
      <c r="L81" s="2260" t="s">
        <v>2178</v>
      </c>
      <c r="M81" s="2260" t="s">
        <v>2179</v>
      </c>
      <c r="N81" s="2260"/>
      <c r="O81" s="2260"/>
      <c r="P81" s="6"/>
      <c r="R81">
        <v>0.01</v>
      </c>
    </row>
    <row r="82" spans="2:18">
      <c r="B82" s="8"/>
      <c r="C82" s="2276" t="s">
        <v>1705</v>
      </c>
      <c r="D82" s="2275">
        <v>46</v>
      </c>
      <c r="E82" s="2260" t="s">
        <v>1706</v>
      </c>
      <c r="F82" s="2266"/>
      <c r="G82" s="2266"/>
      <c r="H82" s="2266"/>
      <c r="I82" s="2260"/>
      <c r="J82" s="2260"/>
      <c r="K82" s="2260"/>
      <c r="L82" s="2260"/>
      <c r="M82" s="2260"/>
      <c r="N82" s="2260"/>
      <c r="O82" s="2260"/>
      <c r="P82" s="6"/>
    </row>
    <row r="83" spans="2:18">
      <c r="B83" s="8"/>
      <c r="C83" s="2276" t="s">
        <v>1707</v>
      </c>
      <c r="D83" s="2275">
        <v>47</v>
      </c>
      <c r="E83" s="2260" t="s">
        <v>1708</v>
      </c>
      <c r="F83" s="2266"/>
      <c r="G83" s="2266"/>
      <c r="H83" s="2266"/>
      <c r="I83" s="2260"/>
      <c r="J83" s="2260"/>
      <c r="K83" s="2260"/>
      <c r="L83" s="2260"/>
      <c r="M83" s="2260"/>
      <c r="N83" s="2260"/>
      <c r="O83" s="2260"/>
      <c r="P83" s="6"/>
    </row>
    <row r="84" spans="2:18">
      <c r="B84" s="8"/>
      <c r="C84" s="2276" t="s">
        <v>1709</v>
      </c>
      <c r="D84" s="2275">
        <v>48</v>
      </c>
      <c r="E84" s="2260" t="s">
        <v>2194</v>
      </c>
      <c r="F84" s="2266">
        <v>-20026.66</v>
      </c>
      <c r="G84" s="2266"/>
      <c r="H84" s="2266">
        <v>-20026.66</v>
      </c>
      <c r="I84" s="2260"/>
      <c r="J84" s="2260"/>
      <c r="K84" s="2260"/>
      <c r="L84" s="2260"/>
      <c r="M84" s="2260"/>
      <c r="N84" s="2260"/>
      <c r="O84" s="2260"/>
      <c r="P84" s="6"/>
    </row>
    <row r="85" spans="2:18">
      <c r="B85" s="8"/>
      <c r="C85" s="2276" t="s">
        <v>1711</v>
      </c>
      <c r="D85" s="2275">
        <v>49</v>
      </c>
      <c r="E85" s="2260" t="s">
        <v>2195</v>
      </c>
      <c r="F85" s="2266">
        <v>1</v>
      </c>
      <c r="G85" s="2266"/>
      <c r="H85" s="2266">
        <v>1</v>
      </c>
      <c r="I85" s="2260"/>
      <c r="J85" s="2260"/>
      <c r="K85" s="2260"/>
      <c r="L85" s="2260"/>
      <c r="M85" s="2260"/>
      <c r="N85" s="2260"/>
      <c r="O85" s="2260"/>
      <c r="P85" s="6"/>
    </row>
    <row r="86" spans="2:18">
      <c r="B86" s="8"/>
      <c r="C86" s="2276" t="s">
        <v>1713</v>
      </c>
      <c r="D86" s="2275">
        <v>50</v>
      </c>
      <c r="E86" s="2260" t="s">
        <v>415</v>
      </c>
      <c r="F86" s="2266">
        <v>-11888.76</v>
      </c>
      <c r="G86" s="2266"/>
      <c r="H86" s="2266">
        <v>-11888.76</v>
      </c>
      <c r="I86" s="2260"/>
      <c r="J86" s="2260"/>
      <c r="K86" s="2260"/>
      <c r="L86" s="2260"/>
      <c r="M86" s="2260"/>
      <c r="N86" s="2260"/>
      <c r="O86" s="2260"/>
      <c r="P86" s="6"/>
    </row>
    <row r="87" spans="2:18">
      <c r="B87" s="8"/>
      <c r="C87" s="2275" t="s">
        <v>1578</v>
      </c>
      <c r="D87" s="2275">
        <v>51</v>
      </c>
      <c r="E87" s="2273" t="s">
        <v>1579</v>
      </c>
      <c r="F87" s="2266"/>
      <c r="G87" s="2266"/>
      <c r="H87" s="2266"/>
      <c r="I87" s="2260"/>
      <c r="J87" s="2260"/>
      <c r="K87" s="2260"/>
      <c r="L87" s="2260" t="s">
        <v>2178</v>
      </c>
      <c r="M87" s="2260" t="s">
        <v>2179</v>
      </c>
      <c r="N87" s="2260"/>
      <c r="O87" s="2260"/>
      <c r="P87" s="6"/>
      <c r="R87">
        <v>0.01</v>
      </c>
    </row>
    <row r="88" spans="2:18">
      <c r="B88" s="8"/>
      <c r="C88" s="2276" t="s">
        <v>1717</v>
      </c>
      <c r="D88" s="2275">
        <v>52</v>
      </c>
      <c r="E88" s="2260" t="s">
        <v>1718</v>
      </c>
      <c r="F88" s="2266"/>
      <c r="G88" s="2266"/>
      <c r="H88" s="2266"/>
      <c r="I88" s="2260"/>
      <c r="J88" s="2260"/>
      <c r="K88" s="2260"/>
      <c r="L88" s="2260"/>
      <c r="M88" s="2260"/>
      <c r="N88" s="2260"/>
      <c r="O88" s="2260"/>
      <c r="P88" s="6"/>
    </row>
    <row r="89" spans="2:18">
      <c r="B89" s="8"/>
      <c r="C89" s="2276" t="s">
        <v>1719</v>
      </c>
      <c r="D89" s="2275">
        <v>53</v>
      </c>
      <c r="E89" s="2260" t="s">
        <v>1720</v>
      </c>
      <c r="F89" s="2266"/>
      <c r="G89" s="2266"/>
      <c r="H89" s="2266"/>
      <c r="I89" s="2260"/>
      <c r="J89" s="2260"/>
      <c r="K89" s="2260"/>
      <c r="L89" s="2260"/>
      <c r="M89" s="2260"/>
      <c r="N89" s="2260"/>
      <c r="O89" s="2260"/>
      <c r="P89" s="6"/>
    </row>
    <row r="90" spans="2:18">
      <c r="B90" s="8"/>
      <c r="C90" s="2276" t="s">
        <v>1721</v>
      </c>
      <c r="D90" s="2275">
        <v>54</v>
      </c>
      <c r="E90" s="2260" t="s">
        <v>1722</v>
      </c>
      <c r="F90" s="2266"/>
      <c r="G90" s="2266"/>
      <c r="H90" s="2266"/>
      <c r="I90" s="2260"/>
      <c r="J90" s="2260"/>
      <c r="K90" s="2260"/>
      <c r="L90" s="2260"/>
      <c r="M90" s="2260"/>
      <c r="N90" s="2260"/>
      <c r="O90" s="2260"/>
      <c r="P90" s="6"/>
    </row>
    <row r="91" spans="2:18">
      <c r="B91" s="8"/>
      <c r="C91" s="2276" t="s">
        <v>1723</v>
      </c>
      <c r="D91" s="2275">
        <v>55</v>
      </c>
      <c r="E91" s="2260" t="s">
        <v>1724</v>
      </c>
      <c r="F91" s="2266"/>
      <c r="G91" s="2266"/>
      <c r="H91" s="2266"/>
      <c r="I91" s="2260"/>
      <c r="J91" s="2260"/>
      <c r="K91" s="2260"/>
      <c r="L91" s="2260"/>
      <c r="M91" s="2260"/>
      <c r="N91" s="2260"/>
      <c r="O91" s="2260"/>
      <c r="P91" s="6"/>
    </row>
    <row r="92" spans="2:18">
      <c r="B92" s="8"/>
      <c r="C92" s="2276" t="s">
        <v>1725</v>
      </c>
      <c r="D92" s="2275">
        <v>56</v>
      </c>
      <c r="E92" s="2260" t="s">
        <v>1726</v>
      </c>
      <c r="F92" s="2266"/>
      <c r="G92" s="2266"/>
      <c r="H92" s="2266"/>
      <c r="I92" s="2260"/>
      <c r="J92" s="2260"/>
      <c r="K92" s="2260"/>
      <c r="L92" s="2260"/>
      <c r="M92" s="2260"/>
      <c r="N92" s="2260"/>
      <c r="O92" s="2260"/>
      <c r="P92" s="6"/>
    </row>
    <row r="93" spans="2:18">
      <c r="B93" s="8"/>
      <c r="C93" s="2276" t="s">
        <v>1727</v>
      </c>
      <c r="D93" s="2275">
        <v>57</v>
      </c>
      <c r="E93" s="2260" t="s">
        <v>1728</v>
      </c>
      <c r="F93" s="2266"/>
      <c r="G93" s="2266"/>
      <c r="H93" s="2266"/>
      <c r="I93" s="2260"/>
      <c r="J93" s="2260"/>
      <c r="K93" s="2260"/>
      <c r="L93" s="2260"/>
      <c r="M93" s="2260"/>
      <c r="N93" s="2260"/>
      <c r="O93" s="2260"/>
      <c r="P93" s="6"/>
    </row>
    <row r="94" spans="2:18">
      <c r="B94" s="8"/>
      <c r="C94" s="2276" t="s">
        <v>1729</v>
      </c>
      <c r="D94" s="2275">
        <v>58</v>
      </c>
      <c r="E94" s="2260" t="s">
        <v>1730</v>
      </c>
      <c r="F94" s="2266"/>
      <c r="G94" s="2266"/>
      <c r="H94" s="2266"/>
      <c r="I94" s="2260"/>
      <c r="J94" s="2260"/>
      <c r="K94" s="2260"/>
      <c r="L94" s="2260"/>
      <c r="M94" s="2260"/>
      <c r="N94" s="2260"/>
      <c r="O94" s="2260"/>
      <c r="P94" s="6"/>
    </row>
    <row r="95" spans="2:18">
      <c r="B95" s="8"/>
      <c r="C95" s="2276" t="s">
        <v>1731</v>
      </c>
      <c r="D95" s="2275">
        <v>59</v>
      </c>
      <c r="E95" s="2264" t="s">
        <v>1732</v>
      </c>
      <c r="F95" s="2267">
        <v>-8356.49</v>
      </c>
      <c r="G95" s="2267"/>
      <c r="H95" s="2267">
        <v>-8356.49</v>
      </c>
      <c r="I95" s="2260"/>
      <c r="J95" s="2260"/>
      <c r="K95" s="2260"/>
      <c r="L95" s="2260"/>
      <c r="M95" s="2260"/>
      <c r="N95" s="2260"/>
      <c r="O95" s="2260"/>
      <c r="P95" s="6"/>
    </row>
    <row r="96" spans="2:18">
      <c r="B96" s="8"/>
      <c r="C96" s="2276" t="s">
        <v>1733</v>
      </c>
      <c r="D96" s="2275">
        <v>60</v>
      </c>
      <c r="E96" s="2264" t="s">
        <v>1734</v>
      </c>
      <c r="F96" s="2266"/>
      <c r="G96" s="2266"/>
      <c r="H96" s="2266"/>
      <c r="I96" s="2260"/>
      <c r="J96" s="2260"/>
      <c r="K96" s="2260"/>
      <c r="L96" s="2260"/>
      <c r="M96" s="2260"/>
      <c r="N96" s="2260"/>
      <c r="O96" s="2260"/>
      <c r="P96" s="6"/>
    </row>
    <row r="97" spans="2:16">
      <c r="B97" s="8"/>
      <c r="C97" s="2276" t="s">
        <v>1736</v>
      </c>
      <c r="D97" s="2275">
        <v>61</v>
      </c>
      <c r="E97" s="2264" t="s">
        <v>1737</v>
      </c>
      <c r="F97" s="2267"/>
      <c r="G97" s="2267"/>
      <c r="H97" s="2267"/>
      <c r="I97" s="2260"/>
      <c r="J97" s="2260"/>
      <c r="K97" s="2260"/>
      <c r="L97" s="2260"/>
      <c r="M97" s="2260"/>
      <c r="N97" s="2260"/>
      <c r="O97" s="2260"/>
      <c r="P97" s="6"/>
    </row>
    <row r="98" spans="2:16">
      <c r="B98" s="8"/>
      <c r="C98" s="2276" t="s">
        <v>1738</v>
      </c>
      <c r="D98" s="2275">
        <v>62</v>
      </c>
      <c r="E98" s="2264" t="s">
        <v>1739</v>
      </c>
      <c r="F98" s="2267">
        <v>-8356.49</v>
      </c>
      <c r="G98" s="2267"/>
      <c r="H98" s="2267">
        <v>-8356.49</v>
      </c>
      <c r="I98" s="2260"/>
      <c r="J98" s="2260"/>
      <c r="K98" s="2260"/>
      <c r="L98" s="2260"/>
      <c r="M98" s="2260"/>
      <c r="N98" s="2260"/>
      <c r="O98" s="2260"/>
      <c r="P98" s="6"/>
    </row>
    <row r="99" spans="2:16" ht="18.75">
      <c r="B99" s="8"/>
      <c r="C99" s="2276" t="s">
        <v>1740</v>
      </c>
      <c r="D99" s="2275">
        <v>63</v>
      </c>
      <c r="E99" s="2265" t="s">
        <v>1741</v>
      </c>
      <c r="F99" s="2267">
        <v>97785.2</v>
      </c>
      <c r="G99" s="2267">
        <v>0</v>
      </c>
      <c r="H99" s="2267">
        <v>97785.2</v>
      </c>
      <c r="I99" s="2260"/>
      <c r="J99" s="2260"/>
      <c r="K99" s="2260"/>
      <c r="L99" s="2260"/>
      <c r="M99" s="2260"/>
      <c r="N99" s="2260"/>
      <c r="O99" s="2260"/>
      <c r="P99" s="6"/>
    </row>
    <row r="100" spans="2:16" ht="18.75">
      <c r="B100" s="8"/>
      <c r="C100" s="2276" t="s">
        <v>1742</v>
      </c>
      <c r="D100" s="2275">
        <v>64</v>
      </c>
      <c r="E100" s="2265" t="s">
        <v>1743</v>
      </c>
      <c r="F100" s="2266">
        <v>97785.2</v>
      </c>
      <c r="G100" s="2266"/>
      <c r="H100" s="2266">
        <v>97785.2</v>
      </c>
      <c r="I100" s="2260"/>
      <c r="J100" s="2260"/>
      <c r="K100" s="2260"/>
      <c r="L100" s="2260"/>
      <c r="M100" s="2260"/>
      <c r="N100" s="2260"/>
      <c r="O100" s="2260"/>
      <c r="P100" s="6"/>
    </row>
    <row r="101" spans="2:16">
      <c r="B101" s="8"/>
      <c r="C101" s="2276" t="s">
        <v>1745</v>
      </c>
      <c r="D101" s="2275">
        <v>65</v>
      </c>
      <c r="E101" s="2260" t="s">
        <v>1746</v>
      </c>
      <c r="F101" s="2266"/>
      <c r="G101" s="2266"/>
      <c r="H101" s="2266"/>
      <c r="I101" s="2260"/>
      <c r="J101" s="2260"/>
      <c r="K101" s="2260"/>
      <c r="L101" s="2260"/>
      <c r="M101" s="2260"/>
      <c r="N101" s="2260"/>
      <c r="O101" s="2260"/>
      <c r="P101" s="6"/>
    </row>
    <row r="102" spans="2:16">
      <c r="B102" s="8"/>
      <c r="C102" s="2276" t="s">
        <v>1748</v>
      </c>
      <c r="D102" s="2275">
        <v>66</v>
      </c>
      <c r="E102" s="2260" t="s">
        <v>1749</v>
      </c>
      <c r="F102" s="2266">
        <v>97785.2</v>
      </c>
      <c r="G102" s="2266">
        <v>0</v>
      </c>
      <c r="H102" s="2266">
        <v>97785.2</v>
      </c>
      <c r="I102" s="2260"/>
      <c r="J102" s="2260"/>
      <c r="K102" s="2260"/>
      <c r="L102" s="2260"/>
      <c r="M102" s="2260"/>
      <c r="N102" s="2260"/>
      <c r="O102" s="2260"/>
      <c r="P102" s="6"/>
    </row>
    <row r="103" spans="2:16">
      <c r="B103" s="8"/>
      <c r="C103" s="2276" t="s">
        <v>1751</v>
      </c>
      <c r="D103" s="2275">
        <v>67</v>
      </c>
      <c r="E103" s="2260" t="s">
        <v>1752</v>
      </c>
      <c r="F103" s="2266"/>
      <c r="G103" s="2266"/>
      <c r="H103" s="2266"/>
      <c r="I103" s="2260"/>
      <c r="J103" s="2260"/>
      <c r="K103" s="2260"/>
      <c r="L103" s="2260"/>
      <c r="M103" s="2260"/>
      <c r="N103" s="2260"/>
      <c r="O103" s="2260"/>
      <c r="P103" s="6"/>
    </row>
    <row r="104" spans="2:16">
      <c r="B104" s="8"/>
      <c r="C104" s="2276" t="s">
        <v>1753</v>
      </c>
      <c r="D104" s="2275">
        <v>68</v>
      </c>
      <c r="E104" s="2260" t="s">
        <v>1754</v>
      </c>
      <c r="F104" s="2266"/>
      <c r="G104" s="2266"/>
      <c r="H104" s="2266"/>
      <c r="I104" s="2260"/>
      <c r="J104" s="2260"/>
      <c r="K104" s="2260"/>
      <c r="L104" s="2260"/>
      <c r="M104" s="2260"/>
      <c r="N104" s="2260"/>
      <c r="O104" s="2260"/>
      <c r="P104" s="6"/>
    </row>
    <row r="105" spans="2:16">
      <c r="B105" s="8"/>
      <c r="C105" s="2276" t="s">
        <v>1755</v>
      </c>
      <c r="D105" s="2275">
        <v>69</v>
      </c>
      <c r="E105" s="2264" t="s">
        <v>1756</v>
      </c>
      <c r="F105" s="2267">
        <v>97785.2</v>
      </c>
      <c r="G105" s="2267"/>
      <c r="H105" s="2267">
        <v>97785.2</v>
      </c>
      <c r="I105" s="2260"/>
      <c r="J105" s="2260"/>
      <c r="K105" s="2260"/>
      <c r="L105" s="2260"/>
      <c r="M105" s="2260"/>
      <c r="N105" s="2260"/>
      <c r="O105" s="2260"/>
      <c r="P105" s="6"/>
    </row>
    <row r="106" spans="2:16" ht="18.75">
      <c r="B106" s="8"/>
      <c r="C106" s="2276" t="s">
        <v>1757</v>
      </c>
      <c r="D106" s="2275">
        <v>70</v>
      </c>
      <c r="E106" s="2265" t="s">
        <v>1296</v>
      </c>
      <c r="F106" s="2266">
        <v>137947.41999999998</v>
      </c>
      <c r="G106" s="2266"/>
      <c r="H106" s="2266">
        <v>137947.41999999998</v>
      </c>
      <c r="I106" s="2260"/>
      <c r="J106" s="2260"/>
      <c r="K106" s="2260"/>
      <c r="L106" s="2260"/>
      <c r="M106" s="2260"/>
      <c r="N106" s="2260"/>
      <c r="O106" s="2260"/>
      <c r="P106" s="6"/>
    </row>
    <row r="107" spans="2:16">
      <c r="B107" s="8"/>
      <c r="C107" s="2276" t="s">
        <v>1759</v>
      </c>
      <c r="D107" s="2275">
        <v>71</v>
      </c>
      <c r="E107" s="2260" t="s">
        <v>2196</v>
      </c>
      <c r="F107" s="2266">
        <v>134010.96</v>
      </c>
      <c r="G107" s="2266"/>
      <c r="H107" s="2266">
        <v>134010.96</v>
      </c>
      <c r="I107" s="2260"/>
      <c r="J107" s="2260"/>
      <c r="K107" s="2260"/>
      <c r="L107" s="2260"/>
      <c r="M107" s="2260"/>
      <c r="N107" s="2260"/>
      <c r="O107" s="2260"/>
      <c r="P107" s="6"/>
    </row>
    <row r="108" spans="2:16">
      <c r="B108" s="8"/>
      <c r="C108" s="2276" t="s">
        <v>1763</v>
      </c>
      <c r="D108" s="2275">
        <v>72</v>
      </c>
      <c r="E108" s="2260" t="s">
        <v>1764</v>
      </c>
      <c r="F108" s="2266"/>
      <c r="G108" s="2266"/>
      <c r="H108" s="2266"/>
      <c r="I108" s="2260"/>
      <c r="J108" s="2260"/>
      <c r="K108" s="2260"/>
      <c r="L108" s="2260"/>
      <c r="M108" s="2260"/>
      <c r="N108" s="2260"/>
      <c r="O108" s="2260"/>
      <c r="P108" s="6"/>
    </row>
    <row r="109" spans="2:16">
      <c r="B109" s="8"/>
      <c r="C109" s="2276" t="s">
        <v>1765</v>
      </c>
      <c r="D109" s="2275">
        <v>73</v>
      </c>
      <c r="E109" s="2260" t="s">
        <v>1766</v>
      </c>
      <c r="F109" s="2266"/>
      <c r="G109" s="2266"/>
      <c r="H109" s="2266"/>
      <c r="I109" s="2260"/>
      <c r="J109" s="2260"/>
      <c r="K109" s="2260"/>
      <c r="L109" s="2260"/>
      <c r="M109" s="2260"/>
      <c r="N109" s="2260"/>
      <c r="O109" s="2260"/>
      <c r="P109" s="6"/>
    </row>
    <row r="110" spans="2:16">
      <c r="B110" s="8"/>
      <c r="C110" s="2276" t="s">
        <v>1767</v>
      </c>
      <c r="D110" s="2275">
        <v>74</v>
      </c>
      <c r="E110" s="2260" t="s">
        <v>1768</v>
      </c>
      <c r="F110" s="2266"/>
      <c r="G110" s="2266"/>
      <c r="H110" s="2266"/>
      <c r="I110" s="2260"/>
      <c r="J110" s="2260"/>
      <c r="K110" s="2260"/>
      <c r="L110" s="2260"/>
      <c r="M110" s="2260"/>
      <c r="N110" s="2260"/>
      <c r="O110" s="2260"/>
      <c r="P110" s="6"/>
    </row>
    <row r="111" spans="2:16">
      <c r="B111" s="8"/>
      <c r="C111" s="2276" t="s">
        <v>1769</v>
      </c>
      <c r="D111" s="2275">
        <v>75</v>
      </c>
      <c r="E111" s="2260" t="s">
        <v>2197</v>
      </c>
      <c r="F111" s="2266">
        <v>3936.46</v>
      </c>
      <c r="G111" s="2266"/>
      <c r="H111" s="2266">
        <v>3936.46</v>
      </c>
      <c r="I111" s="2260"/>
      <c r="J111" s="2260"/>
      <c r="K111" s="2260"/>
      <c r="L111" s="2260"/>
      <c r="M111" s="2260"/>
      <c r="N111" s="2260"/>
      <c r="O111" s="2260"/>
      <c r="P111" s="6"/>
    </row>
    <row r="112" spans="2:16">
      <c r="B112" s="8"/>
      <c r="C112" s="2276" t="s">
        <v>1772</v>
      </c>
      <c r="D112" s="2275">
        <v>76</v>
      </c>
      <c r="E112" s="2260" t="s">
        <v>1773</v>
      </c>
      <c r="F112" s="2266"/>
      <c r="G112" s="2266"/>
      <c r="H112" s="2266"/>
      <c r="I112" s="2260"/>
      <c r="J112" s="2260"/>
      <c r="K112" s="2260"/>
      <c r="L112" s="2260"/>
      <c r="M112" s="2260"/>
      <c r="N112" s="2260"/>
      <c r="O112" s="2260"/>
      <c r="P112" s="6"/>
    </row>
    <row r="113" spans="2:16">
      <c r="B113" s="8"/>
      <c r="C113" s="2276" t="s">
        <v>1774</v>
      </c>
      <c r="D113" s="2275">
        <v>77</v>
      </c>
      <c r="E113" s="2260" t="s">
        <v>1775</v>
      </c>
      <c r="F113" s="2266"/>
      <c r="G113" s="2266"/>
      <c r="H113" s="2266"/>
      <c r="I113" s="2260"/>
      <c r="J113" s="2260"/>
      <c r="K113" s="2260"/>
      <c r="L113" s="2260"/>
      <c r="M113" s="2260"/>
      <c r="N113" s="2260"/>
      <c r="O113" s="2260"/>
      <c r="P113" s="6"/>
    </row>
    <row r="114" spans="2:16">
      <c r="B114" s="8"/>
      <c r="C114" s="2276" t="s">
        <v>1776</v>
      </c>
      <c r="D114" s="2275">
        <v>78</v>
      </c>
      <c r="E114" s="2260" t="s">
        <v>1777</v>
      </c>
      <c r="F114" s="2266"/>
      <c r="G114" s="2266"/>
      <c r="H114" s="2266"/>
      <c r="I114" s="2260"/>
      <c r="J114" s="2260"/>
      <c r="K114" s="2260"/>
      <c r="L114" s="2260"/>
      <c r="M114" s="2260"/>
      <c r="N114" s="2260"/>
      <c r="O114" s="2260"/>
      <c r="P114" s="6"/>
    </row>
    <row r="115" spans="2:16">
      <c r="B115" s="8"/>
      <c r="C115" s="2276" t="s">
        <v>1778</v>
      </c>
      <c r="D115" s="2275">
        <v>79</v>
      </c>
      <c r="E115" s="2260" t="s">
        <v>1779</v>
      </c>
      <c r="F115" s="2266"/>
      <c r="G115" s="2266"/>
      <c r="H115" s="2266"/>
      <c r="I115" s="2260"/>
      <c r="J115" s="2260"/>
      <c r="K115" s="2260"/>
      <c r="L115" s="2260"/>
      <c r="M115" s="2260"/>
      <c r="N115" s="2260"/>
      <c r="O115" s="2260"/>
      <c r="P115" s="6"/>
    </row>
    <row r="116" spans="2:16">
      <c r="B116" s="8"/>
      <c r="C116" s="2276" t="s">
        <v>1780</v>
      </c>
      <c r="D116" s="2275">
        <v>80</v>
      </c>
      <c r="E116" s="2260" t="s">
        <v>1781</v>
      </c>
      <c r="F116" s="2266"/>
      <c r="G116" s="2266"/>
      <c r="H116" s="2266"/>
      <c r="I116" s="2260"/>
      <c r="J116" s="2260"/>
      <c r="K116" s="2260"/>
      <c r="L116" s="2260"/>
      <c r="M116" s="2260"/>
      <c r="N116" s="2260"/>
      <c r="O116" s="2260"/>
      <c r="P116" s="6"/>
    </row>
    <row r="117" spans="2:16">
      <c r="B117" s="8"/>
      <c r="C117" s="2276" t="s">
        <v>1782</v>
      </c>
      <c r="D117" s="2275">
        <v>81</v>
      </c>
      <c r="E117" s="2264" t="s">
        <v>1245</v>
      </c>
      <c r="F117" s="2267">
        <v>137947.41999999998</v>
      </c>
      <c r="G117" s="2267"/>
      <c r="H117" s="2267">
        <v>137947.41999999998</v>
      </c>
      <c r="I117" s="2260"/>
      <c r="J117" s="2260"/>
      <c r="K117" s="2260"/>
      <c r="L117" s="2260"/>
      <c r="M117" s="2260"/>
      <c r="N117" s="2260"/>
      <c r="O117" s="2260"/>
      <c r="P117" s="6"/>
    </row>
    <row r="118" spans="2:16" ht="18.75">
      <c r="B118" s="8"/>
      <c r="C118" s="2276" t="s">
        <v>1783</v>
      </c>
      <c r="D118" s="2275">
        <v>82</v>
      </c>
      <c r="E118" s="2265" t="s">
        <v>1784</v>
      </c>
      <c r="F118" s="2266">
        <v>3028.07</v>
      </c>
      <c r="G118" s="2266"/>
      <c r="H118" s="2266">
        <v>3028.07</v>
      </c>
      <c r="I118" s="2260"/>
      <c r="J118" s="2260"/>
      <c r="K118" s="2260"/>
      <c r="L118" s="2260"/>
      <c r="M118" s="2260"/>
      <c r="N118" s="2260"/>
      <c r="O118" s="2260"/>
      <c r="P118" s="6"/>
    </row>
    <row r="119" spans="2:16">
      <c r="B119" s="8"/>
      <c r="C119" s="2276" t="s">
        <v>1786</v>
      </c>
      <c r="D119" s="2275">
        <v>83</v>
      </c>
      <c r="E119" s="2260" t="s">
        <v>1787</v>
      </c>
      <c r="F119" s="2266"/>
      <c r="G119" s="2266"/>
      <c r="H119" s="2266"/>
      <c r="I119" s="2260"/>
      <c r="J119" s="2260"/>
      <c r="K119" s="2260"/>
      <c r="L119" s="2260"/>
      <c r="M119" s="2260"/>
      <c r="N119" s="2260"/>
      <c r="O119" s="2260"/>
      <c r="P119" s="6"/>
    </row>
    <row r="120" spans="2:16">
      <c r="B120" s="8"/>
      <c r="C120" s="2276" t="s">
        <v>1788</v>
      </c>
      <c r="D120" s="2275">
        <v>84</v>
      </c>
      <c r="E120" s="2260" t="s">
        <v>2198</v>
      </c>
      <c r="F120" s="2266">
        <v>3028.07</v>
      </c>
      <c r="G120" s="2266"/>
      <c r="H120" s="2266">
        <v>3028.07</v>
      </c>
      <c r="I120" s="2260"/>
      <c r="J120" s="2260"/>
      <c r="K120" s="2260"/>
      <c r="L120" s="2260"/>
      <c r="M120" s="2260"/>
      <c r="N120" s="2260"/>
      <c r="O120" s="2260"/>
      <c r="P120" s="6"/>
    </row>
    <row r="121" spans="2:16">
      <c r="B121" s="8"/>
      <c r="C121" s="2276" t="s">
        <v>1792</v>
      </c>
      <c r="D121" s="2275">
        <v>85</v>
      </c>
      <c r="E121" s="2264" t="s">
        <v>1793</v>
      </c>
      <c r="F121" s="2267">
        <v>3028.07</v>
      </c>
      <c r="G121" s="2267"/>
      <c r="H121" s="2267">
        <v>3028.07</v>
      </c>
      <c r="I121" s="2260"/>
      <c r="J121" s="2260"/>
      <c r="K121" s="2260"/>
      <c r="L121" s="2260"/>
      <c r="M121" s="2260"/>
      <c r="N121" s="2260"/>
      <c r="O121" s="2260"/>
      <c r="P121" s="6"/>
    </row>
    <row r="122" spans="2:16" ht="18.75">
      <c r="B122" s="8"/>
      <c r="C122" s="2276" t="s">
        <v>1794</v>
      </c>
      <c r="D122" s="2275">
        <v>86</v>
      </c>
      <c r="E122" s="2265" t="s">
        <v>1795</v>
      </c>
      <c r="F122" s="2266"/>
      <c r="G122" s="2266"/>
      <c r="H122" s="2266"/>
      <c r="I122" s="2260"/>
      <c r="J122" s="2260"/>
      <c r="K122" s="2260"/>
      <c r="L122" s="2260"/>
      <c r="M122" s="2260"/>
      <c r="N122" s="2260"/>
      <c r="O122" s="2260"/>
      <c r="P122" s="6"/>
    </row>
    <row r="123" spans="2:16">
      <c r="B123" s="8"/>
      <c r="C123" s="2276" t="s">
        <v>1797</v>
      </c>
      <c r="D123" s="2275">
        <v>87</v>
      </c>
      <c r="E123" s="2264" t="s">
        <v>1798</v>
      </c>
      <c r="F123" s="2267"/>
      <c r="G123" s="2267"/>
      <c r="H123" s="2267"/>
      <c r="I123" s="2260"/>
      <c r="J123" s="2260"/>
      <c r="K123" s="2260"/>
      <c r="L123" s="2260"/>
      <c r="M123" s="2260"/>
      <c r="N123" s="2260"/>
      <c r="O123" s="2260"/>
      <c r="P123" s="6"/>
    </row>
    <row r="124" spans="2:16" ht="18.75">
      <c r="B124" s="8"/>
      <c r="C124" s="2276" t="s">
        <v>1799</v>
      </c>
      <c r="D124" s="2275">
        <v>88</v>
      </c>
      <c r="E124" s="2265" t="s">
        <v>1800</v>
      </c>
      <c r="F124" s="2267">
        <v>134919.34999999998</v>
      </c>
      <c r="G124" s="2267">
        <v>0</v>
      </c>
      <c r="H124" s="2267">
        <v>134919.34999999998</v>
      </c>
      <c r="I124" s="2260"/>
      <c r="J124" s="2260"/>
      <c r="K124" s="2260"/>
      <c r="L124" s="2260"/>
      <c r="M124" s="2260"/>
      <c r="N124" s="2260"/>
      <c r="O124" s="2260"/>
      <c r="P124" s="6"/>
    </row>
    <row r="125" spans="2:16" ht="18.75">
      <c r="B125" s="8"/>
      <c r="C125" s="2276" t="s">
        <v>1801</v>
      </c>
      <c r="D125" s="2275">
        <v>89</v>
      </c>
      <c r="E125" s="2265" t="s">
        <v>1802</v>
      </c>
      <c r="F125" s="2271"/>
      <c r="G125" s="2271"/>
      <c r="H125" s="2271"/>
      <c r="I125" s="2260"/>
      <c r="J125" s="2260"/>
      <c r="K125" s="2260"/>
      <c r="L125" s="2260"/>
      <c r="M125" s="2260"/>
      <c r="N125" s="2260"/>
      <c r="O125" s="2260"/>
      <c r="P125" s="6"/>
    </row>
    <row r="126" spans="2:16" ht="18.75">
      <c r="B126" s="8"/>
      <c r="C126" s="2276" t="s">
        <v>1803</v>
      </c>
      <c r="D126" s="2275">
        <v>90</v>
      </c>
      <c r="E126" s="2265" t="s">
        <v>1243</v>
      </c>
      <c r="F126" s="2266">
        <v>37134.15</v>
      </c>
      <c r="G126" s="2266"/>
      <c r="H126" s="2266">
        <v>37134.15</v>
      </c>
      <c r="I126" s="2260"/>
      <c r="J126" s="2260"/>
      <c r="K126" s="2260"/>
      <c r="L126" s="2260"/>
      <c r="M126" s="2260"/>
      <c r="N126" s="2260"/>
      <c r="O126" s="2260"/>
      <c r="P126" s="6"/>
    </row>
    <row r="127" spans="2:16">
      <c r="B127" s="8"/>
      <c r="C127" s="2276" t="s">
        <v>1805</v>
      </c>
      <c r="D127" s="2275">
        <v>91</v>
      </c>
      <c r="E127" s="2260" t="s">
        <v>2199</v>
      </c>
      <c r="F127" s="2266">
        <v>3557.62</v>
      </c>
      <c r="G127" s="2266"/>
      <c r="H127" s="2266">
        <v>3557.62</v>
      </c>
      <c r="I127" s="2260"/>
      <c r="J127" s="2260"/>
      <c r="K127" s="2260"/>
      <c r="L127" s="2260"/>
      <c r="M127" s="2260"/>
      <c r="N127" s="2260"/>
      <c r="O127" s="2260"/>
      <c r="P127" s="6"/>
    </row>
    <row r="128" spans="2:16">
      <c r="B128" s="8"/>
      <c r="C128" s="2276" t="s">
        <v>1809</v>
      </c>
      <c r="D128" s="2275">
        <v>92</v>
      </c>
      <c r="E128" s="2260" t="s">
        <v>2200</v>
      </c>
      <c r="F128" s="2266">
        <v>658.73</v>
      </c>
      <c r="G128" s="2266"/>
      <c r="H128" s="2266">
        <v>658.73</v>
      </c>
      <c r="I128" s="2260"/>
      <c r="J128" s="2260"/>
      <c r="K128" s="2260"/>
      <c r="L128" s="2260"/>
      <c r="M128" s="2260"/>
      <c r="N128" s="2260"/>
      <c r="O128" s="2260"/>
      <c r="P128" s="6"/>
    </row>
    <row r="129" spans="2:16">
      <c r="B129" s="8"/>
      <c r="C129" s="2276" t="s">
        <v>1811</v>
      </c>
      <c r="D129" s="2275">
        <v>93</v>
      </c>
      <c r="E129" s="2260" t="s">
        <v>2201</v>
      </c>
      <c r="F129" s="2266">
        <v>1902.3</v>
      </c>
      <c r="G129" s="2266"/>
      <c r="H129" s="2266">
        <v>1902.3</v>
      </c>
      <c r="I129" s="2260"/>
      <c r="J129" s="2260"/>
      <c r="K129" s="2260"/>
      <c r="L129" s="2260"/>
      <c r="M129" s="2260"/>
      <c r="N129" s="2260"/>
      <c r="O129" s="2260"/>
      <c r="P129" s="6"/>
    </row>
    <row r="130" spans="2:16">
      <c r="B130" s="8"/>
      <c r="C130" s="2276" t="s">
        <v>1813</v>
      </c>
      <c r="D130" s="2275">
        <v>94</v>
      </c>
      <c r="E130" s="2260" t="s">
        <v>1814</v>
      </c>
      <c r="F130" s="2266"/>
      <c r="G130" s="2266"/>
      <c r="H130" s="2266"/>
      <c r="I130" s="2260"/>
      <c r="J130" s="2260"/>
      <c r="K130" s="2260"/>
      <c r="L130" s="2260"/>
      <c r="M130" s="2260"/>
      <c r="N130" s="2260"/>
      <c r="O130" s="2260"/>
      <c r="P130" s="6"/>
    </row>
    <row r="131" spans="2:16">
      <c r="B131" s="8"/>
      <c r="C131" s="2276" t="s">
        <v>1815</v>
      </c>
      <c r="D131" s="2275">
        <v>95</v>
      </c>
      <c r="E131" s="2260" t="s">
        <v>1816</v>
      </c>
      <c r="F131" s="2266"/>
      <c r="G131" s="2266"/>
      <c r="H131" s="2266"/>
      <c r="I131" s="2260"/>
      <c r="J131" s="2260"/>
      <c r="K131" s="2260"/>
      <c r="L131" s="2260"/>
      <c r="M131" s="2260"/>
      <c r="N131" s="2260"/>
      <c r="O131" s="2260"/>
      <c r="P131" s="6"/>
    </row>
    <row r="132" spans="2:16">
      <c r="B132" s="8"/>
      <c r="C132" s="2276" t="s">
        <v>1817</v>
      </c>
      <c r="D132" s="2275">
        <v>96</v>
      </c>
      <c r="E132" s="2260" t="s">
        <v>1818</v>
      </c>
      <c r="F132" s="2266"/>
      <c r="G132" s="2266"/>
      <c r="H132" s="2266"/>
      <c r="I132" s="2260"/>
      <c r="J132" s="2260"/>
      <c r="K132" s="2260"/>
      <c r="L132" s="2260"/>
      <c r="M132" s="2260"/>
      <c r="N132" s="2260"/>
      <c r="O132" s="2260"/>
      <c r="P132" s="6"/>
    </row>
    <row r="133" spans="2:16">
      <c r="B133" s="8"/>
      <c r="C133" s="2276" t="s">
        <v>1819</v>
      </c>
      <c r="D133" s="2275">
        <v>97</v>
      </c>
      <c r="E133" s="2260" t="s">
        <v>2202</v>
      </c>
      <c r="F133" s="2266">
        <v>7.09</v>
      </c>
      <c r="G133" s="2266"/>
      <c r="H133" s="2266">
        <v>7.09</v>
      </c>
      <c r="I133" s="2260"/>
      <c r="J133" s="2260"/>
      <c r="K133" s="2260"/>
      <c r="L133" s="2260"/>
      <c r="M133" s="2260"/>
      <c r="N133" s="2260"/>
      <c r="O133" s="2260"/>
      <c r="P133" s="6"/>
    </row>
    <row r="134" spans="2:16">
      <c r="B134" s="8"/>
      <c r="C134" s="2276" t="s">
        <v>1821</v>
      </c>
      <c r="D134" s="2275">
        <v>98</v>
      </c>
      <c r="E134" s="2260" t="s">
        <v>2203</v>
      </c>
      <c r="F134" s="2266">
        <v>1701.36</v>
      </c>
      <c r="G134" s="2266"/>
      <c r="H134" s="2266">
        <v>1701.36</v>
      </c>
      <c r="I134" s="2260"/>
      <c r="J134" s="2260"/>
      <c r="K134" s="2260"/>
      <c r="L134" s="2260"/>
      <c r="M134" s="2260"/>
      <c r="N134" s="2260"/>
      <c r="O134" s="2260"/>
      <c r="P134" s="6"/>
    </row>
    <row r="135" spans="2:16">
      <c r="B135" s="8"/>
      <c r="C135" s="2276" t="s">
        <v>1823</v>
      </c>
      <c r="D135" s="2275">
        <v>99</v>
      </c>
      <c r="E135" s="2260" t="s">
        <v>2204</v>
      </c>
      <c r="F135" s="2266">
        <v>1163.6400000000001</v>
      </c>
      <c r="G135" s="2266"/>
      <c r="H135" s="2266">
        <v>1163.6400000000001</v>
      </c>
      <c r="I135" s="2260"/>
      <c r="J135" s="2260"/>
      <c r="K135" s="2260"/>
      <c r="L135" s="2260"/>
      <c r="M135" s="2260"/>
      <c r="N135" s="2260"/>
      <c r="O135" s="2260"/>
      <c r="P135" s="6"/>
    </row>
    <row r="136" spans="2:16">
      <c r="B136" s="8"/>
      <c r="C136" s="2276" t="s">
        <v>1825</v>
      </c>
      <c r="D136" s="2275">
        <v>100</v>
      </c>
      <c r="E136" s="2260" t="s">
        <v>2205</v>
      </c>
      <c r="F136" s="2266">
        <v>3229.17</v>
      </c>
      <c r="G136" s="2266"/>
      <c r="H136" s="2266">
        <v>3229.17</v>
      </c>
      <c r="I136" s="2260"/>
      <c r="J136" s="2260"/>
      <c r="K136" s="2260"/>
      <c r="L136" s="2260"/>
      <c r="M136" s="2260"/>
      <c r="N136" s="2260"/>
      <c r="O136" s="2260"/>
      <c r="P136" s="6"/>
    </row>
    <row r="137" spans="2:16">
      <c r="B137" s="8"/>
      <c r="C137" s="2276" t="s">
        <v>1828</v>
      </c>
      <c r="D137" s="2275">
        <v>101</v>
      </c>
      <c r="E137" s="2260" t="s">
        <v>2206</v>
      </c>
      <c r="F137" s="2266">
        <v>178.18</v>
      </c>
      <c r="G137" s="2266"/>
      <c r="H137" s="2266">
        <v>178.18</v>
      </c>
      <c r="I137" s="2260"/>
      <c r="J137" s="2260"/>
      <c r="K137" s="2260"/>
      <c r="L137" s="2260"/>
      <c r="M137" s="2260"/>
      <c r="N137" s="2260"/>
      <c r="O137" s="2260"/>
      <c r="P137" s="6"/>
    </row>
    <row r="138" spans="2:16">
      <c r="B138" s="8"/>
      <c r="C138" s="2276" t="s">
        <v>1830</v>
      </c>
      <c r="D138" s="2275">
        <v>102</v>
      </c>
      <c r="E138" s="2260" t="s">
        <v>2207</v>
      </c>
      <c r="F138" s="2266">
        <v>921.62</v>
      </c>
      <c r="G138" s="2266"/>
      <c r="H138" s="2266">
        <v>921.62</v>
      </c>
      <c r="I138" s="2260"/>
      <c r="J138" s="2260"/>
      <c r="K138" s="2260"/>
      <c r="L138" s="2260"/>
      <c r="M138" s="2260"/>
      <c r="N138" s="2260"/>
      <c r="O138" s="2260"/>
      <c r="P138" s="6"/>
    </row>
    <row r="139" spans="2:16">
      <c r="B139" s="8"/>
      <c r="C139" s="2276" t="s">
        <v>1832</v>
      </c>
      <c r="D139" s="2275">
        <v>103</v>
      </c>
      <c r="E139" s="2260" t="s">
        <v>2208</v>
      </c>
      <c r="F139" s="2266">
        <v>124.8</v>
      </c>
      <c r="G139" s="2266"/>
      <c r="H139" s="2266">
        <v>124.8</v>
      </c>
      <c r="I139" s="2260"/>
      <c r="J139" s="2260"/>
      <c r="K139" s="2260"/>
      <c r="L139" s="2260"/>
      <c r="M139" s="2260"/>
      <c r="N139" s="2260"/>
      <c r="O139" s="2260"/>
      <c r="P139" s="6"/>
    </row>
    <row r="140" spans="2:16">
      <c r="B140" s="8"/>
      <c r="C140" s="2276" t="s">
        <v>1834</v>
      </c>
      <c r="D140" s="2275">
        <v>104</v>
      </c>
      <c r="E140" s="2260" t="s">
        <v>2209</v>
      </c>
      <c r="F140" s="2266">
        <v>1204.1600000000001</v>
      </c>
      <c r="G140" s="2266"/>
      <c r="H140" s="2266">
        <v>1204.1600000000001</v>
      </c>
      <c r="I140" s="2260"/>
      <c r="J140" s="2260"/>
      <c r="K140" s="2260"/>
      <c r="L140" s="2260"/>
      <c r="M140" s="2260"/>
      <c r="N140" s="2260"/>
      <c r="O140" s="2260"/>
      <c r="P140" s="6"/>
    </row>
    <row r="141" spans="2:16">
      <c r="B141" s="8"/>
      <c r="C141" s="2276" t="s">
        <v>1838</v>
      </c>
      <c r="D141" s="2275">
        <v>105</v>
      </c>
      <c r="E141" s="2260" t="s">
        <v>2210</v>
      </c>
      <c r="F141" s="2266">
        <v>327.14999999999998</v>
      </c>
      <c r="G141" s="2266"/>
      <c r="H141" s="2266">
        <v>327.14999999999998</v>
      </c>
      <c r="I141" s="2260"/>
      <c r="J141" s="2260"/>
      <c r="K141" s="2260"/>
      <c r="L141" s="2260"/>
      <c r="M141" s="2260"/>
      <c r="N141" s="2260"/>
      <c r="O141" s="2260"/>
      <c r="P141" s="6"/>
    </row>
    <row r="142" spans="2:16">
      <c r="B142" s="8"/>
      <c r="C142" s="2276" t="s">
        <v>1840</v>
      </c>
      <c r="D142" s="2275">
        <v>106</v>
      </c>
      <c r="E142" s="2260" t="s">
        <v>2211</v>
      </c>
      <c r="F142" s="2266">
        <v>2841.34</v>
      </c>
      <c r="G142" s="2266"/>
      <c r="H142" s="2266">
        <v>2841.34</v>
      </c>
      <c r="I142" s="2260"/>
      <c r="J142" s="2260"/>
      <c r="K142" s="2260"/>
      <c r="L142" s="2260"/>
      <c r="M142" s="2260"/>
      <c r="N142" s="2260"/>
      <c r="O142" s="2260"/>
      <c r="P142" s="6"/>
    </row>
    <row r="143" spans="2:16">
      <c r="B143" s="8"/>
      <c r="C143" s="2276" t="s">
        <v>1842</v>
      </c>
      <c r="D143" s="2275">
        <v>107</v>
      </c>
      <c r="E143" s="2260" t="s">
        <v>1843</v>
      </c>
      <c r="F143" s="2266"/>
      <c r="G143" s="2266"/>
      <c r="H143" s="2266"/>
      <c r="I143" s="2260"/>
      <c r="J143" s="2260"/>
      <c r="K143" s="2260"/>
      <c r="L143" s="2260"/>
      <c r="M143" s="2260"/>
      <c r="N143" s="2260"/>
      <c r="O143" s="2260"/>
      <c r="P143" s="6"/>
    </row>
    <row r="144" spans="2:16">
      <c r="B144" s="8"/>
      <c r="C144" s="2276" t="s">
        <v>1844</v>
      </c>
      <c r="D144" s="2275">
        <v>108</v>
      </c>
      <c r="E144" s="2260" t="s">
        <v>2212</v>
      </c>
      <c r="F144" s="2266">
        <v>4586.4799999999996</v>
      </c>
      <c r="G144" s="2266"/>
      <c r="H144" s="2266">
        <v>4586.4799999999996</v>
      </c>
      <c r="I144" s="2260"/>
      <c r="J144" s="2260"/>
      <c r="K144" s="2260"/>
      <c r="L144" s="2260"/>
      <c r="M144" s="2260"/>
      <c r="N144" s="2260"/>
      <c r="O144" s="2260"/>
      <c r="P144" s="6"/>
    </row>
    <row r="145" spans="2:18">
      <c r="B145" s="8"/>
      <c r="C145" s="2276" t="s">
        <v>1848</v>
      </c>
      <c r="D145" s="2275">
        <v>109</v>
      </c>
      <c r="E145" s="2260" t="s">
        <v>321</v>
      </c>
      <c r="F145" s="2266">
        <v>11153.86</v>
      </c>
      <c r="G145" s="2266"/>
      <c r="H145" s="2266">
        <v>11153.86</v>
      </c>
      <c r="I145" s="2260"/>
      <c r="J145" s="2260"/>
      <c r="K145" s="2260"/>
      <c r="L145" s="2260"/>
      <c r="M145" s="2260"/>
      <c r="N145" s="2260"/>
      <c r="O145" s="2260"/>
      <c r="P145" s="6"/>
    </row>
    <row r="146" spans="2:18">
      <c r="B146" s="8"/>
      <c r="C146" s="2275" t="s">
        <v>1602</v>
      </c>
      <c r="D146" s="2275">
        <v>110</v>
      </c>
      <c r="E146" s="2273" t="s">
        <v>1600</v>
      </c>
      <c r="F146" s="2266"/>
      <c r="G146" s="2266"/>
      <c r="H146" s="2266"/>
      <c r="I146" s="2260"/>
      <c r="J146" s="2260"/>
      <c r="K146" s="2260"/>
      <c r="L146" s="2260" t="s">
        <v>2178</v>
      </c>
      <c r="M146" s="2260" t="s">
        <v>2179</v>
      </c>
      <c r="N146" s="2260"/>
      <c r="O146" s="2260"/>
      <c r="P146" s="6"/>
      <c r="R146">
        <v>0.01</v>
      </c>
    </row>
    <row r="147" spans="2:18">
      <c r="B147" s="8"/>
      <c r="C147" s="2276" t="s">
        <v>1851</v>
      </c>
      <c r="D147" s="2275">
        <v>111</v>
      </c>
      <c r="E147" s="2260" t="s">
        <v>2213</v>
      </c>
      <c r="F147" s="2266">
        <v>1226.93</v>
      </c>
      <c r="G147" s="2266"/>
      <c r="H147" s="2266">
        <v>1226.93</v>
      </c>
      <c r="I147" s="2260"/>
      <c r="J147" s="2260"/>
      <c r="K147" s="2260"/>
      <c r="L147" s="2260"/>
      <c r="M147" s="2260"/>
      <c r="N147" s="2260"/>
      <c r="O147" s="2260"/>
      <c r="P147" s="6"/>
    </row>
    <row r="148" spans="2:18">
      <c r="B148" s="8"/>
      <c r="C148" s="2275" t="s">
        <v>1574</v>
      </c>
      <c r="D148" s="2275">
        <v>112</v>
      </c>
      <c r="E148" s="2273" t="s">
        <v>682</v>
      </c>
      <c r="F148" s="2266"/>
      <c r="G148" s="2266"/>
      <c r="H148" s="2266"/>
      <c r="I148" s="2260"/>
      <c r="J148" s="2260"/>
      <c r="K148" s="2260"/>
      <c r="L148" s="2260" t="s">
        <v>2178</v>
      </c>
      <c r="M148" s="2260" t="s">
        <v>2179</v>
      </c>
      <c r="N148" s="2260"/>
      <c r="O148" s="2260"/>
      <c r="P148" s="6"/>
      <c r="R148">
        <v>0.01</v>
      </c>
    </row>
    <row r="149" spans="2:18">
      <c r="B149" s="8"/>
      <c r="C149" s="2276" t="s">
        <v>1853</v>
      </c>
      <c r="D149" s="2275">
        <v>113</v>
      </c>
      <c r="E149" s="2260" t="s">
        <v>2214</v>
      </c>
      <c r="F149" s="2266">
        <v>1371.29</v>
      </c>
      <c r="G149" s="2266"/>
      <c r="H149" s="2266">
        <v>1371.29</v>
      </c>
      <c r="I149" s="2260"/>
      <c r="J149" s="2260"/>
      <c r="K149" s="2260"/>
      <c r="L149" s="2260"/>
      <c r="M149" s="2260"/>
      <c r="N149" s="2260"/>
      <c r="O149" s="2260"/>
      <c r="P149" s="6"/>
    </row>
    <row r="150" spans="2:18">
      <c r="B150" s="8"/>
      <c r="C150" s="2276" t="s">
        <v>1855</v>
      </c>
      <c r="D150" s="2275">
        <v>114</v>
      </c>
      <c r="E150" s="2260" t="s">
        <v>2215</v>
      </c>
      <c r="F150" s="2266">
        <v>857.24</v>
      </c>
      <c r="G150" s="2266"/>
      <c r="H150" s="2266">
        <v>857.24</v>
      </c>
      <c r="I150" s="2260"/>
      <c r="J150" s="2260"/>
      <c r="K150" s="2260"/>
      <c r="L150" s="2260"/>
      <c r="M150" s="2260"/>
      <c r="N150" s="2260"/>
      <c r="O150" s="2260"/>
      <c r="P150" s="6"/>
    </row>
    <row r="151" spans="2:18">
      <c r="B151" s="8"/>
      <c r="C151" s="2276" t="s">
        <v>1857</v>
      </c>
      <c r="D151" s="2275">
        <v>115</v>
      </c>
      <c r="E151" s="2260" t="s">
        <v>1858</v>
      </c>
      <c r="F151" s="2266"/>
      <c r="G151" s="2266"/>
      <c r="H151" s="2266"/>
      <c r="I151" s="2260"/>
      <c r="J151" s="2260"/>
      <c r="K151" s="2260"/>
      <c r="L151" s="2260"/>
      <c r="M151" s="2260"/>
      <c r="N151" s="2260"/>
      <c r="O151" s="2260"/>
      <c r="P151" s="6"/>
    </row>
    <row r="152" spans="2:18">
      <c r="B152" s="8"/>
      <c r="C152" s="2276" t="s">
        <v>1859</v>
      </c>
      <c r="D152" s="2275">
        <v>116</v>
      </c>
      <c r="E152" s="2260" t="s">
        <v>1860</v>
      </c>
      <c r="F152" s="2266"/>
      <c r="G152" s="2266"/>
      <c r="H152" s="2266"/>
      <c r="I152" s="2260"/>
      <c r="J152" s="2260"/>
      <c r="K152" s="2260"/>
      <c r="L152" s="2260"/>
      <c r="M152" s="2260"/>
      <c r="N152" s="2260"/>
      <c r="O152" s="2260"/>
      <c r="P152" s="6"/>
    </row>
    <row r="153" spans="2:18">
      <c r="B153" s="8"/>
      <c r="C153" s="2276" t="s">
        <v>1861</v>
      </c>
      <c r="D153" s="2275">
        <v>117</v>
      </c>
      <c r="E153" s="2260" t="s">
        <v>1862</v>
      </c>
      <c r="F153" s="2266"/>
      <c r="G153" s="2266"/>
      <c r="H153" s="2266"/>
      <c r="I153" s="2260"/>
      <c r="J153" s="2260"/>
      <c r="K153" s="2260"/>
      <c r="L153" s="2260"/>
      <c r="M153" s="2260"/>
      <c r="N153" s="2260"/>
      <c r="O153" s="2260"/>
      <c r="P153" s="6"/>
    </row>
    <row r="154" spans="2:18">
      <c r="B154" s="8"/>
      <c r="C154" s="2276" t="s">
        <v>1863</v>
      </c>
      <c r="D154" s="2275">
        <v>118</v>
      </c>
      <c r="E154" s="2260" t="s">
        <v>1864</v>
      </c>
      <c r="F154" s="2266"/>
      <c r="G154" s="2266"/>
      <c r="H154" s="2266"/>
      <c r="I154" s="2260"/>
      <c r="J154" s="2260"/>
      <c r="K154" s="2260"/>
      <c r="L154" s="2260"/>
      <c r="M154" s="2260"/>
      <c r="N154" s="2260"/>
      <c r="O154" s="2260"/>
      <c r="P154" s="6"/>
    </row>
    <row r="155" spans="2:18">
      <c r="B155" s="8"/>
      <c r="C155" s="2276" t="s">
        <v>1865</v>
      </c>
      <c r="D155" s="2275">
        <v>119</v>
      </c>
      <c r="E155" s="2260" t="s">
        <v>1866</v>
      </c>
      <c r="F155" s="2266"/>
      <c r="G155" s="2266"/>
      <c r="H155" s="2266"/>
      <c r="I155" s="2260"/>
      <c r="J155" s="2260"/>
      <c r="K155" s="2260"/>
      <c r="L155" s="2260"/>
      <c r="M155" s="2260"/>
      <c r="N155" s="2260"/>
      <c r="O155" s="2260"/>
      <c r="P155" s="6"/>
    </row>
    <row r="156" spans="2:18">
      <c r="B156" s="8"/>
      <c r="C156" s="2276" t="s">
        <v>1867</v>
      </c>
      <c r="D156" s="2275">
        <v>120</v>
      </c>
      <c r="E156" s="2260" t="s">
        <v>1868</v>
      </c>
      <c r="F156" s="2266"/>
      <c r="G156" s="2266"/>
      <c r="H156" s="2266"/>
      <c r="I156" s="2260"/>
      <c r="J156" s="2260"/>
      <c r="K156" s="2260"/>
      <c r="L156" s="2260"/>
      <c r="M156" s="2260"/>
      <c r="N156" s="2260"/>
      <c r="O156" s="2260"/>
      <c r="P156" s="6"/>
    </row>
    <row r="157" spans="2:18">
      <c r="B157" s="8"/>
      <c r="C157" s="2276" t="s">
        <v>1869</v>
      </c>
      <c r="D157" s="2275">
        <v>121</v>
      </c>
      <c r="E157" s="2260" t="s">
        <v>2216</v>
      </c>
      <c r="F157" s="2266">
        <v>7.86</v>
      </c>
      <c r="G157" s="2266"/>
      <c r="H157" s="2266">
        <v>7.86</v>
      </c>
      <c r="I157" s="2260"/>
      <c r="J157" s="2260"/>
      <c r="K157" s="2260"/>
      <c r="L157" s="2260"/>
      <c r="M157" s="2260"/>
      <c r="N157" s="2260"/>
      <c r="O157" s="2260"/>
      <c r="P157" s="6"/>
    </row>
    <row r="158" spans="2:18">
      <c r="B158" s="8"/>
      <c r="C158" s="2276" t="s">
        <v>1871</v>
      </c>
      <c r="D158" s="2275">
        <v>122</v>
      </c>
      <c r="E158" s="2260" t="s">
        <v>2217</v>
      </c>
      <c r="F158" s="2266">
        <v>113.33</v>
      </c>
      <c r="G158" s="2266"/>
      <c r="H158" s="2266">
        <v>113.33</v>
      </c>
      <c r="I158" s="2260"/>
      <c r="J158" s="2260"/>
      <c r="K158" s="2260"/>
      <c r="L158" s="2260"/>
      <c r="M158" s="2260"/>
      <c r="N158" s="2260"/>
      <c r="O158" s="2260"/>
      <c r="P158" s="6"/>
    </row>
    <row r="159" spans="2:18">
      <c r="B159" s="8"/>
      <c r="C159" s="2276" t="s">
        <v>1874</v>
      </c>
      <c r="D159" s="2275">
        <v>123</v>
      </c>
      <c r="E159" s="2260" t="s">
        <v>1875</v>
      </c>
      <c r="F159" s="2266"/>
      <c r="G159" s="2266"/>
      <c r="H159" s="2266"/>
      <c r="I159" s="2260"/>
      <c r="J159" s="2260"/>
      <c r="K159" s="2260"/>
      <c r="L159" s="2260"/>
      <c r="M159" s="2260"/>
      <c r="N159" s="2260"/>
      <c r="O159" s="2260"/>
      <c r="P159" s="6"/>
    </row>
    <row r="160" spans="2:18">
      <c r="B160" s="8"/>
      <c r="C160" s="2276" t="s">
        <v>1876</v>
      </c>
      <c r="D160" s="2275">
        <v>124</v>
      </c>
      <c r="E160" s="2260" t="s">
        <v>1877</v>
      </c>
      <c r="F160" s="2266"/>
      <c r="G160" s="2266"/>
      <c r="H160" s="2266"/>
      <c r="I160" s="2260"/>
      <c r="J160" s="2260"/>
      <c r="K160" s="2260"/>
      <c r="L160" s="2260"/>
      <c r="M160" s="2260"/>
      <c r="N160" s="2260"/>
      <c r="O160" s="2260"/>
      <c r="P160" s="6"/>
    </row>
    <row r="161" spans="2:16">
      <c r="B161" s="8"/>
      <c r="C161" s="2276" t="s">
        <v>1878</v>
      </c>
      <c r="D161" s="2275">
        <v>125</v>
      </c>
      <c r="E161" s="2260" t="s">
        <v>1879</v>
      </c>
      <c r="F161" s="2266"/>
      <c r="G161" s="2266"/>
      <c r="H161" s="2266"/>
      <c r="I161" s="2260"/>
      <c r="J161" s="2260"/>
      <c r="K161" s="2260"/>
      <c r="L161" s="2260"/>
      <c r="M161" s="2260"/>
      <c r="N161" s="2260"/>
      <c r="O161" s="2260"/>
      <c r="P161" s="6"/>
    </row>
    <row r="162" spans="2:16">
      <c r="B162" s="8"/>
      <c r="C162" s="2276" t="s">
        <v>1880</v>
      </c>
      <c r="D162" s="2275">
        <v>126</v>
      </c>
      <c r="E162" s="2260" t="s">
        <v>1881</v>
      </c>
      <c r="F162" s="2266"/>
      <c r="G162" s="2266"/>
      <c r="H162" s="2266"/>
      <c r="I162" s="2260"/>
      <c r="J162" s="2260"/>
      <c r="K162" s="2260"/>
      <c r="L162" s="2260"/>
      <c r="M162" s="2260"/>
      <c r="N162" s="2260"/>
      <c r="O162" s="2260"/>
      <c r="P162" s="6"/>
    </row>
    <row r="163" spans="2:16">
      <c r="B163" s="8"/>
      <c r="C163" s="2276" t="s">
        <v>1882</v>
      </c>
      <c r="D163" s="2275">
        <v>127</v>
      </c>
      <c r="E163" s="2264" t="s">
        <v>1176</v>
      </c>
      <c r="F163" s="2267">
        <v>37134.15</v>
      </c>
      <c r="G163" s="2267"/>
      <c r="H163" s="2267">
        <v>37134.15</v>
      </c>
      <c r="I163" s="2260"/>
      <c r="J163" s="2260"/>
      <c r="K163" s="2260"/>
      <c r="L163" s="2260"/>
      <c r="M163" s="2260"/>
      <c r="N163" s="2260"/>
      <c r="O163" s="2260"/>
      <c r="P163" s="6"/>
    </row>
    <row r="164" spans="2:16" ht="18.75">
      <c r="B164" s="8"/>
      <c r="C164" s="2276" t="s">
        <v>1883</v>
      </c>
      <c r="D164" s="2275">
        <v>128</v>
      </c>
      <c r="E164" s="2265" t="s">
        <v>1884</v>
      </c>
      <c r="F164" s="2266"/>
      <c r="G164" s="2266"/>
      <c r="H164" s="2266"/>
      <c r="I164" s="2260"/>
      <c r="J164" s="2260"/>
      <c r="K164" s="2260"/>
      <c r="L164" s="2260"/>
      <c r="M164" s="2260"/>
      <c r="N164" s="2260"/>
      <c r="O164" s="2260"/>
      <c r="P164" s="6"/>
    </row>
    <row r="165" spans="2:16">
      <c r="B165" s="8"/>
      <c r="C165" s="2276" t="s">
        <v>1886</v>
      </c>
      <c r="D165" s="2275">
        <v>129</v>
      </c>
      <c r="E165" s="2260" t="s">
        <v>1887</v>
      </c>
      <c r="F165" s="2266"/>
      <c r="G165" s="2266"/>
      <c r="H165" s="2266"/>
      <c r="I165" s="2260"/>
      <c r="J165" s="2260"/>
      <c r="K165" s="2260"/>
      <c r="L165" s="2260"/>
      <c r="M165" s="2260"/>
      <c r="N165" s="2260"/>
      <c r="O165" s="2260"/>
      <c r="P165" s="6"/>
    </row>
    <row r="166" spans="2:16">
      <c r="B166" s="8"/>
      <c r="C166" s="2276" t="s">
        <v>1888</v>
      </c>
      <c r="D166" s="2275">
        <v>130</v>
      </c>
      <c r="E166" s="2264" t="s">
        <v>1889</v>
      </c>
      <c r="F166" s="2267"/>
      <c r="G166" s="2267"/>
      <c r="H166" s="2267"/>
      <c r="I166" s="2260"/>
      <c r="J166" s="2260"/>
      <c r="K166" s="2260"/>
      <c r="L166" s="2260"/>
      <c r="M166" s="2260"/>
      <c r="N166" s="2260"/>
      <c r="O166" s="2260"/>
      <c r="P166" s="6"/>
    </row>
    <row r="167" spans="2:16" ht="18.75">
      <c r="B167" s="8"/>
      <c r="C167" s="2276" t="s">
        <v>1890</v>
      </c>
      <c r="D167" s="2275">
        <v>131</v>
      </c>
      <c r="E167" s="2265" t="s">
        <v>1891</v>
      </c>
      <c r="F167" s="2266"/>
      <c r="G167" s="2266"/>
      <c r="H167" s="2266"/>
      <c r="I167" s="2260"/>
      <c r="J167" s="2260"/>
      <c r="K167" s="2260"/>
      <c r="L167" s="2260"/>
      <c r="M167" s="2260"/>
      <c r="N167" s="2260"/>
      <c r="O167" s="2260"/>
      <c r="P167" s="6"/>
    </row>
    <row r="168" spans="2:16">
      <c r="B168" s="8"/>
      <c r="C168" s="2276" t="s">
        <v>1893</v>
      </c>
      <c r="D168" s="2275">
        <v>132</v>
      </c>
      <c r="E168" s="2264" t="s">
        <v>1894</v>
      </c>
      <c r="F168" s="2267"/>
      <c r="G168" s="2267"/>
      <c r="H168" s="2267"/>
      <c r="I168" s="2260"/>
      <c r="J168" s="2260"/>
      <c r="K168" s="2260"/>
      <c r="L168" s="2260"/>
      <c r="M168" s="2260"/>
      <c r="N168" s="2260"/>
      <c r="O168" s="2260"/>
      <c r="P168" s="6"/>
    </row>
    <row r="169" spans="2:16" ht="18.75">
      <c r="B169" s="8"/>
      <c r="C169" s="2276" t="s">
        <v>1895</v>
      </c>
      <c r="D169" s="2275">
        <v>133</v>
      </c>
      <c r="E169" s="2265" t="s">
        <v>1896</v>
      </c>
      <c r="F169" s="2266"/>
      <c r="G169" s="2266"/>
      <c r="H169" s="2266"/>
      <c r="I169" s="2260"/>
      <c r="J169" s="2260"/>
      <c r="K169" s="2260"/>
      <c r="L169" s="2260"/>
      <c r="M169" s="2260"/>
      <c r="N169" s="2260"/>
      <c r="O169" s="2260"/>
      <c r="P169" s="6"/>
    </row>
    <row r="170" spans="2:16">
      <c r="B170" s="8"/>
      <c r="C170" s="2276" t="s">
        <v>1898</v>
      </c>
      <c r="D170" s="2275">
        <v>134</v>
      </c>
      <c r="E170" s="2264" t="s">
        <v>1899</v>
      </c>
      <c r="F170" s="2267"/>
      <c r="G170" s="2267"/>
      <c r="H170" s="2267"/>
      <c r="I170" s="2260"/>
      <c r="J170" s="2260"/>
      <c r="K170" s="2260"/>
      <c r="L170" s="2260"/>
      <c r="M170" s="2260"/>
      <c r="N170" s="2260"/>
      <c r="O170" s="2260"/>
      <c r="P170" s="6"/>
    </row>
    <row r="171" spans="2:16" ht="18.75">
      <c r="B171" s="8"/>
      <c r="C171" s="2276" t="s">
        <v>1900</v>
      </c>
      <c r="D171" s="2275">
        <v>135</v>
      </c>
      <c r="E171" s="2265" t="s">
        <v>399</v>
      </c>
      <c r="F171" s="2266"/>
      <c r="G171" s="2266"/>
      <c r="H171" s="2266"/>
      <c r="I171" s="2260"/>
      <c r="J171" s="2260"/>
      <c r="K171" s="2260"/>
      <c r="L171" s="2260"/>
      <c r="M171" s="2260"/>
      <c r="N171" s="2260"/>
      <c r="O171" s="2260"/>
      <c r="P171" s="6"/>
    </row>
    <row r="172" spans="2:16">
      <c r="B172" s="8"/>
      <c r="C172" s="2276" t="s">
        <v>1902</v>
      </c>
      <c r="D172" s="2275">
        <v>136</v>
      </c>
      <c r="E172" s="2264" t="s">
        <v>1903</v>
      </c>
      <c r="F172" s="2267"/>
      <c r="G172" s="2267"/>
      <c r="H172" s="2267"/>
      <c r="I172" s="2260"/>
      <c r="J172" s="2260"/>
      <c r="K172" s="2260"/>
      <c r="L172" s="2260"/>
      <c r="M172" s="2260"/>
      <c r="N172" s="2260"/>
      <c r="O172" s="2260"/>
      <c r="P172" s="6"/>
    </row>
    <row r="173" spans="2:16" ht="18.75">
      <c r="B173" s="8"/>
      <c r="C173" s="2276" t="s">
        <v>1904</v>
      </c>
      <c r="D173" s="2275">
        <v>137</v>
      </c>
      <c r="E173" s="2265" t="s">
        <v>1513</v>
      </c>
      <c r="F173" s="2266"/>
      <c r="G173" s="2266"/>
      <c r="H173" s="2266"/>
      <c r="I173" s="2260"/>
      <c r="J173" s="2260"/>
      <c r="K173" s="2260"/>
      <c r="L173" s="2260"/>
      <c r="M173" s="2260"/>
      <c r="N173" s="2260"/>
      <c r="O173" s="2260"/>
      <c r="P173" s="6"/>
    </row>
    <row r="174" spans="2:16">
      <c r="B174" s="8"/>
      <c r="C174" s="2276" t="s">
        <v>1906</v>
      </c>
      <c r="D174" s="2275">
        <v>138</v>
      </c>
      <c r="E174" s="2264" t="s">
        <v>1907</v>
      </c>
      <c r="F174" s="2267"/>
      <c r="G174" s="2267"/>
      <c r="H174" s="2267"/>
      <c r="I174" s="2260"/>
      <c r="J174" s="2260"/>
      <c r="K174" s="2260"/>
      <c r="L174" s="2260"/>
      <c r="M174" s="2260"/>
      <c r="N174" s="2260"/>
      <c r="O174" s="2260"/>
      <c r="P174" s="6"/>
    </row>
    <row r="175" spans="2:16" ht="18.75">
      <c r="B175" s="8"/>
      <c r="C175" s="2276" t="s">
        <v>1908</v>
      </c>
      <c r="D175" s="2275">
        <v>139</v>
      </c>
      <c r="E175" s="2265" t="s">
        <v>1909</v>
      </c>
      <c r="F175" s="2266"/>
      <c r="G175" s="2266"/>
      <c r="H175" s="2266"/>
      <c r="I175" s="2260"/>
      <c r="J175" s="2260"/>
      <c r="K175" s="2260"/>
      <c r="L175" s="2260"/>
      <c r="M175" s="2260"/>
      <c r="N175" s="2260"/>
      <c r="O175" s="2260"/>
      <c r="P175" s="6"/>
    </row>
    <row r="176" spans="2:16">
      <c r="B176" s="8"/>
      <c r="C176" s="2276" t="s">
        <v>1911</v>
      </c>
      <c r="D176" s="2275">
        <v>140</v>
      </c>
      <c r="E176" s="2264" t="s">
        <v>1912</v>
      </c>
      <c r="F176" s="2267"/>
      <c r="G176" s="2267"/>
      <c r="H176" s="2267"/>
      <c r="I176" s="2260"/>
      <c r="J176" s="2260"/>
      <c r="K176" s="2260"/>
      <c r="L176" s="2260"/>
      <c r="M176" s="2260"/>
      <c r="N176" s="2260"/>
      <c r="O176" s="2260"/>
      <c r="P176" s="6"/>
    </row>
    <row r="177" spans="2:16" ht="18.75">
      <c r="B177" s="8"/>
      <c r="C177" s="2276" t="s">
        <v>1913</v>
      </c>
      <c r="D177" s="2275">
        <v>141</v>
      </c>
      <c r="E177" s="2265" t="s">
        <v>1914</v>
      </c>
      <c r="F177" s="2267">
        <v>97785.2</v>
      </c>
      <c r="G177" s="2267">
        <v>0</v>
      </c>
      <c r="H177" s="2267">
        <v>97785.2</v>
      </c>
      <c r="I177" s="2260"/>
      <c r="J177" s="2260"/>
      <c r="K177" s="2260"/>
      <c r="L177" s="2260"/>
      <c r="M177" s="2260"/>
      <c r="N177" s="2260"/>
      <c r="O177" s="2260"/>
      <c r="P177" s="6"/>
    </row>
    <row r="178" spans="2:16" ht="7.5" customHeight="1">
      <c r="B178" s="9"/>
      <c r="C178" s="10"/>
      <c r="D178" s="10"/>
      <c r="E178" s="10"/>
      <c r="F178" s="2268"/>
      <c r="G178" s="2268"/>
      <c r="H178" s="2268"/>
      <c r="I178" s="10"/>
      <c r="J178" s="10"/>
      <c r="K178" s="10"/>
      <c r="L178" s="10"/>
      <c r="M178" s="10"/>
      <c r="N178" s="10"/>
      <c r="O178" s="10"/>
      <c r="P178" s="11"/>
    </row>
    <row r="179" spans="2:16">
      <c r="F179" s="2269"/>
      <c r="G179" s="2269"/>
      <c r="H179" s="2269"/>
    </row>
    <row r="180" spans="2:16">
      <c r="F180" s="2269"/>
      <c r="G180" s="2269"/>
      <c r="H180" s="2269"/>
    </row>
    <row r="181" spans="2:16" ht="7.5" customHeight="1">
      <c r="B181" s="7"/>
      <c r="C181" s="4"/>
      <c r="D181" s="4"/>
      <c r="E181" s="4"/>
      <c r="F181" s="2270"/>
      <c r="G181" s="2270"/>
      <c r="H181" s="2270"/>
      <c r="I181" s="4"/>
      <c r="J181" s="4"/>
      <c r="K181" s="4"/>
      <c r="L181" s="4"/>
      <c r="M181" s="4"/>
      <c r="N181" s="4"/>
      <c r="O181" s="4"/>
      <c r="P181" s="5"/>
    </row>
    <row r="182" spans="2:16">
      <c r="B182" s="8"/>
      <c r="C182" s="2260"/>
      <c r="D182" s="2260"/>
      <c r="E182" s="2260" t="s">
        <v>23</v>
      </c>
      <c r="F182" s="2266"/>
      <c r="G182" s="2266"/>
      <c r="H182" s="2266"/>
      <c r="I182" s="2260"/>
      <c r="J182" s="2260"/>
      <c r="K182" s="2260"/>
      <c r="L182" s="2260" t="s">
        <v>2218</v>
      </c>
      <c r="M182" s="2260"/>
      <c r="N182" s="2260"/>
      <c r="O182" s="2260"/>
      <c r="P182" s="6"/>
    </row>
    <row r="183" spans="2:16" ht="7.5" customHeight="1">
      <c r="B183" s="9"/>
      <c r="C183" s="10"/>
      <c r="D183" s="10"/>
      <c r="E183" s="10"/>
      <c r="F183" s="10"/>
      <c r="G183" s="10"/>
      <c r="H183" s="10"/>
      <c r="I183" s="10"/>
      <c r="J183" s="10"/>
      <c r="K183" s="10"/>
      <c r="L183" s="10"/>
      <c r="M183" s="10"/>
      <c r="N183" s="10"/>
      <c r="O183" s="10"/>
      <c r="P183" s="11"/>
    </row>
  </sheetData>
  <sheetProtection sheet="1" formatCells="0" formatColumns="0" formatRows="0" insertColumns="0" insertRows="0" insertHyperlinks="0"/>
  <conditionalFormatting sqref="G1:G6 G16:G1048576">
    <cfRule type="containsText" dxfId="3" priority="1" operator="containsText" text="TRUE">
      <formula>NOT(ISERROR(SEARCH("TRUE",G1)))</formula>
    </cfRule>
    <cfRule type="containsText" dxfId="2" priority="2" operator="containsText" text="FALSE">
      <formula>NOT(ISERROR(SEARCH("FALSE",G1)))</formula>
    </cfRule>
  </conditionalFormatting>
  <conditionalFormatting sqref="J1:J1048576">
    <cfRule type="containsText" dxfId="1" priority="3" operator="containsText" text="TRUE">
      <formula>NOT(ISERROR(SEARCH("TRUE",J1)))</formula>
    </cfRule>
  </conditionalFormatting>
  <conditionalFormatting sqref="J1:J1048576">
    <cfRule type="containsText" dxfId="0" priority="4" operator="containsText" text="FALSE">
      <formula>NOT(ISERROR(SEARCH("FALSE",J1)))</formula>
    </cfRule>
  </conditionalFormatting>
  <hyperlinks>
    <hyperlink ref="E7" location="'Deleted - 638683775765249685'!A1" display="Distributable Surplus" xr:uid="{A291BEBD-2C7C-477E-8973-7021EB6A8933}"/>
    <hyperlink ref="E8" location="'Deleted - 638683775766398067'!A1" display="UPE Repayment Calculator" xr:uid="{EF2FB54B-4267-42AB-BD2D-DFBA0EF5A270}"/>
    <hyperlink ref="E10" location="'Deleted - 638683775767490205'!A1" display="Company Debit Loan Summary" xr:uid="{AF10AF5B-D82D-4AA4-B575-84DD880E9BA2}"/>
    <hyperlink ref="E11" location="'G31 Div 7A Loan Calculator (1)'!A1" display="Div 7A Calculator" xr:uid="{BD405D3B-1A6C-482C-A13A-A156086F60BC}"/>
    <hyperlink ref="E12" location="'H25 Bank Loan (1)'!A1" display="Bank Loan" xr:uid="{AE829A84-ADFD-4EE0-B43E-30B83B876482}"/>
    <hyperlink ref="E13" location="'H11 Chattel Mortgage Loan'!A1" display="Chattel Mortgage Loan Schedule" xr:uid="{BD777DD8-89A3-4B14-855A-842F80470088}"/>
    <hyperlink ref="E14" location="'H15 Inter Entity Loan'!A1" display="Inter Entity Loan" xr:uid="{682CE5B4-0585-4E26-8552-AB02AAB3B9A9}"/>
    <hyperlink ref="E15" location="'H12 Loan Summary'!A1" display="Loan Summary" xr:uid="{73C51092-7E85-4B5B-A722-3DF4F6F842E6}"/>
    <hyperlink ref="E16" location="'Z01 Blank'!A1" display="Spare Worksheet - Blank" xr:uid="{E274411B-49F5-4DD0-8A0F-7AD157454AC8}"/>
    <hyperlink ref="E17" location="'Z02 List'!A1" display="Spare Worksheet - List" xr:uid="{8A2380B0-E1C9-4B48-A91E-5C40207CA30A}"/>
    <hyperlink ref="E18" location="'D08 UPE Calculator'!A1" display="UPE Repayment Calculator" xr:uid="{DB3E5DD4-8CBB-4DDB-884C-3FFF3371B300}"/>
    <hyperlink ref="E23" location="'TR_1 Tax Rates'!A1" display="Tax Rates" xr:uid="{8C16146D-D372-4019-9AFA-FEF84D75B540}"/>
    <hyperlink ref="E24" location="'CTR Company Tax Return'!A1" display="Company Tax Return" xr:uid="{ED916996-76ED-439C-A816-53FD4EBE41EF}"/>
    <hyperlink ref="E25" location="'C15 Losses'!A1" display="Losses" xr:uid="{CCCC9A5C-FAB9-4360-904E-501E6A2BC28E}"/>
    <hyperlink ref="E30" location="'G31 Div 7A Loan Calculator'!A1" display="Div 7A Calculator" xr:uid="{45E91CAB-1D34-402B-BB60-6E7AF382095D}"/>
  </hyperlinks>
  <pageMargins left="0.7" right="0.7" top="0.75" bottom="0.75" header="0.3" footer="0.3"/>
  <customProperties>
    <customPr name="BinderStatusId" r:id="rId1"/>
  </customPropertie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582C8-F310-472A-9D98-15B97BEA36DD}">
  <dimension ref="A1:B4"/>
  <sheetViews>
    <sheetView workbookViewId="0"/>
  </sheetViews>
  <sheetFormatPr defaultRowHeight="15"/>
  <sheetData>
    <row r="1" spans="1:2">
      <c r="A1" t="s">
        <v>24</v>
      </c>
      <c r="B1" t="s">
        <v>25</v>
      </c>
    </row>
    <row r="2" spans="1:2">
      <c r="A2" t="s">
        <v>26</v>
      </c>
      <c r="B2">
        <v>5</v>
      </c>
    </row>
    <row r="3" spans="1:2">
      <c r="A3" t="s">
        <v>27</v>
      </c>
      <c r="B3">
        <v>1732780931919</v>
      </c>
    </row>
    <row r="4" spans="1:2">
      <c r="A4" t="s">
        <v>28</v>
      </c>
      <c r="B4">
        <v>1725411100000</v>
      </c>
    </row>
  </sheetData>
  <sheetProtection sheet="1" formatCells="0" formatColumns="0" formatRows="0" insertColumns="0" insertRows="0" insertHyperlinks="0"/>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21401-0AAA-494C-A5EE-4ABD721E5E0F}">
  <dimension ref="A1:F53"/>
  <sheetViews>
    <sheetView showGridLines="0" topLeftCell="A2" workbookViewId="0"/>
  </sheetViews>
  <sheetFormatPr defaultRowHeight="15"/>
  <cols>
    <col min="1" max="1" width="2.85546875" customWidth="1"/>
    <col min="2" max="2" width="1.42578125" customWidth="1"/>
    <col min="3" max="3" width="38.140625" customWidth="1"/>
    <col min="4" max="4" width="11.42578125" customWidth="1"/>
    <col min="5" max="5" width="38.140625" customWidth="1"/>
    <col min="6" max="6" width="1.42578125" customWidth="1"/>
  </cols>
  <sheetData>
    <row r="1" spans="1:6" hidden="1">
      <c r="A1" t="s">
        <v>5</v>
      </c>
      <c r="B1" t="s">
        <v>6</v>
      </c>
      <c r="C1" t="s">
        <v>29</v>
      </c>
      <c r="D1" t="s">
        <v>30</v>
      </c>
      <c r="E1" t="s">
        <v>31</v>
      </c>
      <c r="F1" t="s">
        <v>17</v>
      </c>
    </row>
    <row r="3" spans="1:6">
      <c r="B3" s="3"/>
      <c r="C3" s="3" t="s">
        <v>32</v>
      </c>
    </row>
    <row r="4" spans="1:6" ht="7.5" customHeight="1">
      <c r="B4" s="7"/>
      <c r="C4" s="4"/>
      <c r="D4" s="4"/>
      <c r="E4" s="4"/>
      <c r="F4" s="5"/>
    </row>
    <row r="5" spans="1:6">
      <c r="B5" s="8"/>
      <c r="C5" t="s">
        <v>33</v>
      </c>
      <c r="F5" s="6"/>
    </row>
    <row r="6" spans="1:6">
      <c r="B6" s="8"/>
      <c r="C6" s="1757" t="s">
        <v>60</v>
      </c>
      <c r="D6" s="1757"/>
      <c r="E6" s="1757"/>
      <c r="F6" s="6"/>
    </row>
    <row r="7" spans="1:6">
      <c r="B7" s="8"/>
      <c r="C7" t="s">
        <v>34</v>
      </c>
      <c r="F7" s="6"/>
    </row>
    <row r="8" spans="1:6">
      <c r="B8" s="8"/>
      <c r="C8" s="1757" t="s">
        <v>57</v>
      </c>
      <c r="D8" s="1757"/>
      <c r="E8" s="1757"/>
      <c r="F8" s="6"/>
    </row>
    <row r="9" spans="1:6">
      <c r="B9" s="8"/>
      <c r="C9" t="s">
        <v>35</v>
      </c>
      <c r="F9" s="6"/>
    </row>
    <row r="10" spans="1:6">
      <c r="B10" s="8"/>
      <c r="C10" s="1757">
        <v>34674386586</v>
      </c>
      <c r="D10" s="1757"/>
      <c r="E10" s="1757"/>
      <c r="F10" s="6"/>
    </row>
    <row r="11" spans="1:6">
      <c r="B11" s="8"/>
      <c r="C11" t="s">
        <v>36</v>
      </c>
      <c r="E11" t="s">
        <v>37</v>
      </c>
      <c r="F11" s="6"/>
    </row>
    <row r="12" spans="1:6">
      <c r="B12" s="8"/>
      <c r="C12" s="14" t="s">
        <v>59</v>
      </c>
      <c r="E12" s="14" t="s">
        <v>63</v>
      </c>
      <c r="F12" s="6"/>
    </row>
    <row r="13" spans="1:6">
      <c r="B13" s="8"/>
      <c r="C13" t="s">
        <v>38</v>
      </c>
      <c r="E13" t="s">
        <v>39</v>
      </c>
      <c r="F13" s="6"/>
    </row>
    <row r="14" spans="1:6">
      <c r="B14" s="8"/>
      <c r="C14" s="15">
        <v>45108</v>
      </c>
      <c r="E14" s="15">
        <v>45473</v>
      </c>
      <c r="F14" s="6"/>
    </row>
    <row r="15" spans="1:6">
      <c r="B15" s="8"/>
      <c r="C15" t="s">
        <v>40</v>
      </c>
      <c r="E15" t="s">
        <v>41</v>
      </c>
      <c r="F15" s="6"/>
    </row>
    <row r="16" spans="1:6">
      <c r="B16" s="8"/>
      <c r="C16" s="14">
        <v>2024</v>
      </c>
      <c r="E16" s="14" t="s">
        <v>65</v>
      </c>
      <c r="F16" s="6"/>
    </row>
    <row r="17" spans="2:6">
      <c r="B17" s="8"/>
      <c r="C17" t="s">
        <v>42</v>
      </c>
      <c r="F17" s="6"/>
    </row>
    <row r="18" spans="2:6">
      <c r="B18" s="8"/>
      <c r="C18" s="14" t="s">
        <v>64</v>
      </c>
      <c r="F18" s="6"/>
    </row>
    <row r="19" spans="2:6" ht="7.5" customHeight="1">
      <c r="B19" s="9"/>
      <c r="C19" s="10"/>
      <c r="D19" s="10"/>
      <c r="E19" s="10"/>
      <c r="F19" s="11"/>
    </row>
    <row r="21" spans="2:6">
      <c r="B21" s="3"/>
      <c r="C21" s="3" t="s">
        <v>43</v>
      </c>
    </row>
    <row r="22" spans="2:6" ht="7.5" customHeight="1">
      <c r="B22" s="7"/>
      <c r="C22" s="4"/>
      <c r="D22" s="4"/>
      <c r="E22" s="4"/>
      <c r="F22" s="5"/>
    </row>
    <row r="23" spans="2:6">
      <c r="B23" s="8"/>
      <c r="C23" t="s">
        <v>44</v>
      </c>
      <c r="F23" s="6"/>
    </row>
    <row r="24" spans="2:6">
      <c r="B24" s="8"/>
      <c r="C24" s="1757" t="s">
        <v>58</v>
      </c>
      <c r="D24" s="1757"/>
      <c r="E24" s="1757"/>
      <c r="F24" s="6"/>
    </row>
    <row r="25" spans="2:6">
      <c r="B25" s="8"/>
      <c r="C25" t="s">
        <v>45</v>
      </c>
      <c r="E25" t="s">
        <v>46</v>
      </c>
      <c r="F25" s="6"/>
    </row>
    <row r="26" spans="2:6">
      <c r="B26" s="8"/>
      <c r="C26" s="14"/>
      <c r="E26" s="14"/>
      <c r="F26" s="6"/>
    </row>
    <row r="27" spans="2:6" ht="7.5" customHeight="1">
      <c r="B27" s="9"/>
      <c r="C27" s="10"/>
      <c r="D27" s="10"/>
      <c r="E27" s="10"/>
      <c r="F27" s="11"/>
    </row>
    <row r="29" spans="2:6">
      <c r="B29" s="3"/>
      <c r="C29" s="3" t="s">
        <v>47</v>
      </c>
    </row>
    <row r="30" spans="2:6" ht="7.5" customHeight="1">
      <c r="B30" s="7"/>
      <c r="C30" s="4"/>
      <c r="D30" s="4"/>
      <c r="E30" s="4"/>
      <c r="F30" s="5"/>
    </row>
    <row r="31" spans="2:6">
      <c r="B31" s="8"/>
      <c r="C31" t="s">
        <v>48</v>
      </c>
      <c r="F31" s="6"/>
    </row>
    <row r="32" spans="2:6">
      <c r="B32" s="8"/>
      <c r="C32" s="1757"/>
      <c r="D32" s="1757"/>
      <c r="E32" s="1757"/>
      <c r="F32" s="6"/>
    </row>
    <row r="33" spans="2:6">
      <c r="B33" s="8"/>
      <c r="C33" t="s">
        <v>49</v>
      </c>
      <c r="E33" t="s">
        <v>50</v>
      </c>
      <c r="F33" s="6"/>
    </row>
    <row r="34" spans="2:6">
      <c r="B34" s="8"/>
      <c r="C34" s="14"/>
      <c r="E34" s="14"/>
      <c r="F34" s="6"/>
    </row>
    <row r="35" spans="2:6" ht="7.5" customHeight="1">
      <c r="B35" s="9"/>
      <c r="C35" s="10"/>
      <c r="D35" s="10"/>
      <c r="E35" s="10"/>
      <c r="F35" s="11"/>
    </row>
    <row r="37" spans="2:6">
      <c r="B37" s="3"/>
      <c r="C37" s="3" t="s">
        <v>51</v>
      </c>
    </row>
    <row r="38" spans="2:6" ht="7.5" customHeight="1">
      <c r="B38" s="7"/>
      <c r="C38" s="4"/>
      <c r="D38" s="4"/>
      <c r="E38" s="4"/>
      <c r="F38" s="5"/>
    </row>
    <row r="39" spans="2:6">
      <c r="B39" s="8"/>
      <c r="C39" t="s">
        <v>52</v>
      </c>
      <c r="F39" s="6"/>
    </row>
    <row r="40" spans="2:6">
      <c r="B40" s="8"/>
      <c r="C40" s="1757" t="s">
        <v>62</v>
      </c>
      <c r="D40" s="1757"/>
      <c r="E40" s="1757"/>
      <c r="F40" s="6"/>
    </row>
    <row r="41" spans="2:6">
      <c r="B41" s="8"/>
      <c r="C41" t="s">
        <v>3</v>
      </c>
      <c r="E41" t="s">
        <v>2</v>
      </c>
      <c r="F41" s="6"/>
    </row>
    <row r="42" spans="2:6">
      <c r="B42" s="8"/>
      <c r="C42" s="14" t="s">
        <v>61</v>
      </c>
      <c r="E42" s="14" t="s">
        <v>61</v>
      </c>
      <c r="F42" s="6"/>
    </row>
    <row r="43" spans="2:6">
      <c r="B43" s="8"/>
      <c r="C43" t="s">
        <v>1</v>
      </c>
      <c r="E43" t="s">
        <v>0</v>
      </c>
      <c r="F43" s="6"/>
    </row>
    <row r="44" spans="2:6">
      <c r="B44" s="8"/>
      <c r="C44" s="14" t="s">
        <v>61</v>
      </c>
      <c r="E44" s="14" t="s">
        <v>61</v>
      </c>
      <c r="F44" s="6"/>
    </row>
    <row r="45" spans="2:6">
      <c r="B45" s="8"/>
      <c r="C45" t="s">
        <v>53</v>
      </c>
      <c r="E45" t="s">
        <v>54</v>
      </c>
      <c r="F45" s="6"/>
    </row>
    <row r="46" spans="2:6">
      <c r="B46" s="8"/>
      <c r="C46" s="14"/>
      <c r="E46" s="14"/>
      <c r="F46" s="6"/>
    </row>
    <row r="47" spans="2:6" ht="7.5" customHeight="1">
      <c r="B47" s="9"/>
      <c r="C47" s="10"/>
      <c r="D47" s="10"/>
      <c r="E47" s="10"/>
      <c r="F47" s="11"/>
    </row>
    <row r="49" spans="2:6">
      <c r="B49" s="3"/>
      <c r="C49" s="3" t="s">
        <v>55</v>
      </c>
    </row>
    <row r="50" spans="2:6" ht="7.5" customHeight="1">
      <c r="B50" s="7"/>
      <c r="C50" s="4"/>
      <c r="D50" s="4"/>
      <c r="E50" s="4"/>
      <c r="F50" s="5"/>
    </row>
    <row r="51" spans="2:6">
      <c r="B51" s="8"/>
      <c r="C51" t="s">
        <v>56</v>
      </c>
      <c r="F51" s="6"/>
    </row>
    <row r="52" spans="2:6">
      <c r="B52" s="8"/>
      <c r="C52" s="1757">
        <v>0.01</v>
      </c>
      <c r="D52" s="1757"/>
      <c r="E52" s="1757"/>
      <c r="F52" s="6"/>
    </row>
    <row r="53" spans="2:6" ht="7.5" customHeight="1">
      <c r="B53" s="9"/>
      <c r="C53" s="10"/>
      <c r="D53" s="10"/>
      <c r="E53" s="10"/>
      <c r="F53" s="11"/>
    </row>
  </sheetData>
  <sheetProtection sheet="1" formatCells="0" formatColumns="0" formatRows="0" insertColumns="0" insertRows="0" insertHyperlinks="0"/>
  <mergeCells count="7">
    <mergeCell ref="C52:E52"/>
    <mergeCell ref="C6:E6"/>
    <mergeCell ref="C8:E8"/>
    <mergeCell ref="C10:E10"/>
    <mergeCell ref="C24:E24"/>
    <mergeCell ref="C32:E32"/>
    <mergeCell ref="C40:E4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3780A-2328-426E-9AC4-01556AC55C19}">
  <dimension ref="A1:C347"/>
  <sheetViews>
    <sheetView workbookViewId="0"/>
  </sheetViews>
  <sheetFormatPr defaultRowHeight="15"/>
  <cols>
    <col min="1" max="1" width="32.28515625" bestFit="1" customWidth="1"/>
    <col min="2" max="2" width="52.85546875" bestFit="1" customWidth="1"/>
    <col min="3" max="3" width="2" bestFit="1" customWidth="1"/>
  </cols>
  <sheetData>
    <row r="1" spans="1:3">
      <c r="A1" t="s">
        <v>2124</v>
      </c>
      <c r="B1" t="s">
        <v>1567</v>
      </c>
      <c r="C1">
        <f>IFERROR(SUM('D08 UPE Calculator'!CategoryNamesList),0)</f>
        <v>0</v>
      </c>
    </row>
    <row r="2" spans="1:3">
      <c r="A2" t="s">
        <v>2124</v>
      </c>
      <c r="B2" t="s">
        <v>2125</v>
      </c>
      <c r="C2">
        <f>IFERROR(SUM('D08 UPE Calculator'!D08_UPEBalance),0)</f>
        <v>0</v>
      </c>
    </row>
    <row r="3" spans="1:3">
      <c r="A3" t="s">
        <v>2124</v>
      </c>
      <c r="B3" t="s">
        <v>2126</v>
      </c>
      <c r="C3">
        <f>IFERROR(SUM('D08 UPE Calculator'!TBAccount),0)</f>
        <v>0</v>
      </c>
    </row>
    <row r="4" spans="1:3">
      <c r="A4" t="s">
        <v>2076</v>
      </c>
      <c r="B4" t="s">
        <v>2077</v>
      </c>
      <c r="C4">
        <f>IFERROR(SUM('H12 Loan Summary'!H12_Number_of_Loans),0)</f>
        <v>1</v>
      </c>
    </row>
    <row r="5" spans="1:3">
      <c r="A5" t="s">
        <v>2058</v>
      </c>
      <c r="B5" t="s">
        <v>2031</v>
      </c>
      <c r="C5">
        <f>IFERROR(SUM('H15 Inter Entity Loan'!Example),0)</f>
        <v>0</v>
      </c>
    </row>
    <row r="6" spans="1:3">
      <c r="A6" t="s">
        <v>1998</v>
      </c>
      <c r="B6" t="s">
        <v>1999</v>
      </c>
      <c r="C6">
        <f>IFERROR(SUM('H11 Chattel Mortgage Loan'!Auto_EffectiveRate),0)</f>
        <v>0</v>
      </c>
    </row>
    <row r="7" spans="1:3">
      <c r="A7" t="s">
        <v>1998</v>
      </c>
      <c r="B7" t="s">
        <v>2000</v>
      </c>
      <c r="C7">
        <f>IFERROR(SUM('H11 Chattel Mortgage Loan'!Auto_NominalRate),0)</f>
        <v>0</v>
      </c>
    </row>
    <row r="8" spans="1:3">
      <c r="A8" t="s">
        <v>1998</v>
      </c>
      <c r="B8" t="s">
        <v>1567</v>
      </c>
      <c r="C8">
        <f>IFERROR(SUM('H11 Chattel Mortgage Loan'!CategoryNamesList),0)</f>
        <v>0</v>
      </c>
    </row>
    <row r="9" spans="1:3">
      <c r="A9" t="s">
        <v>1998</v>
      </c>
      <c r="B9" t="s">
        <v>2001</v>
      </c>
      <c r="C9">
        <f>IFERROR(SUM('H11 Chattel Mortgage Loan'!Complete_Schedule),0)</f>
        <v>1217580</v>
      </c>
    </row>
    <row r="10" spans="1:3">
      <c r="A10" t="s">
        <v>1998</v>
      </c>
      <c r="B10" t="s">
        <v>2002</v>
      </c>
      <c r="C10">
        <f>IFERROR(SUM('H11 Chattel Mortgage Loan'!CurrentLiability),0)</f>
        <v>0</v>
      </c>
    </row>
    <row r="11" spans="1:3">
      <c r="A11" t="s">
        <v>1998</v>
      </c>
      <c r="B11" t="s">
        <v>2003</v>
      </c>
      <c r="C11">
        <f>IFERROR(SUM('H11 Chattel Mortgage Loan'!CurrentUnexpiredInterest),0)</f>
        <v>0</v>
      </c>
    </row>
    <row r="12" spans="1:3">
      <c r="A12" t="s">
        <v>1998</v>
      </c>
      <c r="B12" t="s">
        <v>1978</v>
      </c>
      <c r="C12">
        <f>IFERROR(SUM('H11 Chattel Mortgage Loan'!End_of_Year_Month),0)</f>
        <v>1</v>
      </c>
    </row>
    <row r="13" spans="1:3">
      <c r="A13" t="s">
        <v>1998</v>
      </c>
      <c r="B13" t="s">
        <v>2004</v>
      </c>
      <c r="C13">
        <f>IFERROR(SUM('H11 Chattel Mortgage Loan'!First_payment),0)</f>
        <v>0</v>
      </c>
    </row>
    <row r="14" spans="1:3">
      <c r="A14" t="s">
        <v>1998</v>
      </c>
      <c r="B14" t="s">
        <v>1965</v>
      </c>
      <c r="C14">
        <f>IFERROR(SUM('H11 Chattel Mortgage Loan'!Int_Rate),0)</f>
        <v>0</v>
      </c>
    </row>
    <row r="15" spans="1:3">
      <c r="A15" t="s">
        <v>1998</v>
      </c>
      <c r="B15" t="s">
        <v>2005</v>
      </c>
      <c r="C15">
        <f>IFERROR(SUM('H11 Chattel Mortgage Loan'!Int_RateDisplay),0)</f>
        <v>0</v>
      </c>
    </row>
    <row r="16" spans="1:3">
      <c r="A16" t="s">
        <v>1998</v>
      </c>
      <c r="B16" t="s">
        <v>2006</v>
      </c>
      <c r="C16">
        <f>IFERROR(SUM('H11 Chattel Mortgage Loan'!Interest_For_Year_Ended),0)</f>
        <v>0</v>
      </c>
    </row>
    <row r="17" spans="1:3">
      <c r="A17" t="s">
        <v>1998</v>
      </c>
      <c r="B17" t="s">
        <v>2007</v>
      </c>
      <c r="C17">
        <f>IFERROR(SUM('H11 Chattel Mortgage Loan'!Loan_Amt),0)</f>
        <v>0</v>
      </c>
    </row>
    <row r="18" spans="1:3">
      <c r="A18" t="s">
        <v>1998</v>
      </c>
      <c r="B18" t="s">
        <v>2008</v>
      </c>
      <c r="C18">
        <f>IFERROR(SUM('H11 Chattel Mortgage Loan'!Manual_NominalRate),0)</f>
        <v>0</v>
      </c>
    </row>
    <row r="19" spans="1:3">
      <c r="A19" t="s">
        <v>1998</v>
      </c>
      <c r="B19" t="s">
        <v>2009</v>
      </c>
      <c r="C19">
        <f>IFERROR(SUM('H11 Chattel Mortgage Loan'!NetCurrentLiability),0)</f>
        <v>0</v>
      </c>
    </row>
    <row r="20" spans="1:3">
      <c r="A20" t="s">
        <v>1998</v>
      </c>
      <c r="B20" t="s">
        <v>2010</v>
      </c>
      <c r="C20">
        <f>IFERROR(SUM('H11 Chattel Mortgage Loan'!NetNonCurrentLiability),0)</f>
        <v>0</v>
      </c>
    </row>
    <row r="21" spans="1:3">
      <c r="A21" t="s">
        <v>1998</v>
      </c>
      <c r="B21" t="s">
        <v>2011</v>
      </c>
      <c r="C21">
        <f>IFERROR(SUM('H11 Chattel Mortgage Loan'!No_Regular_Payments),0)</f>
        <v>0</v>
      </c>
    </row>
    <row r="22" spans="1:3">
      <c r="A22" t="s">
        <v>1998</v>
      </c>
      <c r="B22" t="s">
        <v>2012</v>
      </c>
      <c r="C22">
        <f>IFERROR(SUM('H11 Chattel Mortgage Loan'!NonCurrentLiability),0)</f>
        <v>0</v>
      </c>
    </row>
    <row r="23" spans="1:3">
      <c r="A23" t="s">
        <v>1998</v>
      </c>
      <c r="B23" t="s">
        <v>2013</v>
      </c>
      <c r="C23">
        <f>IFERROR(SUM('H11 Chattel Mortgage Loan'!NonCurrentUnexpiredInterest),0)</f>
        <v>0</v>
      </c>
    </row>
    <row r="24" spans="1:3">
      <c r="A24" t="s">
        <v>1998</v>
      </c>
      <c r="B24" t="s">
        <v>1969</v>
      </c>
      <c r="C24">
        <f>IFERROR(SUM('H11 Chattel Mortgage Loan'!Number_Payments),0)</f>
        <v>0</v>
      </c>
    </row>
    <row r="25" spans="1:3">
      <c r="A25" t="s">
        <v>1998</v>
      </c>
      <c r="B25" t="s">
        <v>2014</v>
      </c>
      <c r="C25">
        <f>IFERROR(SUM('H11 Chattel Mortgage Loan'!Pay_No),0)</f>
        <v>1217580</v>
      </c>
    </row>
    <row r="26" spans="1:3">
      <c r="A26" t="s">
        <v>1998</v>
      </c>
      <c r="B26" t="s">
        <v>2015</v>
      </c>
      <c r="C26">
        <f>IFERROR(SUM('H11 Chattel Mortgage Loan'!Payment_Frequency),0)</f>
        <v>0</v>
      </c>
    </row>
    <row r="27" spans="1:3">
      <c r="A27" t="s">
        <v>1998</v>
      </c>
      <c r="B27" t="s">
        <v>2016</v>
      </c>
      <c r="C27">
        <f>IFERROR(SUM('H11 Chattel Mortgage Loan'!Periodic_Admin_Charge),0)</f>
        <v>0</v>
      </c>
    </row>
    <row r="28" spans="1:3">
      <c r="A28" t="s">
        <v>1998</v>
      </c>
      <c r="B28" t="s">
        <v>2017</v>
      </c>
      <c r="C28">
        <f>IFERROR(SUM('H11 Chattel Mortgage Loan'!Repay_Amt),0)</f>
        <v>0</v>
      </c>
    </row>
    <row r="29" spans="1:3">
      <c r="A29" t="s">
        <v>1998</v>
      </c>
      <c r="B29" t="s">
        <v>2018</v>
      </c>
      <c r="C29">
        <f>IFERROR(SUM('H11 Chattel Mortgage Loan'!Start_Date),0)</f>
        <v>0</v>
      </c>
    </row>
    <row r="30" spans="1:3">
      <c r="A30" t="s">
        <v>1998</v>
      </c>
      <c r="B30" t="s">
        <v>2019</v>
      </c>
      <c r="C30">
        <f>IFERROR(SUM('H11 Chattel Mortgage Loan'!Summary_table),0)</f>
        <v>0</v>
      </c>
    </row>
    <row r="31" spans="1:3">
      <c r="A31" t="s">
        <v>1998</v>
      </c>
      <c r="B31" t="s">
        <v>2020</v>
      </c>
      <c r="C31">
        <f>IFERROR(SUM('H11 Chattel Mortgage Loan'!Total_Int),0)</f>
        <v>0</v>
      </c>
    </row>
    <row r="32" spans="1:3">
      <c r="A32" t="s">
        <v>1919</v>
      </c>
      <c r="B32" t="s">
        <v>417</v>
      </c>
      <c r="C32">
        <f>IFERROR(SUM('H25 Bank Loan (1)'!H25_BankFees),0)</f>
        <v>0</v>
      </c>
    </row>
    <row r="33" spans="1:3">
      <c r="A33" t="s">
        <v>1919</v>
      </c>
      <c r="B33" t="s">
        <v>418</v>
      </c>
      <c r="C33">
        <f>IFERROR(SUM('H25 Bank Loan (1)'!H25_InterestExpense),0)</f>
        <v>0</v>
      </c>
    </row>
    <row r="34" spans="1:3">
      <c r="A34" t="s">
        <v>1919</v>
      </c>
      <c r="B34" t="s">
        <v>419</v>
      </c>
      <c r="C34">
        <f>IFERROR(SUM('H25 Bank Loan (1)'!H25_Loan_1),0)</f>
        <v>0</v>
      </c>
    </row>
    <row r="35" spans="1:3">
      <c r="A35" t="s">
        <v>1919</v>
      </c>
      <c r="B35" t="s">
        <v>420</v>
      </c>
      <c r="C35">
        <f>IFERROR(SUM('H25 Bank Loan (1)'!H25_TotalLiability),0)</f>
        <v>0</v>
      </c>
    </row>
    <row r="36" spans="1:3">
      <c r="A36" t="s">
        <v>2145</v>
      </c>
      <c r="B36" t="s">
        <v>2146</v>
      </c>
      <c r="C36">
        <f>IFERROR(SUM('D03 Company Debit Loan Summary'!D03_Number_of_Directors),0)</f>
        <v>1</v>
      </c>
    </row>
    <row r="37" spans="1:3">
      <c r="A37" t="s">
        <v>2145</v>
      </c>
      <c r="B37" t="s">
        <v>2147</v>
      </c>
      <c r="C37">
        <f>IFERROR(SUM('D03 Company Debit Loan Summary'!D03_Number_of_Loans),0)</f>
        <v>1</v>
      </c>
    </row>
    <row r="38" spans="1:3">
      <c r="A38" t="s">
        <v>2145</v>
      </c>
      <c r="B38" t="s">
        <v>37</v>
      </c>
      <c r="C38">
        <f>IFERROR(SUM('D03 Company Debit Loan Summary'!Jurisdiction),0)</f>
        <v>0</v>
      </c>
    </row>
    <row r="39" spans="1:3">
      <c r="A39" t="s">
        <v>1917</v>
      </c>
      <c r="B39" t="s">
        <v>1567</v>
      </c>
      <c r="C39">
        <f>IFERROR(SUM('G31 Div 7A Loan Calculator (1)'!CategoryNamesList),0)</f>
        <v>0</v>
      </c>
    </row>
    <row r="40" spans="1:3">
      <c r="A40" t="s">
        <v>1917</v>
      </c>
      <c r="B40" t="s">
        <v>1568</v>
      </c>
      <c r="C40">
        <f>IFERROR(SUM('G31 Div 7A Loan Calculator (1)'!G31_LoanBalance),0)</f>
        <v>0</v>
      </c>
    </row>
    <row r="41" spans="1:3">
      <c r="A41" t="s">
        <v>1917</v>
      </c>
      <c r="B41" t="s">
        <v>1569</v>
      </c>
      <c r="C41">
        <f>IFERROR(SUM('G31 Div 7A Loan Calculator (1)'!Interest_Rate),0)</f>
        <v>1130071.7677000002</v>
      </c>
    </row>
    <row r="42" spans="1:3">
      <c r="A42" t="s">
        <v>1315</v>
      </c>
      <c r="B42" t="s">
        <v>1316</v>
      </c>
      <c r="C42">
        <f>IFERROR(SUM('CTR Company Tax Return'!FixedList.1_4_6),0)</f>
        <v>883769</v>
      </c>
    </row>
    <row r="43" spans="1:3">
      <c r="A43" t="s">
        <v>1315</v>
      </c>
      <c r="B43" t="s">
        <v>1291</v>
      </c>
      <c r="C43">
        <f>IFERROR(SUM('CTR Company Tax Return'!Tx_AllRet.ABNNotQuoted),0)</f>
        <v>0</v>
      </c>
    </row>
    <row r="44" spans="1:3">
      <c r="A44" t="s">
        <v>1315</v>
      </c>
      <c r="B44" t="s">
        <v>949</v>
      </c>
      <c r="C44">
        <f>IFERROR(SUM('CTR Company Tax Return'!Tx_AllRet.AdjustValues),0)</f>
        <v>0</v>
      </c>
    </row>
    <row r="45" spans="1:3">
      <c r="A45" t="s">
        <v>1315</v>
      </c>
      <c r="B45" t="s">
        <v>1008</v>
      </c>
      <c r="C45">
        <f>IFERROR(SUM('CTR Company Tax Return'!Tx_AllRet.AggTurnover),0)</f>
        <v>0</v>
      </c>
    </row>
    <row r="46" spans="1:3">
      <c r="A46" t="s">
        <v>1315</v>
      </c>
      <c r="B46" t="s">
        <v>1012</v>
      </c>
      <c r="C46">
        <f>IFERROR(SUM('CTR Company Tax Return'!Tx_AllRet.AggTurnoverRange),0)</f>
        <v>0</v>
      </c>
    </row>
    <row r="47" spans="1:3">
      <c r="A47" t="s">
        <v>1315</v>
      </c>
      <c r="B47" t="s">
        <v>946</v>
      </c>
      <c r="C47">
        <f>IFERROR(SUM('CTR Company Tax Return'!Tx_AllRet.AssesBalAdj),0)</f>
        <v>0</v>
      </c>
    </row>
    <row r="48" spans="1:3">
      <c r="A48" t="s">
        <v>1315</v>
      </c>
      <c r="B48" t="s">
        <v>1048</v>
      </c>
      <c r="C48">
        <f>IFERROR(SUM('CTR Company Tax Return'!Tx_AllRet.Assets),0)</f>
        <v>89429</v>
      </c>
    </row>
    <row r="49" spans="1:3">
      <c r="A49" t="s">
        <v>1315</v>
      </c>
      <c r="B49" t="s">
        <v>994</v>
      </c>
      <c r="C49">
        <f>IFERROR(SUM('CTR Company Tax Return'!Tx_AllRet.AssocPersons),0)</f>
        <v>0</v>
      </c>
    </row>
    <row r="50" spans="1:3">
      <c r="A50" t="s">
        <v>1315</v>
      </c>
      <c r="B50" t="s">
        <v>1227</v>
      </c>
      <c r="C50">
        <f>IFERROR(SUM('CTR Company Tax Return'!Tx_AllRet.BadDebt),0)</f>
        <v>0</v>
      </c>
    </row>
    <row r="51" spans="1:3">
      <c r="A51" t="s">
        <v>1315</v>
      </c>
      <c r="B51" t="s">
        <v>907</v>
      </c>
      <c r="C51">
        <f>IFERROR(SUM('CTR Company Tax Return'!Tx_AllRet.CapitalLossesCF),0)</f>
        <v>0</v>
      </c>
    </row>
    <row r="52" spans="1:3">
      <c r="A52" t="s">
        <v>1315</v>
      </c>
      <c r="B52" t="s">
        <v>1168</v>
      </c>
      <c r="C52">
        <f>IFERROR(SUM('CTR Company Tax Return'!Tx_AllRet.CGTEvent),0)</f>
        <v>0</v>
      </c>
    </row>
    <row r="53" spans="1:3">
      <c r="A53" t="s">
        <v>1315</v>
      </c>
      <c r="B53" t="s">
        <v>1165</v>
      </c>
      <c r="C53">
        <f>IFERROR(SUM('CTR Company Tax Return'!Tx_AllRet.CGTExempRollover),0)</f>
        <v>0</v>
      </c>
    </row>
    <row r="54" spans="1:3">
      <c r="A54" t="s">
        <v>1315</v>
      </c>
      <c r="B54" t="s">
        <v>1235</v>
      </c>
      <c r="C54">
        <f>IFERROR(SUM('CTR Company Tax Return'!Tx_AllRet.Contractor),0)</f>
        <v>0</v>
      </c>
    </row>
    <row r="55" spans="1:3">
      <c r="A55" t="s">
        <v>1315</v>
      </c>
      <c r="B55" t="s">
        <v>1238</v>
      </c>
      <c r="C55">
        <f>IFERROR(SUM('CTR Company Tax Return'!Tx_AllRet.COS),0)</f>
        <v>3028</v>
      </c>
    </row>
    <row r="56" spans="1:3">
      <c r="A56" t="s">
        <v>1315</v>
      </c>
      <c r="B56" t="s">
        <v>1063</v>
      </c>
      <c r="C56">
        <f>IFERROR(SUM('CTR Company Tax Return'!Tx_AllRet.CS),0)</f>
        <v>0</v>
      </c>
    </row>
    <row r="57" spans="1:3">
      <c r="A57" t="s">
        <v>1315</v>
      </c>
      <c r="B57" t="s">
        <v>1052</v>
      </c>
      <c r="C57">
        <f>IFERROR(SUM('CTR Company Tax Return'!Tx_AllRet.CurrentAssets),0)</f>
        <v>87594</v>
      </c>
    </row>
    <row r="58" spans="1:3">
      <c r="A58" t="s">
        <v>1315</v>
      </c>
      <c r="B58" t="s">
        <v>1040</v>
      </c>
      <c r="C58">
        <f>IFERROR(SUM('CTR Company Tax Return'!Tx_AllRet.CurrentLiab),0)</f>
        <v>-8356</v>
      </c>
    </row>
    <row r="59" spans="1:3">
      <c r="A59" t="s">
        <v>1315</v>
      </c>
      <c r="B59" t="s">
        <v>943</v>
      </c>
      <c r="C59">
        <f>IFERROR(SUM('CTR Company Tax Return'!Tx_AllRet.DedBalAdj),0)</f>
        <v>0</v>
      </c>
    </row>
    <row r="60" spans="1:3">
      <c r="A60" t="s">
        <v>1315</v>
      </c>
      <c r="B60" t="s">
        <v>1195</v>
      </c>
      <c r="C60">
        <f>IFERROR(SUM('CTR Company Tax Return'!Tx_AllRet.Depreciation),0)</f>
        <v>0</v>
      </c>
    </row>
    <row r="61" spans="1:3">
      <c r="A61" t="s">
        <v>1315</v>
      </c>
      <c r="B61" t="s">
        <v>1260</v>
      </c>
      <c r="C61">
        <f>IFERROR(SUM('CTR Company Tax Return'!Tx_AllRet.EmployeeCont),0)</f>
        <v>0</v>
      </c>
    </row>
    <row r="62" spans="1:3">
      <c r="A62" t="s">
        <v>1315</v>
      </c>
      <c r="B62" t="s">
        <v>1242</v>
      </c>
      <c r="C62">
        <f>IFERROR(SUM('CTR Company Tax Return'!Tx_AllRet.ExpenseForResWithholding),0)</f>
        <v>0</v>
      </c>
    </row>
    <row r="63" spans="1:3">
      <c r="A63" t="s">
        <v>1315</v>
      </c>
      <c r="B63" t="s">
        <v>1156</v>
      </c>
      <c r="C63">
        <f>IFERROR(SUM('CTR Company Tax Return'!Tx_AllRet.FrankingCredits),0)</f>
        <v>0</v>
      </c>
    </row>
    <row r="64" spans="1:3">
      <c r="A64" t="s">
        <v>1315</v>
      </c>
      <c r="B64" t="s">
        <v>1256</v>
      </c>
      <c r="C64">
        <f>IFERROR(SUM('CTR Company Tax Return'!Tx_AllRet.GovtIndustryPaym),0)</f>
        <v>0</v>
      </c>
    </row>
    <row r="65" spans="1:3">
      <c r="A65" t="s">
        <v>1315</v>
      </c>
      <c r="B65" t="s">
        <v>1295</v>
      </c>
      <c r="C65">
        <f>IFERROR(SUM('CTR Company Tax Return'!Tx_AllRet.IncomeForResWithholding),0)</f>
        <v>0</v>
      </c>
    </row>
    <row r="66" spans="1:3">
      <c r="A66" t="s">
        <v>1315</v>
      </c>
      <c r="B66" t="s">
        <v>1111</v>
      </c>
      <c r="C66">
        <f>IFERROR(SUM('CTR Company Tax Return'!Tx_AllRet.LandcareDed),0)</f>
        <v>0</v>
      </c>
    </row>
    <row r="67" spans="1:3">
      <c r="A67" t="s">
        <v>1315</v>
      </c>
      <c r="B67" t="s">
        <v>1036</v>
      </c>
      <c r="C67">
        <f>IFERROR(SUM('CTR Company Tax Return'!Tx_AllRet.Liab),0)</f>
        <v>-8356</v>
      </c>
    </row>
    <row r="68" spans="1:3">
      <c r="A68" t="s">
        <v>1315</v>
      </c>
      <c r="B68" t="s">
        <v>1191</v>
      </c>
      <c r="C68">
        <f>IFERROR(SUM('CTR Company Tax Return'!Tx_AllRet.MVExp),0)</f>
        <v>1204</v>
      </c>
    </row>
    <row r="69" spans="1:3">
      <c r="A69" t="s">
        <v>1315</v>
      </c>
      <c r="B69" t="s">
        <v>1162</v>
      </c>
      <c r="C69">
        <f>IFERROR(SUM('CTR Company Tax Return'!Tx_AllRet.NetCapGain),0)</f>
        <v>0</v>
      </c>
    </row>
    <row r="70" spans="1:3">
      <c r="A70" t="s">
        <v>1315</v>
      </c>
      <c r="B70" t="s">
        <v>1070</v>
      </c>
      <c r="C70">
        <f>IFERROR(SUM('CTR Company Tax Return'!Tx_AllRet.OS),0)</f>
        <v>0</v>
      </c>
    </row>
    <row r="71" spans="1:3">
      <c r="A71" t="s">
        <v>1315</v>
      </c>
      <c r="B71" t="s">
        <v>1179</v>
      </c>
      <c r="C71">
        <f>IFERROR(SUM('CTR Company Tax Return'!Tx_AllRet.OtherExpenses),0)</f>
        <v>26887</v>
      </c>
    </row>
    <row r="72" spans="1:3">
      <c r="A72" t="s">
        <v>1315</v>
      </c>
      <c r="B72" t="s">
        <v>1122</v>
      </c>
      <c r="C72">
        <f>IFERROR(SUM('CTR Company Tax Return'!Tx_AllRet.ProjectPoolDed),0)</f>
        <v>0</v>
      </c>
    </row>
    <row r="73" spans="1:3">
      <c r="A73" t="s">
        <v>1315</v>
      </c>
      <c r="B73" t="s">
        <v>1066</v>
      </c>
      <c r="C73">
        <f>IFERROR(SUM('CTR Company Tax Return'!Tx_AllRet.Purchases),0)</f>
        <v>3028</v>
      </c>
    </row>
    <row r="74" spans="1:3">
      <c r="A74" t="s">
        <v>1315</v>
      </c>
      <c r="B74" t="s">
        <v>952</v>
      </c>
      <c r="C74">
        <f>IFERROR(SUM('CTR Company Tax Return'!Tx_AllRet.RecalcEffectLife),0)</f>
        <v>0</v>
      </c>
    </row>
    <row r="75" spans="1:3">
      <c r="A75" t="s">
        <v>1315</v>
      </c>
      <c r="B75" t="s">
        <v>1215</v>
      </c>
      <c r="C75">
        <f>IFERROR(SUM('CTR Company Tax Return'!Tx_AllRet.RentExp),0)</f>
        <v>0</v>
      </c>
    </row>
    <row r="76" spans="1:3">
      <c r="A76" t="s">
        <v>1315</v>
      </c>
      <c r="B76" t="s">
        <v>1317</v>
      </c>
      <c r="C76">
        <f>IFERROR(SUM('CTR Company Tax Return'!Tx_AllRet.ReturnYear),0)</f>
        <v>2024</v>
      </c>
    </row>
    <row r="77" spans="1:3">
      <c r="A77" t="s">
        <v>1315</v>
      </c>
      <c r="B77" t="s">
        <v>1187</v>
      </c>
      <c r="C77">
        <f>IFERROR(SUM('CTR Company Tax Return'!Tx_AllRet.RMExp),0)</f>
        <v>4586</v>
      </c>
    </row>
    <row r="78" spans="1:3">
      <c r="A78" t="s">
        <v>1315</v>
      </c>
      <c r="B78" t="s">
        <v>1287</v>
      </c>
      <c r="C78">
        <f>IFERROR(SUM('CTR Company Tax Return'!Tx_AllRet.Sales),0)</f>
        <v>137947</v>
      </c>
    </row>
    <row r="79" spans="1:3">
      <c r="A79" t="s">
        <v>1315</v>
      </c>
      <c r="B79" t="s">
        <v>1116</v>
      </c>
      <c r="C79">
        <f>IFERROR(SUM('CTR Company Tax Return'!Tx_AllRet.Sec40880),0)</f>
        <v>0</v>
      </c>
    </row>
    <row r="80" spans="1:3">
      <c r="A80" t="s">
        <v>1315</v>
      </c>
      <c r="B80" t="s">
        <v>956</v>
      </c>
      <c r="C80">
        <f>IFERROR(SUM('CTR Company Tax Return'!Tx_AllRet.SelfAssEffectLife),0)</f>
        <v>0</v>
      </c>
    </row>
    <row r="81" spans="1:3">
      <c r="A81" t="s">
        <v>1315</v>
      </c>
      <c r="B81" t="s">
        <v>1059</v>
      </c>
      <c r="C81">
        <f>IFERROR(SUM('CTR Company Tax Return'!Tx_AllRet.StockElection),0)</f>
        <v>0</v>
      </c>
    </row>
    <row r="82" spans="1:3">
      <c r="A82" t="s">
        <v>1315</v>
      </c>
      <c r="B82" t="s">
        <v>934</v>
      </c>
      <c r="C82">
        <f>IFERROR(SUM('CTR Company Tax Return'!Tx_AllRet.SubsYrAcceleratedDepn),0)</f>
        <v>0</v>
      </c>
    </row>
    <row r="83" spans="1:3">
      <c r="A83" t="s">
        <v>1315</v>
      </c>
      <c r="B83" t="s">
        <v>1231</v>
      </c>
      <c r="C83">
        <f>IFERROR(SUM('CTR Company Tax Return'!Tx_AllRet.SuperExp),0)</f>
        <v>1227</v>
      </c>
    </row>
    <row r="84" spans="1:3">
      <c r="A84" t="s">
        <v>1315</v>
      </c>
      <c r="B84" t="s">
        <v>911</v>
      </c>
      <c r="C84">
        <f>IFERROR(SUM('CTR Company Tax Return'!Tx_AllRet.TaxLossesCF),0)</f>
        <v>0</v>
      </c>
    </row>
    <row r="85" spans="1:3">
      <c r="A85" t="s">
        <v>1315</v>
      </c>
      <c r="B85" t="s">
        <v>937</v>
      </c>
      <c r="C85">
        <f>IFERROR(SUM('CTR Company Tax Return'!Tx_AllRet.TermValueAssets),0)</f>
        <v>0</v>
      </c>
    </row>
    <row r="86" spans="1:3">
      <c r="A86" t="s">
        <v>1315</v>
      </c>
      <c r="B86" t="s">
        <v>940</v>
      </c>
      <c r="C86">
        <f>IFERROR(SUM('CTR Company Tax Return'!Tx_AllRet.TermValueIntangibles),0)</f>
        <v>0</v>
      </c>
    </row>
    <row r="87" spans="1:3">
      <c r="A87" t="s">
        <v>1315</v>
      </c>
      <c r="B87" t="s">
        <v>1318</v>
      </c>
      <c r="C87">
        <f>IFERROR(SUM('CTR Company Tax Return'!Tx_AllRet.TFN),0)</f>
        <v>0</v>
      </c>
    </row>
    <row r="88" spans="1:3">
      <c r="A88" t="s">
        <v>1315</v>
      </c>
      <c r="B88" t="s">
        <v>1044</v>
      </c>
      <c r="C88">
        <f>IFERROR(SUM('CTR Company Tax Return'!Tx_AllRet.TradeCreditors),0)</f>
        <v>-250</v>
      </c>
    </row>
    <row r="89" spans="1:3">
      <c r="A89" t="s">
        <v>1315</v>
      </c>
      <c r="B89" t="s">
        <v>1056</v>
      </c>
      <c r="C89">
        <f>IFERROR(SUM('CTR Company Tax Return'!Tx_AllRet.TradeDebtors),0)</f>
        <v>59952</v>
      </c>
    </row>
    <row r="90" spans="1:3">
      <c r="A90" t="s">
        <v>1315</v>
      </c>
      <c r="B90" t="s">
        <v>998</v>
      </c>
      <c r="C90">
        <f>IFERROR(SUM('CTR Company Tax Return'!Tx_AllRet.Wages),0)</f>
        <v>11154</v>
      </c>
    </row>
    <row r="91" spans="1:3">
      <c r="A91" t="s">
        <v>1315</v>
      </c>
      <c r="B91" t="s">
        <v>983</v>
      </c>
      <c r="C91">
        <f>IFERROR(SUM('CTR Company Tax Return'!Tx_CTR.AttForIncomeListed),0)</f>
        <v>0</v>
      </c>
    </row>
    <row r="92" spans="1:3">
      <c r="A92" t="s">
        <v>1315</v>
      </c>
      <c r="B92" t="s">
        <v>977</v>
      </c>
      <c r="C92">
        <f>IFERROR(SUM('CTR Company Tax Return'!Tx_CTR.AttForIncomeTrust),0)</f>
        <v>0</v>
      </c>
    </row>
    <row r="93" spans="1:3">
      <c r="A93" t="s">
        <v>1315</v>
      </c>
      <c r="B93" t="s">
        <v>980</v>
      </c>
      <c r="C93">
        <f>IFERROR(SUM('CTR Company Tax Return'!Tx_CTR.AttForIncomeUnlisted),0)</f>
        <v>0</v>
      </c>
    </row>
    <row r="94" spans="1:3">
      <c r="A94" t="s">
        <v>1315</v>
      </c>
      <c r="B94" t="s">
        <v>1153</v>
      </c>
      <c r="C94">
        <f>IFERROR(SUM('CTR Company Tax Return'!Tx_CTR.AUSFrankingCreditNZ),0)</f>
        <v>0</v>
      </c>
    </row>
    <row r="95" spans="1:3">
      <c r="A95" t="s">
        <v>1315</v>
      </c>
      <c r="B95" t="s">
        <v>1119</v>
      </c>
      <c r="C95">
        <f>IFERROR(SUM('CTR Company Tax Return'!Tx_CTR.CapWorksDed),0)</f>
        <v>0</v>
      </c>
    </row>
    <row r="96" spans="1:3">
      <c r="A96" t="s">
        <v>1315</v>
      </c>
      <c r="B96" t="s">
        <v>1016</v>
      </c>
      <c r="C96">
        <f>IFERROR(SUM('CTR Company Tax Return'!Tx_CTR.CBFrankingAcct),0)</f>
        <v>0</v>
      </c>
    </row>
    <row r="97" spans="1:3">
      <c r="A97" t="s">
        <v>1315</v>
      </c>
      <c r="B97" t="s">
        <v>1029</v>
      </c>
      <c r="C97">
        <f>IFERROR(SUM('CTR Company Tax Return'!Tx_CTR.CommDebtForgive),0)</f>
        <v>0</v>
      </c>
    </row>
    <row r="98" spans="1:3">
      <c r="A98" t="s">
        <v>1315</v>
      </c>
      <c r="B98" t="s">
        <v>856</v>
      </c>
      <c r="C98">
        <f>IFERROR(SUM('CTR Company Tax Return'!Tx_CTR.CreditH2),0)</f>
        <v>0</v>
      </c>
    </row>
    <row r="99" spans="1:3">
      <c r="A99" t="s">
        <v>1315</v>
      </c>
      <c r="B99" t="s">
        <v>852</v>
      </c>
      <c r="C99">
        <f>IFERROR(SUM('CTR Company Tax Return'!Tx_CTR.CreditH3),0)</f>
        <v>0</v>
      </c>
    </row>
    <row r="100" spans="1:3">
      <c r="A100" t="s">
        <v>1315</v>
      </c>
      <c r="B100" t="s">
        <v>848</v>
      </c>
      <c r="C100">
        <f>IFERROR(SUM('CTR Company Tax Return'!Tx_CTR.CreditH4),0)</f>
        <v>0</v>
      </c>
    </row>
    <row r="101" spans="1:3">
      <c r="A101" t="s">
        <v>1315</v>
      </c>
      <c r="B101" t="s">
        <v>844</v>
      </c>
      <c r="C101">
        <f>IFERROR(SUM('CTR Company Tax Return'!Tx_CTR.CreditH5),0)</f>
        <v>0</v>
      </c>
    </row>
    <row r="102" spans="1:3">
      <c r="A102" t="s">
        <v>1315</v>
      </c>
      <c r="B102" t="s">
        <v>840</v>
      </c>
      <c r="C102">
        <f>IFERROR(SUM('CTR Company Tax Return'!Tx_CTR.CreditH7),0)</f>
        <v>0</v>
      </c>
    </row>
    <row r="103" spans="1:3">
      <c r="A103" t="s">
        <v>1315</v>
      </c>
      <c r="B103" t="s">
        <v>836</v>
      </c>
      <c r="C103">
        <f>IFERROR(SUM('CTR Company Tax Return'!Tx_CTR.CreditH8),0)</f>
        <v>0</v>
      </c>
    </row>
    <row r="104" spans="1:3">
      <c r="A104" t="s">
        <v>1315</v>
      </c>
      <c r="B104" t="s">
        <v>1074</v>
      </c>
      <c r="C104">
        <f>IFERROR(SUM('CTR Company Tax Return'!Tx_CTR.Currency),0)</f>
        <v>0</v>
      </c>
    </row>
    <row r="105" spans="1:3">
      <c r="A105" t="s">
        <v>1315</v>
      </c>
      <c r="B105" t="s">
        <v>1077</v>
      </c>
      <c r="C105">
        <f>IFERROR(SUM('CTR Company Tax Return'!Tx_CTR.CurrTranslationRate),0)</f>
        <v>0</v>
      </c>
    </row>
    <row r="106" spans="1:3">
      <c r="A106" t="s">
        <v>1315</v>
      </c>
      <c r="B106" t="s">
        <v>1032</v>
      </c>
      <c r="C106">
        <f>IFERROR(SUM('CTR Company Tax Return'!Tx_CTR.Debt),0)</f>
        <v>0</v>
      </c>
    </row>
    <row r="107" spans="1:3">
      <c r="A107" t="s">
        <v>1315</v>
      </c>
      <c r="B107" t="s">
        <v>1133</v>
      </c>
      <c r="C107">
        <f>IFERROR(SUM('CTR Company Tax Return'!Tx_CTR.DepreciationTax),0)</f>
        <v>0</v>
      </c>
    </row>
    <row r="108" spans="1:3">
      <c r="A108" t="s">
        <v>1315</v>
      </c>
      <c r="B108" t="s">
        <v>1263</v>
      </c>
      <c r="C108">
        <f>IFERROR(SUM('CTR Company Tax Return'!Tx_CTR.DividendIncome),0)</f>
        <v>0</v>
      </c>
    </row>
    <row r="109" spans="1:3">
      <c r="A109" t="s">
        <v>1315</v>
      </c>
      <c r="B109" t="s">
        <v>1090</v>
      </c>
      <c r="C109">
        <f>IFERROR(SUM('CTR Company Tax Return'!Tx_CTR.EnergyIncentive),0)</f>
        <v>0</v>
      </c>
    </row>
    <row r="110" spans="1:3">
      <c r="A110" t="s">
        <v>1315</v>
      </c>
      <c r="B110" t="s">
        <v>1108</v>
      </c>
      <c r="C110">
        <f>IFERROR(SUM('CTR Company Tax Return'!Tx_CTR.EnvProtectExp),0)</f>
        <v>0</v>
      </c>
    </row>
    <row r="111" spans="1:3">
      <c r="A111" t="s">
        <v>1315</v>
      </c>
      <c r="B111" t="s">
        <v>1004</v>
      </c>
      <c r="C111">
        <f>IFERROR(SUM('CTR Company Tax Return'!Tx_CTR.ExcessFrankingOffsets),0)</f>
        <v>0</v>
      </c>
    </row>
    <row r="112" spans="1:3">
      <c r="A112" t="s">
        <v>1315</v>
      </c>
      <c r="B112" t="s">
        <v>1105</v>
      </c>
      <c r="C112">
        <f>IFERROR(SUM('CTR Company Tax Return'!Tx_CTR.ExemptIncome),0)</f>
        <v>0</v>
      </c>
    </row>
    <row r="113" spans="1:3">
      <c r="A113" t="s">
        <v>1315</v>
      </c>
      <c r="B113" t="s">
        <v>987</v>
      </c>
      <c r="C113">
        <f>IFERROR(SUM('CTR Company Tax Return'!Tx_CTR.ForIncome),0)</f>
        <v>0</v>
      </c>
    </row>
    <row r="114" spans="1:3">
      <c r="A114" t="s">
        <v>1315</v>
      </c>
      <c r="B114" t="s">
        <v>990</v>
      </c>
      <c r="C114">
        <f>IFERROR(SUM('CTR Company Tax Return'!Tx_CTR.ForIncomeGross),0)</f>
        <v>0</v>
      </c>
    </row>
    <row r="115" spans="1:3">
      <c r="A115" t="s">
        <v>1315</v>
      </c>
      <c r="B115" t="s">
        <v>871</v>
      </c>
      <c r="C115">
        <f>IFERROR(SUM('CTR Company Tax Return'!Tx_CTR.FrankingDefTaxOffset),0)</f>
        <v>0</v>
      </c>
    </row>
    <row r="116" spans="1:3">
      <c r="A116" t="s">
        <v>1315</v>
      </c>
      <c r="B116" t="s">
        <v>1126</v>
      </c>
      <c r="C116">
        <f>IFERROR(SUM('CTR Company Tax Return'!Tx_CTR.ImmWriteOff),0)</f>
        <v>0</v>
      </c>
    </row>
    <row r="117" spans="1:3">
      <c r="A117" t="s">
        <v>1315</v>
      </c>
      <c r="B117" t="s">
        <v>1211</v>
      </c>
      <c r="C117">
        <f>IFERROR(SUM('CTR Company Tax Return'!Tx_CTR.InterestExpAUS),0)</f>
        <v>3229</v>
      </c>
    </row>
    <row r="118" spans="1:3">
      <c r="A118" t="s">
        <v>1315</v>
      </c>
      <c r="B118" t="s">
        <v>1207</v>
      </c>
      <c r="C118">
        <f>IFERROR(SUM('CTR Company Tax Return'!Tx_CTR.InterestExpOverseas),0)</f>
        <v>0</v>
      </c>
    </row>
    <row r="119" spans="1:3">
      <c r="A119" t="s">
        <v>1315</v>
      </c>
      <c r="B119" t="s">
        <v>1271</v>
      </c>
      <c r="C119">
        <f>IFERROR(SUM('CTR Company Tax Return'!Tx_CTR.InterestIncome),0)</f>
        <v>0</v>
      </c>
    </row>
    <row r="120" spans="1:3">
      <c r="A120" t="s">
        <v>1315</v>
      </c>
      <c r="B120" t="s">
        <v>1223</v>
      </c>
      <c r="C120">
        <f>IFERROR(SUM('CTR Company Tax Return'!Tx_CTR.LeaseExpAUS),0)</f>
        <v>0</v>
      </c>
    </row>
    <row r="121" spans="1:3">
      <c r="A121" t="s">
        <v>1315</v>
      </c>
      <c r="B121" t="s">
        <v>1219</v>
      </c>
      <c r="C121">
        <f>IFERROR(SUM('CTR Company Tax Return'!Tx_CTR.LeaseExpOverseas),0)</f>
        <v>0</v>
      </c>
    </row>
    <row r="122" spans="1:3">
      <c r="A122" t="s">
        <v>1315</v>
      </c>
      <c r="B122" t="s">
        <v>1001</v>
      </c>
      <c r="C122">
        <f>IFERROR(SUM('CTR Company Tax Return'!Tx_CTR.LoansToShareholders),0)</f>
        <v>0</v>
      </c>
    </row>
    <row r="123" spans="1:3">
      <c r="A123" t="s">
        <v>1315</v>
      </c>
      <c r="B123" t="s">
        <v>923</v>
      </c>
      <c r="C123">
        <f>IFERROR(SUM('CTR Company Tax Return'!Tx_CTR.MiningAssetDepn),0)</f>
        <v>0</v>
      </c>
    </row>
    <row r="124" spans="1:3">
      <c r="A124" t="s">
        <v>1315</v>
      </c>
      <c r="B124" t="s">
        <v>930</v>
      </c>
      <c r="C124">
        <f>IFERROR(SUM('CTR Company Tax Return'!Tx_CTR.MiningCapExp),0)</f>
        <v>0</v>
      </c>
    </row>
    <row r="125" spans="1:3">
      <c r="A125" t="s">
        <v>1315</v>
      </c>
      <c r="B125" t="s">
        <v>926</v>
      </c>
      <c r="C125">
        <f>IFERROR(SUM('CTR Company Tax Return'!Tx_CTR.MiningIntangibleDepn),0)</f>
        <v>0</v>
      </c>
    </row>
    <row r="126" spans="1:3">
      <c r="A126" t="s">
        <v>1315</v>
      </c>
      <c r="B126" t="s">
        <v>1130</v>
      </c>
      <c r="C126">
        <f>IFERROR(SUM('CTR Company Tax Return'!Tx_CTR.MISExp),0)</f>
        <v>0</v>
      </c>
    </row>
    <row r="127" spans="1:3">
      <c r="A127" t="s">
        <v>1315</v>
      </c>
      <c r="B127" t="s">
        <v>1275</v>
      </c>
      <c r="C127">
        <f>IFERROR(SUM('CTR Company Tax Return'!Tx_CTR.MISIncome),0)</f>
        <v>0</v>
      </c>
    </row>
    <row r="128" spans="1:3">
      <c r="A128" t="s">
        <v>1315</v>
      </c>
      <c r="B128" t="s">
        <v>1144</v>
      </c>
      <c r="C128">
        <f>IFERROR(SUM('CTR Company Tax Return'!Tx_CTR.NDExp),0)</f>
        <v>0</v>
      </c>
    </row>
    <row r="129" spans="1:3">
      <c r="A129" t="s">
        <v>1315</v>
      </c>
      <c r="B129" t="s">
        <v>1159</v>
      </c>
      <c r="C129">
        <f>IFERROR(SUM('CTR Company Tax Return'!Tx_CTR.NonDedExempIncomeExp),0)</f>
        <v>0</v>
      </c>
    </row>
    <row r="130" spans="1:3">
      <c r="A130" t="s">
        <v>1315</v>
      </c>
      <c r="B130" t="s">
        <v>885</v>
      </c>
      <c r="C130">
        <f>IFERROR(SUM('CTR Company Tax Return'!Tx_CTR.NonRefCFTaxOffsets),0)</f>
        <v>0</v>
      </c>
    </row>
    <row r="131" spans="1:3">
      <c r="A131" t="s">
        <v>1315</v>
      </c>
      <c r="B131" t="s">
        <v>892</v>
      </c>
      <c r="C131">
        <f>IFERROR(SUM('CTR Company Tax Return'!Tx_CTR.NonRefNonCFTaxOffsets),0)</f>
        <v>0</v>
      </c>
    </row>
    <row r="132" spans="1:3">
      <c r="A132" t="s">
        <v>1315</v>
      </c>
      <c r="B132" t="s">
        <v>1020</v>
      </c>
      <c r="C132">
        <f>IFERROR(SUM('CTR Company Tax Return'!Tx_CTR.OBFrankingAcct),0)</f>
        <v>0</v>
      </c>
    </row>
    <row r="133" spans="1:3">
      <c r="A133" t="s">
        <v>1315</v>
      </c>
      <c r="B133" t="s">
        <v>1147</v>
      </c>
      <c r="C133">
        <f>IFERROR(SUM('CTR Company Tax Return'!Tx_CTR.OTherAssIncome),0)</f>
        <v>0</v>
      </c>
    </row>
    <row r="134" spans="1:3">
      <c r="A134" t="s">
        <v>1315</v>
      </c>
      <c r="B134" t="s">
        <v>1095</v>
      </c>
      <c r="C134">
        <f>IFERROR(SUM('CTR Company Tax Return'!Tx_CTR.OtherDedExp),0)</f>
        <v>0</v>
      </c>
    </row>
    <row r="135" spans="1:3">
      <c r="A135" t="s">
        <v>1315</v>
      </c>
      <c r="B135" t="s">
        <v>1248</v>
      </c>
      <c r="C135">
        <f>IFERROR(SUM('CTR Company Tax Return'!Tx_CTR.OtherIncome),0)</f>
        <v>0</v>
      </c>
    </row>
    <row r="136" spans="1:3">
      <c r="A136" t="s">
        <v>1315</v>
      </c>
      <c r="B136" t="s">
        <v>1102</v>
      </c>
      <c r="C136">
        <f>IFERROR(SUM('CTR Company Tax Return'!Tx_CTR.OtherIncomeAssIncome),0)</f>
        <v>0</v>
      </c>
    </row>
    <row r="137" spans="1:3">
      <c r="A137" t="s">
        <v>1315</v>
      </c>
      <c r="B137" t="s">
        <v>1283</v>
      </c>
      <c r="C137">
        <f>IFERROR(SUM('CTR Company Tax Return'!Tx_CTR.PartnershipIncome),0)</f>
        <v>0</v>
      </c>
    </row>
    <row r="138" spans="1:3">
      <c r="A138" t="s">
        <v>1315</v>
      </c>
      <c r="B138" t="s">
        <v>828</v>
      </c>
      <c r="C138">
        <f>IFERROR(SUM('CTR Company Tax Return'!Tx_CTR.PAYGI),0)</f>
        <v>0</v>
      </c>
    </row>
    <row r="139" spans="1:3">
      <c r="A139" t="s">
        <v>1315</v>
      </c>
      <c r="B139" t="s">
        <v>1141</v>
      </c>
      <c r="C139">
        <f>IFERROR(SUM('CTR Company Tax Return'!Tx_CTR.RDExpAccounting),0)</f>
        <v>0</v>
      </c>
    </row>
    <row r="140" spans="1:3">
      <c r="A140" t="s">
        <v>1315</v>
      </c>
      <c r="B140" t="s">
        <v>878</v>
      </c>
      <c r="C140">
        <f>IFERROR(SUM('CTR Company Tax Return'!Tx_CTR.RefTaxOffsets),0)</f>
        <v>0</v>
      </c>
    </row>
    <row r="141" spans="1:3">
      <c r="A141" t="s">
        <v>1315</v>
      </c>
      <c r="B141" t="s">
        <v>1267</v>
      </c>
      <c r="C141">
        <f>IFERROR(SUM('CTR Company Tax Return'!Tx_CTR.RentIncome),0)</f>
        <v>0</v>
      </c>
    </row>
    <row r="142" spans="1:3">
      <c r="A142" t="s">
        <v>1315</v>
      </c>
      <c r="B142" t="s">
        <v>1203</v>
      </c>
      <c r="C142">
        <f>IFERROR(SUM('CTR Company Tax Return'!Tx_CTR.RoyaltyExpAUS),0)</f>
        <v>0</v>
      </c>
    </row>
    <row r="143" spans="1:3">
      <c r="A143" t="s">
        <v>1315</v>
      </c>
      <c r="B143" t="s">
        <v>1199</v>
      </c>
      <c r="C143">
        <f>IFERROR(SUM('CTR Company Tax Return'!Tx_CTR.RoyaltyExpOverseas),0)</f>
        <v>0</v>
      </c>
    </row>
    <row r="144" spans="1:3">
      <c r="A144" t="s">
        <v>1315</v>
      </c>
      <c r="B144" t="s">
        <v>863</v>
      </c>
      <c r="C144">
        <f>IFERROR(SUM('CTR Company Tax Return'!Tx_CTR.Sec102AAM),0)</f>
        <v>0</v>
      </c>
    </row>
    <row r="145" spans="1:3">
      <c r="A145" t="s">
        <v>1315</v>
      </c>
      <c r="B145" t="s">
        <v>1136</v>
      </c>
      <c r="C145">
        <f>IFERROR(SUM('CTR Company Tax Return'!Tx_CTR.Sec46FA),0)</f>
        <v>0</v>
      </c>
    </row>
    <row r="146" spans="1:3">
      <c r="A146" t="s">
        <v>1315</v>
      </c>
      <c r="B146" t="s">
        <v>1087</v>
      </c>
      <c r="C146">
        <f>IFERROR(SUM('CTR Company Tax Return'!Tx_CTR.TaxLosses),0)</f>
        <v>0</v>
      </c>
    </row>
    <row r="147" spans="1:3">
      <c r="A147" t="s">
        <v>1315</v>
      </c>
      <c r="B147" t="s">
        <v>1084</v>
      </c>
      <c r="C147">
        <f>IFERROR(SUM('CTR Company Tax Return'!Tx_CTR.TaxLossesTransferIn),0)</f>
        <v>0</v>
      </c>
    </row>
    <row r="148" spans="1:3">
      <c r="A148" t="s">
        <v>1315</v>
      </c>
      <c r="B148" t="s">
        <v>832</v>
      </c>
      <c r="C148">
        <f>IFERROR(SUM('CTR Company Tax Return'!Tx_CTR.TaxOffsetRef),0)</f>
        <v>0</v>
      </c>
    </row>
    <row r="149" spans="1:3">
      <c r="A149" t="s">
        <v>1315</v>
      </c>
      <c r="B149" t="s">
        <v>1099</v>
      </c>
      <c r="C149">
        <f>IFERROR(SUM('CTR Company Tax Return'!Tx_CTR.TOFAExp),0)</f>
        <v>0</v>
      </c>
    </row>
    <row r="150" spans="1:3">
      <c r="A150" t="s">
        <v>1315</v>
      </c>
      <c r="B150" t="s">
        <v>974</v>
      </c>
      <c r="C150">
        <f>IFERROR(SUM('CTR Company Tax Return'!Tx_CTR.TOFAGains),0)</f>
        <v>0</v>
      </c>
    </row>
    <row r="151" spans="1:3">
      <c r="A151" t="s">
        <v>1315</v>
      </c>
      <c r="B151" t="s">
        <v>967</v>
      </c>
      <c r="C151">
        <f>IFERROR(SUM('CTR Company Tax Return'!Tx_CTR.TOFAGainsFinancialArrang),0)</f>
        <v>0</v>
      </c>
    </row>
    <row r="152" spans="1:3">
      <c r="A152" t="s">
        <v>1315</v>
      </c>
      <c r="B152" t="s">
        <v>1150</v>
      </c>
      <c r="C152">
        <f>IFERROR(SUM('CTR Company Tax Return'!Tx_CTR.TOFAIncome),0)</f>
        <v>0</v>
      </c>
    </row>
    <row r="153" spans="1:3">
      <c r="A153" t="s">
        <v>1315</v>
      </c>
      <c r="B153" t="s">
        <v>970</v>
      </c>
      <c r="C153">
        <f>IFERROR(SUM('CTR Company Tax Return'!Tx_CTR.TOFALosses),0)</f>
        <v>0</v>
      </c>
    </row>
    <row r="154" spans="1:3">
      <c r="A154" t="s">
        <v>1315</v>
      </c>
      <c r="B154" t="s">
        <v>1093</v>
      </c>
      <c r="C154">
        <f>IFERROR(SUM('CTR Company Tax Return'!Tx_CTR.TrainBoost),0)</f>
        <v>0</v>
      </c>
    </row>
    <row r="155" spans="1:3">
      <c r="A155" t="s">
        <v>1315</v>
      </c>
      <c r="B155" t="s">
        <v>1279</v>
      </c>
      <c r="C155">
        <f>IFERROR(SUM('CTR Company Tax Return'!Tx_CTR.TrustIncome),0)</f>
        <v>0</v>
      </c>
    </row>
    <row r="156" spans="1:3">
      <c r="A156" t="s">
        <v>1315</v>
      </c>
      <c r="B156" t="s">
        <v>1252</v>
      </c>
      <c r="C156">
        <f>IFERROR(SUM('CTR Company Tax Return'!Tx_CTR.UnrealisedGains),0)</f>
        <v>0</v>
      </c>
    </row>
    <row r="157" spans="1:3">
      <c r="A157" t="s">
        <v>1315</v>
      </c>
      <c r="B157" t="s">
        <v>1183</v>
      </c>
      <c r="C157">
        <f>IFERROR(SUM('CTR Company Tax Return'!Tx_CTR.UnrealisedLosses),0)</f>
        <v>0</v>
      </c>
    </row>
    <row r="158" spans="1:3">
      <c r="A158" t="s">
        <v>1333</v>
      </c>
      <c r="B158" t="s">
        <v>1334</v>
      </c>
      <c r="C158">
        <f>IFERROR(SUM('C15 Losses'!CC15_CapLoss),0)</f>
        <v>0</v>
      </c>
    </row>
    <row r="159" spans="1:3">
      <c r="A159" t="s">
        <v>1333</v>
      </c>
      <c r="B159" t="s">
        <v>1335</v>
      </c>
      <c r="C159">
        <f>IFERROR(SUM('C15 Losses'!CC15_CapLossCF),0)</f>
        <v>0</v>
      </c>
    </row>
    <row r="160" spans="1:3">
      <c r="A160" t="s">
        <v>1333</v>
      </c>
      <c r="B160" t="s">
        <v>1336</v>
      </c>
      <c r="C160">
        <f>IFERROR(SUM('C15 Losses'!CC15_LossCF),0)</f>
        <v>0</v>
      </c>
    </row>
    <row r="161" spans="1:3">
      <c r="A161" t="s">
        <v>1333</v>
      </c>
      <c r="B161" t="s">
        <v>1337</v>
      </c>
      <c r="C161">
        <f>IFERROR(SUM('C15 Losses'!CC15_Losses),0)</f>
        <v>0</v>
      </c>
    </row>
    <row r="162" spans="1:3">
      <c r="A162" t="s">
        <v>1430</v>
      </c>
      <c r="B162" t="s">
        <v>1431</v>
      </c>
      <c r="C162">
        <f>IFERROR(SUM('C05 Divs and Franking'!_xlnm._FilterDatabase),0)</f>
        <v>0</v>
      </c>
    </row>
    <row r="163" spans="1:3">
      <c r="A163" t="s">
        <v>1430</v>
      </c>
      <c r="B163" t="s">
        <v>1432</v>
      </c>
      <c r="C163">
        <f>IFERROR(SUM('C05 Divs and Franking'!CC5_FrankingAccBal),0)</f>
        <v>0</v>
      </c>
    </row>
    <row r="164" spans="1:3">
      <c r="A164" t="s">
        <v>1430</v>
      </c>
      <c r="B164" t="s">
        <v>1433</v>
      </c>
      <c r="C164">
        <f>IFERROR(SUM('C05 Divs and Franking'!CC5_OpeningFrankAcctBal),0)</f>
        <v>0</v>
      </c>
    </row>
    <row r="165" spans="1:3">
      <c r="A165" t="s">
        <v>1430</v>
      </c>
      <c r="B165" t="s">
        <v>1434</v>
      </c>
      <c r="C165">
        <f>IFERROR(SUM('C05 Divs and Franking'!Dividends_SelectedMethod),0)</f>
        <v>0</v>
      </c>
    </row>
    <row r="166" spans="1:3">
      <c r="A166" t="s">
        <v>1430</v>
      </c>
      <c r="B166" t="s">
        <v>1435</v>
      </c>
      <c r="C166">
        <f>IFERROR(SUM('C05 Divs and Franking'!ImputationRate),0)</f>
        <v>0.25</v>
      </c>
    </row>
    <row r="167" spans="1:3">
      <c r="A167" t="s">
        <v>1430</v>
      </c>
      <c r="B167" t="s">
        <v>633</v>
      </c>
      <c r="C167">
        <f>IFERROR(SUM('C05 Divs and Franking'!Model_Creditors.Balances.Balance),0)</f>
        <v>0</v>
      </c>
    </row>
    <row r="168" spans="1:3">
      <c r="A168" t="s">
        <v>1430</v>
      </c>
      <c r="B168" t="s">
        <v>242</v>
      </c>
      <c r="C168">
        <f>IFERROR(SUM('C05 Divs and Franking'!TaxYearEnd),0)</f>
        <v>45473</v>
      </c>
    </row>
    <row r="169" spans="1:3">
      <c r="A169" t="s">
        <v>1430</v>
      </c>
      <c r="B169" t="s">
        <v>1436</v>
      </c>
      <c r="C169">
        <f>IFERROR(SUM('C05 Divs and Franking'!TaxYearStart),0)</f>
        <v>45108</v>
      </c>
    </row>
    <row r="170" spans="1:3">
      <c r="A170" t="s">
        <v>182</v>
      </c>
      <c r="B170" t="s">
        <v>183</v>
      </c>
      <c r="C170">
        <f>IFERROR(SUM('J50 BAS Lodgements'!ATO_PeriodNos),0)</f>
        <v>0</v>
      </c>
    </row>
    <row r="171" spans="1:3">
      <c r="A171" t="s">
        <v>182</v>
      </c>
      <c r="B171" t="s">
        <v>184</v>
      </c>
      <c r="C171">
        <f>IFERROR(SUM('J50 BAS Lodgements'!J50_AprInst5A),0)</f>
        <v>0</v>
      </c>
    </row>
    <row r="172" spans="1:3">
      <c r="A172" t="s">
        <v>182</v>
      </c>
      <c r="B172" t="s">
        <v>185</v>
      </c>
      <c r="C172">
        <f>IFERROR(SUM('J50 BAS Lodgements'!J50_AprInst5B),0)</f>
        <v>0</v>
      </c>
    </row>
    <row r="173" spans="1:3">
      <c r="A173" t="s">
        <v>182</v>
      </c>
      <c r="B173" t="s">
        <v>186</v>
      </c>
      <c r="C173">
        <f>IFERROR(SUM('J50 BAS Lodgements'!J50_AugInst5A),0)</f>
        <v>0</v>
      </c>
    </row>
    <row r="174" spans="1:3">
      <c r="A174" t="s">
        <v>182</v>
      </c>
      <c r="B174" t="s">
        <v>187</v>
      </c>
      <c r="C174">
        <f>IFERROR(SUM('J50 BAS Lodgements'!J50_AugInst5B),0)</f>
        <v>0</v>
      </c>
    </row>
    <row r="175" spans="1:3">
      <c r="A175" t="s">
        <v>182</v>
      </c>
      <c r="B175" t="s">
        <v>188</v>
      </c>
      <c r="C175">
        <f>IFERROR(SUM('J50 BAS Lodgements'!J50_DecInst5A),0)</f>
        <v>0</v>
      </c>
    </row>
    <row r="176" spans="1:3">
      <c r="A176" t="s">
        <v>182</v>
      </c>
      <c r="B176" t="s">
        <v>189</v>
      </c>
      <c r="C176">
        <f>IFERROR(SUM('J50 BAS Lodgements'!J50_DecInst5B),0)</f>
        <v>0</v>
      </c>
    </row>
    <row r="177" spans="1:3">
      <c r="A177" t="s">
        <v>182</v>
      </c>
      <c r="B177" t="s">
        <v>190</v>
      </c>
      <c r="C177">
        <f>IFERROR(SUM('J50 BAS Lodgements'!J50_FebInst5A),0)</f>
        <v>0</v>
      </c>
    </row>
    <row r="178" spans="1:3">
      <c r="A178" t="s">
        <v>182</v>
      </c>
      <c r="B178" t="s">
        <v>191</v>
      </c>
      <c r="C178">
        <f>IFERROR(SUM('J50 BAS Lodgements'!J50_FebInst5B),0)</f>
        <v>0</v>
      </c>
    </row>
    <row r="179" spans="1:3">
      <c r="A179" t="s">
        <v>182</v>
      </c>
      <c r="B179" t="s">
        <v>192</v>
      </c>
      <c r="C179">
        <f>IFERROR(SUM('J50 BAS Lodgements'!J50_JanInst5A),0)</f>
        <v>0</v>
      </c>
    </row>
    <row r="180" spans="1:3">
      <c r="A180" t="s">
        <v>182</v>
      </c>
      <c r="B180" t="s">
        <v>193</v>
      </c>
      <c r="C180">
        <f>IFERROR(SUM('J50 BAS Lodgements'!J50_JanInst5B),0)</f>
        <v>0</v>
      </c>
    </row>
    <row r="181" spans="1:3">
      <c r="A181" t="s">
        <v>182</v>
      </c>
      <c r="B181" t="s">
        <v>194</v>
      </c>
      <c r="C181">
        <f>IFERROR(SUM('J50 BAS Lodgements'!J50_JulInst5A),0)</f>
        <v>0</v>
      </c>
    </row>
    <row r="182" spans="1:3">
      <c r="A182" t="s">
        <v>182</v>
      </c>
      <c r="B182" t="s">
        <v>195</v>
      </c>
      <c r="C182">
        <f>IFERROR(SUM('J50 BAS Lodgements'!J50_JulInst5B),0)</f>
        <v>0</v>
      </c>
    </row>
    <row r="183" spans="1:3">
      <c r="A183" t="s">
        <v>182</v>
      </c>
      <c r="B183" t="s">
        <v>196</v>
      </c>
      <c r="C183">
        <f>IFERROR(SUM('J50 BAS Lodgements'!J50_JunInst5A),0)</f>
        <v>0</v>
      </c>
    </row>
    <row r="184" spans="1:3">
      <c r="A184" t="s">
        <v>182</v>
      </c>
      <c r="B184" t="s">
        <v>197</v>
      </c>
      <c r="C184">
        <f>IFERROR(SUM('J50 BAS Lodgements'!J50_JunInst5B),0)</f>
        <v>0</v>
      </c>
    </row>
    <row r="185" spans="1:3">
      <c r="A185" t="s">
        <v>182</v>
      </c>
      <c r="B185" t="s">
        <v>198</v>
      </c>
      <c r="C185">
        <f>IFERROR(SUM('J50 BAS Lodgements'!J50_MarInst5A),0)</f>
        <v>0</v>
      </c>
    </row>
    <row r="186" spans="1:3">
      <c r="A186" t="s">
        <v>182</v>
      </c>
      <c r="B186" t="s">
        <v>199</v>
      </c>
      <c r="C186">
        <f>IFERROR(SUM('J50 BAS Lodgements'!J50_MarInst5B),0)</f>
        <v>0</v>
      </c>
    </row>
    <row r="187" spans="1:3">
      <c r="A187" t="s">
        <v>182</v>
      </c>
      <c r="B187" t="s">
        <v>200</v>
      </c>
      <c r="C187">
        <f>IFERROR(SUM('J50 BAS Lodgements'!J50_MayInst5A),0)</f>
        <v>0</v>
      </c>
    </row>
    <row r="188" spans="1:3">
      <c r="A188" t="s">
        <v>182</v>
      </c>
      <c r="B188" t="s">
        <v>201</v>
      </c>
      <c r="C188">
        <f>IFERROR(SUM('J50 BAS Lodgements'!J50_MayInst5B),0)</f>
        <v>0</v>
      </c>
    </row>
    <row r="189" spans="1:3">
      <c r="A189" t="s">
        <v>182</v>
      </c>
      <c r="B189" t="s">
        <v>202</v>
      </c>
      <c r="C189">
        <f>IFERROR(SUM('J50 BAS Lodgements'!J50_NetGST),0)</f>
        <v>0</v>
      </c>
    </row>
    <row r="190" spans="1:3">
      <c r="A190" t="s">
        <v>182</v>
      </c>
      <c r="B190" t="s">
        <v>203</v>
      </c>
      <c r="C190">
        <f>IFERROR(SUM('J50 BAS Lodgements'!J50_NovInst5A),0)</f>
        <v>0</v>
      </c>
    </row>
    <row r="191" spans="1:3">
      <c r="A191" t="s">
        <v>182</v>
      </c>
      <c r="B191" t="s">
        <v>204</v>
      </c>
      <c r="C191">
        <f>IFERROR(SUM('J50 BAS Lodgements'!J50_NovInst5B),0)</f>
        <v>0</v>
      </c>
    </row>
    <row r="192" spans="1:3">
      <c r="A192" t="s">
        <v>182</v>
      </c>
      <c r="B192" t="s">
        <v>205</v>
      </c>
      <c r="C192">
        <f>IFERROR(SUM('J50 BAS Lodgements'!J50_OctInst5A),0)</f>
        <v>0</v>
      </c>
    </row>
    <row r="193" spans="1:3">
      <c r="A193" t="s">
        <v>182</v>
      </c>
      <c r="B193" t="s">
        <v>206</v>
      </c>
      <c r="C193">
        <f>IFERROR(SUM('J50 BAS Lodgements'!J50_OctInst5B),0)</f>
        <v>0</v>
      </c>
    </row>
    <row r="194" spans="1:3">
      <c r="A194" t="s">
        <v>182</v>
      </c>
      <c r="B194" t="s">
        <v>207</v>
      </c>
      <c r="C194">
        <f>IFERROR(SUM('J50 BAS Lodgements'!J50_PAYGI),0)</f>
        <v>0</v>
      </c>
    </row>
    <row r="195" spans="1:3">
      <c r="A195" t="s">
        <v>182</v>
      </c>
      <c r="B195" t="s">
        <v>208</v>
      </c>
      <c r="C195">
        <f>IFERROR(SUM('J50 BAS Lodgements'!J50_PAYGW2),0)</f>
        <v>0</v>
      </c>
    </row>
    <row r="196" spans="1:3">
      <c r="A196" t="s">
        <v>182</v>
      </c>
      <c r="B196" t="s">
        <v>209</v>
      </c>
      <c r="C196">
        <f>IFERROR(SUM('J50 BAS Lodgements'!J50_PreYrJun5A),0)</f>
        <v>0</v>
      </c>
    </row>
    <row r="197" spans="1:3">
      <c r="A197" t="s">
        <v>182</v>
      </c>
      <c r="B197" t="s">
        <v>210</v>
      </c>
      <c r="C197">
        <f>IFERROR(SUM('J50 BAS Lodgements'!J50_PreYrJun5B),0)</f>
        <v>0</v>
      </c>
    </row>
    <row r="198" spans="1:3">
      <c r="A198" t="s">
        <v>182</v>
      </c>
      <c r="B198" t="s">
        <v>211</v>
      </c>
      <c r="C198">
        <f>IFERROR(SUM('J50 BAS Lodgements'!J50_SepInst5A),0)</f>
        <v>0</v>
      </c>
    </row>
    <row r="199" spans="1:3">
      <c r="A199" t="s">
        <v>182</v>
      </c>
      <c r="B199" t="s">
        <v>212</v>
      </c>
      <c r="C199">
        <f>IFERROR(SUM('J50 BAS Lodgements'!J50_SepInst5B),0)</f>
        <v>0</v>
      </c>
    </row>
    <row r="200" spans="1:3">
      <c r="A200" t="s">
        <v>182</v>
      </c>
      <c r="B200" t="s">
        <v>37</v>
      </c>
      <c r="C200">
        <f>IFERROR(SUM('J50 BAS Lodgements'!Jurisdiction),0)</f>
        <v>0</v>
      </c>
    </row>
    <row r="201" spans="1:3">
      <c r="A201" t="s">
        <v>182</v>
      </c>
      <c r="B201" t="s">
        <v>213</v>
      </c>
      <c r="C201">
        <f>IFERROR(SUM('J50 BAS Lodgements'!Model_AS.LabelW3),0)</f>
        <v>0</v>
      </c>
    </row>
    <row r="202" spans="1:3">
      <c r="A202" t="s">
        <v>182</v>
      </c>
      <c r="B202" t="s">
        <v>214</v>
      </c>
      <c r="C202">
        <f>IFERROR(SUM('J50 BAS Lodgements'!Model_AS.List.DocumentId),0)</f>
        <v>0</v>
      </c>
    </row>
    <row r="203" spans="1:3">
      <c r="A203" t="s">
        <v>182</v>
      </c>
      <c r="B203" t="s">
        <v>215</v>
      </c>
      <c r="C203">
        <f>IFERROR(SUM('J50 BAS Lodgements'!Model_AS.List.EndDate),0)</f>
        <v>0</v>
      </c>
    </row>
    <row r="204" spans="1:3">
      <c r="A204" t="s">
        <v>182</v>
      </c>
      <c r="B204" t="s">
        <v>216</v>
      </c>
      <c r="C204">
        <f>IFERROR(SUM('J50 BAS Lodgements'!Model_AS.List.Label1A),0)</f>
        <v>0</v>
      </c>
    </row>
    <row r="205" spans="1:3">
      <c r="A205" t="s">
        <v>182</v>
      </c>
      <c r="B205" t="s">
        <v>217</v>
      </c>
      <c r="C205">
        <f>IFERROR(SUM('J50 BAS Lodgements'!Model_AS.List.Label1B),0)</f>
        <v>0</v>
      </c>
    </row>
    <row r="206" spans="1:3">
      <c r="A206" t="s">
        <v>182</v>
      </c>
      <c r="B206" t="s">
        <v>218</v>
      </c>
      <c r="C206">
        <f>IFERROR(SUM('J50 BAS Lodgements'!Model_AS.List.Label1C1D),0)</f>
        <v>0</v>
      </c>
    </row>
    <row r="207" spans="1:3">
      <c r="A207" t="s">
        <v>182</v>
      </c>
      <c r="B207" t="s">
        <v>219</v>
      </c>
      <c r="C207">
        <f>IFERROR(SUM('J50 BAS Lodgements'!Model_AS.List.Label1E1F),0)</f>
        <v>0</v>
      </c>
    </row>
    <row r="208" spans="1:3">
      <c r="A208" t="s">
        <v>182</v>
      </c>
      <c r="B208" t="s">
        <v>220</v>
      </c>
      <c r="C208">
        <f>IFERROR(SUM('J50 BAS Lodgements'!Model_AS.List.Label4),0)</f>
        <v>0</v>
      </c>
    </row>
    <row r="209" spans="1:3">
      <c r="A209" t="s">
        <v>182</v>
      </c>
      <c r="B209" t="s">
        <v>221</v>
      </c>
      <c r="C209">
        <f>IFERROR(SUM('J50 BAS Lodgements'!Model_AS.List.Label5A),0)</f>
        <v>0</v>
      </c>
    </row>
    <row r="210" spans="1:3">
      <c r="A210" t="s">
        <v>182</v>
      </c>
      <c r="B210" t="s">
        <v>222</v>
      </c>
      <c r="C210">
        <f>IFERROR(SUM('J50 BAS Lodgements'!Model_AS.List.Label5A5B),0)</f>
        <v>0</v>
      </c>
    </row>
    <row r="211" spans="1:3">
      <c r="A211" t="s">
        <v>182</v>
      </c>
      <c r="B211" t="s">
        <v>223</v>
      </c>
      <c r="C211">
        <f>IFERROR(SUM('J50 BAS Lodgements'!Model_AS.List.Label5B),0)</f>
        <v>0</v>
      </c>
    </row>
    <row r="212" spans="1:3">
      <c r="A212" t="s">
        <v>182</v>
      </c>
      <c r="B212" t="s">
        <v>224</v>
      </c>
      <c r="C212">
        <f>IFERROR(SUM('J50 BAS Lodgements'!Model_AS.List.Label6A),0)</f>
        <v>0</v>
      </c>
    </row>
    <row r="213" spans="1:3">
      <c r="A213" t="s">
        <v>182</v>
      </c>
      <c r="B213" t="s">
        <v>225</v>
      </c>
      <c r="C213">
        <f>IFERROR(SUM('J50 BAS Lodgements'!Model_AS.List.Label6A6B),0)</f>
        <v>0</v>
      </c>
    </row>
    <row r="214" spans="1:3">
      <c r="A214" t="s">
        <v>182</v>
      </c>
      <c r="B214" t="s">
        <v>226</v>
      </c>
      <c r="C214">
        <f>IFERROR(SUM('J50 BAS Lodgements'!Model_AS.List.Label6B),0)</f>
        <v>0</v>
      </c>
    </row>
    <row r="215" spans="1:3">
      <c r="A215" t="s">
        <v>182</v>
      </c>
      <c r="B215" t="s">
        <v>227</v>
      </c>
      <c r="C215">
        <f>IFERROR(SUM('J50 BAS Lodgements'!Model_AS.List.Label7A),0)</f>
        <v>0</v>
      </c>
    </row>
    <row r="216" spans="1:3">
      <c r="A216" t="s">
        <v>182</v>
      </c>
      <c r="B216" t="s">
        <v>228</v>
      </c>
      <c r="C216">
        <f>IFERROR(SUM('J50 BAS Lodgements'!Model_AS.List.Label7C),0)</f>
        <v>0</v>
      </c>
    </row>
    <row r="217" spans="1:3">
      <c r="A217" t="s">
        <v>182</v>
      </c>
      <c r="B217" t="s">
        <v>229</v>
      </c>
      <c r="C217">
        <f>IFERROR(SUM('J50 BAS Lodgements'!Model_AS.List.Label7C7D),0)</f>
        <v>0</v>
      </c>
    </row>
    <row r="218" spans="1:3">
      <c r="A218" t="s">
        <v>182</v>
      </c>
      <c r="B218" t="s">
        <v>230</v>
      </c>
      <c r="C218">
        <f>IFERROR(SUM('J50 BAS Lodgements'!Model_AS.List.Label7D),0)</f>
        <v>0</v>
      </c>
    </row>
    <row r="219" spans="1:3">
      <c r="A219" t="s">
        <v>182</v>
      </c>
      <c r="B219" t="s">
        <v>231</v>
      </c>
      <c r="C219">
        <f>IFERROR(SUM('J50 BAS Lodgements'!Model_AS.List.LabelG1),0)</f>
        <v>0</v>
      </c>
    </row>
    <row r="220" spans="1:3">
      <c r="A220" t="s">
        <v>182</v>
      </c>
      <c r="B220" t="s">
        <v>232</v>
      </c>
      <c r="C220">
        <f>IFERROR(SUM('J50 BAS Lodgements'!Model_AS.List.LabelG10),0)</f>
        <v>0</v>
      </c>
    </row>
    <row r="221" spans="1:3">
      <c r="A221" t="s">
        <v>182</v>
      </c>
      <c r="B221" t="s">
        <v>233</v>
      </c>
      <c r="C221">
        <f>IFERROR(SUM('J50 BAS Lodgements'!Model_AS.List.LabelG11),0)</f>
        <v>0</v>
      </c>
    </row>
    <row r="222" spans="1:3">
      <c r="A222" t="s">
        <v>182</v>
      </c>
      <c r="B222" t="s">
        <v>234</v>
      </c>
      <c r="C222">
        <f>IFERROR(SUM('J50 BAS Lodgements'!Model_AS.List.LabelG2),0)</f>
        <v>0</v>
      </c>
    </row>
    <row r="223" spans="1:3">
      <c r="A223" t="s">
        <v>182</v>
      </c>
      <c r="B223" t="s">
        <v>235</v>
      </c>
      <c r="C223">
        <f>IFERROR(SUM('J50 BAS Lodgements'!Model_AS.List.LabelG3),0)</f>
        <v>0</v>
      </c>
    </row>
    <row r="224" spans="1:3">
      <c r="A224" t="s">
        <v>182</v>
      </c>
      <c r="B224" t="s">
        <v>236</v>
      </c>
      <c r="C224">
        <f>IFERROR(SUM('J50 BAS Lodgements'!Model_AS.List.LabelW1),0)</f>
        <v>0</v>
      </c>
    </row>
    <row r="225" spans="1:3">
      <c r="A225" t="s">
        <v>182</v>
      </c>
      <c r="B225" t="s">
        <v>237</v>
      </c>
      <c r="C225">
        <f>IFERROR(SUM('J50 BAS Lodgements'!Model_AS.List.LabelW2),0)</f>
        <v>0</v>
      </c>
    </row>
    <row r="226" spans="1:3">
      <c r="A226" t="s">
        <v>182</v>
      </c>
      <c r="B226" t="s">
        <v>238</v>
      </c>
      <c r="C226">
        <f>IFERROR(SUM('J50 BAS Lodgements'!Model_AS.List.LabelW4),0)</f>
        <v>0</v>
      </c>
    </row>
    <row r="227" spans="1:3">
      <c r="A227" t="s">
        <v>182</v>
      </c>
      <c r="B227" t="s">
        <v>239</v>
      </c>
      <c r="C227">
        <f>IFERROR(SUM('J50 BAS Lodgements'!Model_AS.List.RevisionIndicator),0)</f>
        <v>0</v>
      </c>
    </row>
    <row r="228" spans="1:3">
      <c r="A228" t="s">
        <v>182</v>
      </c>
      <c r="B228" t="s">
        <v>240</v>
      </c>
      <c r="C228">
        <f>IFERROR(SUM('J50 BAS Lodgements'!Model_AS.List.StartDate),0)</f>
        <v>0</v>
      </c>
    </row>
    <row r="229" spans="1:3">
      <c r="A229" t="s">
        <v>182</v>
      </c>
      <c r="B229" t="s">
        <v>241</v>
      </c>
      <c r="C229">
        <f>IFERROR(SUM('J50 BAS Lodgements'!SelectedFrequency),0)</f>
        <v>0</v>
      </c>
    </row>
    <row r="230" spans="1:3">
      <c r="A230" t="s">
        <v>182</v>
      </c>
      <c r="B230" t="s">
        <v>242</v>
      </c>
      <c r="C230">
        <f>IFERROR(SUM('J50 BAS Lodgements'!TaxYearEnd),0)</f>
        <v>45473</v>
      </c>
    </row>
    <row r="231" spans="1:3">
      <c r="A231" t="s">
        <v>1494</v>
      </c>
      <c r="B231" t="s">
        <v>1495</v>
      </c>
      <c r="C231">
        <f>IFERROR(SUM('H50 ICA'!ICA_AllocationList),0)</f>
        <v>0</v>
      </c>
    </row>
    <row r="232" spans="1:3">
      <c r="A232" t="s">
        <v>1494</v>
      </c>
      <c r="B232" t="s">
        <v>1496</v>
      </c>
      <c r="C232">
        <f>IFERROR(SUM('H50 ICA'!ICA_NetTransactionAmount),0)</f>
        <v>0</v>
      </c>
    </row>
    <row r="233" spans="1:3">
      <c r="A233" t="s">
        <v>1494</v>
      </c>
      <c r="B233" t="s">
        <v>1497</v>
      </c>
      <c r="C233">
        <f>IFERROR(SUM('H50 ICA'!ICA_NetTransfers_ITA),0)</f>
        <v>0</v>
      </c>
    </row>
    <row r="234" spans="1:3">
      <c r="A234" t="s">
        <v>1494</v>
      </c>
      <c r="B234" t="s">
        <v>1498</v>
      </c>
      <c r="C234">
        <f>IFERROR(SUM('H50 ICA'!Model_CATS.List.AdjRoleCode),0)</f>
        <v>0</v>
      </c>
    </row>
    <row r="235" spans="1:3">
      <c r="A235" t="s">
        <v>1494</v>
      </c>
      <c r="B235" t="s">
        <v>1499</v>
      </c>
      <c r="C235">
        <f>IFERROR(SUM('H50 ICA'!Model_CATS.List.Credit),0)</f>
        <v>0</v>
      </c>
    </row>
    <row r="236" spans="1:3">
      <c r="A236" t="s">
        <v>1494</v>
      </c>
      <c r="B236" t="s">
        <v>1500</v>
      </c>
      <c r="C236">
        <f>IFERROR(SUM('H50 ICA'!Model_CATS.List.Debit),0)</f>
        <v>0</v>
      </c>
    </row>
    <row r="237" spans="1:3">
      <c r="A237" t="s">
        <v>1494</v>
      </c>
      <c r="B237" t="s">
        <v>1501</v>
      </c>
      <c r="C237">
        <f>IFERROR(SUM('H50 ICA'!Model_CATS.List.Description),0)</f>
        <v>0</v>
      </c>
    </row>
    <row r="238" spans="1:3">
      <c r="A238" t="s">
        <v>1494</v>
      </c>
      <c r="B238" t="s">
        <v>1502</v>
      </c>
      <c r="C238">
        <f>IFERROR(SUM('H50 ICA'!Model_CATS.List.EffectiveDate),0)</f>
        <v>0</v>
      </c>
    </row>
    <row r="239" spans="1:3">
      <c r="A239" t="s">
        <v>1494</v>
      </c>
      <c r="B239" t="s">
        <v>1503</v>
      </c>
      <c r="C239">
        <f>IFERROR(SUM('H50 ICA'!Model_CATS.List.GroupingCode),0)</f>
        <v>0</v>
      </c>
    </row>
    <row r="240" spans="1:3">
      <c r="A240" t="s">
        <v>1494</v>
      </c>
      <c r="B240" t="s">
        <v>1504</v>
      </c>
      <c r="C240">
        <f>IFERROR(SUM('H50 ICA'!Model_CATS.List.LinkedTransactionId),0)</f>
        <v>0</v>
      </c>
    </row>
    <row r="241" spans="1:3">
      <c r="A241" t="s">
        <v>1494</v>
      </c>
      <c r="B241" t="s">
        <v>1505</v>
      </c>
      <c r="C241">
        <f>IFERROR(SUM('H50 ICA'!Model_CATS.List.ProcessDate),0)</f>
        <v>0</v>
      </c>
    </row>
    <row r="242" spans="1:3">
      <c r="A242" t="s">
        <v>1494</v>
      </c>
      <c r="B242" t="s">
        <v>1506</v>
      </c>
      <c r="C242">
        <f>IFERROR(SUM('H50 ICA'!Model_CATS.List.RoleCode),0)</f>
        <v>0</v>
      </c>
    </row>
    <row r="243" spans="1:3">
      <c r="A243" t="s">
        <v>1494</v>
      </c>
      <c r="B243" t="s">
        <v>1507</v>
      </c>
      <c r="C243">
        <f>IFERROR(SUM('H50 ICA'!Model_CATS.List.RunningBalance),0)</f>
        <v>0</v>
      </c>
    </row>
    <row r="244" spans="1:3">
      <c r="A244" t="s">
        <v>1515</v>
      </c>
      <c r="B244" t="s">
        <v>1516</v>
      </c>
      <c r="C244">
        <f>IFERROR(SUM('C50 ITA'!ITA_AllocationList),0)</f>
        <v>0</v>
      </c>
    </row>
    <row r="245" spans="1:3">
      <c r="A245" t="s">
        <v>1515</v>
      </c>
      <c r="B245" t="s">
        <v>1517</v>
      </c>
      <c r="C245">
        <f>IFERROR(SUM('C50 ITA'!ITA_NetTransactionAmount),0)</f>
        <v>0</v>
      </c>
    </row>
    <row r="246" spans="1:3">
      <c r="A246" t="s">
        <v>1515</v>
      </c>
      <c r="B246" t="s">
        <v>1518</v>
      </c>
      <c r="C246">
        <f>IFERROR(SUM('C50 ITA'!ITA_NetTransfers_ICA),0)</f>
        <v>0</v>
      </c>
    </row>
    <row r="247" spans="1:3">
      <c r="A247" t="s">
        <v>1515</v>
      </c>
      <c r="B247" t="s">
        <v>1498</v>
      </c>
      <c r="C247">
        <f>IFERROR(SUM('C50 ITA'!Model_CATS.List.AdjRoleCode),0)</f>
        <v>0</v>
      </c>
    </row>
    <row r="248" spans="1:3">
      <c r="A248" t="s">
        <v>1515</v>
      </c>
      <c r="B248" t="s">
        <v>1499</v>
      </c>
      <c r="C248">
        <f>IFERROR(SUM('C50 ITA'!Model_CATS.List.Credit),0)</f>
        <v>0</v>
      </c>
    </row>
    <row r="249" spans="1:3">
      <c r="A249" t="s">
        <v>1515</v>
      </c>
      <c r="B249" t="s">
        <v>1500</v>
      </c>
      <c r="C249">
        <f>IFERROR(SUM('C50 ITA'!Model_CATS.List.Debit),0)</f>
        <v>0</v>
      </c>
    </row>
    <row r="250" spans="1:3">
      <c r="A250" t="s">
        <v>1515</v>
      </c>
      <c r="B250" t="s">
        <v>1501</v>
      </c>
      <c r="C250">
        <f>IFERROR(SUM('C50 ITA'!Model_CATS.List.Description),0)</f>
        <v>0</v>
      </c>
    </row>
    <row r="251" spans="1:3">
      <c r="A251" t="s">
        <v>1515</v>
      </c>
      <c r="B251" t="s">
        <v>1502</v>
      </c>
      <c r="C251">
        <f>IFERROR(SUM('C50 ITA'!Model_CATS.List.EffectiveDate),0)</f>
        <v>0</v>
      </c>
    </row>
    <row r="252" spans="1:3">
      <c r="A252" t="s">
        <v>1515</v>
      </c>
      <c r="B252" t="s">
        <v>1503</v>
      </c>
      <c r="C252">
        <f>IFERROR(SUM('C50 ITA'!Model_CATS.List.GroupingCode),0)</f>
        <v>0</v>
      </c>
    </row>
    <row r="253" spans="1:3">
      <c r="A253" t="s">
        <v>1515</v>
      </c>
      <c r="B253" t="s">
        <v>1504</v>
      </c>
      <c r="C253">
        <f>IFERROR(SUM('C50 ITA'!Model_CATS.List.LinkedTransactionId),0)</f>
        <v>0</v>
      </c>
    </row>
    <row r="254" spans="1:3">
      <c r="A254" t="s">
        <v>1515</v>
      </c>
      <c r="B254" t="s">
        <v>1505</v>
      </c>
      <c r="C254">
        <f>IFERROR(SUM('C50 ITA'!Model_CATS.List.ProcessDate),0)</f>
        <v>0</v>
      </c>
    </row>
    <row r="255" spans="1:3">
      <c r="A255" t="s">
        <v>1515</v>
      </c>
      <c r="B255" t="s">
        <v>1506</v>
      </c>
      <c r="C255">
        <f>IFERROR(SUM('C50 ITA'!Model_CATS.List.RoleCode),0)</f>
        <v>0</v>
      </c>
    </row>
    <row r="256" spans="1:3">
      <c r="A256" t="s">
        <v>1515</v>
      </c>
      <c r="B256" t="s">
        <v>1507</v>
      </c>
      <c r="C256">
        <f>IFERROR(SUM('C50 ITA'!Model_CATS.List.RunningBalance),0)</f>
        <v>0</v>
      </c>
    </row>
    <row r="257" spans="1:3">
      <c r="A257" t="s">
        <v>1566</v>
      </c>
      <c r="B257" t="s">
        <v>1567</v>
      </c>
      <c r="C257">
        <f>IFERROR(SUM('G31 Div 7A Loan Calculator'!CategoryNamesList),0)</f>
        <v>0</v>
      </c>
    </row>
    <row r="258" spans="1:3">
      <c r="A258" t="s">
        <v>1566</v>
      </c>
      <c r="B258" t="s">
        <v>1568</v>
      </c>
      <c r="C258">
        <f>IFERROR(SUM('G31 Div 7A Loan Calculator'!G31_LoanBalance),0)</f>
        <v>108269.99</v>
      </c>
    </row>
    <row r="259" spans="1:3">
      <c r="A259" t="s">
        <v>1566</v>
      </c>
      <c r="B259" t="s">
        <v>1569</v>
      </c>
      <c r="C259">
        <f>IFERROR(SUM('G31 Div 7A Loan Calculator'!Interest_Rate),0)</f>
        <v>1130071.7677000002</v>
      </c>
    </row>
    <row r="260" spans="1:3">
      <c r="A260" t="s">
        <v>496</v>
      </c>
      <c r="B260" t="s">
        <v>497</v>
      </c>
      <c r="C260">
        <f>IFERROR(SUM('F05 Trade Debtors'!AtRiskSensitivity),0)</f>
        <v>0.01</v>
      </c>
    </row>
    <row r="261" spans="1:3">
      <c r="A261" t="s">
        <v>496</v>
      </c>
      <c r="B261" t="s">
        <v>498</v>
      </c>
      <c r="C261">
        <f>IFERROR(SUM('F05 Trade Debtors'!DoubtfulDebts_SelectedMethod),0)</f>
        <v>0</v>
      </c>
    </row>
    <row r="262" spans="1:3">
      <c r="A262" t="s">
        <v>496</v>
      </c>
      <c r="B262" t="s">
        <v>499</v>
      </c>
      <c r="C262">
        <f>IFERROR(SUM('F05 Trade Debtors'!F05_GSTInDebtors),0)</f>
        <v>0</v>
      </c>
    </row>
    <row r="263" spans="1:3">
      <c r="A263" t="s">
        <v>496</v>
      </c>
      <c r="B263" t="s">
        <v>500</v>
      </c>
      <c r="C263">
        <f>IFERROR(SUM('F05 Trade Debtors'!F05_ProvDoubtfulDebts),0)</f>
        <v>0</v>
      </c>
    </row>
    <row r="264" spans="1:3">
      <c r="A264" t="s">
        <v>496</v>
      </c>
      <c r="B264" t="s">
        <v>501</v>
      </c>
      <c r="C264">
        <f>IFERROR(SUM('F05 Trade Debtors'!F05_TradeDebtors),0)</f>
        <v>0</v>
      </c>
    </row>
    <row r="265" spans="1:3">
      <c r="A265" t="s">
        <v>496</v>
      </c>
      <c r="B265" t="s">
        <v>502</v>
      </c>
      <c r="C265">
        <f>IFERROR(SUM('F05 Trade Debtors'!F05_TradeDebtors0to90Days),0)</f>
        <v>0</v>
      </c>
    </row>
    <row r="266" spans="1:3">
      <c r="A266" t="s">
        <v>496</v>
      </c>
      <c r="B266" t="s">
        <v>503</v>
      </c>
      <c r="C266">
        <f>IFERROR(SUM('F05 Trade Debtors'!Model_Creditors.Balances.Detail),0)</f>
        <v>0</v>
      </c>
    </row>
    <row r="267" spans="1:3">
      <c r="A267" t="s">
        <v>496</v>
      </c>
      <c r="B267" t="s">
        <v>504</v>
      </c>
      <c r="C267">
        <f>IFERROR(SUM('F05 Trade Debtors'!Model_Debtors.Balances.Balance),0)</f>
        <v>0</v>
      </c>
    </row>
    <row r="268" spans="1:3">
      <c r="A268" t="s">
        <v>496</v>
      </c>
      <c r="B268" t="s">
        <v>505</v>
      </c>
      <c r="C268">
        <f>IFERROR(SUM('F05 Trade Debtors'!Model_Debtors.Balances.Band30Days),0)</f>
        <v>0</v>
      </c>
    </row>
    <row r="269" spans="1:3">
      <c r="A269" t="s">
        <v>496</v>
      </c>
      <c r="B269" t="s">
        <v>506</v>
      </c>
      <c r="C269">
        <f>IFERROR(SUM('F05 Trade Debtors'!Model_Debtors.Balances.Band60Days),0)</f>
        <v>0</v>
      </c>
    </row>
    <row r="270" spans="1:3">
      <c r="A270" t="s">
        <v>496</v>
      </c>
      <c r="B270" t="s">
        <v>507</v>
      </c>
      <c r="C270">
        <f>IFERROR(SUM('F05 Trade Debtors'!Model_Debtors.Balances.Band90Days),0)</f>
        <v>0</v>
      </c>
    </row>
    <row r="271" spans="1:3">
      <c r="A271" t="s">
        <v>496</v>
      </c>
      <c r="B271" t="s">
        <v>508</v>
      </c>
      <c r="C271">
        <f>IFERROR(SUM('F05 Trade Debtors'!Model_Debtors.Balances.Band90PlusDays),0)</f>
        <v>0</v>
      </c>
    </row>
    <row r="272" spans="1:3">
      <c r="A272" t="s">
        <v>496</v>
      </c>
      <c r="B272" t="s">
        <v>509</v>
      </c>
      <c r="C272">
        <f>IFERROR(SUM('F05 Trade Debtors'!Model_Debtors.Balances.Detail),0)</f>
        <v>0</v>
      </c>
    </row>
    <row r="273" spans="1:3">
      <c r="A273" t="s">
        <v>496</v>
      </c>
      <c r="B273" t="s">
        <v>510</v>
      </c>
      <c r="C273">
        <f>IFERROR(SUM('F05 Trade Debtors'!Model_Debtors.Balances.ForeignCurrency),0)</f>
        <v>0</v>
      </c>
    </row>
    <row r="274" spans="1:3">
      <c r="A274" t="s">
        <v>496</v>
      </c>
      <c r="B274" t="s">
        <v>511</v>
      </c>
      <c r="C274">
        <f>IFERROR(SUM('F05 Trade Debtors'!Model_Debtors.Balances.ForeignCurrencyRate),0)</f>
        <v>10</v>
      </c>
    </row>
    <row r="275" spans="1:3">
      <c r="A275" t="s">
        <v>496</v>
      </c>
      <c r="B275" t="s">
        <v>512</v>
      </c>
      <c r="C275">
        <f>IFERROR(SUM('F05 Trade Debtors'!Model_Debtors.Balances.Reference),0)</f>
        <v>0</v>
      </c>
    </row>
    <row r="276" spans="1:3">
      <c r="A276" t="s">
        <v>612</v>
      </c>
      <c r="B276" t="s">
        <v>613</v>
      </c>
      <c r="C276">
        <f>IFERROR(SUM('J51 GST Rec'!GST_TotalSales),0)</f>
        <v>0</v>
      </c>
    </row>
    <row r="277" spans="1:3">
      <c r="A277" t="s">
        <v>612</v>
      </c>
      <c r="B277" t="s">
        <v>241</v>
      </c>
      <c r="C277">
        <f>IFERROR(SUM('J51 GST Rec'!SelectedFrequency),0)</f>
        <v>0</v>
      </c>
    </row>
    <row r="278" spans="1:3">
      <c r="A278" t="s">
        <v>612</v>
      </c>
      <c r="B278" t="s">
        <v>242</v>
      </c>
      <c r="C278">
        <f>IFERROR(SUM('J51 GST Rec'!TaxYearEnd),0)</f>
        <v>45473</v>
      </c>
    </row>
    <row r="279" spans="1:3">
      <c r="A279" t="s">
        <v>322</v>
      </c>
      <c r="B279" t="s">
        <v>323</v>
      </c>
      <c r="C279">
        <f>IFERROR(SUM('N80 Wages  PAYGW'!CurrentPAYGOutstanding),0)</f>
        <v>0</v>
      </c>
    </row>
    <row r="280" spans="1:3">
      <c r="A280" t="s">
        <v>322</v>
      </c>
      <c r="B280" t="s">
        <v>324</v>
      </c>
      <c r="C280">
        <f>IFERROR(SUM('N80 Wages  PAYGW'!Frequency),0)</f>
        <v>0</v>
      </c>
    </row>
    <row r="281" spans="1:3">
      <c r="A281" t="s">
        <v>322</v>
      </c>
      <c r="B281" t="s">
        <v>325</v>
      </c>
      <c r="C281">
        <f>IFERROR(SUM('N80 Wages  PAYGW'!Model_WageAccounts.Accounts.AccountNoName),0)</f>
        <v>0</v>
      </c>
    </row>
    <row r="282" spans="1:3">
      <c r="A282" t="s">
        <v>322</v>
      </c>
      <c r="B282" t="s">
        <v>326</v>
      </c>
      <c r="C282">
        <f>IFERROR(SUM('N80 Wages  PAYGW'!Model_WageAccounts.Accounts.BalanceFormula),0)</f>
        <v>11153.86</v>
      </c>
    </row>
    <row r="283" spans="1:3">
      <c r="A283" t="s">
        <v>322</v>
      </c>
      <c r="B283" t="s">
        <v>327</v>
      </c>
      <c r="C283">
        <f>IFERROR(SUM('N80 Wages  PAYGW'!Model1_Wages.Gross),0)</f>
        <v>0</v>
      </c>
    </row>
    <row r="284" spans="1:3">
      <c r="A284" t="s">
        <v>322</v>
      </c>
      <c r="B284" t="s">
        <v>328</v>
      </c>
      <c r="C284">
        <f>IFERROR(SUM('N80 Wages  PAYGW'!Model1_Wages.Tax),0)</f>
        <v>0</v>
      </c>
    </row>
    <row r="285" spans="1:3">
      <c r="A285" t="s">
        <v>322</v>
      </c>
      <c r="B285" t="s">
        <v>329</v>
      </c>
      <c r="C285">
        <f>IFERROR(SUM('N80 Wages  PAYGW'!Model10_Wages.Gross),0)</f>
        <v>0</v>
      </c>
    </row>
    <row r="286" spans="1:3">
      <c r="A286" t="s">
        <v>322</v>
      </c>
      <c r="B286" t="s">
        <v>330</v>
      </c>
      <c r="C286">
        <f>IFERROR(SUM('N80 Wages  PAYGW'!Model10_Wages.Tax),0)</f>
        <v>0</v>
      </c>
    </row>
    <row r="287" spans="1:3">
      <c r="A287" t="s">
        <v>322</v>
      </c>
      <c r="B287" t="s">
        <v>331</v>
      </c>
      <c r="C287">
        <f>IFERROR(SUM('N80 Wages  PAYGW'!Model11_Wages.Gross),0)</f>
        <v>0</v>
      </c>
    </row>
    <row r="288" spans="1:3">
      <c r="A288" t="s">
        <v>322</v>
      </c>
      <c r="B288" t="s">
        <v>332</v>
      </c>
      <c r="C288">
        <f>IFERROR(SUM('N80 Wages  PAYGW'!Model11_Wages.Tax),0)</f>
        <v>0</v>
      </c>
    </row>
    <row r="289" spans="1:3">
      <c r="A289" t="s">
        <v>322</v>
      </c>
      <c r="B289" t="s">
        <v>333</v>
      </c>
      <c r="C289">
        <f>IFERROR(SUM('N80 Wages  PAYGW'!Model12_Wages.Gross),0)</f>
        <v>0</v>
      </c>
    </row>
    <row r="290" spans="1:3">
      <c r="A290" t="s">
        <v>322</v>
      </c>
      <c r="B290" t="s">
        <v>334</v>
      </c>
      <c r="C290">
        <f>IFERROR(SUM('N80 Wages  PAYGW'!Model12_Wages.Tax),0)</f>
        <v>0</v>
      </c>
    </row>
    <row r="291" spans="1:3">
      <c r="A291" t="s">
        <v>322</v>
      </c>
      <c r="B291" t="s">
        <v>335</v>
      </c>
      <c r="C291">
        <f>IFERROR(SUM('N80 Wages  PAYGW'!Model2_Wages.Gross),0)</f>
        <v>0</v>
      </c>
    </row>
    <row r="292" spans="1:3">
      <c r="A292" t="s">
        <v>322</v>
      </c>
      <c r="B292" t="s">
        <v>336</v>
      </c>
      <c r="C292">
        <f>IFERROR(SUM('N80 Wages  PAYGW'!Model2_Wages.Tax),0)</f>
        <v>0</v>
      </c>
    </row>
    <row r="293" spans="1:3">
      <c r="A293" t="s">
        <v>322</v>
      </c>
      <c r="B293" t="s">
        <v>337</v>
      </c>
      <c r="C293">
        <f>IFERROR(SUM('N80 Wages  PAYGW'!Model3_Wages.Gross),0)</f>
        <v>0</v>
      </c>
    </row>
    <row r="294" spans="1:3">
      <c r="A294" t="s">
        <v>322</v>
      </c>
      <c r="B294" t="s">
        <v>338</v>
      </c>
      <c r="C294">
        <f>IFERROR(SUM('N80 Wages  PAYGW'!Model3_Wages.Tax),0)</f>
        <v>0</v>
      </c>
    </row>
    <row r="295" spans="1:3">
      <c r="A295" t="s">
        <v>322</v>
      </c>
      <c r="B295" t="s">
        <v>339</v>
      </c>
      <c r="C295">
        <f>IFERROR(SUM('N80 Wages  PAYGW'!Model4_Wages.Gross),0)</f>
        <v>0</v>
      </c>
    </row>
    <row r="296" spans="1:3">
      <c r="A296" t="s">
        <v>322</v>
      </c>
      <c r="B296" t="s">
        <v>340</v>
      </c>
      <c r="C296">
        <f>IFERROR(SUM('N80 Wages  PAYGW'!Model4_Wages.Tax),0)</f>
        <v>0</v>
      </c>
    </row>
    <row r="297" spans="1:3">
      <c r="A297" t="s">
        <v>322</v>
      </c>
      <c r="B297" t="s">
        <v>341</v>
      </c>
      <c r="C297">
        <f>IFERROR(SUM('N80 Wages  PAYGW'!Model5_Wages.Gross),0)</f>
        <v>0</v>
      </c>
    </row>
    <row r="298" spans="1:3">
      <c r="A298" t="s">
        <v>322</v>
      </c>
      <c r="B298" t="s">
        <v>342</v>
      </c>
      <c r="C298">
        <f>IFERROR(SUM('N80 Wages  PAYGW'!Model5_Wages.Tax),0)</f>
        <v>0</v>
      </c>
    </row>
    <row r="299" spans="1:3">
      <c r="A299" t="s">
        <v>322</v>
      </c>
      <c r="B299" t="s">
        <v>343</v>
      </c>
      <c r="C299">
        <f>IFERROR(SUM('N80 Wages  PAYGW'!Model6_Wages.Gross),0)</f>
        <v>0</v>
      </c>
    </row>
    <row r="300" spans="1:3">
      <c r="A300" t="s">
        <v>322</v>
      </c>
      <c r="B300" t="s">
        <v>344</v>
      </c>
      <c r="C300">
        <f>IFERROR(SUM('N80 Wages  PAYGW'!Model6_Wages.Tax),0)</f>
        <v>0</v>
      </c>
    </row>
    <row r="301" spans="1:3">
      <c r="A301" t="s">
        <v>322</v>
      </c>
      <c r="B301" t="s">
        <v>345</v>
      </c>
      <c r="C301">
        <f>IFERROR(SUM('N80 Wages  PAYGW'!Model7_Wages.Gross),0)</f>
        <v>0</v>
      </c>
    </row>
    <row r="302" spans="1:3">
      <c r="A302" t="s">
        <v>322</v>
      </c>
      <c r="B302" t="s">
        <v>346</v>
      </c>
      <c r="C302">
        <f>IFERROR(SUM('N80 Wages  PAYGW'!Model7_Wages.Tax),0)</f>
        <v>0</v>
      </c>
    </row>
    <row r="303" spans="1:3">
      <c r="A303" t="s">
        <v>322</v>
      </c>
      <c r="B303" t="s">
        <v>347</v>
      </c>
      <c r="C303">
        <f>IFERROR(SUM('N80 Wages  PAYGW'!Model8_Wages.Gross),0)</f>
        <v>0</v>
      </c>
    </row>
    <row r="304" spans="1:3">
      <c r="A304" t="s">
        <v>322</v>
      </c>
      <c r="B304" t="s">
        <v>348</v>
      </c>
      <c r="C304">
        <f>IFERROR(SUM('N80 Wages  PAYGW'!Model8_Wages.Tax),0)</f>
        <v>0</v>
      </c>
    </row>
    <row r="305" spans="1:3">
      <c r="A305" t="s">
        <v>322</v>
      </c>
      <c r="B305" t="s">
        <v>349</v>
      </c>
      <c r="C305">
        <f>IFERROR(SUM('N80 Wages  PAYGW'!Model9_Wages.Gross),0)</f>
        <v>0</v>
      </c>
    </row>
    <row r="306" spans="1:3">
      <c r="A306" t="s">
        <v>322</v>
      </c>
      <c r="B306" t="s">
        <v>350</v>
      </c>
      <c r="C306">
        <f>IFERROR(SUM('N80 Wages  PAYGW'!Model9_Wages.Tax),0)</f>
        <v>0</v>
      </c>
    </row>
    <row r="307" spans="1:3">
      <c r="A307" t="s">
        <v>322</v>
      </c>
      <c r="B307" t="s">
        <v>351</v>
      </c>
      <c r="C307">
        <f>IFERROR(SUM('N80 Wages  PAYGW'!Multiplier),0)</f>
        <v>1.1000000000000001</v>
      </c>
    </row>
    <row r="308" spans="1:3">
      <c r="A308" t="s">
        <v>322</v>
      </c>
      <c r="B308" t="s">
        <v>352</v>
      </c>
      <c r="C308">
        <f>IFERROR(SUM('N80 Wages  PAYGW'!N80_PayrollWages),0)</f>
        <v>0</v>
      </c>
    </row>
    <row r="309" spans="1:3">
      <c r="A309" t="s">
        <v>322</v>
      </c>
      <c r="B309" t="s">
        <v>353</v>
      </c>
      <c r="C309">
        <f>IFERROR(SUM('N80 Wages  PAYGW'!N80_Salaries),0)</f>
        <v>0</v>
      </c>
    </row>
    <row r="310" spans="1:3">
      <c r="A310" t="s">
        <v>322</v>
      </c>
      <c r="B310" t="s">
        <v>354</v>
      </c>
      <c r="C310">
        <f>IFERROR(SUM('N80 Wages  PAYGW'!Payroll_Tax_Registration),0)</f>
        <v>0</v>
      </c>
    </row>
    <row r="311" spans="1:3">
      <c r="A311" t="s">
        <v>322</v>
      </c>
      <c r="B311" t="s">
        <v>355</v>
      </c>
      <c r="C311">
        <f>IFERROR(SUM('N80 Wages  PAYGW'!Payroll_Threshold_Lookup),0)</f>
        <v>293441</v>
      </c>
    </row>
    <row r="312" spans="1:3">
      <c r="A312" t="s">
        <v>322</v>
      </c>
      <c r="B312" t="s">
        <v>242</v>
      </c>
      <c r="C312">
        <f>IFERROR(SUM('N80 Wages  PAYGW'!TaxYearEnd),0)</f>
        <v>45473</v>
      </c>
    </row>
    <row r="313" spans="1:3">
      <c r="A313" t="s">
        <v>630</v>
      </c>
      <c r="B313" t="s">
        <v>631</v>
      </c>
      <c r="C313">
        <f>IFERROR(SUM('H05 Trade Creditors'!H05_GSTInCreditors),0)</f>
        <v>0</v>
      </c>
    </row>
    <row r="314" spans="1:3">
      <c r="A314" t="s">
        <v>630</v>
      </c>
      <c r="B314" t="s">
        <v>632</v>
      </c>
      <c r="C314">
        <f>IFERROR(SUM('H05 Trade Creditors'!H05_TradeCreditors),0)</f>
        <v>0</v>
      </c>
    </row>
    <row r="315" spans="1:3">
      <c r="A315" t="s">
        <v>630</v>
      </c>
      <c r="B315" t="s">
        <v>633</v>
      </c>
      <c r="C315">
        <f>IFERROR(SUM('H05 Trade Creditors'!Model_Creditors.Balances.Balance),0)</f>
        <v>0</v>
      </c>
    </row>
    <row r="316" spans="1:3">
      <c r="A316" t="s">
        <v>630</v>
      </c>
      <c r="B316" t="s">
        <v>634</v>
      </c>
      <c r="C316">
        <f>IFERROR(SUM('H05 Trade Creditors'!Model_Creditors.Balances.Band30Days),0)</f>
        <v>0</v>
      </c>
    </row>
    <row r="317" spans="1:3">
      <c r="A317" t="s">
        <v>630</v>
      </c>
      <c r="B317" t="s">
        <v>635</v>
      </c>
      <c r="C317">
        <f>IFERROR(SUM('H05 Trade Creditors'!Model_Creditors.Balances.Band60Days),0)</f>
        <v>0</v>
      </c>
    </row>
    <row r="318" spans="1:3">
      <c r="A318" t="s">
        <v>630</v>
      </c>
      <c r="B318" t="s">
        <v>636</v>
      </c>
      <c r="C318">
        <f>IFERROR(SUM('H05 Trade Creditors'!Model_Creditors.Balances.Band90Days),0)</f>
        <v>0</v>
      </c>
    </row>
    <row r="319" spans="1:3">
      <c r="A319" t="s">
        <v>630</v>
      </c>
      <c r="B319" t="s">
        <v>637</v>
      </c>
      <c r="C319">
        <f>IFERROR(SUM('H05 Trade Creditors'!Model_Creditors.Balances.Band90PlusDays),0)</f>
        <v>0</v>
      </c>
    </row>
    <row r="320" spans="1:3">
      <c r="A320" t="s">
        <v>630</v>
      </c>
      <c r="B320" t="s">
        <v>503</v>
      </c>
      <c r="C320">
        <f>IFERROR(SUM('H05 Trade Creditors'!Model_Creditors.Balances.Detail),0)</f>
        <v>0</v>
      </c>
    </row>
    <row r="321" spans="1:3">
      <c r="A321" t="s">
        <v>630</v>
      </c>
      <c r="B321" t="s">
        <v>638</v>
      </c>
      <c r="C321">
        <f>IFERROR(SUM('H05 Trade Creditors'!Model_Creditors.Balances.ForeignCurrency),0)</f>
        <v>0</v>
      </c>
    </row>
    <row r="322" spans="1:3">
      <c r="A322" t="s">
        <v>630</v>
      </c>
      <c r="B322" t="s">
        <v>639</v>
      </c>
      <c r="C322">
        <f>IFERROR(SUM('H05 Trade Creditors'!Model_Creditors.Balances.ForeignCurrencyRate),0)</f>
        <v>10</v>
      </c>
    </row>
    <row r="323" spans="1:3">
      <c r="A323" t="s">
        <v>630</v>
      </c>
      <c r="B323" t="s">
        <v>640</v>
      </c>
      <c r="C323">
        <f>IFERROR(SUM('H05 Trade Creditors'!Model_Creditors.Balances.Reference),0)</f>
        <v>0</v>
      </c>
    </row>
    <row r="324" spans="1:3">
      <c r="A324" t="s">
        <v>630</v>
      </c>
      <c r="B324" t="s">
        <v>641</v>
      </c>
      <c r="C324">
        <f>IFERROR(SUM('H05 Trade Creditors'!Z_F06FA0EF_5DFC_4395_A5DD_F477E9A4FEF3_.wvu.Rows),0)</f>
        <v>0</v>
      </c>
    </row>
    <row r="325" spans="1:3">
      <c r="A325" t="s">
        <v>416</v>
      </c>
      <c r="B325" t="s">
        <v>417</v>
      </c>
      <c r="C325">
        <f>IFERROR(SUM('H25 Bank Loan'!H25_BankFees),0)</f>
        <v>0</v>
      </c>
    </row>
    <row r="326" spans="1:3">
      <c r="A326" t="s">
        <v>416</v>
      </c>
      <c r="B326" t="s">
        <v>418</v>
      </c>
      <c r="C326">
        <f>IFERROR(SUM('H25 Bank Loan'!H25_InterestExpense),0)</f>
        <v>0</v>
      </c>
    </row>
    <row r="327" spans="1:3">
      <c r="A327" t="s">
        <v>416</v>
      </c>
      <c r="B327" t="s">
        <v>419</v>
      </c>
      <c r="C327">
        <f>IFERROR(SUM('H25 Bank Loan'!H25_Loan_1),0)</f>
        <v>0</v>
      </c>
    </row>
    <row r="328" spans="1:3">
      <c r="A328" t="s">
        <v>416</v>
      </c>
      <c r="B328" t="s">
        <v>420</v>
      </c>
      <c r="C328">
        <f>IFERROR(SUM('H25 Bank Loan'!H25_TotalLiability),0)</f>
        <v>0</v>
      </c>
    </row>
    <row r="329" spans="1:3">
      <c r="A329" t="s">
        <v>692</v>
      </c>
      <c r="B329" t="s">
        <v>693</v>
      </c>
      <c r="C329">
        <f>IFERROR(SUM('N75 Super'!Model1_Wages.Super),0)</f>
        <v>0</v>
      </c>
    </row>
    <row r="330" spans="1:3">
      <c r="A330" t="s">
        <v>692</v>
      </c>
      <c r="B330" t="s">
        <v>694</v>
      </c>
      <c r="C330">
        <f>IFERROR(SUM('N75 Super'!Model10_Wages.Super),0)</f>
        <v>0</v>
      </c>
    </row>
    <row r="331" spans="1:3">
      <c r="A331" t="s">
        <v>692</v>
      </c>
      <c r="B331" t="s">
        <v>695</v>
      </c>
      <c r="C331">
        <f>IFERROR(SUM('N75 Super'!Model11_Wages.Super),0)</f>
        <v>0</v>
      </c>
    </row>
    <row r="332" spans="1:3">
      <c r="A332" t="s">
        <v>692</v>
      </c>
      <c r="B332" t="s">
        <v>696</v>
      </c>
      <c r="C332">
        <f>IFERROR(SUM('N75 Super'!Model12_Wages.Super),0)</f>
        <v>0</v>
      </c>
    </row>
    <row r="333" spans="1:3">
      <c r="A333" t="s">
        <v>692</v>
      </c>
      <c r="B333" t="s">
        <v>697</v>
      </c>
      <c r="C333">
        <f>IFERROR(SUM('N75 Super'!Model2_Wages.Super),0)</f>
        <v>0</v>
      </c>
    </row>
    <row r="334" spans="1:3">
      <c r="A334" t="s">
        <v>692</v>
      </c>
      <c r="B334" t="s">
        <v>698</v>
      </c>
      <c r="C334">
        <f>IFERROR(SUM('N75 Super'!Model3_Wages.Super),0)</f>
        <v>0</v>
      </c>
    </row>
    <row r="335" spans="1:3">
      <c r="A335" t="s">
        <v>692</v>
      </c>
      <c r="B335" t="s">
        <v>699</v>
      </c>
      <c r="C335">
        <f>IFERROR(SUM('N75 Super'!Model4_Wages.Super),0)</f>
        <v>0</v>
      </c>
    </row>
    <row r="336" spans="1:3">
      <c r="A336" t="s">
        <v>692</v>
      </c>
      <c r="B336" t="s">
        <v>700</v>
      </c>
      <c r="C336">
        <f>IFERROR(SUM('N75 Super'!Model5_Wages.Super),0)</f>
        <v>0</v>
      </c>
    </row>
    <row r="337" spans="1:3">
      <c r="A337" t="s">
        <v>692</v>
      </c>
      <c r="B337" t="s">
        <v>701</v>
      </c>
      <c r="C337">
        <f>IFERROR(SUM('N75 Super'!Model6_Wages.Super),0)</f>
        <v>0</v>
      </c>
    </row>
    <row r="338" spans="1:3">
      <c r="A338" t="s">
        <v>692</v>
      </c>
      <c r="B338" t="s">
        <v>702</v>
      </c>
      <c r="C338">
        <f>IFERROR(SUM('N75 Super'!Model7_Wages.Super),0)</f>
        <v>0</v>
      </c>
    </row>
    <row r="339" spans="1:3">
      <c r="A339" t="s">
        <v>692</v>
      </c>
      <c r="B339" t="s">
        <v>703</v>
      </c>
      <c r="C339">
        <f>IFERROR(SUM('N75 Super'!Model8_Wages.Super),0)</f>
        <v>0</v>
      </c>
    </row>
    <row r="340" spans="1:3">
      <c r="A340" t="s">
        <v>692</v>
      </c>
      <c r="B340" t="s">
        <v>704</v>
      </c>
      <c r="C340">
        <f>IFERROR(SUM('N75 Super'!Model9_Wages.Super),0)</f>
        <v>0</v>
      </c>
    </row>
    <row r="341" spans="1:3">
      <c r="A341" t="s">
        <v>692</v>
      </c>
      <c r="B341" t="s">
        <v>705</v>
      </c>
      <c r="C341">
        <f>IFERROR(SUM('N75 Super'!N75_ClosingSuperPayable),0)</f>
        <v>0</v>
      </c>
    </row>
    <row r="342" spans="1:3">
      <c r="A342" t="s">
        <v>692</v>
      </c>
      <c r="B342" t="s">
        <v>706</v>
      </c>
      <c r="C342">
        <f>IFERROR(SUM('N75 Super'!N75_DeductibleSuperExpense),0)</f>
        <v>0</v>
      </c>
    </row>
    <row r="343" spans="1:3">
      <c r="A343" t="s">
        <v>692</v>
      </c>
      <c r="B343" t="s">
        <v>707</v>
      </c>
      <c r="C343">
        <f>IFERROR(SUM('N75 Super'!N75_NonDeductibleSGC),0)</f>
        <v>0</v>
      </c>
    </row>
    <row r="344" spans="1:3">
      <c r="A344" t="s">
        <v>692</v>
      </c>
      <c r="B344" t="s">
        <v>708</v>
      </c>
      <c r="C344">
        <f>IFERROR(SUM('N75 Super'!N75_OpeningSuperPayable),0)</f>
        <v>0</v>
      </c>
    </row>
    <row r="345" spans="1:3">
      <c r="A345" t="s">
        <v>692</v>
      </c>
      <c r="B345" t="s">
        <v>709</v>
      </c>
      <c r="C345">
        <f>IFERROR(SUM('N75 Super'!N75_SuperExpense),0)</f>
        <v>0</v>
      </c>
    </row>
    <row r="346" spans="1:3">
      <c r="A346" t="s">
        <v>692</v>
      </c>
      <c r="B346" t="s">
        <v>710</v>
      </c>
      <c r="C346">
        <f>IFERROR(SUM('N75 Super'!N75_SuperPaid),0)</f>
        <v>0</v>
      </c>
    </row>
    <row r="347" spans="1:3">
      <c r="A347" t="s">
        <v>692</v>
      </c>
      <c r="B347" t="s">
        <v>242</v>
      </c>
      <c r="C347">
        <f>IFERROR(SUM('N75 Super'!TaxYearEnd),0)</f>
        <v>45473</v>
      </c>
    </row>
  </sheetData>
  <sheetProtection sheet="1" formatCells="0" formatColumns="0" formatRows="0" insertColumns="0" insertRows="0" insertHyperlinks="0"/>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B4B0D-3BEF-4F3F-BBD6-59948DDE15E2}">
  <dimension ref="A1:W5"/>
  <sheetViews>
    <sheetView workbookViewId="0"/>
  </sheetViews>
  <sheetFormatPr defaultRowHeight="15"/>
  <sheetData>
    <row r="1" spans="1:23">
      <c r="A1" t="s">
        <v>80</v>
      </c>
      <c r="B1" t="s">
        <v>81</v>
      </c>
      <c r="C1" t="s">
        <v>82</v>
      </c>
      <c r="D1" t="s">
        <v>83</v>
      </c>
      <c r="E1" t="s">
        <v>84</v>
      </c>
      <c r="F1" t="s">
        <v>1528</v>
      </c>
      <c r="G1" t="s">
        <v>1565</v>
      </c>
      <c r="H1" t="s">
        <v>395</v>
      </c>
      <c r="I1" t="s">
        <v>1564</v>
      </c>
      <c r="J1" t="s">
        <v>1563</v>
      </c>
      <c r="K1" t="s">
        <v>399</v>
      </c>
      <c r="L1" t="s">
        <v>1562</v>
      </c>
      <c r="M1" t="s">
        <v>176</v>
      </c>
      <c r="N1" t="s">
        <v>1997</v>
      </c>
      <c r="O1" t="s">
        <v>2021</v>
      </c>
      <c r="P1" t="s">
        <v>1995</v>
      </c>
      <c r="Q1" t="s">
        <v>2022</v>
      </c>
      <c r="R1" t="s">
        <v>2023</v>
      </c>
      <c r="S1" t="s">
        <v>1993</v>
      </c>
      <c r="T1" t="s">
        <v>177</v>
      </c>
      <c r="U1" t="s">
        <v>63</v>
      </c>
      <c r="V1" t="s">
        <v>179</v>
      </c>
      <c r="W1" t="s">
        <v>1559</v>
      </c>
    </row>
    <row r="2" spans="1:23">
      <c r="A2">
        <f>INDEX('G31 Div 7A Loan Calculator (1)'!CategoryNamesList,1,1)</f>
        <v>0</v>
      </c>
      <c r="B2" t="s">
        <v>1917</v>
      </c>
      <c r="C2" t="s">
        <v>1918</v>
      </c>
      <c r="D2" t="s">
        <v>1571</v>
      </c>
      <c r="E2" t="str">
        <f>INDEX('G31 Div 7A Loan Calculator (1)'!CategoryNamesList,1,1)&amp;"_5843ca72-ff96-4333-a63b-a8c3ea30f161"</f>
        <v>0_5843ca72-ff96-4333-a63b-a8c3ea30f161</v>
      </c>
      <c r="F2">
        <f ca="1">OFFSET('G31 Div 7A Loan Calculator (1)'!CategoryNamesList, 0, 1, 1, 1)</f>
        <v>0</v>
      </c>
      <c r="G2">
        <f ca="1">OFFSET('G31 Div 7A Loan Calculator (1)'!CategoryNamesList, 0, 4, 1, 1)</f>
        <v>0</v>
      </c>
      <c r="H2">
        <f ca="1">OFFSET('G31 Div 7A Loan Calculator (1)'!CategoryNamesList, 0, 5, 1, 1)</f>
        <v>0</v>
      </c>
      <c r="I2">
        <f ca="1">OFFSET('G31 Div 7A Loan Calculator (1)'!CategoryNamesList, 0, 6, 1, 1)</f>
        <v>0</v>
      </c>
      <c r="J2">
        <f ca="1">OFFSET('G31 Div 7A Loan Calculator (1)'!CategoryNamesList, 0, 7, 1, 1)</f>
        <v>0</v>
      </c>
      <c r="K2">
        <f ca="1">OFFSET('G31 Div 7A Loan Calculator (1)'!CategoryNamesList, 0, 8, 1, 1)</f>
        <v>0</v>
      </c>
      <c r="L2">
        <f ca="1">OFFSET('G31 Div 7A Loan Calculator (1)'!CategoryNamesList, 0, 9, 1, 1)</f>
        <v>0</v>
      </c>
    </row>
    <row r="3" spans="1:23">
      <c r="A3" t="str">
        <f>INDEX('G31 Div 7A Loan Calculator'!CategoryNamesList,1,1)</f>
        <v>Director Loan 2023</v>
      </c>
      <c r="B3" t="s">
        <v>1566</v>
      </c>
      <c r="C3" t="s">
        <v>1570</v>
      </c>
      <c r="D3" t="s">
        <v>1571</v>
      </c>
      <c r="E3" t="str">
        <f>INDEX('G31 Div 7A Loan Calculator'!CategoryNamesList,1,1)&amp;"_5843ca72-ff96-4333-a63b-a8c3ea30f161"</f>
        <v>Director Loan 2023_5843ca72-ff96-4333-a63b-a8c3ea30f161</v>
      </c>
      <c r="F3">
        <f ca="1">OFFSET('G31 Div 7A Loan Calculator'!CategoryNamesList, 0, 1, 1, 1)</f>
        <v>0</v>
      </c>
      <c r="G3">
        <f ca="1">OFFSET('G31 Div 7A Loan Calculator'!CategoryNamesList, 0, 4, 1, 1)</f>
        <v>100000</v>
      </c>
      <c r="H3">
        <f ca="1">OFFSET('G31 Div 7A Loan Calculator'!CategoryNamesList, 0, 5, 1, 1)</f>
        <v>0</v>
      </c>
      <c r="I3">
        <f ca="1">OFFSET('G31 Div 7A Loan Calculator'!CategoryNamesList, 0, 6, 1, 1)</f>
        <v>-38992.53</v>
      </c>
      <c r="J3">
        <f ca="1">OFFSET('G31 Div 7A Loan Calculator'!CategoryNamesList, 0, 7, 1, 1)</f>
        <v>38992.53</v>
      </c>
      <c r="K3">
        <f ca="1">OFFSET('G31 Div 7A Loan Calculator'!CategoryNamesList, 0, 8, 1, 1)</f>
        <v>8269.99</v>
      </c>
      <c r="L3">
        <f ca="1">OFFSET('G31 Div 7A Loan Calculator'!CategoryNamesList, 0, 9, 1, 1)</f>
        <v>108269.99</v>
      </c>
    </row>
    <row r="4" spans="1:23">
      <c r="A4">
        <f>INDEX('H11 Chattel Mortgage Loan'!CategoryNamesList,1,1)</f>
        <v>0</v>
      </c>
      <c r="B4" t="s">
        <v>1998</v>
      </c>
      <c r="C4" t="s">
        <v>2059</v>
      </c>
      <c r="D4" t="s">
        <v>1993</v>
      </c>
      <c r="E4" t="str">
        <f>INDEX('H11 Chattel Mortgage Loan'!CategoryNamesList,1,1)&amp;"_dbafa37b-02a0-44c0-86fb-d48bc6c6f92e"</f>
        <v>0_dbafa37b-02a0-44c0-86fb-d48bc6c6f92e</v>
      </c>
      <c r="K4">
        <f ca="1">OFFSET('H11 Chattel Mortgage Loan'!CategoryNamesList, 0, 1, 1, 1)</f>
        <v>0</v>
      </c>
      <c r="M4">
        <f ca="1">OFFSET('H11 Chattel Mortgage Loan'!CategoryNamesList, 0, -1, 1, 1)</f>
        <v>0</v>
      </c>
      <c r="N4">
        <f ca="1">OFFSET('H11 Chattel Mortgage Loan'!CategoryNamesList, 0, 2, 1, 1)</f>
        <v>0</v>
      </c>
      <c r="O4">
        <f ca="1">OFFSET('H11 Chattel Mortgage Loan'!CategoryNamesList, 0, 3, 1, 1)</f>
        <v>0</v>
      </c>
      <c r="P4">
        <f ca="1">OFFSET('H11 Chattel Mortgage Loan'!CategoryNamesList, 0, 4, 1, 1)</f>
        <v>0</v>
      </c>
      <c r="Q4">
        <f ca="1">OFFSET('H11 Chattel Mortgage Loan'!CategoryNamesList, 0, 5, 1, 1)</f>
        <v>0</v>
      </c>
      <c r="R4" t="str">
        <f ca="1">OFFSET('H11 Chattel Mortgage Loan'!CategoryNamesList, 0, 8, 1, 1)</f>
        <v>Repayment Plan</v>
      </c>
      <c r="S4">
        <f ca="1">OFFSET('H11 Chattel Mortgage Loan'!CategoryNamesList, 0, 9, 1, 1)</f>
        <v>0</v>
      </c>
      <c r="T4">
        <f ca="1">OFFSET('H11 Chattel Mortgage Loan'!CategoryNamesList, 0, 12, 1, 1)</f>
        <v>0</v>
      </c>
      <c r="U4">
        <f ca="1">OFFSET('H11 Chattel Mortgage Loan'!CategoryNamesList, 0, 13, 1, 1)</f>
        <v>0</v>
      </c>
      <c r="V4">
        <f ca="1">OFFSET('H11 Chattel Mortgage Loan'!CategoryNamesList, 0, 15, 1, 1)</f>
        <v>0</v>
      </c>
      <c r="W4">
        <f ca="1">OFFSET('H11 Chattel Mortgage Loan'!CategoryNamesList, 0, 16, 1, 1)</f>
        <v>0</v>
      </c>
    </row>
    <row r="5" spans="1:23">
      <c r="A5">
        <f>INDEX('D08 UPE Calculator'!CategoryNamesList,1,1)</f>
        <v>0</v>
      </c>
      <c r="B5" t="s">
        <v>2124</v>
      </c>
      <c r="C5" t="s">
        <v>2127</v>
      </c>
      <c r="D5" t="s">
        <v>2128</v>
      </c>
      <c r="E5" t="str">
        <f>INDEX('D08 UPE Calculator'!CategoryNamesList,1,1)&amp;"_7668b802-3f9b-4d52-bd4e-592cd4b27494"</f>
        <v>0_7668b802-3f9b-4d52-bd4e-592cd4b27494</v>
      </c>
      <c r="F5">
        <f ca="1">OFFSET('D08 UPE Calculator'!CategoryNamesList, 0, 1, 1, 1)</f>
        <v>0</v>
      </c>
      <c r="G5">
        <f ca="1">OFFSET('D08 UPE Calculator'!CategoryNamesList, 0, 4, 1, 1)</f>
        <v>0</v>
      </c>
      <c r="H5">
        <f ca="1">OFFSET('D08 UPE Calculator'!CategoryNamesList, 0, 5, 1, 1)</f>
        <v>0</v>
      </c>
      <c r="K5">
        <f ca="1">OFFSET('D08 UPE Calculator'!CategoryNamesList, 0, 8, 1, 1)</f>
        <v>0</v>
      </c>
      <c r="L5">
        <f ca="1">OFFSET('D08 UPE Calculator'!CategoryNamesList, 0, 9, 1, 1)</f>
        <v>0</v>
      </c>
    </row>
  </sheetData>
  <sheetProtection sheet="1" formatCells="0" formatColumns="0" formatRows="0" insertColumns="0" insertRows="0" insertHyperlinks="0"/>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650FD-B9FB-438F-B55C-F975A8D8F005}">
  <dimension ref="A1:D33"/>
  <sheetViews>
    <sheetView workbookViewId="0"/>
  </sheetViews>
  <sheetFormatPr defaultRowHeight="15"/>
  <sheetData>
    <row r="1" spans="1:4">
      <c r="A1" t="s">
        <v>85</v>
      </c>
      <c r="B1" t="s">
        <v>86</v>
      </c>
      <c r="C1" t="s">
        <v>18</v>
      </c>
      <c r="D1" t="s">
        <v>87</v>
      </c>
    </row>
    <row r="2" spans="1:4">
      <c r="A2" t="s">
        <v>1572</v>
      </c>
      <c r="C2">
        <v>0.01</v>
      </c>
      <c r="D2" t="s">
        <v>1573</v>
      </c>
    </row>
    <row r="3" spans="1:4">
      <c r="A3" t="s">
        <v>1574</v>
      </c>
      <c r="C3">
        <v>0.01</v>
      </c>
      <c r="D3" t="s">
        <v>682</v>
      </c>
    </row>
    <row r="4" spans="1:4">
      <c r="A4" t="s">
        <v>2148</v>
      </c>
      <c r="B4" t="s">
        <v>2149</v>
      </c>
      <c r="C4">
        <v>0.01</v>
      </c>
      <c r="D4" t="s">
        <v>2086</v>
      </c>
    </row>
    <row r="5" spans="1:4">
      <c r="A5" t="s">
        <v>2150</v>
      </c>
      <c r="B5" t="s">
        <v>2151</v>
      </c>
      <c r="C5">
        <v>0.01</v>
      </c>
      <c r="D5" t="s">
        <v>2080</v>
      </c>
    </row>
    <row r="6" spans="1:4">
      <c r="A6" t="s">
        <v>2152</v>
      </c>
      <c r="B6" t="s">
        <v>2059</v>
      </c>
      <c r="C6">
        <v>0.01</v>
      </c>
      <c r="D6" t="s">
        <v>2153</v>
      </c>
    </row>
    <row r="7" spans="1:4">
      <c r="A7" t="s">
        <v>2154</v>
      </c>
      <c r="B7" t="s">
        <v>2155</v>
      </c>
      <c r="C7">
        <v>0.01</v>
      </c>
      <c r="D7" t="s">
        <v>2143</v>
      </c>
    </row>
    <row r="8" spans="1:4">
      <c r="A8" t="s">
        <v>2156</v>
      </c>
      <c r="B8" t="s">
        <v>1918</v>
      </c>
      <c r="C8">
        <v>0.01</v>
      </c>
      <c r="D8" t="s">
        <v>1589</v>
      </c>
    </row>
    <row r="9" spans="1:4">
      <c r="A9" t="s">
        <v>1575</v>
      </c>
      <c r="B9" t="s">
        <v>1576</v>
      </c>
      <c r="C9">
        <v>0.01</v>
      </c>
      <c r="D9" t="s">
        <v>1332</v>
      </c>
    </row>
    <row r="10" spans="1:4">
      <c r="A10" t="s">
        <v>1577</v>
      </c>
      <c r="C10">
        <v>1</v>
      </c>
      <c r="D10" t="s">
        <v>370</v>
      </c>
    </row>
    <row r="11" spans="1:4">
      <c r="A11" t="s">
        <v>1578</v>
      </c>
      <c r="C11">
        <v>0.01</v>
      </c>
      <c r="D11" t="s">
        <v>1579</v>
      </c>
    </row>
    <row r="12" spans="1:4">
      <c r="A12" t="s">
        <v>2157</v>
      </c>
      <c r="B12" t="s">
        <v>2158</v>
      </c>
      <c r="C12">
        <v>0.01</v>
      </c>
      <c r="D12" t="s">
        <v>2159</v>
      </c>
    </row>
    <row r="13" spans="1:4">
      <c r="A13" t="s">
        <v>1580</v>
      </c>
      <c r="C13">
        <v>0.01</v>
      </c>
      <c r="D13" t="s">
        <v>1581</v>
      </c>
    </row>
    <row r="14" spans="1:4">
      <c r="A14" t="s">
        <v>1582</v>
      </c>
      <c r="C14">
        <v>0.01</v>
      </c>
      <c r="D14" t="s">
        <v>1456</v>
      </c>
    </row>
    <row r="15" spans="1:4">
      <c r="A15" t="s">
        <v>1583</v>
      </c>
      <c r="C15">
        <v>0.01</v>
      </c>
      <c r="D15" t="s">
        <v>492</v>
      </c>
    </row>
    <row r="16" spans="1:4">
      <c r="A16" t="s">
        <v>1584</v>
      </c>
      <c r="C16">
        <v>1</v>
      </c>
      <c r="D16" t="s">
        <v>370</v>
      </c>
    </row>
    <row r="17" spans="1:4">
      <c r="A17" t="s">
        <v>1585</v>
      </c>
      <c r="B17" t="s">
        <v>1586</v>
      </c>
      <c r="C17">
        <v>0.01</v>
      </c>
      <c r="D17" t="s">
        <v>1587</v>
      </c>
    </row>
    <row r="18" spans="1:4">
      <c r="A18" t="s">
        <v>1588</v>
      </c>
      <c r="B18" t="s">
        <v>1570</v>
      </c>
      <c r="C18">
        <v>0.01</v>
      </c>
      <c r="D18" t="s">
        <v>1589</v>
      </c>
    </row>
    <row r="19" spans="1:4">
      <c r="A19" t="s">
        <v>1590</v>
      </c>
      <c r="C19">
        <v>10</v>
      </c>
      <c r="D19" t="s">
        <v>1591</v>
      </c>
    </row>
    <row r="20" spans="1:4">
      <c r="A20" t="s">
        <v>2160</v>
      </c>
      <c r="B20" t="s">
        <v>2161</v>
      </c>
      <c r="C20">
        <v>0.01</v>
      </c>
      <c r="D20" t="s">
        <v>2162</v>
      </c>
    </row>
    <row r="21" spans="1:4">
      <c r="A21" t="s">
        <v>1592</v>
      </c>
      <c r="B21" t="s">
        <v>1593</v>
      </c>
      <c r="C21">
        <v>0.01</v>
      </c>
      <c r="D21" t="s">
        <v>1594</v>
      </c>
    </row>
    <row r="22" spans="1:4">
      <c r="A22" t="s">
        <v>1595</v>
      </c>
      <c r="C22">
        <v>0.01</v>
      </c>
      <c r="D22" t="s">
        <v>682</v>
      </c>
    </row>
    <row r="23" spans="1:4">
      <c r="A23" t="s">
        <v>2163</v>
      </c>
      <c r="B23" t="s">
        <v>2164</v>
      </c>
      <c r="C23">
        <v>0.01</v>
      </c>
      <c r="D23" t="s">
        <v>2165</v>
      </c>
    </row>
    <row r="24" spans="1:4">
      <c r="A24" t="s">
        <v>2166</v>
      </c>
      <c r="B24" t="s">
        <v>2127</v>
      </c>
      <c r="C24">
        <v>0.01</v>
      </c>
      <c r="D24" t="s">
        <v>2162</v>
      </c>
    </row>
    <row r="25" spans="1:4">
      <c r="A25" t="s">
        <v>1596</v>
      </c>
      <c r="C25">
        <v>0.01</v>
      </c>
      <c r="D25" t="s">
        <v>175</v>
      </c>
    </row>
    <row r="26" spans="1:4">
      <c r="A26" t="s">
        <v>2167</v>
      </c>
      <c r="C26">
        <v>0.01</v>
      </c>
      <c r="D26" t="s">
        <v>2168</v>
      </c>
    </row>
    <row r="27" spans="1:4">
      <c r="A27" t="s">
        <v>2169</v>
      </c>
      <c r="B27" t="s">
        <v>2170</v>
      </c>
      <c r="C27">
        <v>0.01</v>
      </c>
      <c r="D27" t="s">
        <v>1579</v>
      </c>
    </row>
    <row r="28" spans="1:4">
      <c r="A28" t="s">
        <v>2171</v>
      </c>
      <c r="B28" t="s">
        <v>2172</v>
      </c>
      <c r="C28">
        <v>0.01</v>
      </c>
      <c r="D28" t="s">
        <v>2074</v>
      </c>
    </row>
    <row r="29" spans="1:4">
      <c r="A29" t="s">
        <v>1597</v>
      </c>
      <c r="C29">
        <v>0.01</v>
      </c>
      <c r="D29" t="s">
        <v>627</v>
      </c>
    </row>
    <row r="30" spans="1:4">
      <c r="A30" t="s">
        <v>1598</v>
      </c>
      <c r="C30">
        <v>0.01</v>
      </c>
      <c r="D30" t="s">
        <v>1490</v>
      </c>
    </row>
    <row r="31" spans="1:4">
      <c r="A31" t="s">
        <v>1599</v>
      </c>
      <c r="C31">
        <v>0.01</v>
      </c>
      <c r="D31" t="s">
        <v>1600</v>
      </c>
    </row>
    <row r="32" spans="1:4">
      <c r="A32" t="s">
        <v>1601</v>
      </c>
      <c r="C32">
        <v>1</v>
      </c>
      <c r="D32" t="s">
        <v>370</v>
      </c>
    </row>
    <row r="33" spans="1:4">
      <c r="A33" t="s">
        <v>1602</v>
      </c>
      <c r="C33">
        <v>0.01</v>
      </c>
      <c r="D33" t="s">
        <v>1600</v>
      </c>
    </row>
  </sheetData>
  <sheetProtection sheet="1" formatCells="0" formatColumns="0" formatRows="0" insertColumns="0" insertRows="0" insertHyperlinks="0"/>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F64F03-C83F-4C79-B104-19FF930727BE}">
  <dimension ref="A1"/>
  <sheetViews>
    <sheetView workbookViewId="0"/>
  </sheetViews>
  <sheetFormatPr defaultRowHeight="15"/>
  <sheetData/>
  <sheetProtection sheet="1" formatCells="0" formatColumns="0" formatRows="0" insertColumns="0" insertRows="0" insertHyperlinks="0"/>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5F430-FBE9-4132-AEE7-2CFF2BE27759}">
  <dimension ref="A1:C7"/>
  <sheetViews>
    <sheetView workbookViewId="0"/>
  </sheetViews>
  <sheetFormatPr defaultRowHeight="15"/>
  <sheetData>
    <row r="1" spans="1:3">
      <c r="A1" t="s">
        <v>88</v>
      </c>
      <c r="B1" t="s">
        <v>13</v>
      </c>
      <c r="C1" t="s">
        <v>89</v>
      </c>
    </row>
    <row r="2" spans="1:3">
      <c r="A2" t="s">
        <v>90</v>
      </c>
      <c r="B2" t="s">
        <v>91</v>
      </c>
      <c r="C2" t="s">
        <v>92</v>
      </c>
    </row>
    <row r="3" spans="1:3">
      <c r="A3" t="s">
        <v>93</v>
      </c>
      <c r="B3" t="s">
        <v>91</v>
      </c>
      <c r="C3" t="s">
        <v>92</v>
      </c>
    </row>
    <row r="4" spans="1:3">
      <c r="A4" t="s">
        <v>94</v>
      </c>
      <c r="B4" t="s">
        <v>91</v>
      </c>
      <c r="C4" t="s">
        <v>92</v>
      </c>
    </row>
    <row r="5" spans="1:3">
      <c r="A5" t="s">
        <v>95</v>
      </c>
      <c r="B5" t="s">
        <v>91</v>
      </c>
      <c r="C5" t="s">
        <v>92</v>
      </c>
    </row>
    <row r="6" spans="1:3">
      <c r="A6" t="s">
        <v>96</v>
      </c>
      <c r="B6" t="s">
        <v>91</v>
      </c>
      <c r="C6" t="s">
        <v>92</v>
      </c>
    </row>
    <row r="7" spans="1:3">
      <c r="A7" t="s">
        <v>97</v>
      </c>
      <c r="B7" t="s">
        <v>91</v>
      </c>
      <c r="C7" t="s">
        <v>92</v>
      </c>
    </row>
  </sheetData>
  <sheetProtection sheet="1" formatCells="0" formatColumns="0" formatRows="0" insertColumns="0" insertRows="0" insertHyperlinks="0"/>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90FDE-5B6E-4D44-AC99-CC4DAA02E772}">
  <dimension ref="A1:Q132"/>
  <sheetViews>
    <sheetView workbookViewId="0"/>
  </sheetViews>
  <sheetFormatPr defaultRowHeight="15"/>
  <sheetData>
    <row r="1" spans="1:17">
      <c r="A1" s="16" t="s">
        <v>66</v>
      </c>
      <c r="B1" s="16" t="s">
        <v>67</v>
      </c>
      <c r="C1" s="16" t="s">
        <v>68</v>
      </c>
      <c r="D1" s="16" t="s">
        <v>69</v>
      </c>
      <c r="E1" s="16" t="s">
        <v>70</v>
      </c>
      <c r="F1" s="16" t="s">
        <v>71</v>
      </c>
      <c r="G1" s="16" t="s">
        <v>72</v>
      </c>
      <c r="H1" s="16" t="s">
        <v>73</v>
      </c>
      <c r="I1" s="16" t="s">
        <v>74</v>
      </c>
      <c r="J1" s="16" t="s">
        <v>75</v>
      </c>
      <c r="K1" s="16" t="s">
        <v>76</v>
      </c>
      <c r="L1" s="16" t="s">
        <v>77</v>
      </c>
      <c r="M1" s="16" t="s">
        <v>78</v>
      </c>
      <c r="N1" s="16" t="s">
        <v>79</v>
      </c>
      <c r="O1" s="16" t="s">
        <v>1603</v>
      </c>
      <c r="P1" s="16" t="s">
        <v>1604</v>
      </c>
      <c r="Q1" s="16" t="s">
        <v>1605</v>
      </c>
    </row>
    <row r="2" spans="1:17">
      <c r="A2" t="s">
        <v>1606</v>
      </c>
      <c r="C2" t="s">
        <v>1607</v>
      </c>
      <c r="D2" t="s">
        <v>1608</v>
      </c>
      <c r="I2" t="s">
        <v>1609</v>
      </c>
      <c r="K2">
        <v>1</v>
      </c>
      <c r="N2">
        <v>89428.71</v>
      </c>
      <c r="O2">
        <v>89428.709999999992</v>
      </c>
      <c r="Q2">
        <v>89428.709999999992</v>
      </c>
    </row>
    <row r="3" spans="1:17">
      <c r="A3" t="s">
        <v>1610</v>
      </c>
      <c r="C3" t="s">
        <v>1611</v>
      </c>
      <c r="D3" t="s">
        <v>1608</v>
      </c>
      <c r="I3" t="s">
        <v>1612</v>
      </c>
      <c r="K3">
        <v>1</v>
      </c>
      <c r="N3">
        <v>87593.59</v>
      </c>
      <c r="O3">
        <v>87593.59</v>
      </c>
      <c r="Q3">
        <v>87593.59</v>
      </c>
    </row>
    <row r="4" spans="1:17">
      <c r="A4" t="s">
        <v>1613</v>
      </c>
      <c r="B4">
        <v>600</v>
      </c>
      <c r="C4" t="s">
        <v>1614</v>
      </c>
      <c r="D4" t="s">
        <v>1615</v>
      </c>
      <c r="E4" t="s">
        <v>1616</v>
      </c>
      <c r="F4" t="s">
        <v>1617</v>
      </c>
      <c r="G4" t="b">
        <v>0</v>
      </c>
      <c r="H4" t="b">
        <v>0</v>
      </c>
      <c r="I4" t="s">
        <v>1612</v>
      </c>
      <c r="K4">
        <v>1</v>
      </c>
      <c r="L4">
        <v>28029.55</v>
      </c>
      <c r="M4">
        <v>28029.55</v>
      </c>
      <c r="N4">
        <v>28029.55</v>
      </c>
      <c r="O4">
        <v>28029.55</v>
      </c>
      <c r="Q4">
        <v>28029.55</v>
      </c>
    </row>
    <row r="5" spans="1:17">
      <c r="A5" t="s">
        <v>1618</v>
      </c>
      <c r="C5" t="s">
        <v>1619</v>
      </c>
      <c r="D5" t="s">
        <v>1615</v>
      </c>
      <c r="I5" t="s">
        <v>1612</v>
      </c>
      <c r="K5">
        <v>1</v>
      </c>
      <c r="Q5">
        <v>0</v>
      </c>
    </row>
    <row r="6" spans="1:17">
      <c r="A6" t="s">
        <v>1620</v>
      </c>
      <c r="C6" t="s">
        <v>1621</v>
      </c>
      <c r="D6" t="s">
        <v>1615</v>
      </c>
      <c r="I6" t="s">
        <v>1612</v>
      </c>
      <c r="K6">
        <v>1</v>
      </c>
      <c r="Q6">
        <v>0</v>
      </c>
    </row>
    <row r="7" spans="1:17">
      <c r="A7" t="s">
        <v>1622</v>
      </c>
      <c r="B7">
        <v>610</v>
      </c>
      <c r="C7" t="s">
        <v>1623</v>
      </c>
      <c r="D7" t="s">
        <v>1615</v>
      </c>
      <c r="E7" t="s">
        <v>1624</v>
      </c>
      <c r="F7" t="s">
        <v>1053</v>
      </c>
      <c r="G7" t="b">
        <v>0</v>
      </c>
      <c r="H7" t="b">
        <v>0</v>
      </c>
      <c r="I7" t="s">
        <v>1612</v>
      </c>
      <c r="K7">
        <v>1</v>
      </c>
      <c r="L7">
        <v>59951.75</v>
      </c>
      <c r="M7">
        <v>59951.75</v>
      </c>
      <c r="N7">
        <v>59951.75</v>
      </c>
      <c r="O7">
        <v>59951.75</v>
      </c>
      <c r="Q7">
        <v>59951.75</v>
      </c>
    </row>
    <row r="8" spans="1:17">
      <c r="A8" t="s">
        <v>1625</v>
      </c>
      <c r="C8" t="s">
        <v>1626</v>
      </c>
      <c r="D8" t="s">
        <v>1615</v>
      </c>
      <c r="I8" t="s">
        <v>1612</v>
      </c>
      <c r="K8">
        <v>1</v>
      </c>
      <c r="Q8">
        <v>0</v>
      </c>
    </row>
    <row r="9" spans="1:17">
      <c r="A9" t="s">
        <v>1627</v>
      </c>
      <c r="C9" t="s">
        <v>1628</v>
      </c>
      <c r="D9" t="s">
        <v>1615</v>
      </c>
      <c r="I9" t="s">
        <v>1612</v>
      </c>
      <c r="K9">
        <v>1</v>
      </c>
      <c r="Q9">
        <v>0</v>
      </c>
    </row>
    <row r="10" spans="1:17">
      <c r="A10" t="s">
        <v>1629</v>
      </c>
      <c r="B10">
        <v>640</v>
      </c>
      <c r="C10" t="s">
        <v>1630</v>
      </c>
      <c r="D10" t="s">
        <v>1615</v>
      </c>
      <c r="E10" t="s">
        <v>1631</v>
      </c>
      <c r="F10" t="s">
        <v>1632</v>
      </c>
      <c r="G10" t="b">
        <v>0</v>
      </c>
      <c r="H10" t="b">
        <v>0</v>
      </c>
      <c r="I10" t="s">
        <v>1612</v>
      </c>
      <c r="K10">
        <v>1</v>
      </c>
      <c r="L10">
        <v>-1310.44</v>
      </c>
      <c r="M10">
        <v>-1310.44</v>
      </c>
      <c r="N10">
        <v>-1310.44</v>
      </c>
      <c r="O10">
        <v>-1310.44</v>
      </c>
      <c r="Q10">
        <v>-1310.44</v>
      </c>
    </row>
    <row r="11" spans="1:17">
      <c r="A11" t="s">
        <v>1633</v>
      </c>
      <c r="C11" t="s">
        <v>1634</v>
      </c>
      <c r="D11" t="s">
        <v>1615</v>
      </c>
      <c r="I11" t="s">
        <v>1612</v>
      </c>
      <c r="K11">
        <v>1</v>
      </c>
      <c r="Q11">
        <v>0</v>
      </c>
    </row>
    <row r="12" spans="1:17">
      <c r="A12" t="s">
        <v>1635</v>
      </c>
      <c r="B12" t="s">
        <v>1636</v>
      </c>
      <c r="C12" t="s">
        <v>1637</v>
      </c>
      <c r="D12" t="s">
        <v>1615</v>
      </c>
      <c r="E12" t="s">
        <v>1616</v>
      </c>
      <c r="F12" t="s">
        <v>1617</v>
      </c>
      <c r="G12" t="b">
        <v>0</v>
      </c>
      <c r="H12" t="b">
        <v>0</v>
      </c>
      <c r="I12" t="s">
        <v>1612</v>
      </c>
      <c r="K12">
        <v>1</v>
      </c>
      <c r="L12">
        <v>-314.52</v>
      </c>
      <c r="M12">
        <v>-314.52</v>
      </c>
      <c r="N12">
        <v>-314.52</v>
      </c>
      <c r="O12">
        <v>-314.52</v>
      </c>
      <c r="Q12">
        <v>-314.52</v>
      </c>
    </row>
    <row r="13" spans="1:17">
      <c r="A13" t="s">
        <v>1638</v>
      </c>
      <c r="C13" t="s">
        <v>1639</v>
      </c>
      <c r="D13" t="s">
        <v>1615</v>
      </c>
      <c r="I13" t="s">
        <v>1612</v>
      </c>
      <c r="K13">
        <v>1</v>
      </c>
      <c r="Q13">
        <v>0</v>
      </c>
    </row>
    <row r="14" spans="1:17">
      <c r="A14" t="s">
        <v>1640</v>
      </c>
      <c r="C14" t="s">
        <v>1641</v>
      </c>
      <c r="D14" t="s">
        <v>1615</v>
      </c>
      <c r="I14" t="s">
        <v>1612</v>
      </c>
      <c r="K14">
        <v>1</v>
      </c>
      <c r="Q14">
        <v>0</v>
      </c>
    </row>
    <row r="15" spans="1:17">
      <c r="A15" t="s">
        <v>1642</v>
      </c>
      <c r="B15" t="s">
        <v>1643</v>
      </c>
      <c r="C15" t="s">
        <v>1644</v>
      </c>
      <c r="D15" t="s">
        <v>1615</v>
      </c>
      <c r="E15" t="s">
        <v>1616</v>
      </c>
      <c r="F15" t="s">
        <v>1617</v>
      </c>
      <c r="G15" t="b">
        <v>0</v>
      </c>
      <c r="H15" t="b">
        <v>0</v>
      </c>
      <c r="I15" t="s">
        <v>1612</v>
      </c>
      <c r="K15">
        <v>1</v>
      </c>
      <c r="L15">
        <v>1237.25</v>
      </c>
      <c r="M15">
        <v>1237.25</v>
      </c>
      <c r="N15">
        <v>1237.25</v>
      </c>
      <c r="O15">
        <v>1237.25</v>
      </c>
      <c r="Q15">
        <v>1237.25</v>
      </c>
    </row>
    <row r="16" spans="1:17">
      <c r="A16" t="s">
        <v>1645</v>
      </c>
      <c r="C16" t="s">
        <v>1646</v>
      </c>
      <c r="D16" t="s">
        <v>1615</v>
      </c>
      <c r="I16" t="s">
        <v>1612</v>
      </c>
      <c r="K16">
        <v>1</v>
      </c>
      <c r="Q16">
        <v>0</v>
      </c>
    </row>
    <row r="17" spans="1:17">
      <c r="A17" t="s">
        <v>1647</v>
      </c>
      <c r="C17" t="s">
        <v>1648</v>
      </c>
      <c r="D17" t="s">
        <v>1615</v>
      </c>
      <c r="I17" t="s">
        <v>1612</v>
      </c>
      <c r="K17">
        <v>1</v>
      </c>
      <c r="Q17">
        <v>0</v>
      </c>
    </row>
    <row r="18" spans="1:17">
      <c r="A18" t="s">
        <v>1649</v>
      </c>
      <c r="C18" t="s">
        <v>1650</v>
      </c>
      <c r="D18" t="s">
        <v>1615</v>
      </c>
      <c r="I18" t="s">
        <v>1612</v>
      </c>
      <c r="K18">
        <v>1</v>
      </c>
      <c r="Q18">
        <v>0</v>
      </c>
    </row>
    <row r="19" spans="1:17">
      <c r="A19" t="s">
        <v>1651</v>
      </c>
      <c r="C19" t="s">
        <v>1652</v>
      </c>
      <c r="D19" t="s">
        <v>151</v>
      </c>
      <c r="I19" t="s">
        <v>1612</v>
      </c>
      <c r="K19">
        <v>1</v>
      </c>
      <c r="N19">
        <v>87593.59</v>
      </c>
      <c r="O19">
        <v>87593.59</v>
      </c>
      <c r="Q19">
        <v>87593.59</v>
      </c>
    </row>
    <row r="20" spans="1:17">
      <c r="A20" t="s">
        <v>1653</v>
      </c>
      <c r="C20" t="s">
        <v>1654</v>
      </c>
      <c r="D20" t="s">
        <v>1608</v>
      </c>
      <c r="I20" t="s">
        <v>1655</v>
      </c>
      <c r="K20">
        <v>1</v>
      </c>
      <c r="N20">
        <v>1835.12</v>
      </c>
      <c r="O20">
        <v>1835.12</v>
      </c>
      <c r="Q20">
        <v>1835.12</v>
      </c>
    </row>
    <row r="21" spans="1:17">
      <c r="A21" t="s">
        <v>1656</v>
      </c>
      <c r="B21">
        <v>760</v>
      </c>
      <c r="C21" t="s">
        <v>1657</v>
      </c>
      <c r="D21" t="s">
        <v>1615</v>
      </c>
      <c r="E21" t="s">
        <v>1658</v>
      </c>
      <c r="F21" t="s">
        <v>1659</v>
      </c>
      <c r="G21" t="b">
        <v>0</v>
      </c>
      <c r="H21" t="b">
        <v>0</v>
      </c>
      <c r="I21" t="s">
        <v>1655</v>
      </c>
      <c r="K21">
        <v>1</v>
      </c>
      <c r="L21">
        <v>739.67</v>
      </c>
      <c r="M21">
        <v>739.67</v>
      </c>
      <c r="N21">
        <v>739.67</v>
      </c>
      <c r="O21">
        <v>739.67</v>
      </c>
      <c r="Q21">
        <v>739.67</v>
      </c>
    </row>
    <row r="22" spans="1:17">
      <c r="A22" t="s">
        <v>1660</v>
      </c>
      <c r="B22">
        <v>710</v>
      </c>
      <c r="C22" t="s">
        <v>1661</v>
      </c>
      <c r="D22" t="s">
        <v>1615</v>
      </c>
      <c r="E22" t="s">
        <v>1662</v>
      </c>
      <c r="F22" t="s">
        <v>1663</v>
      </c>
      <c r="G22" t="b">
        <v>0</v>
      </c>
      <c r="H22" t="b">
        <v>0</v>
      </c>
      <c r="I22" t="s">
        <v>1655</v>
      </c>
      <c r="K22">
        <v>1</v>
      </c>
      <c r="L22">
        <v>1095.45</v>
      </c>
      <c r="M22">
        <v>1095.45</v>
      </c>
      <c r="N22">
        <v>1095.45</v>
      </c>
      <c r="O22">
        <v>1095.45</v>
      </c>
      <c r="Q22">
        <v>1095.45</v>
      </c>
    </row>
    <row r="23" spans="1:17">
      <c r="A23" t="s">
        <v>1664</v>
      </c>
      <c r="C23" t="s">
        <v>1665</v>
      </c>
      <c r="D23" t="s">
        <v>1615</v>
      </c>
      <c r="I23" t="s">
        <v>1655</v>
      </c>
      <c r="K23">
        <v>1</v>
      </c>
      <c r="Q23">
        <v>0</v>
      </c>
    </row>
    <row r="24" spans="1:17">
      <c r="A24" t="s">
        <v>1666</v>
      </c>
      <c r="C24" t="s">
        <v>1667</v>
      </c>
      <c r="D24" t="s">
        <v>1615</v>
      </c>
      <c r="I24" t="s">
        <v>1655</v>
      </c>
      <c r="K24">
        <v>1</v>
      </c>
      <c r="Q24">
        <v>0</v>
      </c>
    </row>
    <row r="25" spans="1:17">
      <c r="A25" t="s">
        <v>1668</v>
      </c>
      <c r="C25" t="s">
        <v>1669</v>
      </c>
      <c r="D25" t="s">
        <v>151</v>
      </c>
      <c r="I25" t="s">
        <v>1655</v>
      </c>
      <c r="K25">
        <v>1</v>
      </c>
      <c r="N25">
        <v>1835.12</v>
      </c>
      <c r="O25">
        <v>1835.12</v>
      </c>
      <c r="Q25">
        <v>1835.12</v>
      </c>
    </row>
    <row r="26" spans="1:17">
      <c r="A26" t="s">
        <v>1670</v>
      </c>
      <c r="C26" t="s">
        <v>1671</v>
      </c>
      <c r="D26" t="s">
        <v>151</v>
      </c>
      <c r="I26" t="s">
        <v>1609</v>
      </c>
      <c r="K26">
        <v>1</v>
      </c>
      <c r="N26">
        <v>89428.71</v>
      </c>
      <c r="O26">
        <v>89428.709999999992</v>
      </c>
      <c r="Q26">
        <v>89428.709999999992</v>
      </c>
    </row>
    <row r="27" spans="1:17">
      <c r="A27" t="s">
        <v>1672</v>
      </c>
      <c r="C27" t="s">
        <v>1673</v>
      </c>
      <c r="D27" t="s">
        <v>1608</v>
      </c>
      <c r="I27" t="s">
        <v>1674</v>
      </c>
      <c r="K27">
        <v>-1</v>
      </c>
      <c r="N27">
        <v>8356.49</v>
      </c>
      <c r="O27">
        <v>8356.49</v>
      </c>
      <c r="Q27">
        <v>8356.49</v>
      </c>
    </row>
    <row r="28" spans="1:17">
      <c r="A28" t="s">
        <v>1675</v>
      </c>
      <c r="C28" t="s">
        <v>1676</v>
      </c>
      <c r="D28" t="s">
        <v>1608</v>
      </c>
      <c r="I28" t="s">
        <v>1677</v>
      </c>
      <c r="K28">
        <v>-1</v>
      </c>
      <c r="N28">
        <v>8356.49</v>
      </c>
      <c r="O28">
        <v>8356.49</v>
      </c>
      <c r="Q28">
        <v>8356.49</v>
      </c>
    </row>
    <row r="29" spans="1:17">
      <c r="A29" t="s">
        <v>1678</v>
      </c>
      <c r="B29">
        <v>780</v>
      </c>
      <c r="C29" t="s">
        <v>1679</v>
      </c>
      <c r="D29" t="s">
        <v>1615</v>
      </c>
      <c r="E29" t="s">
        <v>1680</v>
      </c>
      <c r="F29" t="s">
        <v>1681</v>
      </c>
      <c r="G29" t="b">
        <v>0</v>
      </c>
      <c r="H29" t="b">
        <v>0</v>
      </c>
      <c r="I29" t="s">
        <v>1677</v>
      </c>
      <c r="K29">
        <v>-1</v>
      </c>
      <c r="L29">
        <v>8032</v>
      </c>
      <c r="M29">
        <v>-8032</v>
      </c>
      <c r="N29">
        <v>-8032</v>
      </c>
      <c r="O29">
        <v>-8032</v>
      </c>
      <c r="Q29">
        <v>-8032</v>
      </c>
    </row>
    <row r="30" spans="1:17">
      <c r="A30" t="s">
        <v>1682</v>
      </c>
      <c r="C30" t="s">
        <v>1683</v>
      </c>
      <c r="D30" t="s">
        <v>1615</v>
      </c>
      <c r="I30" t="s">
        <v>1677</v>
      </c>
      <c r="K30">
        <v>-1</v>
      </c>
      <c r="Q30">
        <v>0</v>
      </c>
    </row>
    <row r="31" spans="1:17">
      <c r="A31" t="s">
        <v>1684</v>
      </c>
      <c r="C31" t="s">
        <v>1685</v>
      </c>
      <c r="D31" t="s">
        <v>1615</v>
      </c>
      <c r="I31" t="s">
        <v>1677</v>
      </c>
      <c r="K31">
        <v>-1</v>
      </c>
      <c r="Q31">
        <v>0</v>
      </c>
    </row>
    <row r="32" spans="1:17">
      <c r="A32" t="s">
        <v>1686</v>
      </c>
      <c r="B32">
        <v>803</v>
      </c>
      <c r="C32" t="s">
        <v>1687</v>
      </c>
      <c r="D32" t="s">
        <v>1615</v>
      </c>
      <c r="E32" t="s">
        <v>1680</v>
      </c>
      <c r="F32" t="s">
        <v>1681</v>
      </c>
      <c r="G32" t="b">
        <v>0</v>
      </c>
      <c r="H32" t="b">
        <v>0</v>
      </c>
      <c r="I32" t="s">
        <v>1677</v>
      </c>
      <c r="K32">
        <v>-1</v>
      </c>
      <c r="L32">
        <v>507</v>
      </c>
      <c r="M32">
        <v>-507</v>
      </c>
      <c r="N32">
        <v>-507</v>
      </c>
      <c r="O32">
        <v>-507</v>
      </c>
      <c r="Q32">
        <v>-507</v>
      </c>
    </row>
    <row r="33" spans="1:17">
      <c r="A33" t="s">
        <v>1688</v>
      </c>
      <c r="B33">
        <v>804</v>
      </c>
      <c r="C33" t="s">
        <v>1689</v>
      </c>
      <c r="D33" t="s">
        <v>1615</v>
      </c>
      <c r="E33" t="s">
        <v>1680</v>
      </c>
      <c r="F33" t="s">
        <v>1681</v>
      </c>
      <c r="G33" t="b">
        <v>0</v>
      </c>
      <c r="H33" t="b">
        <v>0</v>
      </c>
      <c r="I33" t="s">
        <v>1677</v>
      </c>
      <c r="K33">
        <v>-1</v>
      </c>
      <c r="L33">
        <v>1302.08</v>
      </c>
      <c r="M33">
        <v>-1302.08</v>
      </c>
      <c r="N33">
        <v>-1302.08</v>
      </c>
      <c r="O33">
        <v>-1302.08</v>
      </c>
      <c r="Q33">
        <v>-1302.08</v>
      </c>
    </row>
    <row r="34" spans="1:17">
      <c r="A34" t="s">
        <v>1690</v>
      </c>
      <c r="B34">
        <v>820</v>
      </c>
      <c r="C34" t="s">
        <v>160</v>
      </c>
      <c r="D34" t="s">
        <v>1615</v>
      </c>
      <c r="E34" t="s">
        <v>1691</v>
      </c>
      <c r="F34" t="s">
        <v>1692</v>
      </c>
      <c r="G34" t="b">
        <v>0</v>
      </c>
      <c r="H34" t="b">
        <v>0</v>
      </c>
      <c r="I34" t="s">
        <v>1677</v>
      </c>
      <c r="K34">
        <v>-1</v>
      </c>
      <c r="L34">
        <v>11071.92</v>
      </c>
      <c r="M34">
        <v>-11071.92</v>
      </c>
      <c r="N34">
        <v>-11071.92</v>
      </c>
      <c r="O34">
        <v>-11071.92</v>
      </c>
      <c r="Q34">
        <v>-11071.92</v>
      </c>
    </row>
    <row r="35" spans="1:17">
      <c r="A35" t="s">
        <v>1693</v>
      </c>
      <c r="B35">
        <v>825</v>
      </c>
      <c r="C35" t="s">
        <v>1694</v>
      </c>
      <c r="D35" t="s">
        <v>1615</v>
      </c>
      <c r="E35" t="s">
        <v>1695</v>
      </c>
      <c r="F35" t="s">
        <v>1696</v>
      </c>
      <c r="G35" t="b">
        <v>0</v>
      </c>
      <c r="H35" t="b">
        <v>0</v>
      </c>
      <c r="I35" t="s">
        <v>1677</v>
      </c>
      <c r="K35">
        <v>-1</v>
      </c>
      <c r="L35">
        <v>1668</v>
      </c>
      <c r="M35">
        <v>-1668</v>
      </c>
      <c r="N35">
        <v>-1668</v>
      </c>
      <c r="O35">
        <v>-1668</v>
      </c>
      <c r="Q35">
        <v>-1668</v>
      </c>
    </row>
    <row r="36" spans="1:17">
      <c r="A36" t="s">
        <v>1697</v>
      </c>
      <c r="B36">
        <v>826</v>
      </c>
      <c r="C36" t="s">
        <v>681</v>
      </c>
      <c r="D36" t="s">
        <v>1615</v>
      </c>
      <c r="E36" t="s">
        <v>1695</v>
      </c>
      <c r="F36" t="s">
        <v>1696</v>
      </c>
      <c r="G36" t="b">
        <v>0</v>
      </c>
      <c r="H36" t="b">
        <v>0</v>
      </c>
      <c r="I36" t="s">
        <v>1677</v>
      </c>
      <c r="K36">
        <v>-1</v>
      </c>
      <c r="L36">
        <v>1226.93</v>
      </c>
      <c r="M36">
        <v>-1226.93</v>
      </c>
      <c r="N36">
        <v>-1226.93</v>
      </c>
      <c r="O36">
        <v>-1226.93</v>
      </c>
      <c r="Q36">
        <v>-1226.93</v>
      </c>
    </row>
    <row r="37" spans="1:17">
      <c r="A37" t="s">
        <v>1698</v>
      </c>
      <c r="C37" t="s">
        <v>1699</v>
      </c>
      <c r="D37" t="s">
        <v>1615</v>
      </c>
      <c r="I37" t="s">
        <v>1677</v>
      </c>
      <c r="K37">
        <v>-1</v>
      </c>
      <c r="Q37">
        <v>0</v>
      </c>
    </row>
    <row r="38" spans="1:17">
      <c r="A38" t="s">
        <v>1700</v>
      </c>
      <c r="C38" t="s">
        <v>1701</v>
      </c>
      <c r="D38" t="s">
        <v>1615</v>
      </c>
      <c r="I38" t="s">
        <v>1677</v>
      </c>
      <c r="K38">
        <v>-1</v>
      </c>
      <c r="Q38">
        <v>0</v>
      </c>
    </row>
    <row r="39" spans="1:17">
      <c r="A39" t="s">
        <v>1702</v>
      </c>
      <c r="B39">
        <v>850</v>
      </c>
      <c r="C39" t="s">
        <v>1703</v>
      </c>
      <c r="D39" t="s">
        <v>1615</v>
      </c>
      <c r="E39" t="s">
        <v>1704</v>
      </c>
      <c r="F39" t="s">
        <v>1041</v>
      </c>
      <c r="G39" t="b">
        <v>0</v>
      </c>
      <c r="H39" t="b">
        <v>0</v>
      </c>
      <c r="I39" t="s">
        <v>1677</v>
      </c>
      <c r="K39">
        <v>-1</v>
      </c>
      <c r="L39">
        <v>-250</v>
      </c>
      <c r="M39">
        <v>250</v>
      </c>
      <c r="N39">
        <v>250</v>
      </c>
      <c r="O39">
        <v>250</v>
      </c>
      <c r="Q39">
        <v>250</v>
      </c>
    </row>
    <row r="40" spans="1:17">
      <c r="A40" t="s">
        <v>1705</v>
      </c>
      <c r="C40" t="s">
        <v>1706</v>
      </c>
      <c r="D40" t="s">
        <v>1615</v>
      </c>
      <c r="I40" t="s">
        <v>1677</v>
      </c>
      <c r="K40">
        <v>-1</v>
      </c>
      <c r="Q40">
        <v>0</v>
      </c>
    </row>
    <row r="41" spans="1:17">
      <c r="A41" t="s">
        <v>1707</v>
      </c>
      <c r="C41" t="s">
        <v>1708</v>
      </c>
      <c r="D41" t="s">
        <v>1615</v>
      </c>
      <c r="I41" t="s">
        <v>1677</v>
      </c>
      <c r="K41">
        <v>-1</v>
      </c>
      <c r="Q41">
        <v>0</v>
      </c>
    </row>
    <row r="42" spans="1:17">
      <c r="A42" s="1381" t="s">
        <v>1709</v>
      </c>
      <c r="B42">
        <v>880</v>
      </c>
      <c r="C42" t="s">
        <v>1710</v>
      </c>
      <c r="D42" t="s">
        <v>1615</v>
      </c>
      <c r="E42" t="s">
        <v>1680</v>
      </c>
      <c r="F42" t="s">
        <v>1681</v>
      </c>
      <c r="G42" t="b">
        <v>0</v>
      </c>
      <c r="H42" t="b">
        <v>0</v>
      </c>
      <c r="I42" t="s">
        <v>1677</v>
      </c>
      <c r="K42">
        <v>-1</v>
      </c>
      <c r="L42">
        <v>-20026.66</v>
      </c>
      <c r="M42">
        <v>20026.66</v>
      </c>
      <c r="N42">
        <v>20026.66</v>
      </c>
      <c r="O42">
        <v>20026.66</v>
      </c>
      <c r="Q42">
        <v>20026.66</v>
      </c>
    </row>
    <row r="43" spans="1:17">
      <c r="A43" t="s">
        <v>1711</v>
      </c>
      <c r="B43">
        <v>881</v>
      </c>
      <c r="C43" t="s">
        <v>1712</v>
      </c>
      <c r="D43" t="s">
        <v>1615</v>
      </c>
      <c r="E43" t="s">
        <v>1680</v>
      </c>
      <c r="F43" t="s">
        <v>1681</v>
      </c>
      <c r="G43" t="b">
        <v>0</v>
      </c>
      <c r="H43" t="b">
        <v>0</v>
      </c>
      <c r="I43" t="s">
        <v>1677</v>
      </c>
      <c r="K43">
        <v>-1</v>
      </c>
      <c r="L43">
        <v>1</v>
      </c>
      <c r="M43">
        <v>-1</v>
      </c>
      <c r="N43">
        <v>-1</v>
      </c>
      <c r="O43">
        <v>-1</v>
      </c>
      <c r="Q43">
        <v>-1</v>
      </c>
    </row>
    <row r="44" spans="1:17">
      <c r="A44" t="s">
        <v>1713</v>
      </c>
      <c r="B44">
        <v>900</v>
      </c>
      <c r="C44" t="s">
        <v>1714</v>
      </c>
      <c r="D44" t="s">
        <v>1615</v>
      </c>
      <c r="E44" t="s">
        <v>1715</v>
      </c>
      <c r="F44" t="s">
        <v>1716</v>
      </c>
      <c r="G44" t="b">
        <v>0</v>
      </c>
      <c r="H44" t="b">
        <v>0</v>
      </c>
      <c r="I44" t="s">
        <v>1677</v>
      </c>
      <c r="K44">
        <v>-1</v>
      </c>
      <c r="L44">
        <v>-11888.76</v>
      </c>
      <c r="M44">
        <v>11888.76</v>
      </c>
      <c r="N44">
        <v>11888.76</v>
      </c>
      <c r="O44">
        <v>11888.76</v>
      </c>
      <c r="Q44">
        <v>11888.76</v>
      </c>
    </row>
    <row r="45" spans="1:17">
      <c r="A45" t="s">
        <v>1717</v>
      </c>
      <c r="C45" t="s">
        <v>1718</v>
      </c>
      <c r="D45" t="s">
        <v>1615</v>
      </c>
      <c r="I45" t="s">
        <v>1677</v>
      </c>
      <c r="K45">
        <v>-1</v>
      </c>
      <c r="Q45">
        <v>0</v>
      </c>
    </row>
    <row r="46" spans="1:17">
      <c r="A46" s="1381" t="s">
        <v>1719</v>
      </c>
      <c r="C46" t="s">
        <v>1720</v>
      </c>
      <c r="D46" t="s">
        <v>1615</v>
      </c>
      <c r="I46" t="s">
        <v>1677</v>
      </c>
      <c r="K46">
        <v>-1</v>
      </c>
      <c r="Q46">
        <v>0</v>
      </c>
    </row>
    <row r="47" spans="1:17">
      <c r="A47" t="s">
        <v>1721</v>
      </c>
      <c r="C47" t="s">
        <v>1722</v>
      </c>
      <c r="D47" t="s">
        <v>1615</v>
      </c>
      <c r="I47" t="s">
        <v>1677</v>
      </c>
      <c r="K47">
        <v>-1</v>
      </c>
      <c r="Q47">
        <v>0</v>
      </c>
    </row>
    <row r="48" spans="1:17">
      <c r="A48" t="s">
        <v>1723</v>
      </c>
      <c r="C48" t="s">
        <v>1724</v>
      </c>
      <c r="D48" t="s">
        <v>1615</v>
      </c>
      <c r="I48" t="s">
        <v>1677</v>
      </c>
      <c r="K48">
        <v>-1</v>
      </c>
      <c r="Q48">
        <v>0</v>
      </c>
    </row>
    <row r="49" spans="1:17">
      <c r="A49" t="s">
        <v>1725</v>
      </c>
      <c r="C49" t="s">
        <v>1726</v>
      </c>
      <c r="D49" t="s">
        <v>1615</v>
      </c>
      <c r="I49" t="s">
        <v>1677</v>
      </c>
      <c r="K49">
        <v>-1</v>
      </c>
      <c r="Q49">
        <v>0</v>
      </c>
    </row>
    <row r="50" spans="1:17">
      <c r="A50" t="s">
        <v>1727</v>
      </c>
      <c r="C50" t="s">
        <v>1728</v>
      </c>
      <c r="D50" t="s">
        <v>1615</v>
      </c>
      <c r="I50" t="s">
        <v>1677</v>
      </c>
      <c r="K50">
        <v>-1</v>
      </c>
      <c r="Q50">
        <v>0</v>
      </c>
    </row>
    <row r="51" spans="1:17">
      <c r="A51" t="s">
        <v>1729</v>
      </c>
      <c r="C51" t="s">
        <v>1730</v>
      </c>
      <c r="D51" t="s">
        <v>1615</v>
      </c>
      <c r="I51" t="s">
        <v>1677</v>
      </c>
      <c r="K51">
        <v>-1</v>
      </c>
      <c r="Q51">
        <v>0</v>
      </c>
    </row>
    <row r="52" spans="1:17">
      <c r="A52" t="s">
        <v>1731</v>
      </c>
      <c r="C52" t="s">
        <v>1732</v>
      </c>
      <c r="D52" t="s">
        <v>151</v>
      </c>
      <c r="I52" t="s">
        <v>1677</v>
      </c>
      <c r="K52">
        <v>-1</v>
      </c>
      <c r="N52">
        <v>8356.49</v>
      </c>
      <c r="O52">
        <v>8356.49</v>
      </c>
      <c r="Q52">
        <v>8356.49</v>
      </c>
    </row>
    <row r="53" spans="1:17">
      <c r="A53" t="s">
        <v>1733</v>
      </c>
      <c r="C53" t="s">
        <v>1734</v>
      </c>
      <c r="D53" t="s">
        <v>1608</v>
      </c>
      <c r="I53" t="s">
        <v>1735</v>
      </c>
      <c r="K53">
        <v>-1</v>
      </c>
      <c r="N53">
        <v>0</v>
      </c>
      <c r="Q53">
        <v>0</v>
      </c>
    </row>
    <row r="54" spans="1:17">
      <c r="A54" t="s">
        <v>1736</v>
      </c>
      <c r="C54" t="s">
        <v>1737</v>
      </c>
      <c r="D54" t="s">
        <v>151</v>
      </c>
      <c r="I54" t="s">
        <v>1735</v>
      </c>
      <c r="K54">
        <v>-1</v>
      </c>
      <c r="N54">
        <v>0</v>
      </c>
      <c r="Q54">
        <v>0</v>
      </c>
    </row>
    <row r="55" spans="1:17">
      <c r="A55" t="s">
        <v>1738</v>
      </c>
      <c r="C55" t="s">
        <v>1739</v>
      </c>
      <c r="D55" t="s">
        <v>151</v>
      </c>
      <c r="I55" t="s">
        <v>1674</v>
      </c>
      <c r="K55">
        <v>-1</v>
      </c>
      <c r="N55">
        <v>8356.49</v>
      </c>
      <c r="O55">
        <v>8356.49</v>
      </c>
      <c r="Q55">
        <v>8356.49</v>
      </c>
    </row>
    <row r="56" spans="1:17">
      <c r="A56" t="s">
        <v>1740</v>
      </c>
      <c r="C56" t="s">
        <v>1741</v>
      </c>
      <c r="D56" t="s">
        <v>1608</v>
      </c>
      <c r="K56">
        <v>1</v>
      </c>
      <c r="N56">
        <v>97785.2</v>
      </c>
      <c r="O56">
        <v>97785.2</v>
      </c>
      <c r="P56">
        <v>0</v>
      </c>
      <c r="Q56">
        <v>97785.2</v>
      </c>
    </row>
    <row r="57" spans="1:17">
      <c r="A57" t="s">
        <v>1742</v>
      </c>
      <c r="C57" t="s">
        <v>1743</v>
      </c>
      <c r="D57" t="s">
        <v>1608</v>
      </c>
      <c r="I57" t="s">
        <v>1744</v>
      </c>
      <c r="K57">
        <v>-1</v>
      </c>
      <c r="N57">
        <v>0</v>
      </c>
      <c r="O57">
        <v>-97785.2</v>
      </c>
      <c r="Q57">
        <v>-97785.2</v>
      </c>
    </row>
    <row r="58" spans="1:17">
      <c r="A58" t="s">
        <v>1745</v>
      </c>
      <c r="C58" t="s">
        <v>1746</v>
      </c>
      <c r="D58" t="s">
        <v>1615</v>
      </c>
      <c r="I58" t="s">
        <v>1747</v>
      </c>
      <c r="K58">
        <v>-1</v>
      </c>
      <c r="Q58">
        <v>0</v>
      </c>
    </row>
    <row r="59" spans="1:17">
      <c r="A59" t="s">
        <v>1748</v>
      </c>
      <c r="C59" t="s">
        <v>1749</v>
      </c>
      <c r="D59" t="s">
        <v>1615</v>
      </c>
      <c r="I59" t="s">
        <v>1750</v>
      </c>
      <c r="K59">
        <v>-1</v>
      </c>
      <c r="N59">
        <v>-97785.2</v>
      </c>
      <c r="O59">
        <v>-97785.2</v>
      </c>
      <c r="P59">
        <v>0</v>
      </c>
      <c r="Q59">
        <v>-97785.2</v>
      </c>
    </row>
    <row r="60" spans="1:17">
      <c r="A60" s="1381" t="s">
        <v>1751</v>
      </c>
      <c r="C60" t="s">
        <v>1752</v>
      </c>
      <c r="D60" t="s">
        <v>1615</v>
      </c>
      <c r="I60" t="s">
        <v>1744</v>
      </c>
      <c r="K60">
        <v>-1</v>
      </c>
      <c r="Q60">
        <v>0</v>
      </c>
    </row>
    <row r="61" spans="1:17">
      <c r="A61" t="s">
        <v>1753</v>
      </c>
      <c r="C61" t="s">
        <v>1754</v>
      </c>
      <c r="D61" t="s">
        <v>1615</v>
      </c>
      <c r="I61" t="s">
        <v>1744</v>
      </c>
      <c r="K61">
        <v>-1</v>
      </c>
      <c r="Q61">
        <v>0</v>
      </c>
    </row>
    <row r="62" spans="1:17">
      <c r="A62" t="s">
        <v>1755</v>
      </c>
      <c r="C62" t="s">
        <v>1756</v>
      </c>
      <c r="D62" t="s">
        <v>151</v>
      </c>
      <c r="I62" t="s">
        <v>1744</v>
      </c>
      <c r="K62">
        <v>-1</v>
      </c>
      <c r="N62">
        <v>0</v>
      </c>
      <c r="O62">
        <v>-97785.2</v>
      </c>
      <c r="Q62">
        <v>-97785.2</v>
      </c>
    </row>
    <row r="63" spans="1:17">
      <c r="A63" t="s">
        <v>1757</v>
      </c>
      <c r="C63" t="s">
        <v>1296</v>
      </c>
      <c r="D63" t="s">
        <v>1608</v>
      </c>
      <c r="I63" t="s">
        <v>1758</v>
      </c>
      <c r="K63">
        <v>-1</v>
      </c>
      <c r="N63">
        <v>-137947.42000000001</v>
      </c>
      <c r="O63">
        <v>-137947.41999999998</v>
      </c>
      <c r="Q63">
        <v>-137947.41999999998</v>
      </c>
    </row>
    <row r="64" spans="1:17">
      <c r="A64" t="s">
        <v>1759</v>
      </c>
      <c r="B64">
        <v>200</v>
      </c>
      <c r="C64" t="s">
        <v>1760</v>
      </c>
      <c r="D64" t="s">
        <v>1615</v>
      </c>
      <c r="E64" t="s">
        <v>1761</v>
      </c>
      <c r="F64" t="s">
        <v>1762</v>
      </c>
      <c r="G64" t="b">
        <v>0</v>
      </c>
      <c r="H64" t="b">
        <v>0</v>
      </c>
      <c r="I64" t="s">
        <v>1758</v>
      </c>
      <c r="K64">
        <v>-1</v>
      </c>
      <c r="L64">
        <v>134010.96</v>
      </c>
      <c r="M64">
        <v>-134010.96</v>
      </c>
      <c r="N64">
        <v>-134010.96</v>
      </c>
      <c r="O64">
        <v>-134010.96</v>
      </c>
      <c r="Q64">
        <v>-134010.96</v>
      </c>
    </row>
    <row r="65" spans="1:17">
      <c r="A65" t="s">
        <v>1763</v>
      </c>
      <c r="C65" t="s">
        <v>1764</v>
      </c>
      <c r="D65" t="s">
        <v>1615</v>
      </c>
      <c r="I65" t="s">
        <v>1758</v>
      </c>
      <c r="K65">
        <v>-1</v>
      </c>
      <c r="Q65">
        <v>0</v>
      </c>
    </row>
    <row r="66" spans="1:17">
      <c r="A66" t="s">
        <v>1765</v>
      </c>
      <c r="C66" t="s">
        <v>1766</v>
      </c>
      <c r="D66" t="s">
        <v>1615</v>
      </c>
      <c r="I66" t="s">
        <v>1758</v>
      </c>
      <c r="K66">
        <v>-1</v>
      </c>
      <c r="Q66">
        <v>0</v>
      </c>
    </row>
    <row r="67" spans="1:17">
      <c r="A67" t="s">
        <v>1767</v>
      </c>
      <c r="C67" t="s">
        <v>1768</v>
      </c>
      <c r="D67" t="s">
        <v>1615</v>
      </c>
      <c r="I67" t="s">
        <v>1758</v>
      </c>
      <c r="K67">
        <v>-1</v>
      </c>
      <c r="Q67">
        <v>0</v>
      </c>
    </row>
    <row r="68" spans="1:17">
      <c r="A68" t="s">
        <v>1769</v>
      </c>
      <c r="B68" t="s">
        <v>1770</v>
      </c>
      <c r="C68" t="s">
        <v>1771</v>
      </c>
      <c r="D68" t="s">
        <v>1615</v>
      </c>
      <c r="E68" t="s">
        <v>1761</v>
      </c>
      <c r="F68" t="s">
        <v>1762</v>
      </c>
      <c r="G68" t="b">
        <v>0</v>
      </c>
      <c r="H68" t="b">
        <v>0</v>
      </c>
      <c r="I68" t="s">
        <v>1758</v>
      </c>
      <c r="K68">
        <v>-1</v>
      </c>
      <c r="L68">
        <v>3936.46</v>
      </c>
      <c r="M68">
        <v>-3936.46</v>
      </c>
      <c r="N68">
        <v>-3936.46</v>
      </c>
      <c r="O68">
        <v>-3936.46</v>
      </c>
      <c r="Q68">
        <v>-3936.46</v>
      </c>
    </row>
    <row r="69" spans="1:17">
      <c r="A69" t="s">
        <v>1772</v>
      </c>
      <c r="C69" t="s">
        <v>1773</v>
      </c>
      <c r="D69" t="s">
        <v>1615</v>
      </c>
      <c r="I69" t="s">
        <v>1758</v>
      </c>
      <c r="K69">
        <v>-1</v>
      </c>
      <c r="Q69">
        <v>0</v>
      </c>
    </row>
    <row r="70" spans="1:17">
      <c r="A70" t="s">
        <v>1774</v>
      </c>
      <c r="C70" t="s">
        <v>1775</v>
      </c>
      <c r="D70" t="s">
        <v>1615</v>
      </c>
      <c r="I70" t="s">
        <v>1758</v>
      </c>
      <c r="K70">
        <v>-1</v>
      </c>
      <c r="Q70">
        <v>0</v>
      </c>
    </row>
    <row r="71" spans="1:17">
      <c r="A71" t="s">
        <v>1776</v>
      </c>
      <c r="C71" t="s">
        <v>1777</v>
      </c>
      <c r="D71" t="s">
        <v>1615</v>
      </c>
      <c r="I71" t="s">
        <v>1758</v>
      </c>
      <c r="K71">
        <v>-1</v>
      </c>
      <c r="Q71">
        <v>0</v>
      </c>
    </row>
    <row r="72" spans="1:17">
      <c r="A72" t="s">
        <v>1778</v>
      </c>
      <c r="C72" t="s">
        <v>1779</v>
      </c>
      <c r="D72" t="s">
        <v>1615</v>
      </c>
      <c r="I72" t="s">
        <v>1758</v>
      </c>
      <c r="K72">
        <v>-1</v>
      </c>
      <c r="Q72">
        <v>0</v>
      </c>
    </row>
    <row r="73" spans="1:17">
      <c r="A73" t="s">
        <v>1780</v>
      </c>
      <c r="C73" t="s">
        <v>1781</v>
      </c>
      <c r="D73" t="s">
        <v>1615</v>
      </c>
      <c r="I73" t="s">
        <v>1758</v>
      </c>
      <c r="K73">
        <v>-1</v>
      </c>
      <c r="Q73">
        <v>0</v>
      </c>
    </row>
    <row r="74" spans="1:17">
      <c r="A74" t="s">
        <v>1782</v>
      </c>
      <c r="C74" t="s">
        <v>1245</v>
      </c>
      <c r="D74" t="s">
        <v>151</v>
      </c>
      <c r="I74" t="s">
        <v>1758</v>
      </c>
      <c r="K74">
        <v>-1</v>
      </c>
      <c r="N74">
        <v>-137947.42000000001</v>
      </c>
      <c r="O74">
        <v>-137947.41999999998</v>
      </c>
      <c r="Q74">
        <v>-137947.41999999998</v>
      </c>
    </row>
    <row r="75" spans="1:17">
      <c r="A75" t="s">
        <v>1783</v>
      </c>
      <c r="C75" t="s">
        <v>1784</v>
      </c>
      <c r="D75" t="s">
        <v>1608</v>
      </c>
      <c r="I75" t="s">
        <v>1785</v>
      </c>
      <c r="K75">
        <v>1</v>
      </c>
      <c r="N75">
        <v>3028.07</v>
      </c>
      <c r="O75">
        <v>3028.07</v>
      </c>
      <c r="Q75">
        <v>3028.07</v>
      </c>
    </row>
    <row r="76" spans="1:17">
      <c r="A76" t="s">
        <v>1786</v>
      </c>
      <c r="C76" t="s">
        <v>1787</v>
      </c>
      <c r="D76" t="s">
        <v>1615</v>
      </c>
      <c r="I76" t="s">
        <v>1785</v>
      </c>
      <c r="K76">
        <v>1</v>
      </c>
      <c r="Q76">
        <v>0</v>
      </c>
    </row>
    <row r="77" spans="1:17">
      <c r="A77" t="s">
        <v>1788</v>
      </c>
      <c r="B77">
        <v>350</v>
      </c>
      <c r="C77" t="s">
        <v>1789</v>
      </c>
      <c r="D77" t="s">
        <v>1615</v>
      </c>
      <c r="E77" t="s">
        <v>1790</v>
      </c>
      <c r="F77" t="s">
        <v>1791</v>
      </c>
      <c r="G77" t="b">
        <v>0</v>
      </c>
      <c r="H77" t="b">
        <v>0</v>
      </c>
      <c r="I77" t="s">
        <v>1785</v>
      </c>
      <c r="K77">
        <v>1</v>
      </c>
      <c r="L77">
        <v>3028.07</v>
      </c>
      <c r="M77">
        <v>3028.07</v>
      </c>
      <c r="N77">
        <v>3028.07</v>
      </c>
      <c r="O77">
        <v>3028.07</v>
      </c>
      <c r="Q77">
        <v>3028.07</v>
      </c>
    </row>
    <row r="78" spans="1:17">
      <c r="A78" t="s">
        <v>1792</v>
      </c>
      <c r="C78" t="s">
        <v>1793</v>
      </c>
      <c r="D78" t="s">
        <v>151</v>
      </c>
      <c r="I78" t="s">
        <v>1785</v>
      </c>
      <c r="K78">
        <v>1</v>
      </c>
      <c r="N78">
        <v>3028.07</v>
      </c>
      <c r="O78">
        <v>3028.07</v>
      </c>
      <c r="Q78">
        <v>3028.07</v>
      </c>
    </row>
    <row r="79" spans="1:17">
      <c r="A79" t="s">
        <v>1794</v>
      </c>
      <c r="C79" t="s">
        <v>1795</v>
      </c>
      <c r="D79" t="s">
        <v>1608</v>
      </c>
      <c r="I79" t="s">
        <v>1796</v>
      </c>
      <c r="K79">
        <v>-1</v>
      </c>
      <c r="N79">
        <v>0</v>
      </c>
      <c r="Q79">
        <v>0</v>
      </c>
    </row>
    <row r="80" spans="1:17">
      <c r="A80" t="s">
        <v>1797</v>
      </c>
      <c r="C80" t="s">
        <v>1798</v>
      </c>
      <c r="D80" t="s">
        <v>151</v>
      </c>
      <c r="I80" t="s">
        <v>1796</v>
      </c>
      <c r="K80">
        <v>-1</v>
      </c>
      <c r="N80">
        <v>0</v>
      </c>
      <c r="Q80">
        <v>0</v>
      </c>
    </row>
    <row r="81" spans="1:17">
      <c r="A81" t="s">
        <v>1799</v>
      </c>
      <c r="C81" t="s">
        <v>1800</v>
      </c>
      <c r="D81" t="s">
        <v>1608</v>
      </c>
      <c r="K81">
        <v>-1</v>
      </c>
      <c r="N81">
        <v>-134919.34999999998</v>
      </c>
      <c r="O81">
        <v>-134919.34999999998</v>
      </c>
      <c r="P81">
        <v>0</v>
      </c>
      <c r="Q81">
        <v>-134919.34999999998</v>
      </c>
    </row>
    <row r="82" spans="1:17">
      <c r="A82" t="s">
        <v>1801</v>
      </c>
      <c r="C82" t="s">
        <v>1802</v>
      </c>
      <c r="D82" t="s">
        <v>1608</v>
      </c>
      <c r="K82">
        <v>1</v>
      </c>
    </row>
    <row r="83" spans="1:17">
      <c r="A83" t="s">
        <v>1803</v>
      </c>
      <c r="C83" t="s">
        <v>1243</v>
      </c>
      <c r="D83" t="s">
        <v>1608</v>
      </c>
      <c r="I83" t="s">
        <v>1804</v>
      </c>
      <c r="K83">
        <v>1</v>
      </c>
      <c r="N83">
        <v>37134.15</v>
      </c>
      <c r="O83">
        <v>37134.15</v>
      </c>
      <c r="Q83">
        <v>37134.15</v>
      </c>
    </row>
    <row r="84" spans="1:17">
      <c r="A84" t="s">
        <v>1805</v>
      </c>
      <c r="B84">
        <v>400</v>
      </c>
      <c r="C84" t="s">
        <v>1806</v>
      </c>
      <c r="D84" t="s">
        <v>1615</v>
      </c>
      <c r="E84" t="s">
        <v>1807</v>
      </c>
      <c r="F84" t="s">
        <v>1808</v>
      </c>
      <c r="G84" t="b">
        <v>0</v>
      </c>
      <c r="H84" t="b">
        <v>0</v>
      </c>
      <c r="I84" t="s">
        <v>1804</v>
      </c>
      <c r="K84">
        <v>1</v>
      </c>
      <c r="L84">
        <v>3557.62</v>
      </c>
      <c r="M84">
        <v>3557.62</v>
      </c>
      <c r="N84">
        <v>3557.62</v>
      </c>
      <c r="O84">
        <v>3557.62</v>
      </c>
      <c r="Q84">
        <v>3557.62</v>
      </c>
    </row>
    <row r="85" spans="1:17">
      <c r="A85" t="s">
        <v>1809</v>
      </c>
      <c r="B85">
        <v>404</v>
      </c>
      <c r="C85" t="s">
        <v>1810</v>
      </c>
      <c r="D85" t="s">
        <v>1615</v>
      </c>
      <c r="E85" t="s">
        <v>1807</v>
      </c>
      <c r="F85" t="s">
        <v>1808</v>
      </c>
      <c r="G85" t="b">
        <v>0</v>
      </c>
      <c r="H85" t="b">
        <v>0</v>
      </c>
      <c r="I85" t="s">
        <v>1804</v>
      </c>
      <c r="K85">
        <v>1</v>
      </c>
      <c r="L85">
        <v>658.73</v>
      </c>
      <c r="M85">
        <v>658.73</v>
      </c>
      <c r="N85">
        <v>658.73</v>
      </c>
      <c r="O85">
        <v>658.73</v>
      </c>
      <c r="Q85">
        <v>658.73</v>
      </c>
    </row>
    <row r="86" spans="1:17">
      <c r="A86" t="s">
        <v>1811</v>
      </c>
      <c r="B86">
        <v>408</v>
      </c>
      <c r="C86" t="s">
        <v>1812</v>
      </c>
      <c r="D86" t="s">
        <v>1615</v>
      </c>
      <c r="E86" t="s">
        <v>1807</v>
      </c>
      <c r="F86" t="s">
        <v>1808</v>
      </c>
      <c r="G86" t="b">
        <v>0</v>
      </c>
      <c r="H86" t="b">
        <v>0</v>
      </c>
      <c r="I86" t="s">
        <v>1804</v>
      </c>
      <c r="K86">
        <v>1</v>
      </c>
      <c r="L86">
        <v>1902.3</v>
      </c>
      <c r="M86">
        <v>1902.3</v>
      </c>
      <c r="N86">
        <v>1902.3</v>
      </c>
      <c r="O86">
        <v>1902.3</v>
      </c>
      <c r="Q86">
        <v>1902.3</v>
      </c>
    </row>
    <row r="87" spans="1:17">
      <c r="A87" t="s">
        <v>1813</v>
      </c>
      <c r="C87" t="s">
        <v>1814</v>
      </c>
      <c r="D87" t="s">
        <v>1615</v>
      </c>
      <c r="I87" t="s">
        <v>1804</v>
      </c>
      <c r="K87">
        <v>1</v>
      </c>
      <c r="Q87">
        <v>0</v>
      </c>
    </row>
    <row r="88" spans="1:17">
      <c r="A88" t="s">
        <v>1815</v>
      </c>
      <c r="C88" t="s">
        <v>1816</v>
      </c>
      <c r="D88" t="s">
        <v>1615</v>
      </c>
      <c r="I88" t="s">
        <v>1804</v>
      </c>
      <c r="K88">
        <v>1</v>
      </c>
      <c r="Q88">
        <v>0</v>
      </c>
    </row>
    <row r="89" spans="1:17">
      <c r="A89" t="s">
        <v>1817</v>
      </c>
      <c r="C89" t="s">
        <v>1818</v>
      </c>
      <c r="D89" t="s">
        <v>1615</v>
      </c>
      <c r="I89" t="s">
        <v>1804</v>
      </c>
      <c r="K89">
        <v>1</v>
      </c>
      <c r="Q89">
        <v>0</v>
      </c>
    </row>
    <row r="90" spans="1:17">
      <c r="A90" t="s">
        <v>1819</v>
      </c>
      <c r="B90">
        <v>425</v>
      </c>
      <c r="C90" t="s">
        <v>1820</v>
      </c>
      <c r="D90" t="s">
        <v>1615</v>
      </c>
      <c r="E90" t="s">
        <v>1807</v>
      </c>
      <c r="F90" t="s">
        <v>1808</v>
      </c>
      <c r="G90" t="b">
        <v>0</v>
      </c>
      <c r="H90" t="b">
        <v>0</v>
      </c>
      <c r="I90" t="s">
        <v>1804</v>
      </c>
      <c r="K90">
        <v>1</v>
      </c>
      <c r="L90">
        <v>7.09</v>
      </c>
      <c r="M90">
        <v>7.09</v>
      </c>
      <c r="N90">
        <v>7.09</v>
      </c>
      <c r="O90">
        <v>7.09</v>
      </c>
      <c r="Q90">
        <v>7.09</v>
      </c>
    </row>
    <row r="91" spans="1:17">
      <c r="A91" t="s">
        <v>1821</v>
      </c>
      <c r="B91">
        <v>429</v>
      </c>
      <c r="C91" t="s">
        <v>1822</v>
      </c>
      <c r="D91" t="s">
        <v>1615</v>
      </c>
      <c r="E91" t="s">
        <v>1807</v>
      </c>
      <c r="F91" t="s">
        <v>1808</v>
      </c>
      <c r="G91" t="b">
        <v>0</v>
      </c>
      <c r="H91" t="b">
        <v>0</v>
      </c>
      <c r="I91" t="s">
        <v>1804</v>
      </c>
      <c r="K91">
        <v>1</v>
      </c>
      <c r="L91">
        <v>1701.36</v>
      </c>
      <c r="M91">
        <v>1701.36</v>
      </c>
      <c r="N91">
        <v>1701.36</v>
      </c>
      <c r="O91">
        <v>1701.36</v>
      </c>
      <c r="Q91">
        <v>1701.36</v>
      </c>
    </row>
    <row r="92" spans="1:17">
      <c r="A92" t="s">
        <v>1823</v>
      </c>
      <c r="B92">
        <v>433</v>
      </c>
      <c r="C92" t="s">
        <v>1824</v>
      </c>
      <c r="D92" t="s">
        <v>1615</v>
      </c>
      <c r="E92" t="s">
        <v>1807</v>
      </c>
      <c r="F92" t="s">
        <v>1808</v>
      </c>
      <c r="G92" t="b">
        <v>0</v>
      </c>
      <c r="H92" t="b">
        <v>0</v>
      </c>
      <c r="I92" t="s">
        <v>1804</v>
      </c>
      <c r="K92">
        <v>1</v>
      </c>
      <c r="L92">
        <v>1163.6400000000001</v>
      </c>
      <c r="M92">
        <v>1163.6400000000001</v>
      </c>
      <c r="N92">
        <v>1163.6400000000001</v>
      </c>
      <c r="O92">
        <v>1163.6400000000001</v>
      </c>
      <c r="Q92">
        <v>1163.6400000000001</v>
      </c>
    </row>
    <row r="93" spans="1:17">
      <c r="A93" s="1381" t="s">
        <v>1825</v>
      </c>
      <c r="B93">
        <v>437</v>
      </c>
      <c r="C93" t="s">
        <v>1468</v>
      </c>
      <c r="D93" t="s">
        <v>1615</v>
      </c>
      <c r="E93" s="1381" t="s">
        <v>1826</v>
      </c>
      <c r="F93" t="s">
        <v>1827</v>
      </c>
      <c r="G93" t="b">
        <v>0</v>
      </c>
      <c r="H93" t="b">
        <v>0</v>
      </c>
      <c r="I93" t="s">
        <v>1804</v>
      </c>
      <c r="K93">
        <v>1</v>
      </c>
      <c r="L93">
        <v>3229.17</v>
      </c>
      <c r="M93">
        <v>3229.17</v>
      </c>
      <c r="N93">
        <v>3229.17</v>
      </c>
      <c r="O93">
        <v>3229.17</v>
      </c>
      <c r="Q93">
        <v>3229.17</v>
      </c>
    </row>
    <row r="94" spans="1:17">
      <c r="A94" t="s">
        <v>1828</v>
      </c>
      <c r="B94">
        <v>441</v>
      </c>
      <c r="C94" t="s">
        <v>1829</v>
      </c>
      <c r="D94" t="s">
        <v>1615</v>
      </c>
      <c r="E94" t="s">
        <v>1807</v>
      </c>
      <c r="F94" t="s">
        <v>1808</v>
      </c>
      <c r="G94" t="b">
        <v>0</v>
      </c>
      <c r="H94" t="b">
        <v>0</v>
      </c>
      <c r="I94" t="s">
        <v>1804</v>
      </c>
      <c r="K94">
        <v>1</v>
      </c>
      <c r="L94">
        <v>178.18</v>
      </c>
      <c r="M94">
        <v>178.18</v>
      </c>
      <c r="N94">
        <v>178.18</v>
      </c>
      <c r="O94">
        <v>178.18</v>
      </c>
      <c r="Q94">
        <v>178.18</v>
      </c>
    </row>
    <row r="95" spans="1:17">
      <c r="A95" t="s">
        <v>1830</v>
      </c>
      <c r="B95">
        <v>445</v>
      </c>
      <c r="C95" t="s">
        <v>1831</v>
      </c>
      <c r="D95" t="s">
        <v>1615</v>
      </c>
      <c r="E95" t="s">
        <v>1807</v>
      </c>
      <c r="F95" t="s">
        <v>1808</v>
      </c>
      <c r="G95" t="b">
        <v>0</v>
      </c>
      <c r="H95" t="b">
        <v>0</v>
      </c>
      <c r="I95" t="s">
        <v>1804</v>
      </c>
      <c r="K95">
        <v>1</v>
      </c>
      <c r="L95">
        <v>921.62</v>
      </c>
      <c r="M95">
        <v>921.62</v>
      </c>
      <c r="N95">
        <v>921.62</v>
      </c>
      <c r="O95">
        <v>921.62</v>
      </c>
      <c r="Q95">
        <v>921.62</v>
      </c>
    </row>
    <row r="96" spans="1:17">
      <c r="A96" t="s">
        <v>1832</v>
      </c>
      <c r="B96">
        <v>447</v>
      </c>
      <c r="C96" t="s">
        <v>1833</v>
      </c>
      <c r="D96" t="s">
        <v>1615</v>
      </c>
      <c r="E96" t="s">
        <v>1807</v>
      </c>
      <c r="F96" t="s">
        <v>1808</v>
      </c>
      <c r="G96" t="b">
        <v>0</v>
      </c>
      <c r="H96" t="b">
        <v>0</v>
      </c>
      <c r="I96" t="s">
        <v>1804</v>
      </c>
      <c r="K96">
        <v>1</v>
      </c>
      <c r="L96">
        <v>124.8</v>
      </c>
      <c r="M96">
        <v>124.8</v>
      </c>
      <c r="N96">
        <v>124.8</v>
      </c>
      <c r="O96">
        <v>124.8</v>
      </c>
      <c r="Q96">
        <v>124.8</v>
      </c>
    </row>
    <row r="97" spans="1:17">
      <c r="A97" t="s">
        <v>1834</v>
      </c>
      <c r="B97">
        <v>449</v>
      </c>
      <c r="C97" t="s">
        <v>1835</v>
      </c>
      <c r="D97" t="s">
        <v>1615</v>
      </c>
      <c r="E97" t="s">
        <v>1836</v>
      </c>
      <c r="F97" t="s">
        <v>1837</v>
      </c>
      <c r="G97" t="b">
        <v>0</v>
      </c>
      <c r="H97" t="b">
        <v>0</v>
      </c>
      <c r="I97" t="s">
        <v>1804</v>
      </c>
      <c r="K97">
        <v>1</v>
      </c>
      <c r="L97">
        <v>1204.1600000000001</v>
      </c>
      <c r="M97">
        <v>1204.1600000000001</v>
      </c>
      <c r="N97">
        <v>1204.1600000000001</v>
      </c>
      <c r="O97">
        <v>1204.1600000000001</v>
      </c>
      <c r="Q97">
        <v>1204.1600000000001</v>
      </c>
    </row>
    <row r="98" spans="1:17">
      <c r="A98" t="s">
        <v>1838</v>
      </c>
      <c r="B98">
        <v>453</v>
      </c>
      <c r="C98" t="s">
        <v>1839</v>
      </c>
      <c r="D98" t="s">
        <v>1615</v>
      </c>
      <c r="E98" t="s">
        <v>1807</v>
      </c>
      <c r="F98" t="s">
        <v>1808</v>
      </c>
      <c r="G98" t="b">
        <v>0</v>
      </c>
      <c r="H98" t="b">
        <v>0</v>
      </c>
      <c r="I98" t="s">
        <v>1804</v>
      </c>
      <c r="K98">
        <v>1</v>
      </c>
      <c r="L98">
        <v>327.14999999999998</v>
      </c>
      <c r="M98">
        <v>327.14999999999998</v>
      </c>
      <c r="N98">
        <v>327.14999999999998</v>
      </c>
      <c r="O98">
        <v>327.14999999999998</v>
      </c>
      <c r="Q98">
        <v>327.14999999999998</v>
      </c>
    </row>
    <row r="99" spans="1:17">
      <c r="A99" t="s">
        <v>1840</v>
      </c>
      <c r="B99">
        <v>461</v>
      </c>
      <c r="C99" t="s">
        <v>1841</v>
      </c>
      <c r="D99" t="s">
        <v>1615</v>
      </c>
      <c r="E99" t="s">
        <v>1807</v>
      </c>
      <c r="F99" t="s">
        <v>1808</v>
      </c>
      <c r="G99" t="b">
        <v>0</v>
      </c>
      <c r="H99" t="b">
        <v>0</v>
      </c>
      <c r="I99" t="s">
        <v>1804</v>
      </c>
      <c r="K99">
        <v>1</v>
      </c>
      <c r="L99">
        <v>2841.34</v>
      </c>
      <c r="M99">
        <v>2841.34</v>
      </c>
      <c r="N99">
        <v>2841.34</v>
      </c>
      <c r="O99">
        <v>2841.34</v>
      </c>
      <c r="Q99">
        <v>2841.34</v>
      </c>
    </row>
    <row r="100" spans="1:17">
      <c r="A100" t="s">
        <v>1842</v>
      </c>
      <c r="C100" t="s">
        <v>1843</v>
      </c>
      <c r="D100" t="s">
        <v>1615</v>
      </c>
      <c r="I100" t="s">
        <v>1804</v>
      </c>
      <c r="K100">
        <v>1</v>
      </c>
      <c r="Q100">
        <v>0</v>
      </c>
    </row>
    <row r="101" spans="1:17">
      <c r="A101" t="s">
        <v>1844</v>
      </c>
      <c r="B101">
        <v>473</v>
      </c>
      <c r="C101" t="s">
        <v>1845</v>
      </c>
      <c r="D101" t="s">
        <v>1615</v>
      </c>
      <c r="E101" t="s">
        <v>1846</v>
      </c>
      <c r="F101" t="s">
        <v>1847</v>
      </c>
      <c r="G101" t="b">
        <v>0</v>
      </c>
      <c r="H101" t="b">
        <v>0</v>
      </c>
      <c r="I101" t="s">
        <v>1804</v>
      </c>
      <c r="K101">
        <v>1</v>
      </c>
      <c r="L101">
        <v>4586.4799999999996</v>
      </c>
      <c r="M101">
        <v>4586.4799999999996</v>
      </c>
      <c r="N101">
        <v>4586.4799999999996</v>
      </c>
      <c r="O101">
        <v>4586.4799999999996</v>
      </c>
      <c r="Q101">
        <v>4586.4799999999996</v>
      </c>
    </row>
    <row r="102" spans="1:17">
      <c r="A102" t="s">
        <v>1848</v>
      </c>
      <c r="B102">
        <v>477</v>
      </c>
      <c r="C102" t="s">
        <v>1849</v>
      </c>
      <c r="D102" t="s">
        <v>1615</v>
      </c>
      <c r="E102" t="s">
        <v>1850</v>
      </c>
      <c r="F102" t="s">
        <v>995</v>
      </c>
      <c r="G102" t="b">
        <v>0</v>
      </c>
      <c r="H102" t="b">
        <v>0</v>
      </c>
      <c r="I102" t="s">
        <v>1804</v>
      </c>
      <c r="K102">
        <v>1</v>
      </c>
      <c r="L102">
        <v>11153.86</v>
      </c>
      <c r="M102">
        <v>11153.86</v>
      </c>
      <c r="N102">
        <v>11153.86</v>
      </c>
      <c r="O102">
        <v>11153.86</v>
      </c>
      <c r="Q102">
        <v>11153.86</v>
      </c>
    </row>
    <row r="103" spans="1:17">
      <c r="A103" t="s">
        <v>1851</v>
      </c>
      <c r="B103">
        <v>478</v>
      </c>
      <c r="C103" t="s">
        <v>682</v>
      </c>
      <c r="D103" t="s">
        <v>1615</v>
      </c>
      <c r="E103" t="s">
        <v>1852</v>
      </c>
      <c r="F103" t="s">
        <v>1228</v>
      </c>
      <c r="G103" t="b">
        <v>0</v>
      </c>
      <c r="H103" t="b">
        <v>0</v>
      </c>
      <c r="I103" t="s">
        <v>1804</v>
      </c>
      <c r="K103">
        <v>1</v>
      </c>
      <c r="L103">
        <v>1226.93</v>
      </c>
      <c r="M103">
        <v>1226.93</v>
      </c>
      <c r="N103">
        <v>1226.93</v>
      </c>
      <c r="O103">
        <v>1226.93</v>
      </c>
      <c r="Q103">
        <v>1226.93</v>
      </c>
    </row>
    <row r="104" spans="1:17">
      <c r="A104" t="s">
        <v>1853</v>
      </c>
      <c r="B104">
        <v>485</v>
      </c>
      <c r="C104" t="s">
        <v>1854</v>
      </c>
      <c r="D104" t="s">
        <v>1615</v>
      </c>
      <c r="E104" t="s">
        <v>1807</v>
      </c>
      <c r="F104" t="s">
        <v>1808</v>
      </c>
      <c r="G104" t="b">
        <v>0</v>
      </c>
      <c r="H104" t="b">
        <v>0</v>
      </c>
      <c r="I104" t="s">
        <v>1804</v>
      </c>
      <c r="K104">
        <v>1</v>
      </c>
      <c r="L104">
        <v>1371.29</v>
      </c>
      <c r="M104">
        <v>1371.29</v>
      </c>
      <c r="N104">
        <v>1371.29</v>
      </c>
      <c r="O104">
        <v>1371.29</v>
      </c>
      <c r="Q104">
        <v>1371.29</v>
      </c>
    </row>
    <row r="105" spans="1:17">
      <c r="A105" t="s">
        <v>1855</v>
      </c>
      <c r="B105">
        <v>489</v>
      </c>
      <c r="C105" t="s">
        <v>1856</v>
      </c>
      <c r="D105" t="s">
        <v>1615</v>
      </c>
      <c r="E105" t="s">
        <v>1807</v>
      </c>
      <c r="F105" t="s">
        <v>1808</v>
      </c>
      <c r="G105" t="b">
        <v>0</v>
      </c>
      <c r="H105" t="b">
        <v>0</v>
      </c>
      <c r="I105" t="s">
        <v>1804</v>
      </c>
      <c r="K105">
        <v>1</v>
      </c>
      <c r="L105">
        <v>857.24</v>
      </c>
      <c r="M105">
        <v>857.24</v>
      </c>
      <c r="N105">
        <v>857.24</v>
      </c>
      <c r="O105">
        <v>857.24</v>
      </c>
      <c r="Q105">
        <v>857.24</v>
      </c>
    </row>
    <row r="106" spans="1:17">
      <c r="A106" t="s">
        <v>1857</v>
      </c>
      <c r="C106" t="s">
        <v>1858</v>
      </c>
      <c r="D106" t="s">
        <v>1615</v>
      </c>
      <c r="I106" t="s">
        <v>1804</v>
      </c>
      <c r="K106">
        <v>1</v>
      </c>
      <c r="Q106">
        <v>0</v>
      </c>
    </row>
    <row r="107" spans="1:17">
      <c r="A107" t="s">
        <v>1859</v>
      </c>
      <c r="C107" t="s">
        <v>1860</v>
      </c>
      <c r="D107" t="s">
        <v>1615</v>
      </c>
      <c r="I107" t="s">
        <v>1804</v>
      </c>
      <c r="K107">
        <v>1</v>
      </c>
      <c r="Q107">
        <v>0</v>
      </c>
    </row>
    <row r="108" spans="1:17">
      <c r="A108" t="s">
        <v>1861</v>
      </c>
      <c r="C108" t="s">
        <v>1862</v>
      </c>
      <c r="D108" t="s">
        <v>1615</v>
      </c>
      <c r="I108" t="s">
        <v>1804</v>
      </c>
      <c r="K108">
        <v>1</v>
      </c>
      <c r="Q108">
        <v>0</v>
      </c>
    </row>
    <row r="109" spans="1:17">
      <c r="A109" t="s">
        <v>1863</v>
      </c>
      <c r="C109" t="s">
        <v>1864</v>
      </c>
      <c r="D109" t="s">
        <v>1615</v>
      </c>
      <c r="I109" t="s">
        <v>1804</v>
      </c>
      <c r="K109">
        <v>1</v>
      </c>
      <c r="Q109">
        <v>0</v>
      </c>
    </row>
    <row r="110" spans="1:17">
      <c r="A110" t="s">
        <v>1865</v>
      </c>
      <c r="C110" t="s">
        <v>1866</v>
      </c>
      <c r="D110" t="s">
        <v>1615</v>
      </c>
      <c r="I110" t="s">
        <v>1804</v>
      </c>
      <c r="K110">
        <v>1</v>
      </c>
      <c r="Q110">
        <v>0</v>
      </c>
    </row>
    <row r="111" spans="1:17">
      <c r="A111" t="s">
        <v>1867</v>
      </c>
      <c r="C111" t="s">
        <v>1868</v>
      </c>
      <c r="D111" t="s">
        <v>1615</v>
      </c>
      <c r="I111" t="s">
        <v>1804</v>
      </c>
      <c r="K111">
        <v>1</v>
      </c>
      <c r="Q111">
        <v>0</v>
      </c>
    </row>
    <row r="112" spans="1:17">
      <c r="A112" t="s">
        <v>1869</v>
      </c>
      <c r="B112">
        <v>506</v>
      </c>
      <c r="C112" t="s">
        <v>1870</v>
      </c>
      <c r="D112" t="s">
        <v>1615</v>
      </c>
      <c r="E112" t="s">
        <v>1807</v>
      </c>
      <c r="F112" t="s">
        <v>1808</v>
      </c>
      <c r="G112" t="b">
        <v>0</v>
      </c>
      <c r="H112" t="b">
        <v>0</v>
      </c>
      <c r="I112" t="s">
        <v>1804</v>
      </c>
      <c r="K112">
        <v>1</v>
      </c>
      <c r="L112">
        <v>7.86</v>
      </c>
      <c r="M112">
        <v>7.86</v>
      </c>
      <c r="N112">
        <v>7.86</v>
      </c>
      <c r="O112">
        <v>7.86</v>
      </c>
      <c r="Q112">
        <v>7.86</v>
      </c>
    </row>
    <row r="113" spans="1:17">
      <c r="A113" t="s">
        <v>1871</v>
      </c>
      <c r="B113" t="s">
        <v>1872</v>
      </c>
      <c r="C113" t="s">
        <v>1873</v>
      </c>
      <c r="D113" t="s">
        <v>1615</v>
      </c>
      <c r="E113" t="s">
        <v>1807</v>
      </c>
      <c r="F113" t="s">
        <v>1808</v>
      </c>
      <c r="G113" t="b">
        <v>0</v>
      </c>
      <c r="H113" t="b">
        <v>0</v>
      </c>
      <c r="I113" t="s">
        <v>1804</v>
      </c>
      <c r="K113">
        <v>1</v>
      </c>
      <c r="L113">
        <v>113.33</v>
      </c>
      <c r="M113">
        <v>113.33</v>
      </c>
      <c r="N113">
        <v>113.33</v>
      </c>
      <c r="O113">
        <v>113.33</v>
      </c>
      <c r="Q113">
        <v>113.33</v>
      </c>
    </row>
    <row r="114" spans="1:17">
      <c r="A114" t="s">
        <v>1874</v>
      </c>
      <c r="C114" t="s">
        <v>1875</v>
      </c>
      <c r="D114" t="s">
        <v>1615</v>
      </c>
      <c r="I114" t="s">
        <v>1804</v>
      </c>
      <c r="K114">
        <v>1</v>
      </c>
      <c r="Q114">
        <v>0</v>
      </c>
    </row>
    <row r="115" spans="1:17">
      <c r="A115" t="s">
        <v>1876</v>
      </c>
      <c r="C115" t="s">
        <v>1877</v>
      </c>
      <c r="D115" t="s">
        <v>1615</v>
      </c>
      <c r="I115" t="s">
        <v>1804</v>
      </c>
      <c r="K115">
        <v>1</v>
      </c>
      <c r="Q115">
        <v>0</v>
      </c>
    </row>
    <row r="116" spans="1:17">
      <c r="A116" t="s">
        <v>1878</v>
      </c>
      <c r="C116" t="s">
        <v>1879</v>
      </c>
      <c r="D116" t="s">
        <v>1615</v>
      </c>
      <c r="I116" t="s">
        <v>1804</v>
      </c>
      <c r="K116">
        <v>1</v>
      </c>
      <c r="Q116">
        <v>0</v>
      </c>
    </row>
    <row r="117" spans="1:17">
      <c r="A117" t="s">
        <v>1880</v>
      </c>
      <c r="C117" t="s">
        <v>1881</v>
      </c>
      <c r="D117" t="s">
        <v>1615</v>
      </c>
      <c r="I117" t="s">
        <v>1804</v>
      </c>
      <c r="K117">
        <v>1</v>
      </c>
      <c r="Q117">
        <v>0</v>
      </c>
    </row>
    <row r="118" spans="1:17">
      <c r="A118" t="s">
        <v>1882</v>
      </c>
      <c r="C118" t="s">
        <v>1176</v>
      </c>
      <c r="D118" t="s">
        <v>151</v>
      </c>
      <c r="I118" t="s">
        <v>1804</v>
      </c>
      <c r="K118">
        <v>1</v>
      </c>
      <c r="N118">
        <v>37134.15</v>
      </c>
      <c r="O118">
        <v>37134.15</v>
      </c>
      <c r="Q118">
        <v>37134.15</v>
      </c>
    </row>
    <row r="119" spans="1:17">
      <c r="A119" t="s">
        <v>1883</v>
      </c>
      <c r="C119" t="s">
        <v>1884</v>
      </c>
      <c r="D119" t="s">
        <v>1608</v>
      </c>
      <c r="I119" t="s">
        <v>1885</v>
      </c>
      <c r="K119">
        <v>-1</v>
      </c>
      <c r="N119">
        <v>0</v>
      </c>
      <c r="Q119">
        <v>0</v>
      </c>
    </row>
    <row r="120" spans="1:17">
      <c r="A120" t="s">
        <v>1886</v>
      </c>
      <c r="C120" t="s">
        <v>1887</v>
      </c>
      <c r="D120" t="s">
        <v>1615</v>
      </c>
      <c r="I120" t="s">
        <v>1885</v>
      </c>
      <c r="K120">
        <v>-1</v>
      </c>
      <c r="Q120">
        <v>0</v>
      </c>
    </row>
    <row r="121" spans="1:17">
      <c r="A121" t="s">
        <v>1888</v>
      </c>
      <c r="C121" t="s">
        <v>1889</v>
      </c>
      <c r="D121" t="s">
        <v>151</v>
      </c>
      <c r="I121" t="s">
        <v>1885</v>
      </c>
      <c r="K121">
        <v>-1</v>
      </c>
      <c r="N121">
        <v>0</v>
      </c>
      <c r="Q121">
        <v>0</v>
      </c>
    </row>
    <row r="122" spans="1:17">
      <c r="A122" t="s">
        <v>1890</v>
      </c>
      <c r="C122" t="s">
        <v>1891</v>
      </c>
      <c r="D122" t="s">
        <v>1608</v>
      </c>
      <c r="I122" t="s">
        <v>1892</v>
      </c>
      <c r="K122">
        <v>1</v>
      </c>
      <c r="N122">
        <v>0</v>
      </c>
      <c r="Q122">
        <v>0</v>
      </c>
    </row>
    <row r="123" spans="1:17">
      <c r="A123" t="s">
        <v>1893</v>
      </c>
      <c r="C123" t="s">
        <v>1894</v>
      </c>
      <c r="D123" t="s">
        <v>151</v>
      </c>
      <c r="I123" t="s">
        <v>1892</v>
      </c>
      <c r="K123">
        <v>1</v>
      </c>
      <c r="N123">
        <v>0</v>
      </c>
      <c r="Q123">
        <v>0</v>
      </c>
    </row>
    <row r="124" spans="1:17">
      <c r="A124" s="1381" t="s">
        <v>1895</v>
      </c>
      <c r="C124" t="s">
        <v>1896</v>
      </c>
      <c r="D124" t="s">
        <v>1608</v>
      </c>
      <c r="I124" t="s">
        <v>1897</v>
      </c>
      <c r="K124">
        <v>1</v>
      </c>
      <c r="N124">
        <v>0</v>
      </c>
      <c r="Q124">
        <v>0</v>
      </c>
    </row>
    <row r="125" spans="1:17">
      <c r="A125" t="s">
        <v>1898</v>
      </c>
      <c r="C125" t="s">
        <v>1899</v>
      </c>
      <c r="D125" t="s">
        <v>151</v>
      </c>
      <c r="I125" t="s">
        <v>1897</v>
      </c>
      <c r="K125">
        <v>1</v>
      </c>
      <c r="N125">
        <v>0</v>
      </c>
      <c r="Q125">
        <v>0</v>
      </c>
    </row>
    <row r="126" spans="1:17">
      <c r="A126" t="s">
        <v>1900</v>
      </c>
      <c r="C126" t="s">
        <v>399</v>
      </c>
      <c r="D126" t="s">
        <v>1608</v>
      </c>
      <c r="I126" t="s">
        <v>1901</v>
      </c>
      <c r="K126">
        <v>-1</v>
      </c>
      <c r="N126">
        <v>0</v>
      </c>
      <c r="Q126">
        <v>0</v>
      </c>
    </row>
    <row r="127" spans="1:17">
      <c r="A127" t="s">
        <v>1902</v>
      </c>
      <c r="C127" t="s">
        <v>1903</v>
      </c>
      <c r="D127" t="s">
        <v>151</v>
      </c>
      <c r="I127" t="s">
        <v>1901</v>
      </c>
      <c r="K127">
        <v>-1</v>
      </c>
      <c r="N127">
        <v>0</v>
      </c>
      <c r="Q127">
        <v>0</v>
      </c>
    </row>
    <row r="128" spans="1:17">
      <c r="A128" t="s">
        <v>1904</v>
      </c>
      <c r="C128" t="s">
        <v>1513</v>
      </c>
      <c r="D128" t="s">
        <v>1608</v>
      </c>
      <c r="I128" t="s">
        <v>1905</v>
      </c>
      <c r="K128">
        <v>1</v>
      </c>
      <c r="N128">
        <v>0</v>
      </c>
      <c r="Q128">
        <v>0</v>
      </c>
    </row>
    <row r="129" spans="1:17">
      <c r="A129" t="s">
        <v>1906</v>
      </c>
      <c r="C129" t="s">
        <v>1907</v>
      </c>
      <c r="D129" t="s">
        <v>151</v>
      </c>
      <c r="I129" t="s">
        <v>1905</v>
      </c>
      <c r="K129">
        <v>1</v>
      </c>
      <c r="N129">
        <v>0</v>
      </c>
      <c r="Q129">
        <v>0</v>
      </c>
    </row>
    <row r="130" spans="1:17">
      <c r="A130" t="s">
        <v>1908</v>
      </c>
      <c r="C130" t="s">
        <v>1909</v>
      </c>
      <c r="D130" t="s">
        <v>1608</v>
      </c>
      <c r="I130" t="s">
        <v>1910</v>
      </c>
      <c r="K130">
        <v>-1</v>
      </c>
      <c r="N130">
        <v>0</v>
      </c>
      <c r="Q130">
        <v>0</v>
      </c>
    </row>
    <row r="131" spans="1:17">
      <c r="A131" t="s">
        <v>1911</v>
      </c>
      <c r="C131" t="s">
        <v>1912</v>
      </c>
      <c r="D131" t="s">
        <v>151</v>
      </c>
      <c r="I131" t="s">
        <v>1910</v>
      </c>
      <c r="K131">
        <v>-1</v>
      </c>
      <c r="N131">
        <v>0</v>
      </c>
      <c r="Q131">
        <v>0</v>
      </c>
    </row>
    <row r="132" spans="1:17">
      <c r="A132" t="s">
        <v>1913</v>
      </c>
      <c r="C132" t="s">
        <v>1914</v>
      </c>
      <c r="D132" t="s">
        <v>1608</v>
      </c>
      <c r="K132">
        <v>-1</v>
      </c>
      <c r="N132">
        <v>-97785.2</v>
      </c>
      <c r="O132">
        <v>-97785.2</v>
      </c>
      <c r="P132">
        <v>0</v>
      </c>
      <c r="Q132">
        <v>-97785.2</v>
      </c>
    </row>
  </sheetData>
  <sheetProtection sheet="1" formatCells="0" formatColumns="0" formatRows="0" insertColumns="0" insertRows="0" insertHyperlinks="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FE4793150CFD241B84E6E839F0BBD45" ma:contentTypeVersion="4" ma:contentTypeDescription="Create a new document." ma:contentTypeScope="" ma:versionID="c0b9a66a8241a267ba45a4d887682b0c">
  <xsd:schema xmlns:xsd="http://www.w3.org/2001/XMLSchema" xmlns:xs="http://www.w3.org/2001/XMLSchema" xmlns:p="http://schemas.microsoft.com/office/2006/metadata/properties" xmlns:ns2="e6957977-2756-448b-9320-70c3a7775cfe" targetNamespace="http://schemas.microsoft.com/office/2006/metadata/properties" ma:root="true" ma:fieldsID="99e427aa993975b35861b54b50f3339a" ns2:_="">
    <xsd:import namespace="e6957977-2756-448b-9320-70c3a7775cf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6957977-2756-448b-9320-70c3a7775c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DE82E9-C712-4C86-B4F5-A8F9B1CE0F9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6957977-2756-448b-9320-70c3a7775c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65E8504-F490-46B7-819F-2B012221FEF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1266</vt:i4>
      </vt:variant>
    </vt:vector>
  </HeadingPairs>
  <TitlesOfParts>
    <vt:vector size="1298" baseType="lpstr">
      <vt:lpstr>Cover</vt:lpstr>
      <vt:lpstr>TR_1 Tax Rates</vt:lpstr>
      <vt:lpstr>D08 UPE Calculator</vt:lpstr>
      <vt:lpstr>Z02 List</vt:lpstr>
      <vt:lpstr>Z01 Blank</vt:lpstr>
      <vt:lpstr>H12 Loan Summary</vt:lpstr>
      <vt:lpstr>H15 Inter Entity Loan</vt:lpstr>
      <vt:lpstr>H11 Chattel Mortgage Loan</vt:lpstr>
      <vt:lpstr>H25 Bank Loan (1)</vt:lpstr>
      <vt:lpstr>D03 Company Debit Loan Summary</vt:lpstr>
      <vt:lpstr>G31 Div 7A Loan Calculator (1)</vt:lpstr>
      <vt:lpstr>CTR Company Tax Return</vt:lpstr>
      <vt:lpstr>C15 Losses</vt:lpstr>
      <vt:lpstr>C05 Divs and Franking</vt:lpstr>
      <vt:lpstr>J50 BAS Lodgements</vt:lpstr>
      <vt:lpstr>H50 ICA</vt:lpstr>
      <vt:lpstr>C50 ITA</vt:lpstr>
      <vt:lpstr>G31 Div 7A Loan Calculator</vt:lpstr>
      <vt:lpstr>F10 Bank</vt:lpstr>
      <vt:lpstr>F05 Trade Debtors</vt:lpstr>
      <vt:lpstr>J51 GST Rec</vt:lpstr>
      <vt:lpstr>N80 Wages  PAYGW</vt:lpstr>
      <vt:lpstr>H05 Trade Creditors</vt:lpstr>
      <vt:lpstr>H25 Bank Loan</vt:lpstr>
      <vt:lpstr>N75 Super</vt:lpstr>
      <vt:lpstr>Index</vt:lpstr>
      <vt:lpstr>Home</vt:lpstr>
      <vt:lpstr>Sheet_Named_Ranges</vt:lpstr>
      <vt:lpstr>HNSW_Summary</vt:lpstr>
      <vt:lpstr>Binder_Records</vt:lpstr>
      <vt:lpstr>Binder_Categories</vt:lpstr>
      <vt:lpstr>Taxonomy</vt:lpstr>
      <vt:lpstr>'J50 BAS Lodgements'!ATO_PeriodNos</vt:lpstr>
      <vt:lpstr>'F05 Trade Debtors'!AtRiskSensitivity</vt:lpstr>
      <vt:lpstr>'H11 Chattel Mortgage Loan'!Auto_EffectiveRate</vt:lpstr>
      <vt:lpstr>'H11 Chattel Mortgage Loan'!Auto_NominalRate</vt:lpstr>
      <vt:lpstr>BAS_Dates</vt:lpstr>
      <vt:lpstr>BAS_GST_Labels</vt:lpstr>
      <vt:lpstr>BAS_GST_Values</vt:lpstr>
      <vt:lpstr>BAS_PAYGI_Values</vt:lpstr>
      <vt:lpstr>BAS_PAYGW_Labels</vt:lpstr>
      <vt:lpstr>BAS_PAYGW_Values</vt:lpstr>
      <vt:lpstr>Binder_Properties!BinderId</vt:lpstr>
      <vt:lpstr>Binder_Properties!BinderVersion</vt:lpstr>
      <vt:lpstr>CategoryList</vt:lpstr>
      <vt:lpstr>'D08 UPE Calculator'!CategoryNamesList</vt:lpstr>
      <vt:lpstr>'G31 Div 7A Loan Calculator'!CategoryNamesList</vt:lpstr>
      <vt:lpstr>'G31 Div 7A Loan Calculator (1)'!CategoryNamesList</vt:lpstr>
      <vt:lpstr>'H11 Chattel Mortgage Loan'!CategoryNamesList</vt:lpstr>
      <vt:lpstr>'C15 Losses'!CC15_CapLoss</vt:lpstr>
      <vt:lpstr>'C15 Losses'!CC15_CapLossCF</vt:lpstr>
      <vt:lpstr>'C15 Losses'!CC15_LossCF</vt:lpstr>
      <vt:lpstr>'C15 Losses'!CC15_Losses</vt:lpstr>
      <vt:lpstr>'C05 Divs and Franking'!CC5_FrankingAccBal</vt:lpstr>
      <vt:lpstr>'C05 Divs and Franking'!CC5_OpeningFrankAcctBal</vt:lpstr>
      <vt:lpstr>Cl_ABNTFN</vt:lpstr>
      <vt:lpstr>Cl_Code</vt:lpstr>
      <vt:lpstr>Cl_Contact</vt:lpstr>
      <vt:lpstr>Cl_Email</vt:lpstr>
      <vt:lpstr>Cl_EntityType</vt:lpstr>
      <vt:lpstr>Cl_Name</vt:lpstr>
      <vt:lpstr>Cl_Phone</vt:lpstr>
      <vt:lpstr>Cl_Software</vt:lpstr>
      <vt:lpstr>Cl_SoftwarePassword</vt:lpstr>
      <vt:lpstr>Cl_SoftwareUsername</vt:lpstr>
      <vt:lpstr>'H11 Chattel Mortgage Loan'!Complete_Schedule</vt:lpstr>
      <vt:lpstr>'H11 Chattel Mortgage Loan'!CurrentLiability</vt:lpstr>
      <vt:lpstr>'N80 Wages  PAYGW'!CurrentPAYGOutstanding</vt:lpstr>
      <vt:lpstr>'H11 Chattel Mortgage Loan'!CurrentUnexpiredInterest</vt:lpstr>
      <vt:lpstr>'D03 Company Debit Loan Summary'!D03_Number_of_Directors</vt:lpstr>
      <vt:lpstr>'D03 Company Debit Loan Summary'!D03_Number_of_Loans</vt:lpstr>
      <vt:lpstr>'D08 UPE Calculator'!D08_UPEBalance</vt:lpstr>
      <vt:lpstr>Binder_Properties!DataVersion</vt:lpstr>
      <vt:lpstr>'C05 Divs and Franking'!Dividends_SelectedMethod</vt:lpstr>
      <vt:lpstr>'F05 Trade Debtors'!DoubtfulDebts_SelectedMethod</vt:lpstr>
      <vt:lpstr>'H05 Trade Creditors'!DynamicCB</vt:lpstr>
      <vt:lpstr>'F05 Trade Debtors'!DynamicCB_01</vt:lpstr>
      <vt:lpstr>'F05 Trade Debtors'!DynamicCB_02</vt:lpstr>
      <vt:lpstr>'F05 Trade Debtors'!DynamicCB_03</vt:lpstr>
      <vt:lpstr>'N80 Wages  PAYGW'!DynamicCB_1</vt:lpstr>
      <vt:lpstr>'N80 Wages  PAYGW'!DynamicCB_2</vt:lpstr>
      <vt:lpstr>'C15 Losses'!DynamicList_01</vt:lpstr>
      <vt:lpstr>'D08 UPE Calculator'!DynamicList_01</vt:lpstr>
      <vt:lpstr>'H11 Chattel Mortgage Loan'!DynamicList_01</vt:lpstr>
      <vt:lpstr>'C15 Losses'!DynamicList_02</vt:lpstr>
      <vt:lpstr>'D08 UPE Calculator'!DynamicList_02</vt:lpstr>
      <vt:lpstr>'G31 Div 7A Loan Calculator'!DynamicList_02</vt:lpstr>
      <vt:lpstr>'G31 Div 7A Loan Calculator (1)'!DynamicList_02</vt:lpstr>
      <vt:lpstr>'H11 Chattel Mortgage Loan'!DynamicList_02</vt:lpstr>
      <vt:lpstr>'C15 Losses'!DynamicList_03</vt:lpstr>
      <vt:lpstr>'G31 Div 7A Loan Calculator'!DynamicList_03</vt:lpstr>
      <vt:lpstr>'G31 Div 7A Loan Calculator (1)'!DynamicList_03</vt:lpstr>
      <vt:lpstr>'H11 Chattel Mortgage Loan'!DynamicList_03</vt:lpstr>
      <vt:lpstr>'C15 Losses'!DynamicList_04</vt:lpstr>
      <vt:lpstr>'G31 Div 7A Loan Calculator'!DynamicList_04</vt:lpstr>
      <vt:lpstr>'G31 Div 7A Loan Calculator (1)'!DynamicList_04</vt:lpstr>
      <vt:lpstr>'H11 Chattel Mortgage Loan'!DynamicList_04</vt:lpstr>
      <vt:lpstr>'C15 Losses'!DynamicList_05</vt:lpstr>
      <vt:lpstr>'G31 Div 7A Loan Calculator'!DynamicList_05</vt:lpstr>
      <vt:lpstr>'G31 Div 7A Loan Calculator (1)'!DynamicList_05</vt:lpstr>
      <vt:lpstr>'H11 Chattel Mortgage Loan'!DynamicList_05</vt:lpstr>
      <vt:lpstr>'C15 Losses'!DynamicList_06</vt:lpstr>
      <vt:lpstr>'H11 Chattel Mortgage Loan'!DynamicList_06</vt:lpstr>
      <vt:lpstr>'C15 Losses'!DynamicList_07</vt:lpstr>
      <vt:lpstr>'C15 Losses'!DynamicList_08</vt:lpstr>
      <vt:lpstr>'N80 Wages  PAYGW'!DynamicList_2</vt:lpstr>
      <vt:lpstr>'H05 Trade Creditors'!DynamicOB</vt:lpstr>
      <vt:lpstr>'F05 Trade Debtors'!DynamicOB_01</vt:lpstr>
      <vt:lpstr>'F05 Trade Debtors'!DynamicOB_02</vt:lpstr>
      <vt:lpstr>'F05 Trade Debtors'!DynamicOB_03</vt:lpstr>
      <vt:lpstr>'N80 Wages  PAYGW'!DynamicOB_1</vt:lpstr>
      <vt:lpstr>'N80 Wages  PAYGW'!DynamicOB_2</vt:lpstr>
      <vt:lpstr>'H11 Chattel Mortgage Loan'!End_of_Year_Month</vt:lpstr>
      <vt:lpstr>'H15 Inter Entity Loan'!Example</vt:lpstr>
      <vt:lpstr>'F05 Trade Debtors'!F05_GSTInDebtors</vt:lpstr>
      <vt:lpstr>'F05 Trade Debtors'!F05_ProvDoubtfulDebts</vt:lpstr>
      <vt:lpstr>'F05 Trade Debtors'!F05_TradeDebtors</vt:lpstr>
      <vt:lpstr>'F05 Trade Debtors'!F05_TradeDebtors0to90Days</vt:lpstr>
      <vt:lpstr>Firm_Manager</vt:lpstr>
      <vt:lpstr>Firm_Name</vt:lpstr>
      <vt:lpstr>Firm_Partner</vt:lpstr>
      <vt:lpstr>Firm_Preparer</vt:lpstr>
      <vt:lpstr>Firm_PreparerDate</vt:lpstr>
      <vt:lpstr>Firm_Reviewer</vt:lpstr>
      <vt:lpstr>Firm_ReviewerDate</vt:lpstr>
      <vt:lpstr>'H11 Chattel Mortgage Loan'!First_payment</vt:lpstr>
      <vt:lpstr>'CTR Company Tax Return'!FixedList.1_4_6</vt:lpstr>
      <vt:lpstr>'N80 Wages  PAYGW'!Frequency</vt:lpstr>
      <vt:lpstr>'G31 Div 7A Loan Calculator'!G31_LoanBalance</vt:lpstr>
      <vt:lpstr>'G31 Div 7A Loan Calculator (1)'!G31_LoanBalance</vt:lpstr>
      <vt:lpstr>'C50 ITA'!Go_Command.GetATOIncomeTaxAccount</vt:lpstr>
      <vt:lpstr>'H50 ICA'!Go_Command.GetATOIntegratedClientAccount</vt:lpstr>
      <vt:lpstr>'H05 Trade Creditors'!Go_Command.ImportCreditors</vt:lpstr>
      <vt:lpstr>'F05 Trade Debtors'!Go_Command.ImportDebtors</vt:lpstr>
      <vt:lpstr>'N80 Wages  PAYGW'!Go_Command.ImportWages</vt:lpstr>
      <vt:lpstr>'C05 Divs and Franking'!Go_Index</vt:lpstr>
      <vt:lpstr>'C15 Losses'!Go_Index</vt:lpstr>
      <vt:lpstr>'C50 ITA'!Go_Index</vt:lpstr>
      <vt:lpstr>'CTR Company Tax Return'!Go_Index</vt:lpstr>
      <vt:lpstr>'D03 Company Debit Loan Summary'!Go_Index</vt:lpstr>
      <vt:lpstr>'D08 UPE Calculator'!Go_Index</vt:lpstr>
      <vt:lpstr>'F05 Trade Debtors'!Go_Index</vt:lpstr>
      <vt:lpstr>'F10 Bank'!Go_Index</vt:lpstr>
      <vt:lpstr>'G31 Div 7A Loan Calculator'!Go_Index</vt:lpstr>
      <vt:lpstr>'G31 Div 7A Loan Calculator (1)'!Go_Index</vt:lpstr>
      <vt:lpstr>'H05 Trade Creditors'!Go_Index</vt:lpstr>
      <vt:lpstr>'H11 Chattel Mortgage Loan'!Go_Index</vt:lpstr>
      <vt:lpstr>'H12 Loan Summary'!Go_Index</vt:lpstr>
      <vt:lpstr>'H15 Inter Entity Loan'!Go_Index</vt:lpstr>
      <vt:lpstr>'H25 Bank Loan'!Go_Index</vt:lpstr>
      <vt:lpstr>'H25 Bank Loan (1)'!Go_Index</vt:lpstr>
      <vt:lpstr>'H50 ICA'!Go_Index</vt:lpstr>
      <vt:lpstr>'J50 BAS Lodgements'!Go_Index</vt:lpstr>
      <vt:lpstr>'J51 GST Rec'!Go_Index</vt:lpstr>
      <vt:lpstr>'N75 Super'!Go_Index</vt:lpstr>
      <vt:lpstr>'N80 Wages  PAYGW'!Go_Index</vt:lpstr>
      <vt:lpstr>'TR_1 Tax Rates'!Go_Index</vt:lpstr>
      <vt:lpstr>'Z01 Blank'!Go_Index</vt:lpstr>
      <vt:lpstr>'Z02 List'!Go_Index</vt:lpstr>
      <vt:lpstr>'C50 ITA'!Go_NetTransfersReconciliation</vt:lpstr>
      <vt:lpstr>'H50 ICA'!Go_NetTransfersReconciliation</vt:lpstr>
      <vt:lpstr>'C05 Divs and Franking'!Go_RefreshSummary</vt:lpstr>
      <vt:lpstr>'D03 Company Debit Loan Summary'!Go_RefreshSummary</vt:lpstr>
      <vt:lpstr>'D08 UPE Calculator'!Go_RefreshSummary</vt:lpstr>
      <vt:lpstr>'G31 Div 7A Loan Calculator'!Go_RefreshSummary</vt:lpstr>
      <vt:lpstr>'G31 Div 7A Loan Calculator (1)'!Go_RefreshSummary</vt:lpstr>
      <vt:lpstr>'H11 Chattel Mortgage Loan'!Go_RefreshSummary</vt:lpstr>
      <vt:lpstr>'J51 GST Rec'!Go_RollUp_0</vt:lpstr>
      <vt:lpstr>'J50 BAS Lodgements'!Go_RollUp_00</vt:lpstr>
      <vt:lpstr>'C05 Divs and Franking'!Go_RollUp_01</vt:lpstr>
      <vt:lpstr>'C50 ITA'!Go_RollUp_01</vt:lpstr>
      <vt:lpstr>'CTR Company Tax Return'!Go_RollUp_01</vt:lpstr>
      <vt:lpstr>'D08 UPE Calculator'!Go_RollUp_01</vt:lpstr>
      <vt:lpstr>'G31 Div 7A Loan Calculator'!Go_RollUp_01</vt:lpstr>
      <vt:lpstr>'G31 Div 7A Loan Calculator (1)'!Go_RollUp_01</vt:lpstr>
      <vt:lpstr>'H50 ICA'!Go_RollUp_01</vt:lpstr>
      <vt:lpstr>'J50 BAS Lodgements'!Go_RollUp_01</vt:lpstr>
      <vt:lpstr>'J51 GST Rec'!Go_RollUp_01</vt:lpstr>
      <vt:lpstr>'TR_1 Tax Rates'!Go_RollUp_01</vt:lpstr>
      <vt:lpstr>'CTR Company Tax Return'!Go_RollUp_02</vt:lpstr>
      <vt:lpstr>'D08 UPE Calculator'!Go_RollUp_02</vt:lpstr>
      <vt:lpstr>'H11 Chattel Mortgage Loan'!Go_RollUp_02</vt:lpstr>
      <vt:lpstr>'TR_1 Tax Rates'!Go_RollUp_02</vt:lpstr>
      <vt:lpstr>'C15 Losses'!Go_RollUp_03</vt:lpstr>
      <vt:lpstr>'CTR Company Tax Return'!Go_RollUp_03</vt:lpstr>
      <vt:lpstr>'D08 UPE Calculator'!Go_RollUp_03</vt:lpstr>
      <vt:lpstr>'F05 Trade Debtors'!Go_RollUp_03</vt:lpstr>
      <vt:lpstr>'F10 Bank'!Go_RollUp_03</vt:lpstr>
      <vt:lpstr>'G31 Div 7A Loan Calculator'!Go_RollUp_03</vt:lpstr>
      <vt:lpstr>'G31 Div 7A Loan Calculator (1)'!Go_RollUp_03</vt:lpstr>
      <vt:lpstr>'H05 Trade Creditors'!Go_RollUp_03</vt:lpstr>
      <vt:lpstr>'H15 Inter Entity Loan'!Go_RollUp_03</vt:lpstr>
      <vt:lpstr>'TR_1 Tax Rates'!Go_RollUp_03</vt:lpstr>
      <vt:lpstr>'C05 Divs and Franking'!Go_RollUp_04</vt:lpstr>
      <vt:lpstr>'C15 Losses'!Go_RollUp_04</vt:lpstr>
      <vt:lpstr>'CTR Company Tax Return'!Go_RollUp_04</vt:lpstr>
      <vt:lpstr>'F05 Trade Debtors'!Go_RollUp_04</vt:lpstr>
      <vt:lpstr>'F10 Bank'!Go_RollUp_04</vt:lpstr>
      <vt:lpstr>'H05 Trade Creditors'!Go_RollUp_04</vt:lpstr>
      <vt:lpstr>'TR_1 Tax Rates'!Go_RollUp_04</vt:lpstr>
      <vt:lpstr>'C05 Divs and Franking'!Go_RollUp_05</vt:lpstr>
      <vt:lpstr>'F05 Trade Debtors'!Go_RollUp_05</vt:lpstr>
      <vt:lpstr>'F10 Bank'!Go_RollUp_05</vt:lpstr>
      <vt:lpstr>'H05 Trade Creditors'!Go_RollUp_05</vt:lpstr>
      <vt:lpstr>'TR_1 Tax Rates'!Go_RollUp_05</vt:lpstr>
      <vt:lpstr>'C05 Divs and Franking'!Go_RollUp_06</vt:lpstr>
      <vt:lpstr>'F05 Trade Debtors'!Go_RollUp_06</vt:lpstr>
      <vt:lpstr>'F10 Bank'!Go_RollUp_06</vt:lpstr>
      <vt:lpstr>'G31 Div 7A Loan Calculator'!Go_RollUp_06</vt:lpstr>
      <vt:lpstr>'G31 Div 7A Loan Calculator (1)'!Go_RollUp_06</vt:lpstr>
      <vt:lpstr>'CTR Company Tax Return'!Go_RollUp_07</vt:lpstr>
      <vt:lpstr>'F10 Bank'!Go_RollUp_07</vt:lpstr>
      <vt:lpstr>'G31 Div 7A Loan Calculator'!Go_RollUp_07</vt:lpstr>
      <vt:lpstr>'G31 Div 7A Loan Calculator (1)'!Go_RollUp_07</vt:lpstr>
      <vt:lpstr>'F10 Bank'!Go_RollUp_08</vt:lpstr>
      <vt:lpstr>'N75 Super'!Go_RollUp_1</vt:lpstr>
      <vt:lpstr>'J51 GST Rec'!Go_RollUp_2</vt:lpstr>
      <vt:lpstr>'J51 GST Rec'!Go_RollUp_3</vt:lpstr>
      <vt:lpstr>'N80 Wages  PAYGW'!Go_RollUp_3</vt:lpstr>
      <vt:lpstr>'J51 GST Rec'!Go_RollUp_4</vt:lpstr>
      <vt:lpstr>'N75 Super'!Go_RollUp_4</vt:lpstr>
      <vt:lpstr>'N80 Wages  PAYGW'!Go_RollUp_4</vt:lpstr>
      <vt:lpstr>'J51 GST Rec'!Go_RollUp_5</vt:lpstr>
      <vt:lpstr>'N75 Super'!Go_RollUp_5</vt:lpstr>
      <vt:lpstr>'N80 Wages  PAYGW'!Go_RollUp_5</vt:lpstr>
      <vt:lpstr>'J51 GST Rec'!Go_RollUp_6</vt:lpstr>
      <vt:lpstr>'N75 Super'!Go_RollUp_6</vt:lpstr>
      <vt:lpstr>'N80 Wages  PAYGW'!Go_RollUp_6</vt:lpstr>
      <vt:lpstr>'N75 Super'!Go_RollUp_7</vt:lpstr>
      <vt:lpstr>'N80 Wages  PAYGW'!Go_RollUp_7</vt:lpstr>
      <vt:lpstr>'C05 Divs and Franking'!Go_ShowHideRows</vt:lpstr>
      <vt:lpstr>'D03 Company Debit Loan Summary'!Go_ShowHideRows</vt:lpstr>
      <vt:lpstr>'F05 Trade Debtors'!Go_ShowHideRows</vt:lpstr>
      <vt:lpstr>'H05 Trade Creditors'!Go_ShowHideRows</vt:lpstr>
      <vt:lpstr>'H11 Chattel Mortgage Loan'!Go_ShowHideRows</vt:lpstr>
      <vt:lpstr>'H12 Loan Summary'!Go_ShowHideRows</vt:lpstr>
      <vt:lpstr>'J50 BAS Lodgements'!Go_ShowHideRows</vt:lpstr>
      <vt:lpstr>'J51 GST Rec'!Go_ShowHideRows</vt:lpstr>
      <vt:lpstr>'D03 Company Debit Loan Summary'!Go_ShowHideRows_01</vt:lpstr>
      <vt:lpstr>'N80 Wages  PAYGW'!Go_ShowHideRows_01</vt:lpstr>
      <vt:lpstr>'F05 Trade Debtors'!Go_ShowHideRows_02</vt:lpstr>
      <vt:lpstr>'J51 GST Rec'!Go_Step1</vt:lpstr>
      <vt:lpstr>'N80 Wages  PAYGW'!Go_Step1</vt:lpstr>
      <vt:lpstr>'J51 GST Rec'!Go_Step2</vt:lpstr>
      <vt:lpstr>'N80 Wages  PAYGW'!Go_Step2</vt:lpstr>
      <vt:lpstr>'J51 GST Rec'!Go_Step3</vt:lpstr>
      <vt:lpstr>'N80 Wages  PAYGW'!Go_Step3</vt:lpstr>
      <vt:lpstr>'CTR Company Tax Return'!Go_SumRangeDetail_CC15_CapLossCF</vt:lpstr>
      <vt:lpstr>'CTR Company Tax Return'!Go_SumRangeDetail_CC15_Losses</vt:lpstr>
      <vt:lpstr>'CTR Company Tax Return'!Go_SumRangeDetail_CC15_LossesCarryForward</vt:lpstr>
      <vt:lpstr>'C15 Losses'!Go_SumRangeDetail_CC20_CapLossRecouped</vt:lpstr>
      <vt:lpstr>'N75 Super'!Go_SumRangeDetail_CC20_ClosingSuperPayable</vt:lpstr>
      <vt:lpstr>'CTR Company Tax Return'!Go_SumRangeDetail_CC20_ExemptIncome</vt:lpstr>
      <vt:lpstr>'C15 Losses'!Go_SumRangeDetail_CC20_LossesRecouped</vt:lpstr>
      <vt:lpstr>'CTR Company Tax Return'!Go_SumRangeDetail_CC20_NonDedExemptInc</vt:lpstr>
      <vt:lpstr>'N75 Super'!Go_SumRangeDetail_CC20_NonDeductibleSGC</vt:lpstr>
      <vt:lpstr>'N75 Super'!Go_SumRangeDetail_CC20_OpeningSuperPayable</vt:lpstr>
      <vt:lpstr>'CTR Company Tax Return'!Go_SumRangeDetail_CC20_ProfitThisYr</vt:lpstr>
      <vt:lpstr>'C05 Divs and Franking'!Go_SumRangeDetail_CC20_TFNWithheld</vt:lpstr>
      <vt:lpstr>'CTR Company Tax Return'!Go_SumRangeDetail_CC28_SBEAggTurnover</vt:lpstr>
      <vt:lpstr>'CTR Company Tax Return'!Go_SumRangeDetail_CC30_PayAssocPersons</vt:lpstr>
      <vt:lpstr>'CTR Company Tax Return'!Go_SumRangeDetail_CC38_EnergyIncentive</vt:lpstr>
      <vt:lpstr>'CTR Company Tax Return'!Go_SumRangeDetail_CC45_SkillsTrainingBoost</vt:lpstr>
      <vt:lpstr>'CTR Company Tax Return'!Go_SumRangeDetail_CC5_FrankingAccBal</vt:lpstr>
      <vt:lpstr>'CTR Company Tax Return'!Go_SumRangeDetail_CC5_InterimFranked</vt:lpstr>
      <vt:lpstr>'CTR Company Tax Return'!Go_SumRangeDetail_CC5_InterimUnfranked</vt:lpstr>
      <vt:lpstr>'CTR Company Tax Return'!Go_SumRangeDetail_F05_TradeDebtors</vt:lpstr>
      <vt:lpstr>'CTR Company Tax Return'!Go_SumRangeDetail_G10_AccountingDepreciation</vt:lpstr>
      <vt:lpstr>'CTR Company Tax Return'!Go_SumRangeDetail_G10_Additions</vt:lpstr>
      <vt:lpstr>'CTR Company Tax Return'!Go_SumRangeDetail_G10_GeneralPoolDepn</vt:lpstr>
      <vt:lpstr>'CTR Company Tax Return'!Go_SumRangeDetail_G15_IntangiblesNew</vt:lpstr>
      <vt:lpstr>'CTR Company Tax Return'!Go_SumRangeDetail_H05_TradeCreditors</vt:lpstr>
      <vt:lpstr>'CTR Company Tax Return'!Go_SumRangeDetail_H20_OperatingLeases</vt:lpstr>
      <vt:lpstr>'CTR Company Tax Return'!Go_SumRangeDetail_H25_Loan_1</vt:lpstr>
      <vt:lpstr>'C05 Divs and Franking'!Go_SumRangeDetail_H35_AprBASDr</vt:lpstr>
      <vt:lpstr>'C05 Divs and Franking'!Go_SumRangeDetail_H35_AugBASDr</vt:lpstr>
      <vt:lpstr>'C05 Divs and Franking'!Go_SumRangeDetail_H35_DecBASDr</vt:lpstr>
      <vt:lpstr>'C05 Divs and Franking'!Go_SumRangeDetail_H35_FebBASDr</vt:lpstr>
      <vt:lpstr>'C05 Divs and Franking'!Go_SumRangeDetail_H35_JanBASDr</vt:lpstr>
      <vt:lpstr>'C05 Divs and Franking'!Go_SumRangeDetail_H35_JulBASDr</vt:lpstr>
      <vt:lpstr>'C05 Divs and Franking'!Go_SumRangeDetail_H35_JunPrevYrBASDr</vt:lpstr>
      <vt:lpstr>'C05 Divs and Franking'!Go_SumRangeDetail_H35_MarBASDr</vt:lpstr>
      <vt:lpstr>'C05 Divs and Franking'!Go_SumRangeDetail_H35_MarPrevYrBASDr</vt:lpstr>
      <vt:lpstr>'C05 Divs and Franking'!Go_SumRangeDetail_H35_MayBASDr</vt:lpstr>
      <vt:lpstr>'C05 Divs and Franking'!Go_SumRangeDetail_H35_NovBASDr</vt:lpstr>
      <vt:lpstr>'C05 Divs and Franking'!Go_SumRangeDetail_H35_OctBASDr</vt:lpstr>
      <vt:lpstr>'CTR Company Tax Return'!Go_SumRangeDetail_H35_PAYGIRaised</vt:lpstr>
      <vt:lpstr>'C05 Divs and Franking'!Go_SumRangeDetail_H35_PrevInstPaidCr</vt:lpstr>
      <vt:lpstr>'C05 Divs and Franking'!Go_SumRangeDetail_H35_SepBASDr</vt:lpstr>
      <vt:lpstr>'C05 Divs and Franking'!Go_SumRangeDetail_H35_TaxPrevYr</vt:lpstr>
      <vt:lpstr>'J51 GST Rec'!Go_SumRangeDetail_J50_NetGST</vt:lpstr>
      <vt:lpstr>'N80 Wages  PAYGW'!Go_SumRangeDetail_J50_PAYGW2</vt:lpstr>
      <vt:lpstr>'CTR Company Tax Return'!Go_SumRangeDetail_M07_CashDistGross_Partnership</vt:lpstr>
      <vt:lpstr>'CTR Company Tax Return'!Go_SumRangeDetail_M07_CashDistGross_Trust</vt:lpstr>
      <vt:lpstr>'C05 Divs and Franking'!Go_SumRangeDetail_M10_FrankingCredits</vt:lpstr>
      <vt:lpstr>'CTR Company Tax Return'!Go_SumRangeDetail_M11_TotalDividends</vt:lpstr>
      <vt:lpstr>'CTR Company Tax Return'!Go_SumRangeDetail_M15_GrossInterestBank</vt:lpstr>
      <vt:lpstr>'CTR Company Tax Return'!Go_SumRangeDetail_M20_OtherIncome</vt:lpstr>
      <vt:lpstr>'CTR Company Tax Return'!Go_SumRangeDetail_M26_TotalIncome</vt:lpstr>
      <vt:lpstr>'CTR Company Tax Return'!Go_SumRangeDetail_M35_COGSThisYr</vt:lpstr>
      <vt:lpstr>'CTR Company Tax Return'!Go_SumRangeDetail_M35_CSThisYr</vt:lpstr>
      <vt:lpstr>'CTR Company Tax Return'!Go_SumRangeDetail_M35_OSThisYr</vt:lpstr>
      <vt:lpstr>'CTR Company Tax Return'!Go_SumRangeDetail_M35_PurchasesThisYr</vt:lpstr>
      <vt:lpstr>'CTR Company Tax Return'!Go_SumRangeDetail_M35_SalesThisYr</vt:lpstr>
      <vt:lpstr>'C05 Divs and Franking'!Go_SumRangeDetail_M5_FrankingCredits</vt:lpstr>
      <vt:lpstr>'CTR Company Tax Return'!Go_SumRangeDetail_N20_OtherExpenses</vt:lpstr>
      <vt:lpstr>'CTR Company Tax Return'!Go_SumRangeDetail_N60_RM</vt:lpstr>
      <vt:lpstr>'CTR Company Tax Return'!Go_SumRangeDetail_N75_SuperExpense</vt:lpstr>
      <vt:lpstr>'CTR Company Tax Return'!Go_SumRangeDetail_N80_Salaries</vt:lpstr>
      <vt:lpstr>'N75 Super'!Go_SumRangeDetail_N80_Salaries</vt:lpstr>
      <vt:lpstr>'CTR Company Tax Return'!Go_SumRangeDetail_TR18_CurrentYrGains</vt:lpstr>
      <vt:lpstr>'CTR Company Tax Return'!Go_SumRangeDetail_TRD1_MVHighestDedAmount</vt:lpstr>
      <vt:lpstr>'CTR Company Tax Return'!Go_SumRangeDetail_Tx_TaxableIncome</vt:lpstr>
      <vt:lpstr>'J51 GST Rec'!Go_Troubleshooting</vt:lpstr>
      <vt:lpstr>'D08 UPE Calculator'!Go_Variance</vt:lpstr>
      <vt:lpstr>'H05 Trade Creditors'!Go_Variance</vt:lpstr>
      <vt:lpstr>'J51 GST Rec'!Go_Variance</vt:lpstr>
      <vt:lpstr>'C05 Divs and Franking'!Go_Variance_01</vt:lpstr>
      <vt:lpstr>'F05 Trade Debtors'!Go_Variance_01</vt:lpstr>
      <vt:lpstr>'F10 Bank'!Go_Variance_01</vt:lpstr>
      <vt:lpstr>'G31 Div 7A Loan Calculator'!Go_Variance_01</vt:lpstr>
      <vt:lpstr>'G31 Div 7A Loan Calculator (1)'!Go_Variance_01</vt:lpstr>
      <vt:lpstr>'H25 Bank Loan'!Go_Variance_01</vt:lpstr>
      <vt:lpstr>'H25 Bank Loan (1)'!Go_Variance_01</vt:lpstr>
      <vt:lpstr>'N75 Super'!Go_Variance_01</vt:lpstr>
      <vt:lpstr>'N80 Wages  PAYGW'!Go_Variance_01</vt:lpstr>
      <vt:lpstr>'C05 Divs and Franking'!Go_Variance_02</vt:lpstr>
      <vt:lpstr>'F05 Trade Debtors'!Go_Variance_02</vt:lpstr>
      <vt:lpstr>'F10 Bank'!Go_Variance_02</vt:lpstr>
      <vt:lpstr>'N75 Super'!Go_Variance_02</vt:lpstr>
      <vt:lpstr>'N80 Wages  PAYGW'!Go_Variance_02</vt:lpstr>
      <vt:lpstr>'F10 Bank'!Go_Variance_03</vt:lpstr>
      <vt:lpstr>'F10 Bank'!Go_Variance_04</vt:lpstr>
      <vt:lpstr>'F10 Bank'!Go_Variance_05</vt:lpstr>
      <vt:lpstr>'F10 Bank'!Go_Variance_06</vt:lpstr>
      <vt:lpstr>'J51 GST Rec'!GST_TotalSales</vt:lpstr>
      <vt:lpstr>'H05 Trade Creditors'!H05_GSTInCreditors</vt:lpstr>
      <vt:lpstr>'H05 Trade Creditors'!H05_TradeCreditors</vt:lpstr>
      <vt:lpstr>'H12 Loan Summary'!H12_Number_of_Loans</vt:lpstr>
      <vt:lpstr>'H25 Bank Loan'!H25_BankFees</vt:lpstr>
      <vt:lpstr>'H25 Bank Loan (1)'!H25_BankFees</vt:lpstr>
      <vt:lpstr>'H25 Bank Loan'!H25_InterestExpense</vt:lpstr>
      <vt:lpstr>'H25 Bank Loan (1)'!H25_InterestExpense</vt:lpstr>
      <vt:lpstr>'H25 Bank Loan'!H25_Loan_1</vt:lpstr>
      <vt:lpstr>'H25 Bank Loan (1)'!H25_Loan_1</vt:lpstr>
      <vt:lpstr>'H25 Bank Loan'!H25_TotalLiability</vt:lpstr>
      <vt:lpstr>'H25 Bank Loan (1)'!H25_TotalLiability</vt:lpstr>
      <vt:lpstr>Binder_Properties!HomeVersion</vt:lpstr>
      <vt:lpstr>'H50 ICA'!ICA_AllocationList</vt:lpstr>
      <vt:lpstr>'H50 ICA'!ICA_NetTransactionAmount</vt:lpstr>
      <vt:lpstr>'H50 ICA'!ICA_NetTransfers_ITA</vt:lpstr>
      <vt:lpstr>'C05 Divs and Franking'!ImputationRate</vt:lpstr>
      <vt:lpstr>'H11 Chattel Mortgage Loan'!Int_Rate</vt:lpstr>
      <vt:lpstr>'H11 Chattel Mortgage Loan'!Int_RateDisplay</vt:lpstr>
      <vt:lpstr>'H11 Chattel Mortgage Loan'!Interest_For_Year_Ended</vt:lpstr>
      <vt:lpstr>'G31 Div 7A Loan Calculator'!Interest_Rate</vt:lpstr>
      <vt:lpstr>'G31 Div 7A Loan Calculator (1)'!Interest_Rate</vt:lpstr>
      <vt:lpstr>'C50 ITA'!ITA_AllocationList</vt:lpstr>
      <vt:lpstr>'C50 ITA'!ITA_NetTransactionAmount</vt:lpstr>
      <vt:lpstr>'C50 ITA'!ITA_NetTransfers_ICA</vt:lpstr>
      <vt:lpstr>'J50 BAS Lodgements'!J50_AprInst5A</vt:lpstr>
      <vt:lpstr>'J50 BAS Lodgements'!J50_AprInst5B</vt:lpstr>
      <vt:lpstr>'J50 BAS Lodgements'!J50_AugInst5A</vt:lpstr>
      <vt:lpstr>'J50 BAS Lodgements'!J50_AugInst5B</vt:lpstr>
      <vt:lpstr>'J50 BAS Lodgements'!J50_DecInst5A</vt:lpstr>
      <vt:lpstr>'J50 BAS Lodgements'!J50_DecInst5B</vt:lpstr>
      <vt:lpstr>'J50 BAS Lodgements'!J50_FebInst5A</vt:lpstr>
      <vt:lpstr>'J50 BAS Lodgements'!J50_FebInst5B</vt:lpstr>
      <vt:lpstr>J50_Frequency</vt:lpstr>
      <vt:lpstr>'J50 BAS Lodgements'!J50_JanInst5A</vt:lpstr>
      <vt:lpstr>'J50 BAS Lodgements'!J50_JanInst5B</vt:lpstr>
      <vt:lpstr>'J50 BAS Lodgements'!J50_JulInst5A</vt:lpstr>
      <vt:lpstr>'J50 BAS Lodgements'!J50_JulInst5B</vt:lpstr>
      <vt:lpstr>'J50 BAS Lodgements'!J50_JunInst5A</vt:lpstr>
      <vt:lpstr>'J50 BAS Lodgements'!J50_JunInst5B</vt:lpstr>
      <vt:lpstr>'J50 BAS Lodgements'!J50_MarInst5A</vt:lpstr>
      <vt:lpstr>'J50 BAS Lodgements'!J50_MarInst5B</vt:lpstr>
      <vt:lpstr>'J50 BAS Lodgements'!J50_MayInst5A</vt:lpstr>
      <vt:lpstr>'J50 BAS Lodgements'!J50_MayInst5B</vt:lpstr>
      <vt:lpstr>'J50 BAS Lodgements'!J50_NetGST</vt:lpstr>
      <vt:lpstr>'J50 BAS Lodgements'!J50_NovInst5A</vt:lpstr>
      <vt:lpstr>'J50 BAS Lodgements'!J50_NovInst5B</vt:lpstr>
      <vt:lpstr>'J50 BAS Lodgements'!J50_OctInst5A</vt:lpstr>
      <vt:lpstr>'J50 BAS Lodgements'!J50_OctInst5B</vt:lpstr>
      <vt:lpstr>'J50 BAS Lodgements'!J50_PAYGI</vt:lpstr>
      <vt:lpstr>'J50 BAS Lodgements'!J50_PAYGW2</vt:lpstr>
      <vt:lpstr>'J50 BAS Lodgements'!J50_PreYrJun5A</vt:lpstr>
      <vt:lpstr>'J50 BAS Lodgements'!J50_PreYrJun5B</vt:lpstr>
      <vt:lpstr>'J50 BAS Lodgements'!J50_SepInst5A</vt:lpstr>
      <vt:lpstr>'J50 BAS Lodgements'!J50_SepInst5B</vt:lpstr>
      <vt:lpstr>'D03 Company Debit Loan Summary'!Jurisdiction</vt:lpstr>
      <vt:lpstr>'J50 BAS Lodgements'!Jurisdiction</vt:lpstr>
      <vt:lpstr>Jurisdiction</vt:lpstr>
      <vt:lpstr>'H11 Chattel Mortgage Loan'!Loan_Amt</vt:lpstr>
      <vt:lpstr>'H11 Chattel Mortgage Loan'!Manual_NominalRate</vt:lpstr>
      <vt:lpstr>'J50 BAS Lodgements'!Model_AS.LabelW3</vt:lpstr>
      <vt:lpstr>'J50 BAS Lodgements'!Model_AS.List.DocumentId</vt:lpstr>
      <vt:lpstr>'J50 BAS Lodgements'!Model_AS.List.EndDate</vt:lpstr>
      <vt:lpstr>'J50 BAS Lodgements'!Model_AS.List.Label1A</vt:lpstr>
      <vt:lpstr>'J50 BAS Lodgements'!Model_AS.List.Label1B</vt:lpstr>
      <vt:lpstr>'J50 BAS Lodgements'!Model_AS.List.Label1C1D</vt:lpstr>
      <vt:lpstr>'J50 BAS Lodgements'!Model_AS.List.Label1E1F</vt:lpstr>
      <vt:lpstr>'J50 BAS Lodgements'!Model_AS.List.Label4</vt:lpstr>
      <vt:lpstr>'J50 BAS Lodgements'!Model_AS.List.Label5A</vt:lpstr>
      <vt:lpstr>'J50 BAS Lodgements'!Model_AS.List.Label5A5B</vt:lpstr>
      <vt:lpstr>'J50 BAS Lodgements'!Model_AS.List.Label5B</vt:lpstr>
      <vt:lpstr>'J50 BAS Lodgements'!Model_AS.List.Label6A</vt:lpstr>
      <vt:lpstr>'J50 BAS Lodgements'!Model_AS.List.Label6A6B</vt:lpstr>
      <vt:lpstr>'J50 BAS Lodgements'!Model_AS.List.Label6B</vt:lpstr>
      <vt:lpstr>'J50 BAS Lodgements'!Model_AS.List.Label7A</vt:lpstr>
      <vt:lpstr>'J50 BAS Lodgements'!Model_AS.List.Label7C</vt:lpstr>
      <vt:lpstr>'J50 BAS Lodgements'!Model_AS.List.Label7C7D</vt:lpstr>
      <vt:lpstr>'J50 BAS Lodgements'!Model_AS.List.Label7D</vt:lpstr>
      <vt:lpstr>'J50 BAS Lodgements'!Model_AS.List.LabelG1</vt:lpstr>
      <vt:lpstr>'J50 BAS Lodgements'!Model_AS.List.LabelG10</vt:lpstr>
      <vt:lpstr>'J50 BAS Lodgements'!Model_AS.List.LabelG11</vt:lpstr>
      <vt:lpstr>'J50 BAS Lodgements'!Model_AS.List.LabelG2</vt:lpstr>
      <vt:lpstr>'J50 BAS Lodgements'!Model_AS.List.LabelG3</vt:lpstr>
      <vt:lpstr>'J50 BAS Lodgements'!Model_AS.List.LabelW1</vt:lpstr>
      <vt:lpstr>'J50 BAS Lodgements'!Model_AS.List.LabelW2</vt:lpstr>
      <vt:lpstr>'J50 BAS Lodgements'!Model_AS.List.LabelW4</vt:lpstr>
      <vt:lpstr>'J50 BAS Lodgements'!Model_AS.List.RevisionIndicator</vt:lpstr>
      <vt:lpstr>'J50 BAS Lodgements'!Model_AS.List.StartDate</vt:lpstr>
      <vt:lpstr>'C50 ITA'!Model_CATS.List.AdjRoleCode</vt:lpstr>
      <vt:lpstr>'H50 ICA'!Model_CATS.List.AdjRoleCode</vt:lpstr>
      <vt:lpstr>'C50 ITA'!Model_CATS.List.Credit</vt:lpstr>
      <vt:lpstr>'H50 ICA'!Model_CATS.List.Credit</vt:lpstr>
      <vt:lpstr>'C50 ITA'!Model_CATS.List.Debit</vt:lpstr>
      <vt:lpstr>'H50 ICA'!Model_CATS.List.Debit</vt:lpstr>
      <vt:lpstr>'C50 ITA'!Model_CATS.List.Description</vt:lpstr>
      <vt:lpstr>'H50 ICA'!Model_CATS.List.Description</vt:lpstr>
      <vt:lpstr>'C50 ITA'!Model_CATS.List.EffectiveDate</vt:lpstr>
      <vt:lpstr>'H50 ICA'!Model_CATS.List.EffectiveDate</vt:lpstr>
      <vt:lpstr>'C50 ITA'!Model_CATS.List.GroupingCode</vt:lpstr>
      <vt:lpstr>'H50 ICA'!Model_CATS.List.GroupingCode</vt:lpstr>
      <vt:lpstr>'C50 ITA'!Model_CATS.List.LinkedTransactionId</vt:lpstr>
      <vt:lpstr>'H50 ICA'!Model_CATS.List.LinkedTransactionId</vt:lpstr>
      <vt:lpstr>'C50 ITA'!Model_CATS.List.ProcessDate</vt:lpstr>
      <vt:lpstr>'H50 ICA'!Model_CATS.List.ProcessDate</vt:lpstr>
      <vt:lpstr>'C50 ITA'!Model_CATS.List.RoleCode</vt:lpstr>
      <vt:lpstr>'H50 ICA'!Model_CATS.List.RoleCode</vt:lpstr>
      <vt:lpstr>'C50 ITA'!Model_CATS.List.RunningBalance</vt:lpstr>
      <vt:lpstr>'H50 ICA'!Model_CATS.List.RunningBalance</vt:lpstr>
      <vt:lpstr>'C05 Divs and Franking'!Model_Creditors.Balances.Balance</vt:lpstr>
      <vt:lpstr>'H05 Trade Creditors'!Model_Creditors.Balances.Balance</vt:lpstr>
      <vt:lpstr>'H05 Trade Creditors'!Model_Creditors.Balances.Band30Days</vt:lpstr>
      <vt:lpstr>'H05 Trade Creditors'!Model_Creditors.Balances.Band60Days</vt:lpstr>
      <vt:lpstr>'H05 Trade Creditors'!Model_Creditors.Balances.Band90Days</vt:lpstr>
      <vt:lpstr>'H05 Trade Creditors'!Model_Creditors.Balances.Band90PlusDays</vt:lpstr>
      <vt:lpstr>'F05 Trade Debtors'!Model_Creditors.Balances.Detail</vt:lpstr>
      <vt:lpstr>'H05 Trade Creditors'!Model_Creditors.Balances.Detail</vt:lpstr>
      <vt:lpstr>'H05 Trade Creditors'!Model_Creditors.Balances.ForeignCurrency</vt:lpstr>
      <vt:lpstr>'H05 Trade Creditors'!Model_Creditors.Balances.ForeignCurrencyRate</vt:lpstr>
      <vt:lpstr>'H05 Trade Creditors'!Model_Creditors.Balances.Reference</vt:lpstr>
      <vt:lpstr>'F05 Trade Debtors'!Model_Debtors.Balances.Balance</vt:lpstr>
      <vt:lpstr>'F05 Trade Debtors'!Model_Debtors.Balances.Band30Days</vt:lpstr>
      <vt:lpstr>'F05 Trade Debtors'!Model_Debtors.Balances.Band60Days</vt:lpstr>
      <vt:lpstr>'F05 Trade Debtors'!Model_Debtors.Balances.Band90Days</vt:lpstr>
      <vt:lpstr>'F05 Trade Debtors'!Model_Debtors.Balances.Band90PlusDays</vt:lpstr>
      <vt:lpstr>'F05 Trade Debtors'!Model_Debtors.Balances.Detail</vt:lpstr>
      <vt:lpstr>'F05 Trade Debtors'!Model_Debtors.Balances.ForeignCurrency</vt:lpstr>
      <vt:lpstr>'F05 Trade Debtors'!Model_Debtors.Balances.ForeignCurrencyRate</vt:lpstr>
      <vt:lpstr>'F05 Trade Debtors'!Model_Debtors.Balances.Reference</vt:lpstr>
      <vt:lpstr>'N80 Wages  PAYGW'!Model_WageAccounts.Accounts.AccountNoName</vt:lpstr>
      <vt:lpstr>'N80 Wages  PAYGW'!Model_WageAccounts.Accounts.BalanceFormula</vt:lpstr>
      <vt:lpstr>'N80 Wages  PAYGW'!Model1_Wages.Gross</vt:lpstr>
      <vt:lpstr>'N75 Super'!Model1_Wages.Super</vt:lpstr>
      <vt:lpstr>'N80 Wages  PAYGW'!Model1_Wages.Tax</vt:lpstr>
      <vt:lpstr>'N80 Wages  PAYGW'!Model10_Wages.Gross</vt:lpstr>
      <vt:lpstr>'N75 Super'!Model10_Wages.Super</vt:lpstr>
      <vt:lpstr>'N80 Wages  PAYGW'!Model10_Wages.Tax</vt:lpstr>
      <vt:lpstr>'N80 Wages  PAYGW'!Model11_Wages.Gross</vt:lpstr>
      <vt:lpstr>'N75 Super'!Model11_Wages.Super</vt:lpstr>
      <vt:lpstr>'N80 Wages  PAYGW'!Model11_Wages.Tax</vt:lpstr>
      <vt:lpstr>'N80 Wages  PAYGW'!Model12_Wages.Gross</vt:lpstr>
      <vt:lpstr>'N75 Super'!Model12_Wages.Super</vt:lpstr>
      <vt:lpstr>'N80 Wages  PAYGW'!Model12_Wages.Tax</vt:lpstr>
      <vt:lpstr>'N80 Wages  PAYGW'!Model2_Wages.Gross</vt:lpstr>
      <vt:lpstr>'N75 Super'!Model2_Wages.Super</vt:lpstr>
      <vt:lpstr>'N80 Wages  PAYGW'!Model2_Wages.Tax</vt:lpstr>
      <vt:lpstr>'N80 Wages  PAYGW'!Model3_Wages.Gross</vt:lpstr>
      <vt:lpstr>'N75 Super'!Model3_Wages.Super</vt:lpstr>
      <vt:lpstr>'N80 Wages  PAYGW'!Model3_Wages.Tax</vt:lpstr>
      <vt:lpstr>'N80 Wages  PAYGW'!Model4_Wages.Gross</vt:lpstr>
      <vt:lpstr>'N75 Super'!Model4_Wages.Super</vt:lpstr>
      <vt:lpstr>'N80 Wages  PAYGW'!Model4_Wages.Tax</vt:lpstr>
      <vt:lpstr>'N80 Wages  PAYGW'!Model5_Wages.Gross</vt:lpstr>
      <vt:lpstr>'N75 Super'!Model5_Wages.Super</vt:lpstr>
      <vt:lpstr>'N80 Wages  PAYGW'!Model5_Wages.Tax</vt:lpstr>
      <vt:lpstr>'N80 Wages  PAYGW'!Model6_Wages.Gross</vt:lpstr>
      <vt:lpstr>'N75 Super'!Model6_Wages.Super</vt:lpstr>
      <vt:lpstr>'N80 Wages  PAYGW'!Model6_Wages.Tax</vt:lpstr>
      <vt:lpstr>'N80 Wages  PAYGW'!Model7_Wages.Gross</vt:lpstr>
      <vt:lpstr>'N75 Super'!Model7_Wages.Super</vt:lpstr>
      <vt:lpstr>'N80 Wages  PAYGW'!Model7_Wages.Tax</vt:lpstr>
      <vt:lpstr>'N80 Wages  PAYGW'!Model8_Wages.Gross</vt:lpstr>
      <vt:lpstr>'N75 Super'!Model8_Wages.Super</vt:lpstr>
      <vt:lpstr>'N80 Wages  PAYGW'!Model8_Wages.Tax</vt:lpstr>
      <vt:lpstr>'N80 Wages  PAYGW'!Model9_Wages.Gross</vt:lpstr>
      <vt:lpstr>'N75 Super'!Model9_Wages.Super</vt:lpstr>
      <vt:lpstr>'N80 Wages  PAYGW'!Model9_Wages.Tax</vt:lpstr>
      <vt:lpstr>'N80 Wages  PAYGW'!Multiplier</vt:lpstr>
      <vt:lpstr>'N75 Super'!N75_ClosingSuperPayable</vt:lpstr>
      <vt:lpstr>'N75 Super'!N75_DeductibleSuperExpense</vt:lpstr>
      <vt:lpstr>'N75 Super'!N75_NonDeductibleSGC</vt:lpstr>
      <vt:lpstr>'N75 Super'!N75_OpeningSuperPayable</vt:lpstr>
      <vt:lpstr>'N75 Super'!N75_SuperExpense</vt:lpstr>
      <vt:lpstr>'N75 Super'!N75_SuperPaid</vt:lpstr>
      <vt:lpstr>'N80 Wages  PAYGW'!N80_PayrollWages</vt:lpstr>
      <vt:lpstr>'N80 Wages  PAYGW'!N80_Salaries</vt:lpstr>
      <vt:lpstr>'H11 Chattel Mortgage Loan'!NetCurrentLiability</vt:lpstr>
      <vt:lpstr>'H11 Chattel Mortgage Loan'!NetNonCurrentLiability</vt:lpstr>
      <vt:lpstr>'H11 Chattel Mortgage Loan'!No_Regular_Payments</vt:lpstr>
      <vt:lpstr>'H11 Chattel Mortgage Loan'!NonCurrentLiability</vt:lpstr>
      <vt:lpstr>'H11 Chattel Mortgage Loan'!NonCurrentUnexpiredInterest</vt:lpstr>
      <vt:lpstr>'H11 Chattel Mortgage Loan'!Number_Payments</vt:lpstr>
      <vt:lpstr>Options_Tolerance</vt:lpstr>
      <vt:lpstr>'H11 Chattel Mortgage Loan'!Pay_No</vt:lpstr>
      <vt:lpstr>'H11 Chattel Mortgage Loan'!Payment_Frequency</vt:lpstr>
      <vt:lpstr>'N80 Wages  PAYGW'!Payroll_Tax_Registration</vt:lpstr>
      <vt:lpstr>'N80 Wages  PAYGW'!Payroll_Threshold_Lookup</vt:lpstr>
      <vt:lpstr>PeriodEndDate</vt:lpstr>
      <vt:lpstr>'H11 Chattel Mortgage Loan'!Periodic_Admin_Charge</vt:lpstr>
      <vt:lpstr>PeriodStartDate</vt:lpstr>
      <vt:lpstr>PrimaryBalances</vt:lpstr>
      <vt:lpstr>'C05 Divs and Franking'!Print_Area</vt:lpstr>
      <vt:lpstr>'C15 Losses'!Print_Area</vt:lpstr>
      <vt:lpstr>'C50 ITA'!Print_Area</vt:lpstr>
      <vt:lpstr>'CTR Company Tax Return'!Print_Area</vt:lpstr>
      <vt:lpstr>'D08 UPE Calculator'!Print_Area</vt:lpstr>
      <vt:lpstr>'F05 Trade Debtors'!Print_Area</vt:lpstr>
      <vt:lpstr>'F10 Bank'!Print_Area</vt:lpstr>
      <vt:lpstr>'G31 Div 7A Loan Calculator'!Print_Area</vt:lpstr>
      <vt:lpstr>'G31 Div 7A Loan Calculator (1)'!Print_Area</vt:lpstr>
      <vt:lpstr>'H05 Trade Creditors'!Print_Area</vt:lpstr>
      <vt:lpstr>'H12 Loan Summary'!Print_Area</vt:lpstr>
      <vt:lpstr>'H15 Inter Entity Loan'!Print_Area</vt:lpstr>
      <vt:lpstr>'H25 Bank Loan'!Print_Area</vt:lpstr>
      <vt:lpstr>'H25 Bank Loan (1)'!Print_Area</vt:lpstr>
      <vt:lpstr>'H50 ICA'!Print_Area</vt:lpstr>
      <vt:lpstr>'J50 BAS Lodgements'!Print_Area</vt:lpstr>
      <vt:lpstr>'J51 GST Rec'!Print_Area</vt:lpstr>
      <vt:lpstr>'N75 Super'!Print_Area</vt:lpstr>
      <vt:lpstr>'N80 Wages  PAYGW'!Print_Area</vt:lpstr>
      <vt:lpstr>'Z01 Blank'!Print_Area</vt:lpstr>
      <vt:lpstr>'Z02 List'!Print_Area</vt:lpstr>
      <vt:lpstr>'D08 UPE Calculator'!Print_Titles</vt:lpstr>
      <vt:lpstr>'F10 Bank'!Print_Titles</vt:lpstr>
      <vt:lpstr>'J50 BAS Lodgements'!Print_Titles</vt:lpstr>
      <vt:lpstr>'J51 GST Rec'!Print_Titles</vt:lpstr>
      <vt:lpstr>'N75 Super'!Print_Titles</vt:lpstr>
      <vt:lpstr>'N80 Wages  PAYGW'!Print_Titles</vt:lpstr>
      <vt:lpstr>Rates_BenchmarkInt</vt:lpstr>
      <vt:lpstr>Rates_Carparking</vt:lpstr>
      <vt:lpstr>Rates_DeemedDepDate1</vt:lpstr>
      <vt:lpstr>Rates_DeemedDepDate2</vt:lpstr>
      <vt:lpstr>Rates_DeemedDepDate3</vt:lpstr>
      <vt:lpstr>Rates_DeemedDepDate4</vt:lpstr>
      <vt:lpstr>Rates_DeemedDepRate1</vt:lpstr>
      <vt:lpstr>Rates_DeemedDepRate2</vt:lpstr>
      <vt:lpstr>Rates_DeemedDepRate3</vt:lpstr>
      <vt:lpstr>Rates_FBTRate</vt:lpstr>
      <vt:lpstr>Rates_Indexation_ACT</vt:lpstr>
      <vt:lpstr>Rates_Indexation_NSW</vt:lpstr>
      <vt:lpstr>Rates_Indexation_NT</vt:lpstr>
      <vt:lpstr>Rates_Indexation_QLD</vt:lpstr>
      <vt:lpstr>Rates_Indexation_SA</vt:lpstr>
      <vt:lpstr>Rates_Indexation_TAS</vt:lpstr>
      <vt:lpstr>Rates_Indexation_VIC</vt:lpstr>
      <vt:lpstr>Rates_Indexation_WA</vt:lpstr>
      <vt:lpstr>Rates_MC</vt:lpstr>
      <vt:lpstr>Rates_MV1</vt:lpstr>
      <vt:lpstr>Rates_MV2</vt:lpstr>
      <vt:lpstr>Rates_Rebate</vt:lpstr>
      <vt:lpstr>Rates_Type1</vt:lpstr>
      <vt:lpstr>Rates_Type2</vt:lpstr>
      <vt:lpstr>'H05 Trade Creditors'!Reconcile_AccountsPayable</vt:lpstr>
      <vt:lpstr>'F05 Trade Debtors'!Reconcile_AccountsReceivable</vt:lpstr>
      <vt:lpstr>'H50 ICA'!Reconcile_Asset_ICAReceivable</vt:lpstr>
      <vt:lpstr>'C50 ITA'!Reconcile_Asset_ITAReceivable</vt:lpstr>
      <vt:lpstr>'F10 Bank'!Reconcile_BankAccount1</vt:lpstr>
      <vt:lpstr>'F10 Bank'!Reconcile_BankAccount2</vt:lpstr>
      <vt:lpstr>'F10 Bank'!Reconcile_BankAccount3</vt:lpstr>
      <vt:lpstr>'F10 Bank'!Reconcile_BankAccount4</vt:lpstr>
      <vt:lpstr>'F10 Bank'!Reconcile_BankAccount5</vt:lpstr>
      <vt:lpstr>'F10 Bank'!Reconcile_BankAccount6</vt:lpstr>
      <vt:lpstr>'H11 Chattel Mortgage Loan'!Reconcile_CurrentLiability</vt:lpstr>
      <vt:lpstr>'H11 Chattel Mortgage Loan'!Reconcile_CurrentUnexpiredInterest</vt:lpstr>
      <vt:lpstr>'D03 Company Debit Loan Summary'!Reconcile_Director1LoanBalance</vt:lpstr>
      <vt:lpstr>'D03 Company Debit Loan Summary'!Reconcile_Director2LoanBalance</vt:lpstr>
      <vt:lpstr>'D03 Company Debit Loan Summary'!Reconcile_Director3LoanBalance</vt:lpstr>
      <vt:lpstr>'D03 Company Debit Loan Summary'!Reconcile_Div7AClosingBalance</vt:lpstr>
      <vt:lpstr>'C05 Divs and Franking'!Reconcile_DivsDeclared</vt:lpstr>
      <vt:lpstr>'C05 Divs and Franking'!Reconcile_DivsPayable</vt:lpstr>
      <vt:lpstr>'N75 Super'!Reconcile_Expense_SuperExpense</vt:lpstr>
      <vt:lpstr>'J51 GST Rec'!Reconcile_GSTPayable</vt:lpstr>
      <vt:lpstr>'H11 Chattel Mortgage Loan'!Reconcile_InterestExpense</vt:lpstr>
      <vt:lpstr>'H50 ICA'!Reconcile_Liability_ICAPayable</vt:lpstr>
      <vt:lpstr>'C50 ITA'!Reconcile_Liability_ITAPayable</vt:lpstr>
      <vt:lpstr>'N80 Wages  PAYGW'!Reconcile_Liability_PAYGWithholding</vt:lpstr>
      <vt:lpstr>'N75 Super'!Reconcile_Liability_SuperPayable</vt:lpstr>
      <vt:lpstr>'H25 Bank Loan'!Reconcile_Loan1</vt:lpstr>
      <vt:lpstr>'H25 Bank Loan (1)'!Reconcile_Loan1</vt:lpstr>
      <vt:lpstr>'G31 Div 7A Loan Calculator'!Reconcile_LoanBalance</vt:lpstr>
      <vt:lpstr>'G31 Div 7A Loan Calculator (1)'!Reconcile_LoanBalance</vt:lpstr>
      <vt:lpstr>'H11 Chattel Mortgage Loan'!Reconcile_NetCurrentLiability</vt:lpstr>
      <vt:lpstr>'H11 Chattel Mortgage Loan'!Reconcile_NetNonCurrentLiability</vt:lpstr>
      <vt:lpstr>'H11 Chattel Mortgage Loan'!Reconcile_NonCurrentLiability</vt:lpstr>
      <vt:lpstr>'H11 Chattel Mortgage Loan'!Reconcile_NonCurrentUnexpiredInterest</vt:lpstr>
      <vt:lpstr>'F05 Trade Debtors'!Reconcile_ProvisionForDoubtfulDebts</vt:lpstr>
      <vt:lpstr>'H12 Loan Summary'!Reconcile_Summary_CurrentLiability</vt:lpstr>
      <vt:lpstr>'H12 Loan Summary'!Reconcile_Summary_CurrentUnexpiredInterest</vt:lpstr>
      <vt:lpstr>'H12 Loan Summary'!Reconcile_Summary_InterestExpense</vt:lpstr>
      <vt:lpstr>'H12 Loan Summary'!Reconcile_Summary_NonCurrentLiability</vt:lpstr>
      <vt:lpstr>'H12 Loan Summary'!Reconcile_Summary_NonCurrentUnexpiredInterest</vt:lpstr>
      <vt:lpstr>'H12 Loan Summary'!Reconcile_Summary_TotalLiability</vt:lpstr>
      <vt:lpstr>'H12 Loan Summary'!Reconcile_Summary_TotalUnexpiredInterest</vt:lpstr>
      <vt:lpstr>'D03 Company Debit Loan Summary'!Reconcile_TotalClosingBalance</vt:lpstr>
      <vt:lpstr>'H11 Chattel Mortgage Loan'!Reconcile_TotalLiability</vt:lpstr>
      <vt:lpstr>'H11 Chattel Mortgage Loan'!Reconcile_TotalNetLiability</vt:lpstr>
      <vt:lpstr>'H11 Chattel Mortgage Loan'!Reconcile_TotalUnexpiredInterest</vt:lpstr>
      <vt:lpstr>'D08 UPE Calculator'!Reconcile_UPEBalance</vt:lpstr>
      <vt:lpstr>'D03 Company Debit Loan Summary'!Reconcile_UPEClosingBalance</vt:lpstr>
      <vt:lpstr>'N80 Wages  PAYGW'!ReconcileStatus_Expense_WagesExpense</vt:lpstr>
      <vt:lpstr>RecordInfo.RecordId</vt:lpstr>
      <vt:lpstr>RecordInfo.RecordTitle</vt:lpstr>
      <vt:lpstr>RecordInfo.SheetId</vt:lpstr>
      <vt:lpstr>RecordInfo.Tolerances</vt:lpstr>
      <vt:lpstr>'H11 Chattel Mortgage Loan'!Repay_Amt</vt:lpstr>
      <vt:lpstr>'J50 BAS Lodgements'!SelectedFrequency</vt:lpstr>
      <vt:lpstr>'J51 GST Rec'!SelectedFrequency</vt:lpstr>
      <vt:lpstr>SheetNamedRangesNames</vt:lpstr>
      <vt:lpstr>SheetNamedRangesSheetName</vt:lpstr>
      <vt:lpstr>SheetNamedRangesValues</vt:lpstr>
      <vt:lpstr>'C05 Divs and Franking'!SingleCB</vt:lpstr>
      <vt:lpstr>'C15 Losses'!SingleCB_01</vt:lpstr>
      <vt:lpstr>'C50 ITA'!SingleCB_01</vt:lpstr>
      <vt:lpstr>'D08 UPE Calculator'!SingleCB_01</vt:lpstr>
      <vt:lpstr>'H50 ICA'!SingleCB_01</vt:lpstr>
      <vt:lpstr>'C15 Losses'!SingleCB_02</vt:lpstr>
      <vt:lpstr>'D08 UPE Calculator'!SingleCB_02</vt:lpstr>
      <vt:lpstr>'D08 UPE Calculator'!SingleCB_03</vt:lpstr>
      <vt:lpstr>'G31 Div 7A Loan Calculator'!SingleCB_1</vt:lpstr>
      <vt:lpstr>'G31 Div 7A Loan Calculator (1)'!SingleCB_1</vt:lpstr>
      <vt:lpstr>'H25 Bank Loan'!SingleCB_1</vt:lpstr>
      <vt:lpstr>'H25 Bank Loan (1)'!SingleCB_1</vt:lpstr>
      <vt:lpstr>'J51 GST Rec'!SingleCB_1</vt:lpstr>
      <vt:lpstr>'N75 Super'!SingleCB_1</vt:lpstr>
      <vt:lpstr>'N80 Wages  PAYGW'!SingleCB_1</vt:lpstr>
      <vt:lpstr>'J51 GST Rec'!SingleCB_2</vt:lpstr>
      <vt:lpstr>'J51 GST Rec'!SingleCB_3</vt:lpstr>
      <vt:lpstr>'J51 GST Rec'!SingleCB_4</vt:lpstr>
      <vt:lpstr>'J51 GST Rec'!SingleCB_5</vt:lpstr>
      <vt:lpstr>'G31 Div 7A Loan Calculator'!SingleCB_6</vt:lpstr>
      <vt:lpstr>'G31 Div 7A Loan Calculator (1)'!SingleCB_6</vt:lpstr>
      <vt:lpstr>'J51 GST Rec'!SingleCB_6</vt:lpstr>
      <vt:lpstr>'J51 GST Rec'!SingleCB_7</vt:lpstr>
      <vt:lpstr>'J51 GST Rec'!SingleCB_8</vt:lpstr>
      <vt:lpstr>'C05 Divs and Franking'!SingleOB</vt:lpstr>
      <vt:lpstr>'C15 Losses'!SingleOB_01</vt:lpstr>
      <vt:lpstr>'C50 ITA'!SingleOB_01</vt:lpstr>
      <vt:lpstr>'D08 UPE Calculator'!SingleOB_01</vt:lpstr>
      <vt:lpstr>'H50 ICA'!SingleOB_01</vt:lpstr>
      <vt:lpstr>'C15 Losses'!SingleOB_02</vt:lpstr>
      <vt:lpstr>'D08 UPE Calculator'!SingleOB_02</vt:lpstr>
      <vt:lpstr>'D08 UPE Calculator'!SingleOB_03</vt:lpstr>
      <vt:lpstr>'G31 Div 7A Loan Calculator'!SingleOB_1</vt:lpstr>
      <vt:lpstr>'G31 Div 7A Loan Calculator (1)'!SingleOB_1</vt:lpstr>
      <vt:lpstr>'H25 Bank Loan'!SingleOB_1</vt:lpstr>
      <vt:lpstr>'H25 Bank Loan (1)'!SingleOB_1</vt:lpstr>
      <vt:lpstr>'J51 GST Rec'!SingleOB_1</vt:lpstr>
      <vt:lpstr>'N75 Super'!SingleOB_1</vt:lpstr>
      <vt:lpstr>'N80 Wages  PAYGW'!SingleOB_1</vt:lpstr>
      <vt:lpstr>'G31 Div 7A Loan Calculator'!SingleOB_2</vt:lpstr>
      <vt:lpstr>'G31 Div 7A Loan Calculator (1)'!SingleOB_2</vt:lpstr>
      <vt:lpstr>'J51 GST Rec'!SingleOB_2</vt:lpstr>
      <vt:lpstr>'J51 GST Rec'!SingleOB_3</vt:lpstr>
      <vt:lpstr>'J51 GST Rec'!SingleOB_4</vt:lpstr>
      <vt:lpstr>'J51 GST Rec'!SingleOB_5</vt:lpstr>
      <vt:lpstr>'G31 Div 7A Loan Calculator'!SingleOB_6</vt:lpstr>
      <vt:lpstr>'G31 Div 7A Loan Calculator (1)'!SingleOB_6</vt:lpstr>
      <vt:lpstr>'J51 GST Rec'!SingleOB_6</vt:lpstr>
      <vt:lpstr>'J51 GST Rec'!SingleOB_7</vt:lpstr>
      <vt:lpstr>'J51 GST Rec'!SingleOB_8</vt:lpstr>
      <vt:lpstr>'H11 Chattel Mortgage Loan'!Start_Date</vt:lpstr>
      <vt:lpstr>'H11 Chattel Mortgage Loan'!Summary_table</vt:lpstr>
      <vt:lpstr>Tax_BaseRateEntity</vt:lpstr>
      <vt:lpstr>Tax_SmallBusinessEntity</vt:lpstr>
      <vt:lpstr>Tax_Year</vt:lpstr>
      <vt:lpstr>TaxRates_CoTaxRate</vt:lpstr>
      <vt:lpstr>TaxRates_DependantDailyRate</vt:lpstr>
      <vt:lpstr>TaxRates_ForeignInc1a</vt:lpstr>
      <vt:lpstr>TaxRates_ForeignInc1b</vt:lpstr>
      <vt:lpstr>TaxRates_ForeignInc2a</vt:lpstr>
      <vt:lpstr>TaxRates_ForeignInc2b</vt:lpstr>
      <vt:lpstr>TaxRates_ForeignInc3</vt:lpstr>
      <vt:lpstr>TaxRates_ForeignRate1</vt:lpstr>
      <vt:lpstr>TaxRates_ForeignRate2</vt:lpstr>
      <vt:lpstr>TaxRates_ForeignRate3</vt:lpstr>
      <vt:lpstr>TaxRates_ForeignTax1</vt:lpstr>
      <vt:lpstr>TaxRates_ForeignTax2</vt:lpstr>
      <vt:lpstr>TaxRates_HelpLower</vt:lpstr>
      <vt:lpstr>TaxRates_HelpRates</vt:lpstr>
      <vt:lpstr>TaxRates_HelpUpper</vt:lpstr>
      <vt:lpstr>TaxRates_InvalidOffset</vt:lpstr>
      <vt:lpstr>TaxRates_InvalidOffsetMaxATI</vt:lpstr>
      <vt:lpstr>TaxRates_LITOLowerInc</vt:lpstr>
      <vt:lpstr>TaxRates_LITOLowerRate</vt:lpstr>
      <vt:lpstr>TaxRates_LITOLowerRates</vt:lpstr>
      <vt:lpstr>TaxRates_LITOMidInc1</vt:lpstr>
      <vt:lpstr>TaxRates_LITOMidInc2</vt:lpstr>
      <vt:lpstr>TaxRates_LITOMidInc3</vt:lpstr>
      <vt:lpstr>TaxRates_LITOMidInc4</vt:lpstr>
      <vt:lpstr>TaxRates_LITOMidInc5</vt:lpstr>
      <vt:lpstr>TaxRates_LITOMidRate</vt:lpstr>
      <vt:lpstr>TaxRates_LITOMidRate2</vt:lpstr>
      <vt:lpstr>TaxRates_LMITOLowerInc</vt:lpstr>
      <vt:lpstr>TaxRates_LMITOLowerRates</vt:lpstr>
      <vt:lpstr>TaxRates_LMITOMidInc1</vt:lpstr>
      <vt:lpstr>TaxRates_LMITOMidInc2</vt:lpstr>
      <vt:lpstr>TaxRates_LMITOMidInc3</vt:lpstr>
      <vt:lpstr>TaxRates_LMITOMidInc4</vt:lpstr>
      <vt:lpstr>TaxRates_LMITOMidInc5</vt:lpstr>
      <vt:lpstr>TaxRates_LMITOMidInc6</vt:lpstr>
      <vt:lpstr>TaxRates_LMITOMidRates1</vt:lpstr>
      <vt:lpstr>TaxRates_LMITOMidRates2</vt:lpstr>
      <vt:lpstr>TaxRates_LMITOMidRates3</vt:lpstr>
      <vt:lpstr>TaxRates_MCareLowerInc</vt:lpstr>
      <vt:lpstr>TaxRates_MCareLowerPercentage</vt:lpstr>
      <vt:lpstr>TaxRates_MCareMidInc1</vt:lpstr>
      <vt:lpstr>TaxRates_MCareMidInc2</vt:lpstr>
      <vt:lpstr>TaxRates_MCareMidPercentage</vt:lpstr>
      <vt:lpstr>TaxRates_MCareUpperInc</vt:lpstr>
      <vt:lpstr>TaxRates_MCareUpperPercentage</vt:lpstr>
      <vt:lpstr>TaxRates_MinorInc1</vt:lpstr>
      <vt:lpstr>TaxRates_MinorInc2a</vt:lpstr>
      <vt:lpstr>TaxRates_MinorInc2b</vt:lpstr>
      <vt:lpstr>TaxRates_MinorInc3</vt:lpstr>
      <vt:lpstr>TaxRates_MinorRate1</vt:lpstr>
      <vt:lpstr>TaxRates_MinorRate2</vt:lpstr>
      <vt:lpstr>TaxRates_MinorRate3</vt:lpstr>
      <vt:lpstr>TaxRates_MinorTax1</vt:lpstr>
      <vt:lpstr>TaxRates_MinorTax2</vt:lpstr>
      <vt:lpstr>TaxRates_NonResMinorInc1</vt:lpstr>
      <vt:lpstr>TaxRates_NonResMinorInc2a</vt:lpstr>
      <vt:lpstr>TaxRates_NonResMinorInc2b</vt:lpstr>
      <vt:lpstr>TaxRates_NonResMinorInc3</vt:lpstr>
      <vt:lpstr>TaxRates_NonResMinorRate1</vt:lpstr>
      <vt:lpstr>TaxRates_NonResMinorRate2</vt:lpstr>
      <vt:lpstr>TaxRates_NonResMinorRate3</vt:lpstr>
      <vt:lpstr>TaxRates_NonResPersonalInc1</vt:lpstr>
      <vt:lpstr>TaxRates_NonResPersonalInc2a</vt:lpstr>
      <vt:lpstr>TaxRates_NonResPersonalInc2b</vt:lpstr>
      <vt:lpstr>TaxRates_NonResPersonalInc3</vt:lpstr>
      <vt:lpstr>TaxRates_NonResPersonalRate1</vt:lpstr>
      <vt:lpstr>TaxRates_NonResPersonalRate2</vt:lpstr>
      <vt:lpstr>TaxRates_NonResPersonalRate3</vt:lpstr>
      <vt:lpstr>TaxRates_PersonalInc1</vt:lpstr>
      <vt:lpstr>TaxRates_PersonalInc2a</vt:lpstr>
      <vt:lpstr>TaxRates_PersonalInc2b</vt:lpstr>
      <vt:lpstr>TaxRates_PersonalInc3a</vt:lpstr>
      <vt:lpstr>TaxRates_PersonalInc3b</vt:lpstr>
      <vt:lpstr>TaxRates_PersonalInc4a</vt:lpstr>
      <vt:lpstr>TaxRates_PersonalInc4b</vt:lpstr>
      <vt:lpstr>TaxRates_PersonalInc5</vt:lpstr>
      <vt:lpstr>TaxRates_PersonalRate1</vt:lpstr>
      <vt:lpstr>TaxRates_PersonalRate2</vt:lpstr>
      <vt:lpstr>TaxRates_PersonalRate3</vt:lpstr>
      <vt:lpstr>TaxRates_PersonalRate4</vt:lpstr>
      <vt:lpstr>TaxRates_PersonalRate5</vt:lpstr>
      <vt:lpstr>TaxRates_PersonalTax2</vt:lpstr>
      <vt:lpstr>TaxRates_PersonalTax3</vt:lpstr>
      <vt:lpstr>TaxRates_PersonalTax4</vt:lpstr>
      <vt:lpstr>TaxRates_SBECoTaxRate</vt:lpstr>
      <vt:lpstr>TaxRates_SBEMaxOffset</vt:lpstr>
      <vt:lpstr>TaxRates_SBEMaxTurnover</vt:lpstr>
      <vt:lpstr>TaxRates_SBEOffset</vt:lpstr>
      <vt:lpstr>TaxRates_SBEPercentage</vt:lpstr>
      <vt:lpstr>TaxRates_SuperfundRate</vt:lpstr>
      <vt:lpstr>TaxRates_TrustInc1</vt:lpstr>
      <vt:lpstr>TaxRates_TrustInc2a</vt:lpstr>
      <vt:lpstr>TaxRates_TrustInc2b</vt:lpstr>
      <vt:lpstr>TaxRates_TrustInc3a</vt:lpstr>
      <vt:lpstr>TaxRates_TrustInc3b</vt:lpstr>
      <vt:lpstr>TaxRates_TrustInc4a</vt:lpstr>
      <vt:lpstr>TaxRates_TrustInc4b</vt:lpstr>
      <vt:lpstr>TaxRates_TrustInc5a</vt:lpstr>
      <vt:lpstr>TaxRates_TrustInc5b</vt:lpstr>
      <vt:lpstr>TaxRates_TrustInc6</vt:lpstr>
      <vt:lpstr>TaxRates_TrustRate1</vt:lpstr>
      <vt:lpstr>TaxRates_TrustRate2</vt:lpstr>
      <vt:lpstr>TaxRates_TrustRate3</vt:lpstr>
      <vt:lpstr>TaxRates_TrustRate4</vt:lpstr>
      <vt:lpstr>TaxRates_TrustRate5</vt:lpstr>
      <vt:lpstr>TaxRates_TrustRate6</vt:lpstr>
      <vt:lpstr>TaxRates_WHMInc1a</vt:lpstr>
      <vt:lpstr>TaxRates_WHMInc1b</vt:lpstr>
      <vt:lpstr>TaxRates_WHMInc2a</vt:lpstr>
      <vt:lpstr>TaxRates_WHMInc2b</vt:lpstr>
      <vt:lpstr>TaxRates_WHMInc3a</vt:lpstr>
      <vt:lpstr>TaxRates_WHMInc3b</vt:lpstr>
      <vt:lpstr>TaxRates_WHMInc4</vt:lpstr>
      <vt:lpstr>TaxRates_WHMRate1</vt:lpstr>
      <vt:lpstr>TaxRates_WHMRate2</vt:lpstr>
      <vt:lpstr>TaxRates_WHMRate3</vt:lpstr>
      <vt:lpstr>TaxRates_WHMRate4</vt:lpstr>
      <vt:lpstr>TaxRates_WHMTax1</vt:lpstr>
      <vt:lpstr>TaxRates_WHMTax2</vt:lpstr>
      <vt:lpstr>TaxRates_WHMTax3</vt:lpstr>
      <vt:lpstr>TaxRates_WorkingHolidayInc1</vt:lpstr>
      <vt:lpstr>TaxRates_WorkingHolidayInc2a</vt:lpstr>
      <vt:lpstr>TaxRates_WorkingHolidayInc2b</vt:lpstr>
      <vt:lpstr>TaxRates_WorkingHolidayInc3a</vt:lpstr>
      <vt:lpstr>TaxRates_WorkingHolidayInc3b</vt:lpstr>
      <vt:lpstr>TaxRates_WorkingHolidayInc4</vt:lpstr>
      <vt:lpstr>TaxRates_WorkingHolidayRate1</vt:lpstr>
      <vt:lpstr>TaxRates_WorkingHolidayRate2</vt:lpstr>
      <vt:lpstr>TaxRates_WorkingHolidayRate3</vt:lpstr>
      <vt:lpstr>TaxRates_WorkingHolidayRate4</vt:lpstr>
      <vt:lpstr>'C05 Divs and Franking'!TaxYearEnd</vt:lpstr>
      <vt:lpstr>'J50 BAS Lodgements'!TaxYearEnd</vt:lpstr>
      <vt:lpstr>'J51 GST Rec'!TaxYearEnd</vt:lpstr>
      <vt:lpstr>'N75 Super'!TaxYearEnd</vt:lpstr>
      <vt:lpstr>'N80 Wages  PAYGW'!TaxYearEnd</vt:lpstr>
      <vt:lpstr>'C05 Divs and Franking'!TaxYearStart</vt:lpstr>
      <vt:lpstr>'D08 UPE Calculator'!TBAccount</vt:lpstr>
      <vt:lpstr>'C15 Losses'!Tm_Account</vt:lpstr>
      <vt:lpstr>'F05 Trade Debtors'!Tm_Account</vt:lpstr>
      <vt:lpstr>'G31 Div 7A Loan Calculator'!Tm_Account</vt:lpstr>
      <vt:lpstr>'G31 Div 7A Loan Calculator (1)'!Tm_Account</vt:lpstr>
      <vt:lpstr>'H05 Trade Creditors'!Tm_Account</vt:lpstr>
      <vt:lpstr>'H15 Inter Entity Loan'!Tm_Account</vt:lpstr>
      <vt:lpstr>'H25 Bank Loan'!Tm_Account</vt:lpstr>
      <vt:lpstr>'H25 Bank Loan (1)'!Tm_Account</vt:lpstr>
      <vt:lpstr>'J51 GST Rec'!Tm_Account</vt:lpstr>
      <vt:lpstr>'N80 Wages  PAYGW'!Tm_Account</vt:lpstr>
      <vt:lpstr>'C05 Divs and Franking'!Tm_BalanceStatus</vt:lpstr>
      <vt:lpstr>'C50 ITA'!Tm_BalanceStatus</vt:lpstr>
      <vt:lpstr>'F05 Trade Debtors'!Tm_BalanceStatus</vt:lpstr>
      <vt:lpstr>'G31 Div 7A Loan Calculator'!Tm_BalanceStatus</vt:lpstr>
      <vt:lpstr>'G31 Div 7A Loan Calculator (1)'!Tm_BalanceStatus</vt:lpstr>
      <vt:lpstr>'H05 Trade Creditors'!Tm_BalanceStatus</vt:lpstr>
      <vt:lpstr>'H25 Bank Loan'!Tm_BalanceStatus</vt:lpstr>
      <vt:lpstr>'H25 Bank Loan (1)'!Tm_BalanceStatus</vt:lpstr>
      <vt:lpstr>'H50 ICA'!Tm_BalanceStatus</vt:lpstr>
      <vt:lpstr>'J51 GST Rec'!Tm_BalanceStatus</vt:lpstr>
      <vt:lpstr>'N75 Super'!Tm_BalanceStatus</vt:lpstr>
      <vt:lpstr>'N80 Wages  PAYGW'!Tm_BalanceStatus</vt:lpstr>
      <vt:lpstr>'F10 Bank'!Tm_BalanceStatus_01</vt:lpstr>
      <vt:lpstr>'F10 Bank'!Tm_BalanceStatus_02</vt:lpstr>
      <vt:lpstr>'F10 Bank'!Tm_BalanceStatus_03</vt:lpstr>
      <vt:lpstr>'F10 Bank'!Tm_BalanceStatus_04</vt:lpstr>
      <vt:lpstr>'F10 Bank'!Tm_BalanceStatus_05</vt:lpstr>
      <vt:lpstr>'F10 Bank'!Tm_BalanceStatus_06</vt:lpstr>
      <vt:lpstr>'F05 Trade Debtors'!Tm_BalanceStatus2</vt:lpstr>
      <vt:lpstr>'N75 Super'!Tm_BalanceStatus2</vt:lpstr>
      <vt:lpstr>'N80 Wages  PAYGW'!Tm_BalanceStatus2</vt:lpstr>
      <vt:lpstr>'H11 Chattel Mortgage Loan'!Tm_Balloon_Amt</vt:lpstr>
      <vt:lpstr>'D08 UPE Calculator'!Tm_CategoryList</vt:lpstr>
      <vt:lpstr>'G31 Div 7A Loan Calculator'!Tm_CategoryList</vt:lpstr>
      <vt:lpstr>'G31 Div 7A Loan Calculator (1)'!Tm_CategoryList</vt:lpstr>
      <vt:lpstr>'H11 Chattel Mortgage Loan'!Tm_CategoryList</vt:lpstr>
      <vt:lpstr>'F05 Trade Debtors'!Tm_Delete_Jurisdiction_not_01_GB</vt:lpstr>
      <vt:lpstr>'H05 Trade Creditors'!Tm_Delete_Jurisdiction_not_01_GB</vt:lpstr>
      <vt:lpstr>'F05 Trade Debtors'!Tm_Delete_Product_01.SmartWorkpapers</vt:lpstr>
      <vt:lpstr>'H11 Chattel Mortgage Loan'!Tm_Delete_Product_01.SmartWorkpapers</vt:lpstr>
      <vt:lpstr>'N80 Wages  PAYGW'!Tm_Delete_Product_04.SmartWorkpapers</vt:lpstr>
      <vt:lpstr>'J51 GST Rec'!Tm_EndRollUp_0</vt:lpstr>
      <vt:lpstr>'J50 BAS Lodgements'!Tm_EndRollUp_00</vt:lpstr>
      <vt:lpstr>'C05 Divs and Franking'!Tm_EndRollUp_01</vt:lpstr>
      <vt:lpstr>'C50 ITA'!Tm_EndRollUp_01</vt:lpstr>
      <vt:lpstr>'CTR Company Tax Return'!Tm_EndRollUp_01</vt:lpstr>
      <vt:lpstr>'D08 UPE Calculator'!Tm_EndRollUp_01</vt:lpstr>
      <vt:lpstr>'G31 Div 7A Loan Calculator'!Tm_EndRollUp_01</vt:lpstr>
      <vt:lpstr>'G31 Div 7A Loan Calculator (1)'!Tm_EndRollUp_01</vt:lpstr>
      <vt:lpstr>'H50 ICA'!Tm_EndRollUp_01</vt:lpstr>
      <vt:lpstr>'J50 BAS Lodgements'!Tm_EndRollUp_01</vt:lpstr>
      <vt:lpstr>'J51 GST Rec'!Tm_EndRollUp_01</vt:lpstr>
      <vt:lpstr>'TR_1 Tax Rates'!Tm_EndRollUp_01</vt:lpstr>
      <vt:lpstr>'CTR Company Tax Return'!Tm_EndRollUp_02</vt:lpstr>
      <vt:lpstr>'D08 UPE Calculator'!Tm_EndRollUp_02</vt:lpstr>
      <vt:lpstr>'H11 Chattel Mortgage Loan'!Tm_EndRollUp_02</vt:lpstr>
      <vt:lpstr>'TR_1 Tax Rates'!Tm_EndRollUp_02</vt:lpstr>
      <vt:lpstr>'C15 Losses'!Tm_EndRollUp_03</vt:lpstr>
      <vt:lpstr>'CTR Company Tax Return'!Tm_EndRollUp_03</vt:lpstr>
      <vt:lpstr>'D08 UPE Calculator'!Tm_EndRollUp_03</vt:lpstr>
      <vt:lpstr>'F05 Trade Debtors'!Tm_EndRollUp_03</vt:lpstr>
      <vt:lpstr>'F10 Bank'!Tm_EndRollUp_03</vt:lpstr>
      <vt:lpstr>'G31 Div 7A Loan Calculator'!Tm_EndRollUp_03</vt:lpstr>
      <vt:lpstr>'G31 Div 7A Loan Calculator (1)'!Tm_EndRollUp_03</vt:lpstr>
      <vt:lpstr>'H05 Trade Creditors'!Tm_EndRollUp_03</vt:lpstr>
      <vt:lpstr>'H15 Inter Entity Loan'!Tm_EndRollUp_03</vt:lpstr>
      <vt:lpstr>'TR_1 Tax Rates'!Tm_EndRollUp_03</vt:lpstr>
      <vt:lpstr>'C05 Divs and Franking'!Tm_EndRollUp_04</vt:lpstr>
      <vt:lpstr>'C15 Losses'!Tm_EndRollUp_04</vt:lpstr>
      <vt:lpstr>'CTR Company Tax Return'!Tm_EndRollUp_04</vt:lpstr>
      <vt:lpstr>'F05 Trade Debtors'!Tm_EndRollUp_04</vt:lpstr>
      <vt:lpstr>'F10 Bank'!Tm_EndRollUp_04</vt:lpstr>
      <vt:lpstr>'H05 Trade Creditors'!Tm_EndRollUp_04</vt:lpstr>
      <vt:lpstr>'TR_1 Tax Rates'!Tm_EndRollUp_04</vt:lpstr>
      <vt:lpstr>'C05 Divs and Franking'!Tm_EndRollUp_05</vt:lpstr>
      <vt:lpstr>'F05 Trade Debtors'!Tm_EndRollUp_05</vt:lpstr>
      <vt:lpstr>'F10 Bank'!Tm_EndRollUp_05</vt:lpstr>
      <vt:lpstr>'H05 Trade Creditors'!Tm_EndRollUp_05</vt:lpstr>
      <vt:lpstr>'TR_1 Tax Rates'!Tm_EndRollUp_05</vt:lpstr>
      <vt:lpstr>'C05 Divs and Franking'!Tm_EndRollUp_06</vt:lpstr>
      <vt:lpstr>'F05 Trade Debtors'!Tm_EndRollUp_06</vt:lpstr>
      <vt:lpstr>'F10 Bank'!Tm_EndRollUp_06</vt:lpstr>
      <vt:lpstr>'G31 Div 7A Loan Calculator'!Tm_EndRollUp_06</vt:lpstr>
      <vt:lpstr>'G31 Div 7A Loan Calculator (1)'!Tm_EndRollUp_06</vt:lpstr>
      <vt:lpstr>'CTR Company Tax Return'!Tm_EndRollUp_07</vt:lpstr>
      <vt:lpstr>'F10 Bank'!Tm_EndRollUp_07</vt:lpstr>
      <vt:lpstr>'G31 Div 7A Loan Calculator'!Tm_EndRollUp_07</vt:lpstr>
      <vt:lpstr>'G31 Div 7A Loan Calculator (1)'!Tm_EndRollUp_07</vt:lpstr>
      <vt:lpstr>'F10 Bank'!Tm_EndRollUp_08</vt:lpstr>
      <vt:lpstr>'N75 Super'!Tm_EndRollUp_1</vt:lpstr>
      <vt:lpstr>'J51 GST Rec'!Tm_EndRollUp_2</vt:lpstr>
      <vt:lpstr>'J51 GST Rec'!Tm_EndRollUp_3</vt:lpstr>
      <vt:lpstr>'N80 Wages  PAYGW'!Tm_EndRollUp_3</vt:lpstr>
      <vt:lpstr>'J51 GST Rec'!Tm_EndRollUp_4</vt:lpstr>
      <vt:lpstr>'N75 Super'!Tm_EndRollUp_4</vt:lpstr>
      <vt:lpstr>'N80 Wages  PAYGW'!Tm_EndRollUp_4</vt:lpstr>
      <vt:lpstr>'J51 GST Rec'!Tm_EndRollUp_5</vt:lpstr>
      <vt:lpstr>'N75 Super'!Tm_EndRollUp_5</vt:lpstr>
      <vt:lpstr>'N80 Wages  PAYGW'!Tm_EndRollUp_5</vt:lpstr>
      <vt:lpstr>'J51 GST Rec'!Tm_EndRollUp_6</vt:lpstr>
      <vt:lpstr>'N75 Super'!Tm_EndRollUp_6</vt:lpstr>
      <vt:lpstr>'N80 Wages  PAYGW'!Tm_EndRollUp_6</vt:lpstr>
      <vt:lpstr>'N75 Super'!Tm_EndRollUp_7</vt:lpstr>
      <vt:lpstr>'N80 Wages  PAYGW'!Tm_EndRollUp_7</vt:lpstr>
      <vt:lpstr>'C05 Divs and Franking'!Tm_Jurisdiction</vt:lpstr>
      <vt:lpstr>'C15 Losses'!Tm_Jurisdiction</vt:lpstr>
      <vt:lpstr>'F05 Trade Debtors'!Tm_Jurisdiction</vt:lpstr>
      <vt:lpstr>'F10 Bank'!Tm_Jurisdiction</vt:lpstr>
      <vt:lpstr>'G31 Div 7A Loan Calculator'!Tm_Jurisdiction</vt:lpstr>
      <vt:lpstr>'G31 Div 7A Loan Calculator (1)'!Tm_Jurisdiction</vt:lpstr>
      <vt:lpstr>'H05 Trade Creditors'!Tm_Jurisdiction</vt:lpstr>
      <vt:lpstr>'H11 Chattel Mortgage Loan'!Tm_Jurisdiction</vt:lpstr>
      <vt:lpstr>'H25 Bank Loan'!Tm_Jurisdiction</vt:lpstr>
      <vt:lpstr>'H25 Bank Loan (1)'!Tm_Jurisdiction</vt:lpstr>
      <vt:lpstr>'H05 Trade Creditors'!Tm_NZdelete</vt:lpstr>
      <vt:lpstr>'CTR Company Tax Return'!Tm_Recalculate_01</vt:lpstr>
      <vt:lpstr>'CTR Company Tax Return'!Tm_Recalculate_02</vt:lpstr>
      <vt:lpstr>'J51 GST Rec'!Tm_StartRollUp_0</vt:lpstr>
      <vt:lpstr>'J50 BAS Lodgements'!Tm_StartRollUp_00</vt:lpstr>
      <vt:lpstr>'C05 Divs and Franking'!Tm_StartRollUp_01</vt:lpstr>
      <vt:lpstr>'C50 ITA'!Tm_StartRollUp_01</vt:lpstr>
      <vt:lpstr>'CTR Company Tax Return'!Tm_StartRollUp_01</vt:lpstr>
      <vt:lpstr>'D08 UPE Calculator'!Tm_StartRollUp_01</vt:lpstr>
      <vt:lpstr>'G31 Div 7A Loan Calculator'!Tm_StartRollUp_01</vt:lpstr>
      <vt:lpstr>'G31 Div 7A Loan Calculator (1)'!Tm_StartRollUp_01</vt:lpstr>
      <vt:lpstr>'H50 ICA'!Tm_StartRollUp_01</vt:lpstr>
      <vt:lpstr>'J50 BAS Lodgements'!Tm_StartRollUp_01</vt:lpstr>
      <vt:lpstr>'J51 GST Rec'!Tm_StartRollUp_01</vt:lpstr>
      <vt:lpstr>'TR_1 Tax Rates'!Tm_StartRollUp_01</vt:lpstr>
      <vt:lpstr>'CTR Company Tax Return'!Tm_StartRollUp_02</vt:lpstr>
      <vt:lpstr>'D08 UPE Calculator'!Tm_StartRollUp_02</vt:lpstr>
      <vt:lpstr>'H11 Chattel Mortgage Loan'!Tm_StartRollUp_02</vt:lpstr>
      <vt:lpstr>'TR_1 Tax Rates'!Tm_StartRollUp_02</vt:lpstr>
      <vt:lpstr>'C15 Losses'!Tm_StartRollUp_03</vt:lpstr>
      <vt:lpstr>'CTR Company Tax Return'!Tm_StartRollUp_03</vt:lpstr>
      <vt:lpstr>'D08 UPE Calculator'!Tm_StartRollUp_03</vt:lpstr>
      <vt:lpstr>'F05 Trade Debtors'!Tm_StartRollUp_03</vt:lpstr>
      <vt:lpstr>'F10 Bank'!Tm_StartRollUp_03</vt:lpstr>
      <vt:lpstr>'G31 Div 7A Loan Calculator'!Tm_StartRollUp_03</vt:lpstr>
      <vt:lpstr>'G31 Div 7A Loan Calculator (1)'!Tm_StartRollUp_03</vt:lpstr>
      <vt:lpstr>'H05 Trade Creditors'!Tm_StartRollUp_03</vt:lpstr>
      <vt:lpstr>'H15 Inter Entity Loan'!Tm_StartRollUp_03</vt:lpstr>
      <vt:lpstr>'TR_1 Tax Rates'!Tm_StartRollUp_03</vt:lpstr>
      <vt:lpstr>'C05 Divs and Franking'!Tm_StartRollUp_04</vt:lpstr>
      <vt:lpstr>'C15 Losses'!Tm_StartRollUp_04</vt:lpstr>
      <vt:lpstr>'CTR Company Tax Return'!Tm_StartRollUp_04</vt:lpstr>
      <vt:lpstr>'F05 Trade Debtors'!Tm_StartRollUp_04</vt:lpstr>
      <vt:lpstr>'F10 Bank'!Tm_StartRollUp_04</vt:lpstr>
      <vt:lpstr>'H05 Trade Creditors'!Tm_StartRollUp_04</vt:lpstr>
      <vt:lpstr>'TR_1 Tax Rates'!Tm_StartRollUp_04</vt:lpstr>
      <vt:lpstr>'C05 Divs and Franking'!Tm_StartRollUp_05</vt:lpstr>
      <vt:lpstr>'F05 Trade Debtors'!Tm_StartRollUp_05</vt:lpstr>
      <vt:lpstr>'F10 Bank'!Tm_StartRollUp_05</vt:lpstr>
      <vt:lpstr>'H05 Trade Creditors'!Tm_StartRollUp_05</vt:lpstr>
      <vt:lpstr>'TR_1 Tax Rates'!Tm_StartRollUp_05</vt:lpstr>
      <vt:lpstr>'C05 Divs and Franking'!Tm_StartRollUp_06</vt:lpstr>
      <vt:lpstr>'F05 Trade Debtors'!Tm_StartRollUp_06</vt:lpstr>
      <vt:lpstr>'F10 Bank'!Tm_StartRollUp_06</vt:lpstr>
      <vt:lpstr>'G31 Div 7A Loan Calculator'!Tm_StartRollUp_06</vt:lpstr>
      <vt:lpstr>'G31 Div 7A Loan Calculator (1)'!Tm_StartRollUp_06</vt:lpstr>
      <vt:lpstr>'CTR Company Tax Return'!Tm_StartRollUp_07</vt:lpstr>
      <vt:lpstr>'F10 Bank'!Tm_StartRollUp_07</vt:lpstr>
      <vt:lpstr>'G31 Div 7A Loan Calculator'!Tm_StartRollUp_07</vt:lpstr>
      <vt:lpstr>'G31 Div 7A Loan Calculator (1)'!Tm_StartRollUp_07</vt:lpstr>
      <vt:lpstr>'F10 Bank'!Tm_StartRollUp_08</vt:lpstr>
      <vt:lpstr>'N75 Super'!Tm_StartRollUp_1</vt:lpstr>
      <vt:lpstr>'J51 GST Rec'!Tm_StartRollUp_2</vt:lpstr>
      <vt:lpstr>'J51 GST Rec'!Tm_StartRollUp_3</vt:lpstr>
      <vt:lpstr>'N80 Wages  PAYGW'!Tm_StartRollUp_3</vt:lpstr>
      <vt:lpstr>'J51 GST Rec'!Tm_StartRollUp_4</vt:lpstr>
      <vt:lpstr>'N75 Super'!Tm_StartRollUp_4</vt:lpstr>
      <vt:lpstr>'N80 Wages  PAYGW'!Tm_StartRollUp_4</vt:lpstr>
      <vt:lpstr>'J51 GST Rec'!Tm_StartRollUp_5</vt:lpstr>
      <vt:lpstr>'N75 Super'!Tm_StartRollUp_5</vt:lpstr>
      <vt:lpstr>'N80 Wages  PAYGW'!Tm_StartRollUp_5</vt:lpstr>
      <vt:lpstr>'J51 GST Rec'!Tm_StartRollUp_6</vt:lpstr>
      <vt:lpstr>'N75 Super'!Tm_StartRollUp_6</vt:lpstr>
      <vt:lpstr>'N80 Wages  PAYGW'!Tm_StartRollUp_6</vt:lpstr>
      <vt:lpstr>'N75 Super'!Tm_StartRollUp_7</vt:lpstr>
      <vt:lpstr>'N80 Wages  PAYGW'!Tm_StartRollUp_7</vt:lpstr>
      <vt:lpstr>'C05 Divs and Franking'!Tm_Status</vt:lpstr>
      <vt:lpstr>'C15 Losses'!Tm_Status</vt:lpstr>
      <vt:lpstr>'C50 ITA'!Tm_Status</vt:lpstr>
      <vt:lpstr>'CTR Company Tax Return'!Tm_Status</vt:lpstr>
      <vt:lpstr>'D08 UPE Calculator'!Tm_Status</vt:lpstr>
      <vt:lpstr>'F05 Trade Debtors'!Tm_Status</vt:lpstr>
      <vt:lpstr>'F10 Bank'!Tm_Status</vt:lpstr>
      <vt:lpstr>'G31 Div 7A Loan Calculator'!Tm_Status</vt:lpstr>
      <vt:lpstr>'G31 Div 7A Loan Calculator (1)'!Tm_Status</vt:lpstr>
      <vt:lpstr>'H05 Trade Creditors'!Tm_Status</vt:lpstr>
      <vt:lpstr>'H11 Chattel Mortgage Loan'!Tm_Status</vt:lpstr>
      <vt:lpstr>'H15 Inter Entity Loan'!Tm_Status</vt:lpstr>
      <vt:lpstr>'H25 Bank Loan'!Tm_Status</vt:lpstr>
      <vt:lpstr>'H25 Bank Loan (1)'!Tm_Status</vt:lpstr>
      <vt:lpstr>'J51 GST Rec'!Tm_Status</vt:lpstr>
      <vt:lpstr>'N75 Super'!Tm_Status</vt:lpstr>
      <vt:lpstr>'N80 Wages  PAYGW'!Tm_Status</vt:lpstr>
      <vt:lpstr>'TR_1 Tax Rates'!Tm_Status</vt:lpstr>
      <vt:lpstr>'Z01 Blank'!Tm_Status</vt:lpstr>
      <vt:lpstr>'Z02 List'!Tm_Status</vt:lpstr>
      <vt:lpstr>'C15 Losses'!Tm_Sub</vt:lpstr>
      <vt:lpstr>'D08 UPE Calculator'!Tm_Sub</vt:lpstr>
      <vt:lpstr>'F05 Trade Debtors'!Tm_Sub</vt:lpstr>
      <vt:lpstr>'G31 Div 7A Loan Calculator'!Tm_Sub</vt:lpstr>
      <vt:lpstr>'G31 Div 7A Loan Calculator (1)'!Tm_Sub</vt:lpstr>
      <vt:lpstr>'H05 Trade Creditors'!Tm_Sub</vt:lpstr>
      <vt:lpstr>'H15 Inter Entity Loan'!Tm_Sub</vt:lpstr>
      <vt:lpstr>'H25 Bank Loan'!Tm_Sub</vt:lpstr>
      <vt:lpstr>'H25 Bank Loan (1)'!Tm_Sub</vt:lpstr>
      <vt:lpstr>'J51 GST Rec'!Tm_Sub</vt:lpstr>
      <vt:lpstr>'N80 Wages  PAYGW'!Tm_Sub</vt:lpstr>
      <vt:lpstr>'H05 Trade Creditors'!Tm_SWPdelete</vt:lpstr>
      <vt:lpstr>'N75 Super'!Tm_SWPdelete_01</vt:lpstr>
      <vt:lpstr>'J51 GST Rec'!Tm_SWPdelete_1</vt:lpstr>
      <vt:lpstr>'J51 GST Rec'!Tm_SWPdelete_2</vt:lpstr>
      <vt:lpstr>'C15 Losses'!Tm_TBAccount</vt:lpstr>
      <vt:lpstr>'C50 ITA'!Tm_TBAccount</vt:lpstr>
      <vt:lpstr>'D08 UPE Calculator'!Tm_TBAccount</vt:lpstr>
      <vt:lpstr>'G31 Div 7A Loan Calculator'!Tm_TBAccount</vt:lpstr>
      <vt:lpstr>'G31 Div 7A Loan Calculator (1)'!Tm_TBAccount</vt:lpstr>
      <vt:lpstr>'H05 Trade Creditors'!Tm_TBAccount</vt:lpstr>
      <vt:lpstr>'H25 Bank Loan'!Tm_TBAccount</vt:lpstr>
      <vt:lpstr>'H25 Bank Loan (1)'!Tm_TBAccount</vt:lpstr>
      <vt:lpstr>'H50 ICA'!Tm_TBAccount</vt:lpstr>
      <vt:lpstr>'J51 GST Rec'!Tm_TBAccount</vt:lpstr>
      <vt:lpstr>'F10 Bank'!Tm_TBAccount_01</vt:lpstr>
      <vt:lpstr>'H25 Bank Loan'!Tm_TBAccount_01</vt:lpstr>
      <vt:lpstr>'H25 Bank Loan (1)'!Tm_TBAccount_01</vt:lpstr>
      <vt:lpstr>'F10 Bank'!Tm_TBAccount_02</vt:lpstr>
      <vt:lpstr>'F10 Bank'!Tm_TBAccount_03</vt:lpstr>
      <vt:lpstr>'F10 Bank'!Tm_TBAccount_04</vt:lpstr>
      <vt:lpstr>'F10 Bank'!Tm_TBAccount_05</vt:lpstr>
      <vt:lpstr>'F10 Bank'!Tm_TBAccount_06</vt:lpstr>
      <vt:lpstr>'D08 UPE Calculator'!Tm_TBBalance</vt:lpstr>
      <vt:lpstr>'F05 Trade Debtors'!Tm_TBBalance</vt:lpstr>
      <vt:lpstr>'G31 Div 7A Loan Calculator'!Tm_TBBalance</vt:lpstr>
      <vt:lpstr>'G31 Div 7A Loan Calculator (1)'!Tm_TBBalance</vt:lpstr>
      <vt:lpstr>'H05 Trade Creditors'!Tm_TBBalance</vt:lpstr>
      <vt:lpstr>'H25 Bank Loan'!Tm_TBBalance</vt:lpstr>
      <vt:lpstr>'H25 Bank Loan (1)'!Tm_TBBalance</vt:lpstr>
      <vt:lpstr>'J51 GST Rec'!Tm_TBBalance</vt:lpstr>
      <vt:lpstr>'F10 Bank'!Tm_TBBalance_01</vt:lpstr>
      <vt:lpstr>'F10 Bank'!Tm_TBBalance_02</vt:lpstr>
      <vt:lpstr>'F10 Bank'!Tm_TBBalance_03</vt:lpstr>
      <vt:lpstr>'F10 Bank'!Tm_TBBalance_04</vt:lpstr>
      <vt:lpstr>'F10 Bank'!Tm_TBBalance_05</vt:lpstr>
      <vt:lpstr>'F10 Bank'!Tm_TBBalance_06</vt:lpstr>
      <vt:lpstr>'C05 Divs and Franking'!Tm_TBBalance_DividendsDeclared</vt:lpstr>
      <vt:lpstr>'C05 Divs and Franking'!Tm_TBBalance_DividendsPayable</vt:lpstr>
      <vt:lpstr>'H50 ICA'!Tm_TBBalance_ICAPayable</vt:lpstr>
      <vt:lpstr>'H50 ICA'!Tm_TBBalance_ICAReceivable</vt:lpstr>
      <vt:lpstr>'C50 ITA'!Tm_TBBalance_ITAPayable</vt:lpstr>
      <vt:lpstr>'C50 ITA'!Tm_TBBalance_ITAReceivable</vt:lpstr>
      <vt:lpstr>'N80 Wages  PAYGW'!Tm_TBBalance_PAYGWithholding</vt:lpstr>
      <vt:lpstr>'N75 Super'!Tm_TBBalance_SuperExpense</vt:lpstr>
      <vt:lpstr>'N75 Super'!Tm_TBBalance_SuperPayable</vt:lpstr>
      <vt:lpstr>'C05 Divs and Franking'!Tm_Tolerance</vt:lpstr>
      <vt:lpstr>'C50 ITA'!Tm_Tolerance</vt:lpstr>
      <vt:lpstr>'D08 UPE Calculator'!Tm_Tolerance</vt:lpstr>
      <vt:lpstr>'F05 Trade Debtors'!Tm_Tolerance</vt:lpstr>
      <vt:lpstr>'F10 Bank'!Tm_Tolerance</vt:lpstr>
      <vt:lpstr>'G31 Div 7A Loan Calculator'!Tm_Tolerance</vt:lpstr>
      <vt:lpstr>'G31 Div 7A Loan Calculator (1)'!Tm_Tolerance</vt:lpstr>
      <vt:lpstr>'H05 Trade Creditors'!Tm_Tolerance</vt:lpstr>
      <vt:lpstr>'H25 Bank Loan'!Tm_Tolerance</vt:lpstr>
      <vt:lpstr>'H25 Bank Loan (1)'!Tm_Tolerance</vt:lpstr>
      <vt:lpstr>'H50 ICA'!Tm_Tolerance</vt:lpstr>
      <vt:lpstr>'J51 GST Rec'!Tm_Tolerance</vt:lpstr>
      <vt:lpstr>'N75 Super'!Tm_Tolerance</vt:lpstr>
      <vt:lpstr>'N80 Wages  PAYGW'!Tm_Tolerance</vt:lpstr>
      <vt:lpstr>'C15 Losses'!Tm_WorksheetTitle</vt:lpstr>
      <vt:lpstr>'CTR Company Tax Return'!Tm_WorksheetTitle</vt:lpstr>
      <vt:lpstr>'G31 Div 7A Loan Calculator'!Tm_WorksheetTitle</vt:lpstr>
      <vt:lpstr>'G31 Div 7A Loan Calculator (1)'!Tm_WorksheetTitle</vt:lpstr>
      <vt:lpstr>'H11 Chattel Mortgage Loan'!Tm_WorksheetTitle</vt:lpstr>
      <vt:lpstr>'H12 Loan Summary'!Tm_WorksheetTitle</vt:lpstr>
      <vt:lpstr>'H25 Bank Loan'!Tm_WorksheetTitle</vt:lpstr>
      <vt:lpstr>'H25 Bank Loan (1)'!Tm_WorksheetTitle</vt:lpstr>
      <vt:lpstr>'Z01 Blank'!Tm_WorksheetTitle</vt:lpstr>
      <vt:lpstr>'Z02 List'!Tm_WorksheetTitle</vt:lpstr>
      <vt:lpstr>'H11 Chattel Mortgage Loan'!Total_Int</vt:lpstr>
      <vt:lpstr>TR_FBTBenchmarkRate</vt:lpstr>
      <vt:lpstr>TR_FBTDepDate1</vt:lpstr>
      <vt:lpstr>TR_FBTDepDate2</vt:lpstr>
      <vt:lpstr>TR_FBTDepDate3</vt:lpstr>
      <vt:lpstr>TR_FBTDepDate4</vt:lpstr>
      <vt:lpstr>TR_FBTDepRate1</vt:lpstr>
      <vt:lpstr>TR_FBTDepRate2</vt:lpstr>
      <vt:lpstr>TR_FBTDepRate3</vt:lpstr>
      <vt:lpstr>TR_FBTType1</vt:lpstr>
      <vt:lpstr>TR_FBTType2</vt:lpstr>
      <vt:lpstr>TR1_AnnualMax</vt:lpstr>
      <vt:lpstr>TR1_BenchmarkIntRate</vt:lpstr>
      <vt:lpstr>TR1_DepnRate1</vt:lpstr>
      <vt:lpstr>TR1_DepnRate2</vt:lpstr>
      <vt:lpstr>TR1_DepnRate3</vt:lpstr>
      <vt:lpstr>TR1_FBTRate</vt:lpstr>
      <vt:lpstr>TR1_GrossUpType1</vt:lpstr>
      <vt:lpstr>TR1_GrossUpType2</vt:lpstr>
      <vt:lpstr>TR1_IncomeThreshold1</vt:lpstr>
      <vt:lpstr>TR1_IncomeThreshold2</vt:lpstr>
      <vt:lpstr>TR1_IncomeThreshold3</vt:lpstr>
      <vt:lpstr>TR1_IncomeThreshold4</vt:lpstr>
      <vt:lpstr>TR1_IncomeThreshold5</vt:lpstr>
      <vt:lpstr>TR1_IncomeThreshold6</vt:lpstr>
      <vt:lpstr>TR1_IncomeThreshold7</vt:lpstr>
      <vt:lpstr>TR1_IncomeThreshold8</vt:lpstr>
      <vt:lpstr>TR1_LITOamount</vt:lpstr>
      <vt:lpstr>TR1_LITORate</vt:lpstr>
      <vt:lpstr>TR1_LITOThreshold1</vt:lpstr>
      <vt:lpstr>TR1_LITOThreshold2</vt:lpstr>
      <vt:lpstr>TR1_MedicareRate1</vt:lpstr>
      <vt:lpstr>TR1_MedicareRate2</vt:lpstr>
      <vt:lpstr>TR1_MedicareRate3</vt:lpstr>
      <vt:lpstr>TR1_MedicareThreshold1</vt:lpstr>
      <vt:lpstr>TR1_MedicareThreshold2</vt:lpstr>
      <vt:lpstr>TR1_MedicareThreshold3</vt:lpstr>
      <vt:lpstr>TR1_MedicareThreshold4</vt:lpstr>
      <vt:lpstr>TR1_MVStatRate</vt:lpstr>
      <vt:lpstr>TR1_OldMVkmsRange1</vt:lpstr>
      <vt:lpstr>TR1_OldMVkmsRange2</vt:lpstr>
      <vt:lpstr>TR1_OldMVkmsRange3</vt:lpstr>
      <vt:lpstr>TR1_OldMVkmsRange4</vt:lpstr>
      <vt:lpstr>TR1_OldMVkmsRates1</vt:lpstr>
      <vt:lpstr>TR1_OldMVkmsRates2</vt:lpstr>
      <vt:lpstr>TR1_OldMVkmsRates3</vt:lpstr>
      <vt:lpstr>TR1_OldMVkmsRates4</vt:lpstr>
      <vt:lpstr>TR1_OldMVStat</vt:lpstr>
      <vt:lpstr>TR1_Purchasedate1</vt:lpstr>
      <vt:lpstr>TR1_Purchasedate2</vt:lpstr>
      <vt:lpstr>TR1_Purchasedate3</vt:lpstr>
      <vt:lpstr>TR1_Purchasedate4</vt:lpstr>
      <vt:lpstr>TR1_SGCCharge</vt:lpstr>
      <vt:lpstr>TR1_SuperContCap</vt:lpstr>
      <vt:lpstr>TR1_TaxRates1</vt:lpstr>
      <vt:lpstr>TR1_TaxRates2</vt:lpstr>
      <vt:lpstr>TR1_TaxRates3</vt:lpstr>
      <vt:lpstr>TR1_TaxRates4</vt:lpstr>
      <vt:lpstr>TR1_TaxRates5</vt:lpstr>
      <vt:lpstr>TR2_CentsPerKm</vt:lpstr>
      <vt:lpstr>TR2_CPK</vt:lpstr>
      <vt:lpstr>TR2_LuxuryCar</vt:lpstr>
      <vt:lpstr>TrialBalance</vt:lpstr>
      <vt:lpstr>'CTR Company Tax Return'!Tx_AllRet.ABNNotQuoted</vt:lpstr>
      <vt:lpstr>'CTR Company Tax Return'!Tx_AllRet.AdjustValues</vt:lpstr>
      <vt:lpstr>'CTR Company Tax Return'!Tx_AllRet.AggTurnover</vt:lpstr>
      <vt:lpstr>'CTR Company Tax Return'!Tx_AllRet.AggTurnoverRange</vt:lpstr>
      <vt:lpstr>'CTR Company Tax Return'!Tx_AllRet.AssesBalAdj</vt:lpstr>
      <vt:lpstr>'CTR Company Tax Return'!Tx_AllRet.Assets</vt:lpstr>
      <vt:lpstr>'CTR Company Tax Return'!Tx_AllRet.AssocPersons</vt:lpstr>
      <vt:lpstr>'CTR Company Tax Return'!Tx_AllRet.BadDebt</vt:lpstr>
      <vt:lpstr>'CTR Company Tax Return'!Tx_AllRet.CapitalLossesCF</vt:lpstr>
      <vt:lpstr>'CTR Company Tax Return'!Tx_AllRet.CGTEvent</vt:lpstr>
      <vt:lpstr>'CTR Company Tax Return'!Tx_AllRet.CGTExempRollover</vt:lpstr>
      <vt:lpstr>'CTR Company Tax Return'!Tx_AllRet.Contractor</vt:lpstr>
      <vt:lpstr>'CTR Company Tax Return'!Tx_AllRet.COS</vt:lpstr>
      <vt:lpstr>'CTR Company Tax Return'!Tx_AllRet.CS</vt:lpstr>
      <vt:lpstr>'CTR Company Tax Return'!Tx_AllRet.CurrentAssets</vt:lpstr>
      <vt:lpstr>'CTR Company Tax Return'!Tx_AllRet.CurrentLiab</vt:lpstr>
      <vt:lpstr>'CTR Company Tax Return'!Tx_AllRet.DedBalAdj</vt:lpstr>
      <vt:lpstr>'CTR Company Tax Return'!Tx_AllRet.Depreciation</vt:lpstr>
      <vt:lpstr>'CTR Company Tax Return'!Tx_AllRet.EmployeeCont</vt:lpstr>
      <vt:lpstr>'CTR Company Tax Return'!Tx_AllRet.ExpenseForResWithholding</vt:lpstr>
      <vt:lpstr>'CTR Company Tax Return'!Tx_AllRet.FrankingCredits</vt:lpstr>
      <vt:lpstr>'CTR Company Tax Return'!Tx_AllRet.GovtIndustryPaym</vt:lpstr>
      <vt:lpstr>'CTR Company Tax Return'!Tx_AllRet.IncomeForResWithholding</vt:lpstr>
      <vt:lpstr>'CTR Company Tax Return'!Tx_AllRet.LandcareDed</vt:lpstr>
      <vt:lpstr>'CTR Company Tax Return'!Tx_AllRet.Liab</vt:lpstr>
      <vt:lpstr>'CTR Company Tax Return'!Tx_AllRet.MVExp</vt:lpstr>
      <vt:lpstr>'CTR Company Tax Return'!Tx_AllRet.NetCapGain</vt:lpstr>
      <vt:lpstr>'CTR Company Tax Return'!Tx_AllRet.OS</vt:lpstr>
      <vt:lpstr>'CTR Company Tax Return'!Tx_AllRet.OtherExpenses</vt:lpstr>
      <vt:lpstr>'CTR Company Tax Return'!Tx_AllRet.ProjectPoolDed</vt:lpstr>
      <vt:lpstr>'CTR Company Tax Return'!Tx_AllRet.Purchases</vt:lpstr>
      <vt:lpstr>'CTR Company Tax Return'!Tx_AllRet.RecalcEffectLife</vt:lpstr>
      <vt:lpstr>'CTR Company Tax Return'!Tx_AllRet.RentExp</vt:lpstr>
      <vt:lpstr>'CTR Company Tax Return'!Tx_AllRet.ReturnYear</vt:lpstr>
      <vt:lpstr>'CTR Company Tax Return'!Tx_AllRet.RMExp</vt:lpstr>
      <vt:lpstr>'CTR Company Tax Return'!Tx_AllRet.Sales</vt:lpstr>
      <vt:lpstr>'CTR Company Tax Return'!Tx_AllRet.Sec40880</vt:lpstr>
      <vt:lpstr>'CTR Company Tax Return'!Tx_AllRet.SelfAssEffectLife</vt:lpstr>
      <vt:lpstr>'CTR Company Tax Return'!Tx_AllRet.StockElection</vt:lpstr>
      <vt:lpstr>'CTR Company Tax Return'!Tx_AllRet.SubsYrAcceleratedDepn</vt:lpstr>
      <vt:lpstr>'CTR Company Tax Return'!Tx_AllRet.SuperExp</vt:lpstr>
      <vt:lpstr>'CTR Company Tax Return'!Tx_AllRet.TaxLossesCF</vt:lpstr>
      <vt:lpstr>'CTR Company Tax Return'!Tx_AllRet.TermValueAssets</vt:lpstr>
      <vt:lpstr>'CTR Company Tax Return'!Tx_AllRet.TermValueIntangibles</vt:lpstr>
      <vt:lpstr>'CTR Company Tax Return'!Tx_AllRet.TFN</vt:lpstr>
      <vt:lpstr>'CTR Company Tax Return'!Tx_AllRet.TradeCreditors</vt:lpstr>
      <vt:lpstr>'CTR Company Tax Return'!Tx_AllRet.TradeDebtors</vt:lpstr>
      <vt:lpstr>'CTR Company Tax Return'!Tx_AllRet.Wages</vt:lpstr>
      <vt:lpstr>'CTR Company Tax Return'!Tx_CTR.AttForIncomeListed</vt:lpstr>
      <vt:lpstr>'CTR Company Tax Return'!Tx_CTR.AttForIncomeTrust</vt:lpstr>
      <vt:lpstr>'CTR Company Tax Return'!Tx_CTR.AttForIncomeUnlisted</vt:lpstr>
      <vt:lpstr>'CTR Company Tax Return'!Tx_CTR.AUSFrankingCreditNZ</vt:lpstr>
      <vt:lpstr>'CTR Company Tax Return'!Tx_CTR.CapWorksDed</vt:lpstr>
      <vt:lpstr>'CTR Company Tax Return'!Tx_CTR.CBFrankingAcct</vt:lpstr>
      <vt:lpstr>'CTR Company Tax Return'!Tx_CTR.CommDebtForgive</vt:lpstr>
      <vt:lpstr>'CTR Company Tax Return'!Tx_CTR.CreditH2</vt:lpstr>
      <vt:lpstr>'CTR Company Tax Return'!Tx_CTR.CreditH3</vt:lpstr>
      <vt:lpstr>'CTR Company Tax Return'!Tx_CTR.CreditH4</vt:lpstr>
      <vt:lpstr>'CTR Company Tax Return'!Tx_CTR.CreditH5</vt:lpstr>
      <vt:lpstr>'CTR Company Tax Return'!Tx_CTR.CreditH7</vt:lpstr>
      <vt:lpstr>'CTR Company Tax Return'!Tx_CTR.CreditH8</vt:lpstr>
      <vt:lpstr>'CTR Company Tax Return'!Tx_CTR.Currency</vt:lpstr>
      <vt:lpstr>'CTR Company Tax Return'!Tx_CTR.CurrTranslationRate</vt:lpstr>
      <vt:lpstr>'CTR Company Tax Return'!Tx_CTR.Debt</vt:lpstr>
      <vt:lpstr>'CTR Company Tax Return'!Tx_CTR.DepreciationTax</vt:lpstr>
      <vt:lpstr>'CTR Company Tax Return'!Tx_CTR.DividendIncome</vt:lpstr>
      <vt:lpstr>'CTR Company Tax Return'!Tx_CTR.EnergyIncentive</vt:lpstr>
      <vt:lpstr>'CTR Company Tax Return'!Tx_CTR.EnvProtectExp</vt:lpstr>
      <vt:lpstr>'CTR Company Tax Return'!Tx_CTR.ExcessFrankingOffsets</vt:lpstr>
      <vt:lpstr>'CTR Company Tax Return'!Tx_CTR.ExemptIncome</vt:lpstr>
      <vt:lpstr>'CTR Company Tax Return'!Tx_CTR.ForIncome</vt:lpstr>
      <vt:lpstr>'CTR Company Tax Return'!Tx_CTR.ForIncomeGross</vt:lpstr>
      <vt:lpstr>'CTR Company Tax Return'!Tx_CTR.FrankingDefTaxOffset</vt:lpstr>
      <vt:lpstr>'CTR Company Tax Return'!Tx_CTR.ImmWriteOff</vt:lpstr>
      <vt:lpstr>'CTR Company Tax Return'!Tx_CTR.InterestExpAUS</vt:lpstr>
      <vt:lpstr>'CTR Company Tax Return'!Tx_CTR.InterestExpOverseas</vt:lpstr>
      <vt:lpstr>'CTR Company Tax Return'!Tx_CTR.InterestIncome</vt:lpstr>
      <vt:lpstr>'CTR Company Tax Return'!Tx_CTR.LeaseExpAUS</vt:lpstr>
      <vt:lpstr>'CTR Company Tax Return'!Tx_CTR.LeaseExpOverseas</vt:lpstr>
      <vt:lpstr>'CTR Company Tax Return'!Tx_CTR.LoansToShareholders</vt:lpstr>
      <vt:lpstr>'CTR Company Tax Return'!Tx_CTR.MiningAssetDepn</vt:lpstr>
      <vt:lpstr>'CTR Company Tax Return'!Tx_CTR.MiningCapExp</vt:lpstr>
      <vt:lpstr>'CTR Company Tax Return'!Tx_CTR.MiningIntangibleDepn</vt:lpstr>
      <vt:lpstr>'CTR Company Tax Return'!Tx_CTR.MISExp</vt:lpstr>
      <vt:lpstr>'CTR Company Tax Return'!Tx_CTR.MISIncome</vt:lpstr>
      <vt:lpstr>'CTR Company Tax Return'!Tx_CTR.NDExp</vt:lpstr>
      <vt:lpstr>'CTR Company Tax Return'!Tx_CTR.NonDedExempIncomeExp</vt:lpstr>
      <vt:lpstr>'CTR Company Tax Return'!Tx_CTR.NonRefCFTaxOffsets</vt:lpstr>
      <vt:lpstr>'CTR Company Tax Return'!Tx_CTR.NonRefNonCFTaxOffsets</vt:lpstr>
      <vt:lpstr>'CTR Company Tax Return'!Tx_CTR.OBFrankingAcct</vt:lpstr>
      <vt:lpstr>'CTR Company Tax Return'!Tx_CTR.OTherAssIncome</vt:lpstr>
      <vt:lpstr>'CTR Company Tax Return'!Tx_CTR.OtherDedExp</vt:lpstr>
      <vt:lpstr>'CTR Company Tax Return'!Tx_CTR.OtherIncome</vt:lpstr>
      <vt:lpstr>'CTR Company Tax Return'!Tx_CTR.OtherIncomeAssIncome</vt:lpstr>
      <vt:lpstr>'CTR Company Tax Return'!Tx_CTR.PartnershipIncome</vt:lpstr>
      <vt:lpstr>'CTR Company Tax Return'!Tx_CTR.PAYGI</vt:lpstr>
      <vt:lpstr>'CTR Company Tax Return'!Tx_CTR.RDExpAccounting</vt:lpstr>
      <vt:lpstr>'CTR Company Tax Return'!Tx_CTR.RefTaxOffsets</vt:lpstr>
      <vt:lpstr>'CTR Company Tax Return'!Tx_CTR.RentIncome</vt:lpstr>
      <vt:lpstr>'CTR Company Tax Return'!Tx_CTR.RoyaltyExpAUS</vt:lpstr>
      <vt:lpstr>'CTR Company Tax Return'!Tx_CTR.RoyaltyExpOverseas</vt:lpstr>
      <vt:lpstr>'CTR Company Tax Return'!Tx_CTR.Sec102AAM</vt:lpstr>
      <vt:lpstr>'CTR Company Tax Return'!Tx_CTR.Sec46FA</vt:lpstr>
      <vt:lpstr>'CTR Company Tax Return'!Tx_CTR.TaxLosses</vt:lpstr>
      <vt:lpstr>'CTR Company Tax Return'!Tx_CTR.TaxLossesTransferIn</vt:lpstr>
      <vt:lpstr>'CTR Company Tax Return'!Tx_CTR.TaxOffsetRef</vt:lpstr>
      <vt:lpstr>'CTR Company Tax Return'!Tx_CTR.TOFAExp</vt:lpstr>
      <vt:lpstr>'CTR Company Tax Return'!Tx_CTR.TOFAGains</vt:lpstr>
      <vt:lpstr>'CTR Company Tax Return'!Tx_CTR.TOFAGainsFinancialArrang</vt:lpstr>
      <vt:lpstr>'CTR Company Tax Return'!Tx_CTR.TOFAIncome</vt:lpstr>
      <vt:lpstr>'CTR Company Tax Return'!Tx_CTR.TOFALosses</vt:lpstr>
      <vt:lpstr>'CTR Company Tax Return'!Tx_CTR.TrainBoost</vt:lpstr>
      <vt:lpstr>'CTR Company Tax Return'!Tx_CTR.TrustIncome</vt:lpstr>
      <vt:lpstr>'CTR Company Tax Return'!Tx_CTR.UnrealisedGains</vt:lpstr>
      <vt:lpstr>'CTR Company Tax Return'!Tx_CTR.UnrealisedLosses</vt:lpstr>
      <vt:lpstr>Tx_LedgerReport.AccountNames</vt:lpstr>
      <vt:lpstr>Tx_LedgerReport.AccountNos</vt:lpstr>
      <vt:lpstr>Tx_LedgerReport.Benchmark</vt:lpstr>
      <vt:lpstr>Tx_LedgerReport.ColumnData</vt:lpstr>
      <vt:lpstr>Tx_LedgerReport.LedgerSide</vt:lpstr>
      <vt:lpstr>Tx_LedgerReport.MappingCode</vt:lpstr>
      <vt:lpstr>Tx_LedgerReport.NonDeductibles</vt:lpstr>
      <vt:lpstr>Tx_LedgerReport.PPs</vt:lpstr>
      <vt:lpstr>Tx_LedgerReport.RowType</vt:lpstr>
      <vt:lpstr>Tx_LedgerReport.SourceAccountId</vt:lpstr>
      <vt:lpstr>Tx_LedgerReport.TaxonomyBalances</vt:lpstr>
      <vt:lpstr>Tx_LedgerReport.TaxonomyBalancesDrCr</vt:lpstr>
      <vt:lpstr>Tx_LedgerReport.TaxonomyIDs</vt:lpstr>
      <vt:lpstr>Tx_LedgerReport.TaxonomyNames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Active Workpapers</dc:creator>
  <cp:lastModifiedBy>Callum Matchett</cp:lastModifiedBy>
  <cp:lastPrinted>2022-07-06T03:03:17Z</cp:lastPrinted>
  <dcterms:created xsi:type="dcterms:W3CDTF">2022-05-25T00:00:00Z</dcterms:created>
  <dcterms:modified xsi:type="dcterms:W3CDTF">2024-11-28T08:04:59Z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ctivateBinderId">
    <vt:lpwstr>a1421db1-6873-4aca-b099-4ad386315a0c</vt:lpwstr>
  </property>
</Properties>
</file>