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iv 7A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2"/>
  <sheetViews>
    <sheetView workbookViewId="0">
      <selection activeCell="A1" sqref="A1"/>
    </sheetView>
  </sheetViews>
  <sheetFormatPr baseColWidth="8" defaultRowHeight="15"/>
  <sheetData>
    <row r="1">
      <c r="C1" t="inlineStr">
        <is>
          <t>Workpaper ID:</t>
        </is>
      </c>
      <c r="D1" t="inlineStr">
        <is>
          <t>f6f11064-7a7f-48da-aa32-668ea15f4956</t>
        </is>
      </c>
      <c r="L1" t="inlineStr">
        <is>
          <t>Jurisdiction:</t>
        </is>
      </c>
      <c r="M1">
        <f>IFERROR(Tm_Jurisdiction,"AU")</f>
        <v/>
      </c>
      <c r="V1" t="inlineStr">
        <is>
          <t>BF_Hide</t>
        </is>
      </c>
    </row>
    <row r="2"/>
    <row r="3">
      <c r="C3" t="inlineStr">
        <is>
          <t>Company Debit Loan Summary</t>
        </is>
      </c>
      <c r="M3" t="inlineStr">
        <is>
          <t>Show Record</t>
        </is>
      </c>
      <c r="P3" t="inlineStr">
        <is>
          <t>Version:</t>
        </is>
      </c>
      <c r="Q3" t="inlineStr">
        <is>
          <t>5.24.1</t>
        </is>
      </c>
    </row>
    <row r="4">
      <c r="C4">
        <f>_xlfn.TEXTJOIN(" ",1,IFERROR(_xlfn.SINGLE(Cl_Name),"Client Name"),IF(IFERROR(_xlfn.SINGLE(Cl_Code),"")="","","("&amp;_xlfn.SINGLE(Cl_Code)&amp;")"))</f>
        <v/>
      </c>
    </row>
    <row r="5">
      <c r="C5">
        <f>IFERROR(_xlfn.SINGLE(PeriodEndDate),DATE(1901,1,1))</f>
        <v/>
      </c>
    </row>
    <row r="6"/>
    <row r="7"/>
    <row r="8">
      <c r="C8" t="inlineStr">
        <is>
          <t>i The purpose of this worksheet is to provide a summary of loans from ALL G31 Division 7A and D08 UPE Repayment Calculator worksheets.</t>
        </is>
      </c>
    </row>
    <row r="9">
      <c r="C9" t="inlineStr">
        <is>
          <t>Ensure the Number of Loans and Number of Directors cells are correct and then click the Update Display buttons.</t>
        </is>
      </c>
    </row>
    <row r="10"/>
    <row r="11">
      <c r="B11" t="inlineStr">
        <is>
          <t>Summary by Loan</t>
        </is>
      </c>
    </row>
    <row r="12"/>
    <row r="13">
      <c r="I13" t="inlineStr">
        <is>
          <t xml:space="preserve">   Number of Loans (Max. 50) *   </t>
        </is>
      </c>
      <c r="J13" t="n">
        <v>1</v>
      </c>
      <c r="L13" t="inlineStr">
        <is>
          <t>P  Update Display</t>
        </is>
      </c>
    </row>
    <row r="14"/>
    <row r="15">
      <c r="C15" t="inlineStr">
        <is>
          <t>Worksheet Title</t>
        </is>
      </c>
      <c r="G15" t="inlineStr">
        <is>
          <t>Opening Balance</t>
        </is>
      </c>
      <c r="H15" t="inlineStr">
        <is>
          <t>Actual Payments</t>
        </is>
      </c>
      <c r="I15" t="inlineStr">
        <is>
          <t>Interest</t>
        </is>
      </c>
      <c r="J15" t="inlineStr">
        <is>
          <t>Closing Balance</t>
        </is>
      </c>
      <c r="L15" t="inlineStr">
        <is>
          <t>Minimum Repayment</t>
        </is>
      </c>
      <c r="M15" t="inlineStr">
        <is>
          <t xml:space="preserve">Over (Under)
Min. Repayment  </t>
        </is>
      </c>
      <c r="P15" t="inlineStr">
        <is>
          <t>Notes / Hyperlinks</t>
        </is>
      </c>
    </row>
    <row r="16"/>
    <row r="17">
      <c r="C17">
        <f>IFERROR(_xlfn.UNIQUE(_xlfn._xlws.FILTER(INDIRECT("HNSW_Summary!$A:$A"),ISNUMBER(SEARCH("*G31",INDIRECT("HNSW_Summary!$B:$B")))+ISNUMBER(SEARCH("*D08",INDIRECT("HNSW_Summary!$B:$B"))))),"...")</f>
        <v/>
      </c>
      <c r="D17">
        <f>IF(C17=E17, HYPERLINK("#'" &amp; VLOOKUP(C17,INDIRECT("HNSW_Summary!$A:$B"),2,0) &amp; "'!A1", "}"), "}")</f>
        <v/>
      </c>
      <c r="E17">
        <f>VLOOKUP(C17,INDIRECT("HNSW_Summary!$A:$B"),1,0)</f>
        <v/>
      </c>
      <c r="F17">
        <f>IFERROR(INDEX(INDIRECT("HNSW_Summary!A:Z"),MATCH(C17,INDIRECT("HNSW_Summary!A:A"), 0),MATCH("Director",INDIRECT("HNSW_Summary!1:1"),0)),"")</f>
        <v/>
      </c>
      <c r="G17">
        <f>SUMIF(INDIRECT("HNSW_Summary!A:A"),C17,INDEX(INDIRECT("HNSW_Summary!A:Z"),0,MATCH("OpBalance",INDIRECT("HNSW_Summary!1:1"),0)))</f>
        <v/>
      </c>
      <c r="H17">
        <f>SUMIF(INDIRECT("HNSW_Summary!A:A"),C17,INDEX(INDIRECT("HNSW_Summary!A:Z"),0,MATCH("Repayments",INDIRECT("HNSW_Summary!1:1"),0)))</f>
        <v/>
      </c>
      <c r="I17">
        <f>SUMIF(INDIRECT("HNSW_Summary!A:A"),C17,INDEX(INDIRECT("HNSW_Summary!A:Z"),0,MATCH("Interest",INDIRECT("HNSW_Summary!1:1"),0)))</f>
        <v/>
      </c>
      <c r="J17">
        <f>SUMIF(INDIRECT("HNSW_Summary!A:A"),C17,INDEX(INDIRECT("HNSW_Summary!A:Z"),0,MATCH("ClBalance",INDIRECT("HNSW_Summary!1:1"),0)))</f>
        <v/>
      </c>
      <c r="L17">
        <f>SUMIF(INDIRECT("HNSW_Summary!A:A"),C17,INDEX(INDIRECT("HNSW_Summary!A:Z"),0,MATCH("MinRepayments",INDIRECT("HNSW_Summary!1:1"),0)))</f>
        <v/>
      </c>
      <c r="M17">
        <f>SUMIF(INDIRECT("HNSW_Summary!A:A"),C17,INDEX(INDIRECT("HNSW_Summary!A:Z"),0,MATCH("UnderOver",INDIRECT("HNSW_Summary!1:1"),0)))</f>
        <v/>
      </c>
      <c r="V17">
        <f>IF(D03_Number_of_Loans&gt;=1,FALSE,TRUE)</f>
        <v/>
      </c>
    </row>
    <row r="18">
      <c r="D18">
        <f>IF(C18=E18, HYPERLINK("#'" &amp; VLOOKUP(C18,INDIRECT("HNSW_Summary!$A:$B"),2,0) &amp; "'!A1", "}"), "}")</f>
        <v/>
      </c>
      <c r="E18">
        <f>VLOOKUP(C18,INDIRECT("HNSW_Summary!$A:$B"),1,0)</f>
        <v/>
      </c>
      <c r="F18">
        <f>IFERROR(INDEX(INDIRECT("HNSW_Summary!A:Z"),MATCH(C18,INDIRECT("HNSW_Summary!A:A"), 0),MATCH("Director",INDIRECT("HNSW_Summary!1:1"),0)),"")</f>
        <v/>
      </c>
      <c r="G18">
        <f>SUMIF(INDIRECT("HNSW_Summary!A:A"),C18,INDEX(INDIRECT("HNSW_Summary!A:Z"),0,MATCH("OpBalance",INDIRECT("HNSW_Summary!1:1"),0)))</f>
        <v/>
      </c>
      <c r="H18">
        <f>SUMIF(INDIRECT("HNSW_Summary!A:A"),C18,INDEX(INDIRECT("HNSW_Summary!A:Z"),0,MATCH("Repayments",INDIRECT("HNSW_Summary!1:1"),0)))</f>
        <v/>
      </c>
      <c r="I18">
        <f>SUMIF(INDIRECT("HNSW_Summary!A:A"),C18,INDEX(INDIRECT("HNSW_Summary!A:Z"),0,MATCH("Interest",INDIRECT("HNSW_Summary!1:1"),0)))</f>
        <v/>
      </c>
      <c r="J18">
        <f>SUMIF(INDIRECT("HNSW_Summary!A:A"),C18,INDEX(INDIRECT("HNSW_Summary!A:Z"),0,MATCH("ClBalance",INDIRECT("HNSW_Summary!1:1"),0)))</f>
        <v/>
      </c>
      <c r="L18">
        <f>SUMIF(INDIRECT("HNSW_Summary!A:A"),C18,INDEX(INDIRECT("HNSW_Summary!A:Z"),0,MATCH("MinRepayments",INDIRECT("HNSW_Summary!1:1"),0)))</f>
        <v/>
      </c>
      <c r="M18">
        <f>SUMIF(INDIRECT("HNSW_Summary!A:A"),C18,INDEX(INDIRECT("HNSW_Summary!A:Z"),0,MATCH("UnderOver",INDIRECT("HNSW_Summary!1:1"),0)))</f>
        <v/>
      </c>
      <c r="V18">
        <f>IF(D03_Number_of_Loans&gt;=2,FALSE,TRUE)</f>
        <v/>
      </c>
    </row>
    <row r="19">
      <c r="D19">
        <f>IF(C19=E19, HYPERLINK("#'" &amp; VLOOKUP(C19,INDIRECT("HNSW_Summary!$A:$B"),2,0) &amp; "'!A1", "}"), "}")</f>
        <v/>
      </c>
      <c r="E19">
        <f>VLOOKUP(C19,INDIRECT("HNSW_Summary!$A:$B"),1,0)</f>
        <v/>
      </c>
      <c r="F19">
        <f>IFERROR(INDEX(INDIRECT("HNSW_Summary!A:Z"),MATCH(C19,INDIRECT("HNSW_Summary!A:A"), 0),MATCH("Director",INDIRECT("HNSW_Summary!1:1"),0)),"")</f>
        <v/>
      </c>
      <c r="G19">
        <f>SUMIF(INDIRECT("HNSW_Summary!A:A"),C19,INDEX(INDIRECT("HNSW_Summary!A:Z"),0,MATCH("OpBalance",INDIRECT("HNSW_Summary!1:1"),0)))</f>
        <v/>
      </c>
      <c r="H19">
        <f>SUMIF(INDIRECT("HNSW_Summary!A:A"),C19,INDEX(INDIRECT("HNSW_Summary!A:Z"),0,MATCH("Repayments",INDIRECT("HNSW_Summary!1:1"),0)))</f>
        <v/>
      </c>
      <c r="I19">
        <f>SUMIF(INDIRECT("HNSW_Summary!A:A"),C19,INDEX(INDIRECT("HNSW_Summary!A:Z"),0,MATCH("Interest",INDIRECT("HNSW_Summary!1:1"),0)))</f>
        <v/>
      </c>
      <c r="J19">
        <f>SUMIF(INDIRECT("HNSW_Summary!A:A"),C19,INDEX(INDIRECT("HNSW_Summary!A:Z"),0,MATCH("ClBalance",INDIRECT("HNSW_Summary!1:1"),0)))</f>
        <v/>
      </c>
      <c r="L19">
        <f>SUMIF(INDIRECT("HNSW_Summary!A:A"),C19,INDEX(INDIRECT("HNSW_Summary!A:Z"),0,MATCH("MinRepayments",INDIRECT("HNSW_Summary!1:1"),0)))</f>
        <v/>
      </c>
      <c r="M19">
        <f>SUMIF(INDIRECT("HNSW_Summary!A:A"),C19,INDEX(INDIRECT("HNSW_Summary!A:Z"),0,MATCH("UnderOver",INDIRECT("HNSW_Summary!1:1"),0)))</f>
        <v/>
      </c>
      <c r="V19">
        <f>IF(D03_Number_of_Loans&gt;=3,FALSE,TRUE)</f>
        <v/>
      </c>
    </row>
    <row r="20">
      <c r="D20">
        <f>IF(C20=E20, HYPERLINK("#'" &amp; VLOOKUP(C20,INDIRECT("HNSW_Summary!$A:$B"),2,0) &amp; "'!A1", "}"), "}")</f>
        <v/>
      </c>
      <c r="E20">
        <f>VLOOKUP(C20,INDIRECT("HNSW_Summary!$A:$B"),1,0)</f>
        <v/>
      </c>
      <c r="F20">
        <f>IFERROR(INDEX(INDIRECT("HNSW_Summary!A:Z"),MATCH(C20,INDIRECT("HNSW_Summary!A:A"), 0),MATCH("Director",INDIRECT("HNSW_Summary!1:1"),0)),"")</f>
        <v/>
      </c>
      <c r="G20">
        <f>SUMIF(INDIRECT("HNSW_Summary!A:A"),C20,INDEX(INDIRECT("HNSW_Summary!A:Z"),0,MATCH("OpBalance",INDIRECT("HNSW_Summary!1:1"),0)))</f>
        <v/>
      </c>
      <c r="H20">
        <f>SUMIF(INDIRECT("HNSW_Summary!A:A"),C20,INDEX(INDIRECT("HNSW_Summary!A:Z"),0,MATCH("Repayments",INDIRECT("HNSW_Summary!1:1"),0)))</f>
        <v/>
      </c>
      <c r="I20">
        <f>SUMIF(INDIRECT("HNSW_Summary!A:A"),C20,INDEX(INDIRECT("HNSW_Summary!A:Z"),0,MATCH("Interest",INDIRECT("HNSW_Summary!1:1"),0)))</f>
        <v/>
      </c>
      <c r="J20">
        <f>SUMIF(INDIRECT("HNSW_Summary!A:A"),C20,INDEX(INDIRECT("HNSW_Summary!A:Z"),0,MATCH("ClBalance",INDIRECT("HNSW_Summary!1:1"),0)))</f>
        <v/>
      </c>
      <c r="L20">
        <f>SUMIF(INDIRECT("HNSW_Summary!A:A"),C20,INDEX(INDIRECT("HNSW_Summary!A:Z"),0,MATCH("MinRepayments",INDIRECT("HNSW_Summary!1:1"),0)))</f>
        <v/>
      </c>
      <c r="M20">
        <f>SUMIF(INDIRECT("HNSW_Summary!A:A"),C20,INDEX(INDIRECT("HNSW_Summary!A:Z"),0,MATCH("UnderOver",INDIRECT("HNSW_Summary!1:1"),0)))</f>
        <v/>
      </c>
      <c r="V20">
        <f>IF(D03_Number_of_Loans&gt;=4,FALSE,TRUE)</f>
        <v/>
      </c>
    </row>
    <row r="21">
      <c r="D21">
        <f>IF(C21=E21, HYPERLINK("#'" &amp; VLOOKUP(C21,INDIRECT("HNSW_Summary!$A:$B"),2,0) &amp; "'!A1", "}"), "}")</f>
        <v/>
      </c>
      <c r="E21">
        <f>VLOOKUP(C21,INDIRECT("HNSW_Summary!$A:$B"),1,0)</f>
        <v/>
      </c>
      <c r="F21">
        <f>IFERROR(INDEX(INDIRECT("HNSW_Summary!A:Z"),MATCH(C21,INDIRECT("HNSW_Summary!A:A"), 0),MATCH("Director",INDIRECT("HNSW_Summary!1:1"),0)),"")</f>
        <v/>
      </c>
      <c r="G21">
        <f>SUMIF(INDIRECT("HNSW_Summary!A:A"),C21,INDEX(INDIRECT("HNSW_Summary!A:Z"),0,MATCH("OpBalance",INDIRECT("HNSW_Summary!1:1"),0)))</f>
        <v/>
      </c>
      <c r="H21">
        <f>SUMIF(INDIRECT("HNSW_Summary!A:A"),C21,INDEX(INDIRECT("HNSW_Summary!A:Z"),0,MATCH("Repayments",INDIRECT("HNSW_Summary!1:1"),0)))</f>
        <v/>
      </c>
      <c r="I21">
        <f>SUMIF(INDIRECT("HNSW_Summary!A:A"),C21,INDEX(INDIRECT("HNSW_Summary!A:Z"),0,MATCH("Interest",INDIRECT("HNSW_Summary!1:1"),0)))</f>
        <v/>
      </c>
      <c r="J21">
        <f>SUMIF(INDIRECT("HNSW_Summary!A:A"),C21,INDEX(INDIRECT("HNSW_Summary!A:Z"),0,MATCH("ClBalance",INDIRECT("HNSW_Summary!1:1"),0)))</f>
        <v/>
      </c>
      <c r="L21">
        <f>SUMIF(INDIRECT("HNSW_Summary!A:A"),C21,INDEX(INDIRECT("HNSW_Summary!A:Z"),0,MATCH("MinRepayments",INDIRECT("HNSW_Summary!1:1"),0)))</f>
        <v/>
      </c>
      <c r="M21">
        <f>SUMIF(INDIRECT("HNSW_Summary!A:A"),C21,INDEX(INDIRECT("HNSW_Summary!A:Z"),0,MATCH("UnderOver",INDIRECT("HNSW_Summary!1:1"),0)))</f>
        <v/>
      </c>
      <c r="V21">
        <f>IF(D03_Number_of_Loans&gt;=5,FALSE,TRUE)</f>
        <v/>
      </c>
    </row>
    <row r="22">
      <c r="D22">
        <f>IF(C22=E22, HYPERLINK("#'" &amp; VLOOKUP(C22,INDIRECT("HNSW_Summary!$A:$B"),2,0) &amp; "'!A1", "}"), "}")</f>
        <v/>
      </c>
      <c r="E22">
        <f>VLOOKUP(C22,INDIRECT("HNSW_Summary!$A:$B"),1,0)</f>
        <v/>
      </c>
      <c r="F22">
        <f>IFERROR(INDEX(INDIRECT("HNSW_Summary!A:Z"),MATCH(C22,INDIRECT("HNSW_Summary!A:A"), 0),MATCH("Director",INDIRECT("HNSW_Summary!1:1"),0)),"")</f>
        <v/>
      </c>
      <c r="G22">
        <f>SUMIF(INDIRECT("HNSW_Summary!A:A"),C22,INDEX(INDIRECT("HNSW_Summary!A:Z"),0,MATCH("OpBalance",INDIRECT("HNSW_Summary!1:1"),0)))</f>
        <v/>
      </c>
      <c r="H22">
        <f>SUMIF(INDIRECT("HNSW_Summary!A:A"),C22,INDEX(INDIRECT("HNSW_Summary!A:Z"),0,MATCH("Repayments",INDIRECT("HNSW_Summary!1:1"),0)))</f>
        <v/>
      </c>
      <c r="I22">
        <f>SUMIF(INDIRECT("HNSW_Summary!A:A"),C22,INDEX(INDIRECT("HNSW_Summary!A:Z"),0,MATCH("Interest",INDIRECT("HNSW_Summary!1:1"),0)))</f>
        <v/>
      </c>
      <c r="J22">
        <f>SUMIF(INDIRECT("HNSW_Summary!A:A"),C22,INDEX(INDIRECT("HNSW_Summary!A:Z"),0,MATCH("ClBalance",INDIRECT("HNSW_Summary!1:1"),0)))</f>
        <v/>
      </c>
      <c r="L22">
        <f>SUMIF(INDIRECT("HNSW_Summary!A:A"),C22,INDEX(INDIRECT("HNSW_Summary!A:Z"),0,MATCH("MinRepayments",INDIRECT("HNSW_Summary!1:1"),0)))</f>
        <v/>
      </c>
      <c r="M22">
        <f>SUMIF(INDIRECT("HNSW_Summary!A:A"),C22,INDEX(INDIRECT("HNSW_Summary!A:Z"),0,MATCH("UnderOver",INDIRECT("HNSW_Summary!1:1"),0)))</f>
        <v/>
      </c>
      <c r="V22">
        <f>IF(D03_Number_of_Loans&gt;=6,FALSE,TRUE)</f>
        <v/>
      </c>
    </row>
    <row r="23">
      <c r="D23">
        <f>IF(C23=E23, HYPERLINK("#'" &amp; VLOOKUP(C23,INDIRECT("HNSW_Summary!$A:$B"),2,0) &amp; "'!A1", "}"), "}")</f>
        <v/>
      </c>
      <c r="E23">
        <f>VLOOKUP(C23,INDIRECT("HNSW_Summary!$A:$B"),1,0)</f>
        <v/>
      </c>
      <c r="F23">
        <f>IFERROR(INDEX(INDIRECT("HNSW_Summary!A:Z"),MATCH(C23,INDIRECT("HNSW_Summary!A:A"), 0),MATCH("Director",INDIRECT("HNSW_Summary!1:1"),0)),"")</f>
        <v/>
      </c>
      <c r="G23">
        <f>SUMIF(INDIRECT("HNSW_Summary!A:A"),C23,INDEX(INDIRECT("HNSW_Summary!A:Z"),0,MATCH("OpBalance",INDIRECT("HNSW_Summary!1:1"),0)))</f>
        <v/>
      </c>
      <c r="H23">
        <f>SUMIF(INDIRECT("HNSW_Summary!A:A"),C23,INDEX(INDIRECT("HNSW_Summary!A:Z"),0,MATCH("Repayments",INDIRECT("HNSW_Summary!1:1"),0)))</f>
        <v/>
      </c>
      <c r="I23">
        <f>SUMIF(INDIRECT("HNSW_Summary!A:A"),C23,INDEX(INDIRECT("HNSW_Summary!A:Z"),0,MATCH("Interest",INDIRECT("HNSW_Summary!1:1"),0)))</f>
        <v/>
      </c>
      <c r="J23">
        <f>SUMIF(INDIRECT("HNSW_Summary!A:A"),C23,INDEX(INDIRECT("HNSW_Summary!A:Z"),0,MATCH("ClBalance",INDIRECT("HNSW_Summary!1:1"),0)))</f>
        <v/>
      </c>
      <c r="L23">
        <f>SUMIF(INDIRECT("HNSW_Summary!A:A"),C23,INDEX(INDIRECT("HNSW_Summary!A:Z"),0,MATCH("MinRepayments",INDIRECT("HNSW_Summary!1:1"),0)))</f>
        <v/>
      </c>
      <c r="M23">
        <f>SUMIF(INDIRECT("HNSW_Summary!A:A"),C23,INDEX(INDIRECT("HNSW_Summary!A:Z"),0,MATCH("UnderOver",INDIRECT("HNSW_Summary!1:1"),0)))</f>
        <v/>
      </c>
      <c r="V23">
        <f>IF(D03_Number_of_Loans&gt;=7,FALSE,TRUE)</f>
        <v/>
      </c>
    </row>
    <row r="24">
      <c r="D24">
        <f>IF(C24=E24, HYPERLINK("#'" &amp; VLOOKUP(C24,INDIRECT("HNSW_Summary!$A:$B"),2,0) &amp; "'!A1", "}"), "}")</f>
        <v/>
      </c>
      <c r="E24">
        <f>VLOOKUP(C24,INDIRECT("HNSW_Summary!$A:$B"),1,0)</f>
        <v/>
      </c>
      <c r="F24">
        <f>IFERROR(INDEX(INDIRECT("HNSW_Summary!A:Z"),MATCH(C24,INDIRECT("HNSW_Summary!A:A"), 0),MATCH("Director",INDIRECT("HNSW_Summary!1:1"),0)),"")</f>
        <v/>
      </c>
      <c r="G24">
        <f>SUMIF(INDIRECT("HNSW_Summary!A:A"),C24,INDEX(INDIRECT("HNSW_Summary!A:Z"),0,MATCH("OpBalance",INDIRECT("HNSW_Summary!1:1"),0)))</f>
        <v/>
      </c>
      <c r="H24">
        <f>SUMIF(INDIRECT("HNSW_Summary!A:A"),C24,INDEX(INDIRECT("HNSW_Summary!A:Z"),0,MATCH("Repayments",INDIRECT("HNSW_Summary!1:1"),0)))</f>
        <v/>
      </c>
      <c r="I24">
        <f>SUMIF(INDIRECT("HNSW_Summary!A:A"),C24,INDEX(INDIRECT("HNSW_Summary!A:Z"),0,MATCH("Interest",INDIRECT("HNSW_Summary!1:1"),0)))</f>
        <v/>
      </c>
      <c r="J24">
        <f>SUMIF(INDIRECT("HNSW_Summary!A:A"),C24,INDEX(INDIRECT("HNSW_Summary!A:Z"),0,MATCH("ClBalance",INDIRECT("HNSW_Summary!1:1"),0)))</f>
        <v/>
      </c>
      <c r="L24">
        <f>SUMIF(INDIRECT("HNSW_Summary!A:A"),C24,INDEX(INDIRECT("HNSW_Summary!A:Z"),0,MATCH("MinRepayments",INDIRECT("HNSW_Summary!1:1"),0)))</f>
        <v/>
      </c>
      <c r="M24">
        <f>SUMIF(INDIRECT("HNSW_Summary!A:A"),C24,INDEX(INDIRECT("HNSW_Summary!A:Z"),0,MATCH("UnderOver",INDIRECT("HNSW_Summary!1:1"),0)))</f>
        <v/>
      </c>
      <c r="V24">
        <f>IF(D03_Number_of_Loans&gt;=8,FALSE,TRUE)</f>
        <v/>
      </c>
    </row>
    <row r="25">
      <c r="D25">
        <f>IF(C25=E25, HYPERLINK("#'" &amp; VLOOKUP(C25,INDIRECT("HNSW_Summary!$A:$B"),2,0) &amp; "'!A1", "}"), "}")</f>
        <v/>
      </c>
      <c r="E25">
        <f>VLOOKUP(C25,INDIRECT("HNSW_Summary!$A:$B"),1,0)</f>
        <v/>
      </c>
      <c r="F25">
        <f>IFERROR(INDEX(INDIRECT("HNSW_Summary!A:Z"),MATCH(C25,INDIRECT("HNSW_Summary!A:A"), 0),MATCH("Director",INDIRECT("HNSW_Summary!1:1"),0)),"")</f>
        <v/>
      </c>
      <c r="G25">
        <f>SUMIF(INDIRECT("HNSW_Summary!A:A"),C25,INDEX(INDIRECT("HNSW_Summary!A:Z"),0,MATCH("OpBalance",INDIRECT("HNSW_Summary!1:1"),0)))</f>
        <v/>
      </c>
      <c r="H25">
        <f>SUMIF(INDIRECT("HNSW_Summary!A:A"),C25,INDEX(INDIRECT("HNSW_Summary!A:Z"),0,MATCH("Repayments",INDIRECT("HNSW_Summary!1:1"),0)))</f>
        <v/>
      </c>
      <c r="I25">
        <f>SUMIF(INDIRECT("HNSW_Summary!A:A"),C25,INDEX(INDIRECT("HNSW_Summary!A:Z"),0,MATCH("Interest",INDIRECT("HNSW_Summary!1:1"),0)))</f>
        <v/>
      </c>
      <c r="J25">
        <f>SUMIF(INDIRECT("HNSW_Summary!A:A"),C25,INDEX(INDIRECT("HNSW_Summary!A:Z"),0,MATCH("ClBalance",INDIRECT("HNSW_Summary!1:1"),0)))</f>
        <v/>
      </c>
      <c r="L25">
        <f>SUMIF(INDIRECT("HNSW_Summary!A:A"),C25,INDEX(INDIRECT("HNSW_Summary!A:Z"),0,MATCH("MinRepayments",INDIRECT("HNSW_Summary!1:1"),0)))</f>
        <v/>
      </c>
      <c r="M25">
        <f>SUMIF(INDIRECT("HNSW_Summary!A:A"),C25,INDEX(INDIRECT("HNSW_Summary!A:Z"),0,MATCH("UnderOver",INDIRECT("HNSW_Summary!1:1"),0)))</f>
        <v/>
      </c>
      <c r="V25">
        <f>IF(D03_Number_of_Loans&gt;=9,FALSE,TRUE)</f>
        <v/>
      </c>
    </row>
    <row r="26">
      <c r="D26">
        <f>IF(C26=E26, HYPERLINK("#'" &amp; VLOOKUP(C26,INDIRECT("HNSW_Summary!$A:$B"),2,0) &amp; "'!A1", "}"), "}")</f>
        <v/>
      </c>
      <c r="E26">
        <f>VLOOKUP(C26,INDIRECT("HNSW_Summary!$A:$B"),1,0)</f>
        <v/>
      </c>
      <c r="F26">
        <f>IFERROR(INDEX(INDIRECT("HNSW_Summary!A:Z"),MATCH(C26,INDIRECT("HNSW_Summary!A:A"), 0),MATCH("Director",INDIRECT("HNSW_Summary!1:1"),0)),"")</f>
        <v/>
      </c>
      <c r="G26">
        <f>SUMIF(INDIRECT("HNSW_Summary!A:A"),C26,INDEX(INDIRECT("HNSW_Summary!A:Z"),0,MATCH("OpBalance",INDIRECT("HNSW_Summary!1:1"),0)))</f>
        <v/>
      </c>
      <c r="H26">
        <f>SUMIF(INDIRECT("HNSW_Summary!A:A"),C26,INDEX(INDIRECT("HNSW_Summary!A:Z"),0,MATCH("Repayments",INDIRECT("HNSW_Summary!1:1"),0)))</f>
        <v/>
      </c>
      <c r="I26">
        <f>SUMIF(INDIRECT("HNSW_Summary!A:A"),C26,INDEX(INDIRECT("HNSW_Summary!A:Z"),0,MATCH("Interest",INDIRECT("HNSW_Summary!1:1"),0)))</f>
        <v/>
      </c>
      <c r="J26">
        <f>SUMIF(INDIRECT("HNSW_Summary!A:A"),C26,INDEX(INDIRECT("HNSW_Summary!A:Z"),0,MATCH("ClBalance",INDIRECT("HNSW_Summary!1:1"),0)))</f>
        <v/>
      </c>
      <c r="L26">
        <f>SUMIF(INDIRECT("HNSW_Summary!A:A"),C26,INDEX(INDIRECT("HNSW_Summary!A:Z"),0,MATCH("MinRepayments",INDIRECT("HNSW_Summary!1:1"),0)))</f>
        <v/>
      </c>
      <c r="M26">
        <f>SUMIF(INDIRECT("HNSW_Summary!A:A"),C26,INDEX(INDIRECT("HNSW_Summary!A:Z"),0,MATCH("UnderOver",INDIRECT("HNSW_Summary!1:1"),0)))</f>
        <v/>
      </c>
      <c r="V26">
        <f>IF(D03_Number_of_Loans&gt;=10,FALSE,TRUE)</f>
        <v/>
      </c>
    </row>
    <row r="27">
      <c r="D27">
        <f>IF(C27=E27, HYPERLINK("#'" &amp; VLOOKUP(C27,INDIRECT("HNSW_Summary!$A:$B"),2,0) &amp; "'!A1", "}"), "}")</f>
        <v/>
      </c>
      <c r="E27">
        <f>VLOOKUP(C27,INDIRECT("HNSW_Summary!$A:$B"),1,0)</f>
        <v/>
      </c>
      <c r="F27">
        <f>IFERROR(INDEX(INDIRECT("HNSW_Summary!A:Z"),MATCH(C27,INDIRECT("HNSW_Summary!A:A"), 0),MATCH("Director",INDIRECT("HNSW_Summary!1:1"),0)),"")</f>
        <v/>
      </c>
      <c r="G27">
        <f>SUMIF(INDIRECT("HNSW_Summary!A:A"),C27,INDEX(INDIRECT("HNSW_Summary!A:Z"),0,MATCH("OpBalance",INDIRECT("HNSW_Summary!1:1"),0)))</f>
        <v/>
      </c>
      <c r="H27">
        <f>SUMIF(INDIRECT("HNSW_Summary!A:A"),C27,INDEX(INDIRECT("HNSW_Summary!A:Z"),0,MATCH("Repayments",INDIRECT("HNSW_Summary!1:1"),0)))</f>
        <v/>
      </c>
      <c r="I27">
        <f>SUMIF(INDIRECT("HNSW_Summary!A:A"),C27,INDEX(INDIRECT("HNSW_Summary!A:Z"),0,MATCH("Interest",INDIRECT("HNSW_Summary!1:1"),0)))</f>
        <v/>
      </c>
      <c r="J27">
        <f>SUMIF(INDIRECT("HNSW_Summary!A:A"),C27,INDEX(INDIRECT("HNSW_Summary!A:Z"),0,MATCH("ClBalance",INDIRECT("HNSW_Summary!1:1"),0)))</f>
        <v/>
      </c>
      <c r="L27">
        <f>SUMIF(INDIRECT("HNSW_Summary!A:A"),C27,INDEX(INDIRECT("HNSW_Summary!A:Z"),0,MATCH("MinRepayments",INDIRECT("HNSW_Summary!1:1"),0)))</f>
        <v/>
      </c>
      <c r="M27">
        <f>SUMIF(INDIRECT("HNSW_Summary!A:A"),C27,INDEX(INDIRECT("HNSW_Summary!A:Z"),0,MATCH("UnderOver",INDIRECT("HNSW_Summary!1:1"),0)))</f>
        <v/>
      </c>
      <c r="V27">
        <f>IF(D03_Number_of_Loans&gt;=11,FALSE,TRUE)</f>
        <v/>
      </c>
    </row>
    <row r="28">
      <c r="D28">
        <f>IF(C28=E28, HYPERLINK("#'" &amp; VLOOKUP(C28,INDIRECT("HNSW_Summary!$A:$B"),2,0) &amp; "'!A1", "}"), "}")</f>
        <v/>
      </c>
      <c r="E28">
        <f>VLOOKUP(C28,INDIRECT("HNSW_Summary!$A:$B"),1,0)</f>
        <v/>
      </c>
      <c r="F28">
        <f>IFERROR(INDEX(INDIRECT("HNSW_Summary!A:Z"),MATCH(C28,INDIRECT("HNSW_Summary!A:A"), 0),MATCH("Director",INDIRECT("HNSW_Summary!1:1"),0)),"")</f>
        <v/>
      </c>
      <c r="G28">
        <f>SUMIF(INDIRECT("HNSW_Summary!A:A"),C28,INDEX(INDIRECT("HNSW_Summary!A:Z"),0,MATCH("OpBalance",INDIRECT("HNSW_Summary!1:1"),0)))</f>
        <v/>
      </c>
      <c r="H28">
        <f>SUMIF(INDIRECT("HNSW_Summary!A:A"),C28,INDEX(INDIRECT("HNSW_Summary!A:Z"),0,MATCH("Repayments",INDIRECT("HNSW_Summary!1:1"),0)))</f>
        <v/>
      </c>
      <c r="I28">
        <f>SUMIF(INDIRECT("HNSW_Summary!A:A"),C28,INDEX(INDIRECT("HNSW_Summary!A:Z"),0,MATCH("Interest",INDIRECT("HNSW_Summary!1:1"),0)))</f>
        <v/>
      </c>
      <c r="J28">
        <f>SUMIF(INDIRECT("HNSW_Summary!A:A"),C28,INDEX(INDIRECT("HNSW_Summary!A:Z"),0,MATCH("ClBalance",INDIRECT("HNSW_Summary!1:1"),0)))</f>
        <v/>
      </c>
      <c r="L28">
        <f>SUMIF(INDIRECT("HNSW_Summary!A:A"),C28,INDEX(INDIRECT("HNSW_Summary!A:Z"),0,MATCH("MinRepayments",INDIRECT("HNSW_Summary!1:1"),0)))</f>
        <v/>
      </c>
      <c r="M28">
        <f>SUMIF(INDIRECT("HNSW_Summary!A:A"),C28,INDEX(INDIRECT("HNSW_Summary!A:Z"),0,MATCH("UnderOver",INDIRECT("HNSW_Summary!1:1"),0)))</f>
        <v/>
      </c>
      <c r="V28">
        <f>IF(D03_Number_of_Loans&gt;=12,FALSE,TRUE)</f>
        <v/>
      </c>
    </row>
    <row r="29">
      <c r="D29">
        <f>IF(C29=E29, HYPERLINK("#'" &amp; VLOOKUP(C29,INDIRECT("HNSW_Summary!$A:$B"),2,0) &amp; "'!A1", "}"), "}")</f>
        <v/>
      </c>
      <c r="E29">
        <f>VLOOKUP(C29,INDIRECT("HNSW_Summary!$A:$B"),1,0)</f>
        <v/>
      </c>
      <c r="F29">
        <f>IFERROR(INDEX(INDIRECT("HNSW_Summary!A:Z"),MATCH(C29,INDIRECT("HNSW_Summary!A:A"), 0),MATCH("Director",INDIRECT("HNSW_Summary!1:1"),0)),"")</f>
        <v/>
      </c>
      <c r="G29">
        <f>SUMIF(INDIRECT("HNSW_Summary!A:A"),C29,INDEX(INDIRECT("HNSW_Summary!A:Z"),0,MATCH("OpBalance",INDIRECT("HNSW_Summary!1:1"),0)))</f>
        <v/>
      </c>
      <c r="H29">
        <f>SUMIF(INDIRECT("HNSW_Summary!A:A"),C29,INDEX(INDIRECT("HNSW_Summary!A:Z"),0,MATCH("Repayments",INDIRECT("HNSW_Summary!1:1"),0)))</f>
        <v/>
      </c>
      <c r="I29">
        <f>SUMIF(INDIRECT("HNSW_Summary!A:A"),C29,INDEX(INDIRECT("HNSW_Summary!A:Z"),0,MATCH("Interest",INDIRECT("HNSW_Summary!1:1"),0)))</f>
        <v/>
      </c>
      <c r="J29">
        <f>SUMIF(INDIRECT("HNSW_Summary!A:A"),C29,INDEX(INDIRECT("HNSW_Summary!A:Z"),0,MATCH("ClBalance",INDIRECT("HNSW_Summary!1:1"),0)))</f>
        <v/>
      </c>
      <c r="L29">
        <f>SUMIF(INDIRECT("HNSW_Summary!A:A"),C29,INDEX(INDIRECT("HNSW_Summary!A:Z"),0,MATCH("MinRepayments",INDIRECT("HNSW_Summary!1:1"),0)))</f>
        <v/>
      </c>
      <c r="M29">
        <f>SUMIF(INDIRECT("HNSW_Summary!A:A"),C29,INDEX(INDIRECT("HNSW_Summary!A:Z"),0,MATCH("UnderOver",INDIRECT("HNSW_Summary!1:1"),0)))</f>
        <v/>
      </c>
      <c r="V29">
        <f>IF(D03_Number_of_Loans&gt;=13,FALSE,TRUE)</f>
        <v/>
      </c>
    </row>
    <row r="30">
      <c r="D30">
        <f>IF(C30=E30, HYPERLINK("#'" &amp; VLOOKUP(C30,INDIRECT("HNSW_Summary!$A:$B"),2,0) &amp; "'!A1", "}"), "}")</f>
        <v/>
      </c>
      <c r="E30">
        <f>VLOOKUP(C30,INDIRECT("HNSW_Summary!$A:$B"),1,0)</f>
        <v/>
      </c>
      <c r="F30">
        <f>IFERROR(INDEX(INDIRECT("HNSW_Summary!A:Z"),MATCH(C30,INDIRECT("HNSW_Summary!A:A"), 0),MATCH("Director",INDIRECT("HNSW_Summary!1:1"),0)),"")</f>
        <v/>
      </c>
      <c r="G30">
        <f>SUMIF(INDIRECT("HNSW_Summary!A:A"),C30,INDEX(INDIRECT("HNSW_Summary!A:Z"),0,MATCH("OpBalance",INDIRECT("HNSW_Summary!1:1"),0)))</f>
        <v/>
      </c>
      <c r="H30">
        <f>SUMIF(INDIRECT("HNSW_Summary!A:A"),C30,INDEX(INDIRECT("HNSW_Summary!A:Z"),0,MATCH("Repayments",INDIRECT("HNSW_Summary!1:1"),0)))</f>
        <v/>
      </c>
      <c r="I30">
        <f>SUMIF(INDIRECT("HNSW_Summary!A:A"),C30,INDEX(INDIRECT("HNSW_Summary!A:Z"),0,MATCH("Interest",INDIRECT("HNSW_Summary!1:1"),0)))</f>
        <v/>
      </c>
      <c r="J30">
        <f>SUMIF(INDIRECT("HNSW_Summary!A:A"),C30,INDEX(INDIRECT("HNSW_Summary!A:Z"),0,MATCH("ClBalance",INDIRECT("HNSW_Summary!1:1"),0)))</f>
        <v/>
      </c>
      <c r="L30">
        <f>SUMIF(INDIRECT("HNSW_Summary!A:A"),C30,INDEX(INDIRECT("HNSW_Summary!A:Z"),0,MATCH("MinRepayments",INDIRECT("HNSW_Summary!1:1"),0)))</f>
        <v/>
      </c>
      <c r="M30">
        <f>SUMIF(INDIRECT("HNSW_Summary!A:A"),C30,INDEX(INDIRECT("HNSW_Summary!A:Z"),0,MATCH("UnderOver",INDIRECT("HNSW_Summary!1:1"),0)))</f>
        <v/>
      </c>
      <c r="V30">
        <f>IF(D03_Number_of_Loans&gt;=14,FALSE,TRUE)</f>
        <v/>
      </c>
    </row>
    <row r="31">
      <c r="D31">
        <f>IF(C31=E31, HYPERLINK("#'" &amp; VLOOKUP(C31,INDIRECT("HNSW_Summary!$A:$B"),2,0) &amp; "'!A1", "}"), "}")</f>
        <v/>
      </c>
      <c r="E31">
        <f>VLOOKUP(C31,INDIRECT("HNSW_Summary!$A:$B"),1,0)</f>
        <v/>
      </c>
      <c r="F31">
        <f>IFERROR(INDEX(INDIRECT("HNSW_Summary!A:Z"),MATCH(C31,INDIRECT("HNSW_Summary!A:A"), 0),MATCH("Director",INDIRECT("HNSW_Summary!1:1"),0)),"")</f>
        <v/>
      </c>
      <c r="G31">
        <f>SUMIF(INDIRECT("HNSW_Summary!A:A"),C31,INDEX(INDIRECT("HNSW_Summary!A:Z"),0,MATCH("OpBalance",INDIRECT("HNSW_Summary!1:1"),0)))</f>
        <v/>
      </c>
      <c r="H31">
        <f>SUMIF(INDIRECT("HNSW_Summary!A:A"),C31,INDEX(INDIRECT("HNSW_Summary!A:Z"),0,MATCH("Repayments",INDIRECT("HNSW_Summary!1:1"),0)))</f>
        <v/>
      </c>
      <c r="I31">
        <f>SUMIF(INDIRECT("HNSW_Summary!A:A"),C31,INDEX(INDIRECT("HNSW_Summary!A:Z"),0,MATCH("Interest",INDIRECT("HNSW_Summary!1:1"),0)))</f>
        <v/>
      </c>
      <c r="J31">
        <f>SUMIF(INDIRECT("HNSW_Summary!A:A"),C31,INDEX(INDIRECT("HNSW_Summary!A:Z"),0,MATCH("ClBalance",INDIRECT("HNSW_Summary!1:1"),0)))</f>
        <v/>
      </c>
      <c r="L31">
        <f>SUMIF(INDIRECT("HNSW_Summary!A:A"),C31,INDEX(INDIRECT("HNSW_Summary!A:Z"),0,MATCH("MinRepayments",INDIRECT("HNSW_Summary!1:1"),0)))</f>
        <v/>
      </c>
      <c r="M31">
        <f>SUMIF(INDIRECT("HNSW_Summary!A:A"),C31,INDEX(INDIRECT("HNSW_Summary!A:Z"),0,MATCH("UnderOver",INDIRECT("HNSW_Summary!1:1"),0)))</f>
        <v/>
      </c>
      <c r="V31">
        <f>IF(D03_Number_of_Loans&gt;=15,FALSE,TRUE)</f>
        <v/>
      </c>
    </row>
    <row r="32">
      <c r="D32">
        <f>IF(C32=E32, HYPERLINK("#'" &amp; VLOOKUP(C32,INDIRECT("HNSW_Summary!$A:$B"),2,0) &amp; "'!A1", "}"), "}")</f>
        <v/>
      </c>
      <c r="E32">
        <f>VLOOKUP(C32,INDIRECT("HNSW_Summary!$A:$B"),1,0)</f>
        <v/>
      </c>
      <c r="F32">
        <f>IFERROR(INDEX(INDIRECT("HNSW_Summary!A:Z"),MATCH(C32,INDIRECT("HNSW_Summary!A:A"), 0),MATCH("Director",INDIRECT("HNSW_Summary!1:1"),0)),"")</f>
        <v/>
      </c>
      <c r="G32">
        <f>SUMIF(INDIRECT("HNSW_Summary!A:A"),C32,INDEX(INDIRECT("HNSW_Summary!A:Z"),0,MATCH("OpBalance",INDIRECT("HNSW_Summary!1:1"),0)))</f>
        <v/>
      </c>
      <c r="H32">
        <f>SUMIF(INDIRECT("HNSW_Summary!A:A"),C32,INDEX(INDIRECT("HNSW_Summary!A:Z"),0,MATCH("Repayments",INDIRECT("HNSW_Summary!1:1"),0)))</f>
        <v/>
      </c>
      <c r="I32">
        <f>SUMIF(INDIRECT("HNSW_Summary!A:A"),C32,INDEX(INDIRECT("HNSW_Summary!A:Z"),0,MATCH("Interest",INDIRECT("HNSW_Summary!1:1"),0)))</f>
        <v/>
      </c>
      <c r="J32">
        <f>SUMIF(INDIRECT("HNSW_Summary!A:A"),C32,INDEX(INDIRECT("HNSW_Summary!A:Z"),0,MATCH("ClBalance",INDIRECT("HNSW_Summary!1:1"),0)))</f>
        <v/>
      </c>
      <c r="L32">
        <f>SUMIF(INDIRECT("HNSW_Summary!A:A"),C32,INDEX(INDIRECT("HNSW_Summary!A:Z"),0,MATCH("MinRepayments",INDIRECT("HNSW_Summary!1:1"),0)))</f>
        <v/>
      </c>
      <c r="M32">
        <f>SUMIF(INDIRECT("HNSW_Summary!A:A"),C32,INDEX(INDIRECT("HNSW_Summary!A:Z"),0,MATCH("UnderOver",INDIRECT("HNSW_Summary!1:1"),0)))</f>
        <v/>
      </c>
      <c r="V32">
        <f>IF(D03_Number_of_Loans&gt;=16,FALSE,TRUE)</f>
        <v/>
      </c>
    </row>
    <row r="33">
      <c r="D33">
        <f>IF(C33=E33, HYPERLINK("#'" &amp; VLOOKUP(C33,INDIRECT("HNSW_Summary!$A:$B"),2,0) &amp; "'!A1", "}"), "}")</f>
        <v/>
      </c>
      <c r="E33">
        <f>VLOOKUP(C33,INDIRECT("HNSW_Summary!$A:$B"),1,0)</f>
        <v/>
      </c>
      <c r="F33">
        <f>IFERROR(INDEX(INDIRECT("HNSW_Summary!A:Z"),MATCH(C33,INDIRECT("HNSW_Summary!A:A"), 0),MATCH("Director",INDIRECT("HNSW_Summary!1:1"),0)),"")</f>
        <v/>
      </c>
      <c r="G33">
        <f>SUMIF(INDIRECT("HNSW_Summary!A:A"),C33,INDEX(INDIRECT("HNSW_Summary!A:Z"),0,MATCH("OpBalance",INDIRECT("HNSW_Summary!1:1"),0)))</f>
        <v/>
      </c>
      <c r="H33">
        <f>SUMIF(INDIRECT("HNSW_Summary!A:A"),C33,INDEX(INDIRECT("HNSW_Summary!A:Z"),0,MATCH("Repayments",INDIRECT("HNSW_Summary!1:1"),0)))</f>
        <v/>
      </c>
      <c r="I33">
        <f>SUMIF(INDIRECT("HNSW_Summary!A:A"),C33,INDEX(INDIRECT("HNSW_Summary!A:Z"),0,MATCH("Interest",INDIRECT("HNSW_Summary!1:1"),0)))</f>
        <v/>
      </c>
      <c r="J33">
        <f>SUMIF(INDIRECT("HNSW_Summary!A:A"),C33,INDEX(INDIRECT("HNSW_Summary!A:Z"),0,MATCH("ClBalance",INDIRECT("HNSW_Summary!1:1"),0)))</f>
        <v/>
      </c>
      <c r="L33">
        <f>SUMIF(INDIRECT("HNSW_Summary!A:A"),C33,INDEX(INDIRECT("HNSW_Summary!A:Z"),0,MATCH("MinRepayments",INDIRECT("HNSW_Summary!1:1"),0)))</f>
        <v/>
      </c>
      <c r="M33">
        <f>SUMIF(INDIRECT("HNSW_Summary!A:A"),C33,INDEX(INDIRECT("HNSW_Summary!A:Z"),0,MATCH("UnderOver",INDIRECT("HNSW_Summary!1:1"),0)))</f>
        <v/>
      </c>
      <c r="V33">
        <f>IF(D03_Number_of_Loans&gt;=17,FALSE,TRUE)</f>
        <v/>
      </c>
    </row>
    <row r="34">
      <c r="D34">
        <f>IF(C34=E34, HYPERLINK("#'" &amp; VLOOKUP(C34,INDIRECT("HNSW_Summary!$A:$B"),2,0) &amp; "'!A1", "}"), "}")</f>
        <v/>
      </c>
      <c r="E34">
        <f>VLOOKUP(C34,INDIRECT("HNSW_Summary!$A:$B"),1,0)</f>
        <v/>
      </c>
      <c r="F34">
        <f>IFERROR(INDEX(INDIRECT("HNSW_Summary!A:Z"),MATCH(C34,INDIRECT("HNSW_Summary!A:A"), 0),MATCH("Director",INDIRECT("HNSW_Summary!1:1"),0)),"")</f>
        <v/>
      </c>
      <c r="G34">
        <f>SUMIF(INDIRECT("HNSW_Summary!A:A"),C34,INDEX(INDIRECT("HNSW_Summary!A:Z"),0,MATCH("OpBalance",INDIRECT("HNSW_Summary!1:1"),0)))</f>
        <v/>
      </c>
      <c r="H34">
        <f>SUMIF(INDIRECT("HNSW_Summary!A:A"),C34,INDEX(INDIRECT("HNSW_Summary!A:Z"),0,MATCH("Repayments",INDIRECT("HNSW_Summary!1:1"),0)))</f>
        <v/>
      </c>
      <c r="I34">
        <f>SUMIF(INDIRECT("HNSW_Summary!A:A"),C34,INDEX(INDIRECT("HNSW_Summary!A:Z"),0,MATCH("Interest",INDIRECT("HNSW_Summary!1:1"),0)))</f>
        <v/>
      </c>
      <c r="J34">
        <f>SUMIF(INDIRECT("HNSW_Summary!A:A"),C34,INDEX(INDIRECT("HNSW_Summary!A:Z"),0,MATCH("ClBalance",INDIRECT("HNSW_Summary!1:1"),0)))</f>
        <v/>
      </c>
      <c r="L34">
        <f>SUMIF(INDIRECT("HNSW_Summary!A:A"),C34,INDEX(INDIRECT("HNSW_Summary!A:Z"),0,MATCH("MinRepayments",INDIRECT("HNSW_Summary!1:1"),0)))</f>
        <v/>
      </c>
      <c r="M34">
        <f>SUMIF(INDIRECT("HNSW_Summary!A:A"),C34,INDEX(INDIRECT("HNSW_Summary!A:Z"),0,MATCH("UnderOver",INDIRECT("HNSW_Summary!1:1"),0)))</f>
        <v/>
      </c>
      <c r="V34">
        <f>IF(D03_Number_of_Loans&gt;=18,FALSE,TRUE)</f>
        <v/>
      </c>
    </row>
    <row r="35">
      <c r="D35">
        <f>IF(C35=E35, HYPERLINK("#'" &amp; VLOOKUP(C35,INDIRECT("HNSW_Summary!$A:$B"),2,0) &amp; "'!A1", "}"), "}")</f>
        <v/>
      </c>
      <c r="E35">
        <f>VLOOKUP(C35,INDIRECT("HNSW_Summary!$A:$B"),1,0)</f>
        <v/>
      </c>
      <c r="F35">
        <f>IFERROR(INDEX(INDIRECT("HNSW_Summary!A:Z"),MATCH(C35,INDIRECT("HNSW_Summary!A:A"), 0),MATCH("Director",INDIRECT("HNSW_Summary!1:1"),0)),"")</f>
        <v/>
      </c>
      <c r="G35">
        <f>SUMIF(INDIRECT("HNSW_Summary!A:A"),C35,INDEX(INDIRECT("HNSW_Summary!A:Z"),0,MATCH("OpBalance",INDIRECT("HNSW_Summary!1:1"),0)))</f>
        <v/>
      </c>
      <c r="H35">
        <f>SUMIF(INDIRECT("HNSW_Summary!A:A"),C35,INDEX(INDIRECT("HNSW_Summary!A:Z"),0,MATCH("Repayments",INDIRECT("HNSW_Summary!1:1"),0)))</f>
        <v/>
      </c>
      <c r="I35">
        <f>SUMIF(INDIRECT("HNSW_Summary!A:A"),C35,INDEX(INDIRECT("HNSW_Summary!A:Z"),0,MATCH("Interest",INDIRECT("HNSW_Summary!1:1"),0)))</f>
        <v/>
      </c>
      <c r="J35">
        <f>SUMIF(INDIRECT("HNSW_Summary!A:A"),C35,INDEX(INDIRECT("HNSW_Summary!A:Z"),0,MATCH("ClBalance",INDIRECT("HNSW_Summary!1:1"),0)))</f>
        <v/>
      </c>
      <c r="L35">
        <f>SUMIF(INDIRECT("HNSW_Summary!A:A"),C35,INDEX(INDIRECT("HNSW_Summary!A:Z"),0,MATCH("MinRepayments",INDIRECT("HNSW_Summary!1:1"),0)))</f>
        <v/>
      </c>
      <c r="M35">
        <f>SUMIF(INDIRECT("HNSW_Summary!A:A"),C35,INDEX(INDIRECT("HNSW_Summary!A:Z"),0,MATCH("UnderOver",INDIRECT("HNSW_Summary!1:1"),0)))</f>
        <v/>
      </c>
      <c r="V35">
        <f>IF(D03_Number_of_Loans&gt;=19,FALSE,TRUE)</f>
        <v/>
      </c>
    </row>
    <row r="36">
      <c r="D36">
        <f>IF(C36=E36, HYPERLINK("#'" &amp; VLOOKUP(C36,INDIRECT("HNSW_Summary!$A:$B"),2,0) &amp; "'!A1", "}"), "}")</f>
        <v/>
      </c>
      <c r="E36">
        <f>VLOOKUP(C36,INDIRECT("HNSW_Summary!$A:$B"),1,0)</f>
        <v/>
      </c>
      <c r="F36">
        <f>IFERROR(INDEX(INDIRECT("HNSW_Summary!A:Z"),MATCH(C36,INDIRECT("HNSW_Summary!A:A"), 0),MATCH("Director",INDIRECT("HNSW_Summary!1:1"),0)),"")</f>
        <v/>
      </c>
      <c r="G36">
        <f>SUMIF(INDIRECT("HNSW_Summary!A:A"),C36,INDEX(INDIRECT("HNSW_Summary!A:Z"),0,MATCH("OpBalance",INDIRECT("HNSW_Summary!1:1"),0)))</f>
        <v/>
      </c>
      <c r="H36">
        <f>SUMIF(INDIRECT("HNSW_Summary!A:A"),C36,INDEX(INDIRECT("HNSW_Summary!A:Z"),0,MATCH("Repayments",INDIRECT("HNSW_Summary!1:1"),0)))</f>
        <v/>
      </c>
      <c r="I36">
        <f>SUMIF(INDIRECT("HNSW_Summary!A:A"),C36,INDEX(INDIRECT("HNSW_Summary!A:Z"),0,MATCH("Interest",INDIRECT("HNSW_Summary!1:1"),0)))</f>
        <v/>
      </c>
      <c r="J36" t="inlineStr">
        <is>
          <t>Unsecured</t>
        </is>
      </c>
      <c r="L36">
        <f>SUMIF(INDIRECT("HNSW_Summary!A:A"),C36,INDEX(INDIRECT("HNSW_Summary!A:Z"),0,MATCH("MinRepayments",INDIRECT("HNSW_Summary!1:1"),0)))</f>
        <v/>
      </c>
      <c r="M36">
        <f>SUMIF(INDIRECT("HNSW_Summary!A:A"),C36,INDEX(INDIRECT("HNSW_Summary!A:Z"),0,MATCH("UnderOver",INDIRECT("HNSW_Summary!1:1"),0)))</f>
        <v/>
      </c>
      <c r="V36">
        <f>IF(D03_Number_of_Loans&gt;=20,FALSE,TRUE)</f>
        <v/>
      </c>
    </row>
    <row r="37">
      <c r="D37">
        <f>IF(C37=E37, HYPERLINK("#'" &amp; VLOOKUP(C37,INDIRECT("HNSW_Summary!$A:$B"),2,0) &amp; "'!A1", "}"), "}")</f>
        <v/>
      </c>
      <c r="E37">
        <f>VLOOKUP(C37,INDIRECT("HNSW_Summary!$A:$B"),1,0)</f>
        <v/>
      </c>
      <c r="F37">
        <f>IFERROR(INDEX(INDIRECT("HNSW_Summary!A:Z"),MATCH(C37,INDIRECT("HNSW_Summary!A:A"), 0),MATCH("Director",INDIRECT("HNSW_Summary!1:1"),0)),"")</f>
        <v/>
      </c>
      <c r="G37">
        <f>SUMIF(INDIRECT("HNSW_Summary!A:A"),C37,INDEX(INDIRECT("HNSW_Summary!A:Z"),0,MATCH("OpBalance",INDIRECT("HNSW_Summary!1:1"),0)))</f>
        <v/>
      </c>
      <c r="H37">
        <f>SUMIF(INDIRECT("HNSW_Summary!A:A"),C37,INDEX(INDIRECT("HNSW_Summary!A:Z"),0,MATCH("Repayments",INDIRECT("HNSW_Summary!1:1"),0)))</f>
        <v/>
      </c>
      <c r="I37">
        <f>SUMIF(INDIRECT("HNSW_Summary!A:A"),C37,INDEX(INDIRECT("HNSW_Summary!A:Z"),0,MATCH("Interest",INDIRECT("HNSW_Summary!1:1"),0)))</f>
        <v/>
      </c>
      <c r="J37" t="n">
        <v>2022</v>
      </c>
      <c r="L37">
        <f>SUMIF(INDIRECT("HNSW_Summary!A:A"),C37,INDEX(INDIRECT("HNSW_Summary!A:Z"),0,MATCH("MinRepayments",INDIRECT("HNSW_Summary!1:1"),0)))</f>
        <v/>
      </c>
      <c r="M37">
        <f>SUMIF(INDIRECT("HNSW_Summary!A:A"),C37,INDEX(INDIRECT("HNSW_Summary!A:Z"),0,MATCH("UnderOver",INDIRECT("HNSW_Summary!1:1"),0)))</f>
        <v/>
      </c>
      <c r="V37">
        <f>IF(D03_Number_of_Loans&gt;=21,FALSE,TRUE)</f>
        <v/>
      </c>
    </row>
    <row r="38">
      <c r="D38">
        <f>IF(C38=E38, HYPERLINK("#'" &amp; VLOOKUP(C38,INDIRECT("HNSW_Summary!$A:$B"),2,0) &amp; "'!A1", "}"), "}")</f>
        <v/>
      </c>
      <c r="E38">
        <f>VLOOKUP(C38,INDIRECT("HNSW_Summary!$A:$B"),1,0)</f>
        <v/>
      </c>
      <c r="F38">
        <f>IFERROR(INDEX(INDIRECT("HNSW_Summary!A:Z"),MATCH(C38,INDIRECT("HNSW_Summary!A:A"), 0),MATCH("Director",INDIRECT("HNSW_Summary!1:1"),0)),"")</f>
        <v/>
      </c>
      <c r="G38">
        <f>SUMIF(INDIRECT("HNSW_Summary!A:A"),C38,INDEX(INDIRECT("HNSW_Summary!A:Z"),0,MATCH("OpBalance",INDIRECT("HNSW_Summary!1:1"),0)))</f>
        <v/>
      </c>
      <c r="H38">
        <f>SUMIF(INDIRECT("HNSW_Summary!A:A"),C38,INDEX(INDIRECT("HNSW_Summary!A:Z"),0,MATCH("Repayments",INDIRECT("HNSW_Summary!1:1"),0)))</f>
        <v/>
      </c>
      <c r="I38">
        <f>SUMIF(INDIRECT("HNSW_Summary!A:A"),C38,INDEX(INDIRECT("HNSW_Summary!A:Z"),0,MATCH("Interest",INDIRECT("HNSW_Summary!1:1"),0)))</f>
        <v/>
      </c>
      <c r="J38">
        <f>SUMIF(INDIRECT("HNSW_Summary!A:A"),C38,INDEX(INDIRECT("HNSW_Summary!A:Z"),0,MATCH("ClBalance",INDIRECT("HNSW_Summary!1:1"),0)))</f>
        <v/>
      </c>
      <c r="L38">
        <f>SUMIF(INDIRECT("HNSW_Summary!A:A"),C38,INDEX(INDIRECT("HNSW_Summary!A:Z"),0,MATCH("MinRepayments",INDIRECT("HNSW_Summary!1:1"),0)))</f>
        <v/>
      </c>
      <c r="M38">
        <f>SUMIF(INDIRECT("HNSW_Summary!A:A"),C38,INDEX(INDIRECT("HNSW_Summary!A:Z"),0,MATCH("UnderOver",INDIRECT("HNSW_Summary!1:1"),0)))</f>
        <v/>
      </c>
      <c r="V38">
        <f>IF(D03_Number_of_Loans&gt;=22,FALSE,TRUE)</f>
        <v/>
      </c>
    </row>
    <row r="39">
      <c r="D39">
        <f>IF(C39=E39, HYPERLINK("#'" &amp; VLOOKUP(C39,INDIRECT("HNSW_Summary!$A:$B"),2,0) &amp; "'!A1", "}"), "}")</f>
        <v/>
      </c>
      <c r="E39">
        <f>VLOOKUP(C39,INDIRECT("HNSW_Summary!$A:$B"),1,0)</f>
        <v/>
      </c>
      <c r="F39">
        <f>IFERROR(INDEX(INDIRECT("HNSW_Summary!A:Z"),MATCH(C39,INDIRECT("HNSW_Summary!A:A"), 0),MATCH("Director",INDIRECT("HNSW_Summary!1:1"),0)),"")</f>
        <v/>
      </c>
      <c r="G39">
        <f>SUMIF(INDIRECT("HNSW_Summary!A:A"),C39,INDEX(INDIRECT("HNSW_Summary!A:Z"),0,MATCH("OpBalance",INDIRECT("HNSW_Summary!1:1"),0)))</f>
        <v/>
      </c>
      <c r="H39">
        <f>SUMIF(INDIRECT("HNSW_Summary!A:A"),C39,INDEX(INDIRECT("HNSW_Summary!A:Z"),0,MATCH("Repayments",INDIRECT("HNSW_Summary!1:1"),0)))</f>
        <v/>
      </c>
      <c r="I39">
        <f>SUMIF(INDIRECT("HNSW_Summary!A:A"),C39,INDEX(INDIRECT("HNSW_Summary!A:Z"),0,MATCH("Interest",INDIRECT("HNSW_Summary!1:1"),0)))</f>
        <v/>
      </c>
      <c r="J39" t="n">
        <v>6</v>
      </c>
      <c r="L39">
        <f>SUMIF(INDIRECT("HNSW_Summary!A:A"),C39,INDEX(INDIRECT("HNSW_Summary!A:Z"),0,MATCH("MinRepayments",INDIRECT("HNSW_Summary!1:1"),0)))</f>
        <v/>
      </c>
      <c r="M39">
        <f>SUMIF(INDIRECT("HNSW_Summary!A:A"),C39,INDEX(INDIRECT("HNSW_Summary!A:Z"),0,MATCH("UnderOver",INDIRECT("HNSW_Summary!1:1"),0)))</f>
        <v/>
      </c>
      <c r="V39">
        <f>IF(D03_Number_of_Loans&gt;=23,FALSE,TRUE)</f>
        <v/>
      </c>
    </row>
    <row r="40">
      <c r="D40">
        <f>IF(C40=E40, HYPERLINK("#'" &amp; VLOOKUP(C40,INDIRECT("HNSW_Summary!$A:$B"),2,0) &amp; "'!A1", "}"), "}")</f>
        <v/>
      </c>
      <c r="E40">
        <f>VLOOKUP(C40,INDIRECT("HNSW_Summary!$A:$B"),1,0)</f>
        <v/>
      </c>
      <c r="F40">
        <f>IFERROR(INDEX(INDIRECT("HNSW_Summary!A:Z"),MATCH(C40,INDIRECT("HNSW_Summary!A:A"), 0),MATCH("Director",INDIRECT("HNSW_Summary!1:1"),0)),"")</f>
        <v/>
      </c>
      <c r="G40">
        <f>SUMIF(INDIRECT("HNSW_Summary!A:A"),C40,INDEX(INDIRECT("HNSW_Summary!A:Z"),0,MATCH("OpBalance",INDIRECT("HNSW_Summary!1:1"),0)))</f>
        <v/>
      </c>
      <c r="H40">
        <f>SUMIF(INDIRECT("HNSW_Summary!A:A"),C40,INDEX(INDIRECT("HNSW_Summary!A:Z"),0,MATCH("Repayments",INDIRECT("HNSW_Summary!1:1"),0)))</f>
        <v/>
      </c>
      <c r="I40">
        <f>SUMIF(INDIRECT("HNSW_Summary!A:A"),C40,INDEX(INDIRECT("HNSW_Summary!A:Z"),0,MATCH("Interest",INDIRECT("HNSW_Summary!1:1"),0)))</f>
        <v/>
      </c>
      <c r="J40">
        <f>SUMIF(INDIRECT("HNSW_Summary!A:A"),C40,INDEX(INDIRECT("HNSW_Summary!A:Z"),0,MATCH("ClBalance",INDIRECT("HNSW_Summary!1:1"),0)))</f>
        <v/>
      </c>
      <c r="L40">
        <f>SUMIF(INDIRECT("HNSW_Summary!A:A"),C40,INDEX(INDIRECT("HNSW_Summary!A:Z"),0,MATCH("MinRepayments",INDIRECT("HNSW_Summary!1:1"),0)))</f>
        <v/>
      </c>
      <c r="M40">
        <f>SUMIF(INDIRECT("HNSW_Summary!A:A"),C40,INDEX(INDIRECT("HNSW_Summary!A:Z"),0,MATCH("UnderOver",INDIRECT("HNSW_Summary!1:1"),0)))</f>
        <v/>
      </c>
      <c r="V40">
        <f>IF(D03_Number_of_Loans&gt;=24,FALSE,TRUE)</f>
        <v/>
      </c>
    </row>
    <row r="41">
      <c r="D41">
        <f>IF(C41=E41, HYPERLINK("#'" &amp; VLOOKUP(C41,INDIRECT("HNSW_Summary!$A:$B"),2,0) &amp; "'!A1", "}"), "}")</f>
        <v/>
      </c>
      <c r="E41">
        <f>VLOOKUP(C41,INDIRECT("HNSW_Summary!$A:$B"),1,0)</f>
        <v/>
      </c>
      <c r="F41">
        <f>IFERROR(INDEX(INDIRECT("HNSW_Summary!A:Z"),MATCH(C41,INDIRECT("HNSW_Summary!A:A"), 0),MATCH("Director",INDIRECT("HNSW_Summary!1:1"),0)),"")</f>
        <v/>
      </c>
      <c r="G41">
        <f>SUMIF(INDIRECT("HNSW_Summary!A:A"),C41,INDEX(INDIRECT("HNSW_Summary!A:Z"),0,MATCH("OpBalance",INDIRECT("HNSW_Summary!1:1"),0)))</f>
        <v/>
      </c>
      <c r="H41">
        <f>SUMIF(INDIRECT("HNSW_Summary!A:A"),C41,INDEX(INDIRECT("HNSW_Summary!A:Z"),0,MATCH("Repayments",INDIRECT("HNSW_Summary!1:1"),0)))</f>
        <v/>
      </c>
      <c r="I41">
        <f>SUMIF(INDIRECT("HNSW_Summary!A:A"),C41,INDEX(INDIRECT("HNSW_Summary!A:Z"),0,MATCH("Interest",INDIRECT("HNSW_Summary!1:1"),0)))</f>
        <v/>
      </c>
      <c r="J41">
        <f>SUMIF(INDIRECT("HNSW_Summary!A:A"),C41,INDEX(INDIRECT("HNSW_Summary!A:Z"),0,MATCH("ClBalance",INDIRECT("HNSW_Summary!1:1"),0)))</f>
        <v/>
      </c>
      <c r="L41">
        <f>SUMIF(INDIRECT("HNSW_Summary!A:A"),C41,INDEX(INDIRECT("HNSW_Summary!A:Z"),0,MATCH("MinRepayments",INDIRECT("HNSW_Summary!1:1"),0)))</f>
        <v/>
      </c>
      <c r="M41">
        <f>SUMIF(INDIRECT("HNSW_Summary!A:A"),C41,INDEX(INDIRECT("HNSW_Summary!A:Z"),0,MATCH("UnderOver",INDIRECT("HNSW_Summary!1:1"),0)))</f>
        <v/>
      </c>
      <c r="V41">
        <f>IF(D03_Number_of_Loans&gt;=25,FALSE,TRUE)</f>
        <v/>
      </c>
    </row>
    <row r="42">
      <c r="D42">
        <f>IF(C42=E42, HYPERLINK("#'" &amp; VLOOKUP(C42,INDIRECT("HNSW_Summary!$A:$B"),2,0) &amp; "'!A1", "}"), "}")</f>
        <v/>
      </c>
      <c r="E42">
        <f>VLOOKUP(C42,INDIRECT("HNSW_Summary!$A:$B"),1,0)</f>
        <v/>
      </c>
      <c r="F42">
        <f>IFERROR(INDEX(INDIRECT("HNSW_Summary!A:Z"),MATCH(C42,INDIRECT("HNSW_Summary!A:A"), 0),MATCH("Director",INDIRECT("HNSW_Summary!1:1"),0)),"")</f>
        <v/>
      </c>
      <c r="G42">
        <f>SUMIF(INDIRECT("HNSW_Summary!A:A"),C42,INDEX(INDIRECT("HNSW_Summary!A:Z"),0,MATCH("OpBalance",INDIRECT("HNSW_Summary!1:1"),0)))</f>
        <v/>
      </c>
      <c r="H42">
        <f>SUMIF(INDIRECT("HNSW_Summary!A:A"),C42,INDEX(INDIRECT("HNSW_Summary!A:Z"),0,MATCH("Repayments",INDIRECT("HNSW_Summary!1:1"),0)))</f>
        <v/>
      </c>
      <c r="I42">
        <f>SUMIF(INDIRECT("HNSW_Summary!A:A"),C42,INDEX(INDIRECT("HNSW_Summary!A:Z"),0,MATCH("Interest",INDIRECT("HNSW_Summary!1:1"),0)))</f>
        <v/>
      </c>
      <c r="J42">
        <f>SUMIF(INDIRECT("HNSW_Summary!A:A"),C42,INDEX(INDIRECT("HNSW_Summary!A:Z"),0,MATCH("ClBalance",INDIRECT("HNSW_Summary!1:1"),0)))</f>
        <v/>
      </c>
      <c r="L42">
        <f>SUMIF(INDIRECT("HNSW_Summary!A:A"),C42,INDEX(INDIRECT("HNSW_Summary!A:Z"),0,MATCH("MinRepayments",INDIRECT("HNSW_Summary!1:1"),0)))</f>
        <v/>
      </c>
      <c r="M42">
        <f>SUMIF(INDIRECT("HNSW_Summary!A:A"),C42,INDEX(INDIRECT("HNSW_Summary!A:Z"),0,MATCH("UnderOver",INDIRECT("HNSW_Summary!1:1"),0)))</f>
        <v/>
      </c>
      <c r="V42">
        <f>IF(D03_Number_of_Loans&gt;=26,FALSE,TRUE)</f>
        <v/>
      </c>
    </row>
    <row r="43">
      <c r="D43">
        <f>IF(C43=E43, HYPERLINK("#'" &amp; VLOOKUP(C43,INDIRECT("HNSW_Summary!$A:$B"),2,0) &amp; "'!A1", "}"), "}")</f>
        <v/>
      </c>
      <c r="E43">
        <f>VLOOKUP(C43,INDIRECT("HNSW_Summary!$A:$B"),1,0)</f>
        <v/>
      </c>
      <c r="F43">
        <f>IFERROR(INDEX(INDIRECT("HNSW_Summary!A:Z"),MATCH(C43,INDIRECT("HNSW_Summary!A:A"), 0),MATCH("Director",INDIRECT("HNSW_Summary!1:1"),0)),"")</f>
        <v/>
      </c>
      <c r="G43">
        <f>SUMIF(INDIRECT("HNSW_Summary!A:A"),C43,INDEX(INDIRECT("HNSW_Summary!A:Z"),0,MATCH("OpBalance",INDIRECT("HNSW_Summary!1:1"),0)))</f>
        <v/>
      </c>
      <c r="H43">
        <f>SUMIF(INDIRECT("HNSW_Summary!A:A"),C43,INDEX(INDIRECT("HNSW_Summary!A:Z"),0,MATCH("Repayments",INDIRECT("HNSW_Summary!1:1"),0)))</f>
        <v/>
      </c>
      <c r="I43">
        <f>SUMIF(INDIRECT("HNSW_Summary!A:A"),C43,INDEX(INDIRECT("HNSW_Summary!A:Z"),0,MATCH("Interest",INDIRECT("HNSW_Summary!1:1"),0)))</f>
        <v/>
      </c>
      <c r="J43">
        <f>SUMIF(INDIRECT("HNSW_Summary!A:A"),C43,INDEX(INDIRECT("HNSW_Summary!A:Z"),0,MATCH("ClBalance",INDIRECT("HNSW_Summary!1:1"),0)))</f>
        <v/>
      </c>
      <c r="L43">
        <f>SUMIF(INDIRECT("HNSW_Summary!A:A"),C43,INDEX(INDIRECT("HNSW_Summary!A:Z"),0,MATCH("MinRepayments",INDIRECT("HNSW_Summary!1:1"),0)))</f>
        <v/>
      </c>
      <c r="M43">
        <f>SUMIF(INDIRECT("HNSW_Summary!A:A"),C43,INDEX(INDIRECT("HNSW_Summary!A:Z"),0,MATCH("UnderOver",INDIRECT("HNSW_Summary!1:1"),0)))</f>
        <v/>
      </c>
      <c r="V43">
        <f>IF(D03_Number_of_Loans&gt;=27,FALSE,TRUE)</f>
        <v/>
      </c>
    </row>
    <row r="44">
      <c r="D44">
        <f>IF(C44=E44, HYPERLINK("#'" &amp; VLOOKUP(C44,INDIRECT("HNSW_Summary!$A:$B"),2,0) &amp; "'!A1", "}"), "}")</f>
        <v/>
      </c>
      <c r="E44">
        <f>VLOOKUP(C44,INDIRECT("HNSW_Summary!$A:$B"),1,0)</f>
        <v/>
      </c>
      <c r="F44">
        <f>IFERROR(INDEX(INDIRECT("HNSW_Summary!A:Z"),MATCH(C44,INDIRECT("HNSW_Summary!A:A"), 0),MATCH("Director",INDIRECT("HNSW_Summary!1:1"),0)),"")</f>
        <v/>
      </c>
      <c r="G44">
        <f>SUMIF(INDIRECT("HNSW_Summary!A:A"),C44,INDEX(INDIRECT("HNSW_Summary!A:Z"),0,MATCH("OpBalance",INDIRECT("HNSW_Summary!1:1"),0)))</f>
        <v/>
      </c>
      <c r="H44">
        <f>SUMIF(INDIRECT("HNSW_Summary!A:A"),C44,INDEX(INDIRECT("HNSW_Summary!A:Z"),0,MATCH("Repayments",INDIRECT("HNSW_Summary!1:1"),0)))</f>
        <v/>
      </c>
      <c r="I44">
        <f>SUMIF(INDIRECT("HNSW_Summary!A:A"),C44,INDEX(INDIRECT("HNSW_Summary!A:Z"),0,MATCH("Interest",INDIRECT("HNSW_Summary!1:1"),0)))</f>
        <v/>
      </c>
      <c r="J44">
        <f>SUMIF(INDIRECT("HNSW_Summary!A:A"),C44,INDEX(INDIRECT("HNSW_Summary!A:Z"),0,MATCH("ClBalance",INDIRECT("HNSW_Summary!1:1"),0)))</f>
        <v/>
      </c>
      <c r="L44">
        <f>SUMIF(INDIRECT("HNSW_Summary!A:A"),C44,INDEX(INDIRECT("HNSW_Summary!A:Z"),0,MATCH("MinRepayments",INDIRECT("HNSW_Summary!1:1"),0)))</f>
        <v/>
      </c>
      <c r="M44">
        <f>SUMIF(INDIRECT("HNSW_Summary!A:A"),C44,INDEX(INDIRECT("HNSW_Summary!A:Z"),0,MATCH("UnderOver",INDIRECT("HNSW_Summary!1:1"),0)))</f>
        <v/>
      </c>
      <c r="V44">
        <f>IF(D03_Number_of_Loans&gt;=28,FALSE,TRUE)</f>
        <v/>
      </c>
    </row>
    <row r="45">
      <c r="D45">
        <f>IF(C45=E45, HYPERLINK("#'" &amp; VLOOKUP(C45,INDIRECT("HNSW_Summary!$A:$B"),2,0) &amp; "'!A1", "}"), "}")</f>
        <v/>
      </c>
      <c r="E45">
        <f>VLOOKUP(C45,INDIRECT("HNSW_Summary!$A:$B"),1,0)</f>
        <v/>
      </c>
      <c r="F45">
        <f>IFERROR(INDEX(INDIRECT("HNSW_Summary!A:Z"),MATCH(C45,INDIRECT("HNSW_Summary!A:A"), 0),MATCH("Director",INDIRECT("HNSW_Summary!1:1"),0)),"")</f>
        <v/>
      </c>
      <c r="G45">
        <f>SUMIF(INDIRECT("HNSW_Summary!A:A"),C45,INDEX(INDIRECT("HNSW_Summary!A:Z"),0,MATCH("OpBalance",INDIRECT("HNSW_Summary!1:1"),0)))</f>
        <v/>
      </c>
      <c r="H45">
        <f>SUMIF(INDIRECT("HNSW_Summary!A:A"),C45,INDEX(INDIRECT("HNSW_Summary!A:Z"),0,MATCH("Repayments",INDIRECT("HNSW_Summary!1:1"),0)))</f>
        <v/>
      </c>
      <c r="I45">
        <f>SUMIF(INDIRECT("HNSW_Summary!A:A"),C45,INDEX(INDIRECT("HNSW_Summary!A:Z"),0,MATCH("Interest",INDIRECT("HNSW_Summary!1:1"),0)))</f>
        <v/>
      </c>
      <c r="J45">
        <f>SUMIF(INDIRECT("HNSW_Summary!A:A"),C45,INDEX(INDIRECT("HNSW_Summary!A:Z"),0,MATCH("ClBalance",INDIRECT("HNSW_Summary!1:1"),0)))</f>
        <v/>
      </c>
      <c r="L45">
        <f>SUMIF(INDIRECT("HNSW_Summary!A:A"),C45,INDEX(INDIRECT("HNSW_Summary!A:Z"),0,MATCH("MinRepayments",INDIRECT("HNSW_Summary!1:1"),0)))</f>
        <v/>
      </c>
      <c r="M45">
        <f>SUMIF(INDIRECT("HNSW_Summary!A:A"),C45,INDEX(INDIRECT("HNSW_Summary!A:Z"),0,MATCH("UnderOver",INDIRECT("HNSW_Summary!1:1"),0)))</f>
        <v/>
      </c>
      <c r="V45">
        <f>IF(D03_Number_of_Loans&gt;=29,FALSE,TRUE)</f>
        <v/>
      </c>
    </row>
    <row r="46">
      <c r="D46">
        <f>IF(C46=E46, HYPERLINK("#'" &amp; VLOOKUP(C46,INDIRECT("HNSW_Summary!$A:$B"),2,0) &amp; "'!A1", "}"), "}")</f>
        <v/>
      </c>
      <c r="E46">
        <f>VLOOKUP(C46,INDIRECT("HNSW_Summary!$A:$B"),1,0)</f>
        <v/>
      </c>
      <c r="F46">
        <f>IFERROR(INDEX(INDIRECT("HNSW_Summary!A:Z"),MATCH(C46,INDIRECT("HNSW_Summary!A:A"), 0),MATCH("Director",INDIRECT("HNSW_Summary!1:1"),0)),"")</f>
        <v/>
      </c>
      <c r="G46">
        <f>SUMIF(INDIRECT("HNSW_Summary!A:A"),C46,INDEX(INDIRECT("HNSW_Summary!A:Z"),0,MATCH("OpBalance",INDIRECT("HNSW_Summary!1:1"),0)))</f>
        <v/>
      </c>
      <c r="H46">
        <f>SUMIF(INDIRECT("HNSW_Summary!A:A"),C46,INDEX(INDIRECT("HNSW_Summary!A:Z"),0,MATCH("Repayments",INDIRECT("HNSW_Summary!1:1"),0)))</f>
        <v/>
      </c>
      <c r="I46">
        <f>SUMIF(INDIRECT("HNSW_Summary!A:A"),C46,INDEX(INDIRECT("HNSW_Summary!A:Z"),0,MATCH("Interest",INDIRECT("HNSW_Summary!1:1"),0)))</f>
        <v/>
      </c>
      <c r="J46">
        <f>SUMIF(INDIRECT("HNSW_Summary!A:A"),C46,INDEX(INDIRECT("HNSW_Summary!A:Z"),0,MATCH("ClBalance",INDIRECT("HNSW_Summary!1:1"),0)))</f>
        <v/>
      </c>
      <c r="L46">
        <f>SUMIF(INDIRECT("HNSW_Summary!A:A"),C46,INDEX(INDIRECT("HNSW_Summary!A:Z"),0,MATCH("MinRepayments",INDIRECT("HNSW_Summary!1:1"),0)))</f>
        <v/>
      </c>
      <c r="M46">
        <f>SUMIF(INDIRECT("HNSW_Summary!A:A"),C46,INDEX(INDIRECT("HNSW_Summary!A:Z"),0,MATCH("UnderOver",INDIRECT("HNSW_Summary!1:1"),0)))</f>
        <v/>
      </c>
      <c r="V46">
        <f>IF(D03_Number_of_Loans&gt;=30,FALSE,TRUE)</f>
        <v/>
      </c>
    </row>
    <row r="47">
      <c r="D47">
        <f>IF(C47=E47, HYPERLINK("#'" &amp; VLOOKUP(C47,INDIRECT("HNSW_Summary!$A:$B"),2,0) &amp; "'!A1", "}"), "}")</f>
        <v/>
      </c>
      <c r="E47">
        <f>VLOOKUP(C47,INDIRECT("HNSW_Summary!$A:$B"),1,0)</f>
        <v/>
      </c>
      <c r="F47">
        <f>IFERROR(INDEX(INDIRECT("HNSW_Summary!A:Z"),MATCH(C47,INDIRECT("HNSW_Summary!A:A"), 0),MATCH("Director",INDIRECT("HNSW_Summary!1:1"),0)),"")</f>
        <v/>
      </c>
      <c r="G47">
        <f>SUMIF(INDIRECT("HNSW_Summary!A:A"),C47,INDEX(INDIRECT("HNSW_Summary!A:Z"),0,MATCH("OpBalance",INDIRECT("HNSW_Summary!1:1"),0)))</f>
        <v/>
      </c>
      <c r="H47">
        <f>SUMIF(INDIRECT("HNSW_Summary!A:A"),C47,INDEX(INDIRECT("HNSW_Summary!A:Z"),0,MATCH("Repayments",INDIRECT("HNSW_Summary!1:1"),0)))</f>
        <v/>
      </c>
      <c r="I47">
        <f>SUMIF(INDIRECT("HNSW_Summary!A:A"),C47,INDEX(INDIRECT("HNSW_Summary!A:Z"),0,MATCH("Interest",INDIRECT("HNSW_Summary!1:1"),0)))</f>
        <v/>
      </c>
      <c r="J47">
        <f>SUMIF(INDIRECT("HNSW_Summary!A:A"),C47,INDEX(INDIRECT("HNSW_Summary!A:Z"),0,MATCH("ClBalance",INDIRECT("HNSW_Summary!1:1"),0)))</f>
        <v/>
      </c>
      <c r="L47">
        <f>SUMIF(INDIRECT("HNSW_Summary!A:A"),C47,INDEX(INDIRECT("HNSW_Summary!A:Z"),0,MATCH("MinRepayments",INDIRECT("HNSW_Summary!1:1"),0)))</f>
        <v/>
      </c>
      <c r="M47">
        <f>SUMIF(INDIRECT("HNSW_Summary!A:A"),C47,INDEX(INDIRECT("HNSW_Summary!A:Z"),0,MATCH("UnderOver",INDIRECT("HNSW_Summary!1:1"),0)))</f>
        <v/>
      </c>
      <c r="V47">
        <f>IF(D03_Number_of_Loans&gt;=31,FALSE,TRUE)</f>
        <v/>
      </c>
    </row>
    <row r="48">
      <c r="D48">
        <f>IF(C48=E48, HYPERLINK("#'" &amp; VLOOKUP(C48,INDIRECT("HNSW_Summary!$A:$B"),2,0) &amp; "'!A1", "}"), "}")</f>
        <v/>
      </c>
      <c r="E48">
        <f>VLOOKUP(C48,INDIRECT("HNSW_Summary!$A:$B"),1,0)</f>
        <v/>
      </c>
      <c r="F48">
        <f>IFERROR(INDEX(INDIRECT("HNSW_Summary!A:Z"),MATCH(C48,INDIRECT("HNSW_Summary!A:A"), 0),MATCH("Director",INDIRECT("HNSW_Summary!1:1"),0)),"")</f>
        <v/>
      </c>
      <c r="G48">
        <f>SUMIF(INDIRECT("HNSW_Summary!A:A"),C48,INDEX(INDIRECT("HNSW_Summary!A:Z"),0,MATCH("OpBalance",INDIRECT("HNSW_Summary!1:1"),0)))</f>
        <v/>
      </c>
      <c r="H48">
        <f>SUMIF(INDIRECT("HNSW_Summary!A:A"),C48,INDEX(INDIRECT("HNSW_Summary!A:Z"),0,MATCH("Repayments",INDIRECT("HNSW_Summary!1:1"),0)))</f>
        <v/>
      </c>
      <c r="I48">
        <f>SUMIF(INDIRECT("HNSW_Summary!A:A"),C48,INDEX(INDIRECT("HNSW_Summary!A:Z"),0,MATCH("Interest",INDIRECT("HNSW_Summary!1:1"),0)))</f>
        <v/>
      </c>
      <c r="J48">
        <f>SUMIF(INDIRECT("HNSW_Summary!A:A"),C48,INDEX(INDIRECT("HNSW_Summary!A:Z"),0,MATCH("ClBalance",INDIRECT("HNSW_Summary!1:1"),0)))</f>
        <v/>
      </c>
      <c r="L48">
        <f>SUMIF(INDIRECT("HNSW_Summary!A:A"),C48,INDEX(INDIRECT("HNSW_Summary!A:Z"),0,MATCH("MinRepayments",INDIRECT("HNSW_Summary!1:1"),0)))</f>
        <v/>
      </c>
      <c r="M48">
        <f>SUMIF(INDIRECT("HNSW_Summary!A:A"),C48,INDEX(INDIRECT("HNSW_Summary!A:Z"),0,MATCH("UnderOver",INDIRECT("HNSW_Summary!1:1"),0)))</f>
        <v/>
      </c>
      <c r="V48">
        <f>IF(D03_Number_of_Loans&gt;=32,FALSE,TRUE)</f>
        <v/>
      </c>
    </row>
    <row r="49">
      <c r="D49">
        <f>IF(C49=E49, HYPERLINK("#'" &amp; VLOOKUP(C49,INDIRECT("HNSW_Summary!$A:$B"),2,0) &amp; "'!A1", "}"), "}")</f>
        <v/>
      </c>
      <c r="E49">
        <f>VLOOKUP(C49,INDIRECT("HNSW_Summary!$A:$B"),1,0)</f>
        <v/>
      </c>
      <c r="F49">
        <f>IFERROR(INDEX(INDIRECT("HNSW_Summary!A:Z"),MATCH(C49,INDIRECT("HNSW_Summary!A:A"), 0),MATCH("Director",INDIRECT("HNSW_Summary!1:1"),0)),"")</f>
        <v/>
      </c>
      <c r="G49">
        <f>SUMIF(INDIRECT("HNSW_Summary!A:A"),C49,INDEX(INDIRECT("HNSW_Summary!A:Z"),0,MATCH("OpBalance",INDIRECT("HNSW_Summary!1:1"),0)))</f>
        <v/>
      </c>
      <c r="H49">
        <f>SUMIF(INDIRECT("HNSW_Summary!A:A"),C49,INDEX(INDIRECT("HNSW_Summary!A:Z"),0,MATCH("Repayments",INDIRECT("HNSW_Summary!1:1"),0)))</f>
        <v/>
      </c>
      <c r="I49">
        <f>SUMIF(INDIRECT("HNSW_Summary!A:A"),C49,INDEX(INDIRECT("HNSW_Summary!A:Z"),0,MATCH("Interest",INDIRECT("HNSW_Summary!1:1"),0)))</f>
        <v/>
      </c>
      <c r="J49">
        <f>SUMIF(INDIRECT("HNSW_Summary!A:A"),C49,INDEX(INDIRECT("HNSW_Summary!A:Z"),0,MATCH("ClBalance",INDIRECT("HNSW_Summary!1:1"),0)))</f>
        <v/>
      </c>
      <c r="L49">
        <f>SUMIF(INDIRECT("HNSW_Summary!A:A"),C49,INDEX(INDIRECT("HNSW_Summary!A:Z"),0,MATCH("MinRepayments",INDIRECT("HNSW_Summary!1:1"),0)))</f>
        <v/>
      </c>
      <c r="M49">
        <f>SUMIF(INDIRECT("HNSW_Summary!A:A"),C49,INDEX(INDIRECT("HNSW_Summary!A:Z"),0,MATCH("UnderOver",INDIRECT("HNSW_Summary!1:1"),0)))</f>
        <v/>
      </c>
      <c r="V49">
        <f>IF(D03_Number_of_Loans&gt;=33,FALSE,TRUE)</f>
        <v/>
      </c>
    </row>
    <row r="50">
      <c r="D50">
        <f>IF(C50=E50, HYPERLINK("#'" &amp; VLOOKUP(C50,INDIRECT("HNSW_Summary!$A:$B"),2,0) &amp; "'!A1", "}"), "}")</f>
        <v/>
      </c>
      <c r="E50">
        <f>VLOOKUP(C50,INDIRECT("HNSW_Summary!$A:$B"),1,0)</f>
        <v/>
      </c>
      <c r="F50">
        <f>IFERROR(INDEX(INDIRECT("HNSW_Summary!A:Z"),MATCH(C50,INDIRECT("HNSW_Summary!A:A"), 0),MATCH("Director",INDIRECT("HNSW_Summary!1:1"),0)),"")</f>
        <v/>
      </c>
      <c r="G50">
        <f>SUMIF(INDIRECT("HNSW_Summary!A:A"),C50,INDEX(INDIRECT("HNSW_Summary!A:Z"),0,MATCH("OpBalance",INDIRECT("HNSW_Summary!1:1"),0)))</f>
        <v/>
      </c>
      <c r="H50">
        <f>SUMIF(INDIRECT("HNSW_Summary!A:A"),C50,INDEX(INDIRECT("HNSW_Summary!A:Z"),0,MATCH("Repayments",INDIRECT("HNSW_Summary!1:1"),0)))</f>
        <v/>
      </c>
      <c r="I50">
        <f>SUMIF(INDIRECT("HNSW_Summary!A:A"),C50,INDEX(INDIRECT("HNSW_Summary!A:Z"),0,MATCH("Interest",INDIRECT("HNSW_Summary!1:1"),0)))</f>
        <v/>
      </c>
      <c r="J50">
        <f>SUMIF(INDIRECT("HNSW_Summary!A:A"),C50,INDEX(INDIRECT("HNSW_Summary!A:Z"),0,MATCH("ClBalance",INDIRECT("HNSW_Summary!1:1"),0)))</f>
        <v/>
      </c>
      <c r="L50">
        <f>SUMIF(INDIRECT("HNSW_Summary!A:A"),C50,INDEX(INDIRECT("HNSW_Summary!A:Z"),0,MATCH("MinRepayments",INDIRECT("HNSW_Summary!1:1"),0)))</f>
        <v/>
      </c>
      <c r="M50">
        <f>SUMIF(INDIRECT("HNSW_Summary!A:A"),C50,INDEX(INDIRECT("HNSW_Summary!A:Z"),0,MATCH("UnderOver",INDIRECT("HNSW_Summary!1:1"),0)))</f>
        <v/>
      </c>
      <c r="V50">
        <f>IF(D03_Number_of_Loans&gt;=34,FALSE,TRUE)</f>
        <v/>
      </c>
    </row>
    <row r="51">
      <c r="D51">
        <f>IF(C51=E51, HYPERLINK("#'" &amp; VLOOKUP(C51,INDIRECT("HNSW_Summary!$A:$B"),2,0) &amp; "'!A1", "}"), "}")</f>
        <v/>
      </c>
      <c r="E51">
        <f>VLOOKUP(C51,INDIRECT("HNSW_Summary!$A:$B"),1,0)</f>
        <v/>
      </c>
      <c r="F51">
        <f>IFERROR(INDEX(INDIRECT("HNSW_Summary!A:Z"),MATCH(C51,INDIRECT("HNSW_Summary!A:A"), 0),MATCH("Director",INDIRECT("HNSW_Summary!1:1"),0)),"")</f>
        <v/>
      </c>
      <c r="G51">
        <f>SUMIF(INDIRECT("HNSW_Summary!A:A"),C51,INDEX(INDIRECT("HNSW_Summary!A:Z"),0,MATCH("OpBalance",INDIRECT("HNSW_Summary!1:1"),0)))</f>
        <v/>
      </c>
      <c r="H51">
        <f>SUMIF(INDIRECT("HNSW_Summary!A:A"),C51,INDEX(INDIRECT("HNSW_Summary!A:Z"),0,MATCH("Repayments",INDIRECT("HNSW_Summary!1:1"),0)))</f>
        <v/>
      </c>
      <c r="I51">
        <f>SUMIF(INDIRECT("HNSW_Summary!A:A"),C51,INDEX(INDIRECT("HNSW_Summary!A:Z"),0,MATCH("Interest",INDIRECT("HNSW_Summary!1:1"),0)))</f>
        <v/>
      </c>
      <c r="J51" t="n">
        <v>141932</v>
      </c>
      <c r="L51">
        <f>SUMIF(INDIRECT("HNSW_Summary!A:A"),C51,INDEX(INDIRECT("HNSW_Summary!A:Z"),0,MATCH("MinRepayments",INDIRECT("HNSW_Summary!1:1"),0)))</f>
        <v/>
      </c>
      <c r="M51">
        <f>SUMIF(INDIRECT("HNSW_Summary!A:A"),C51,INDEX(INDIRECT("HNSW_Summary!A:Z"),0,MATCH("UnderOver",INDIRECT("HNSW_Summary!1:1"),0)))</f>
        <v/>
      </c>
      <c r="V51">
        <f>IF(D03_Number_of_Loans&gt;=35,FALSE,TRUE)</f>
        <v/>
      </c>
    </row>
    <row r="52">
      <c r="D52">
        <f>IF(C52=E52, HYPERLINK("#'" &amp; VLOOKUP(C52,INDIRECT("HNSW_Summary!$A:$B"),2,0) &amp; "'!A1", "}"), "}")</f>
        <v/>
      </c>
      <c r="E52">
        <f>VLOOKUP(C52,INDIRECT("HNSW_Summary!$A:$B"),1,0)</f>
        <v/>
      </c>
      <c r="F52">
        <f>IFERROR(INDEX(INDIRECT("HNSW_Summary!A:Z"),MATCH(C52,INDIRECT("HNSW_Summary!A:A"), 0),MATCH("Director",INDIRECT("HNSW_Summary!1:1"),0)),"")</f>
        <v/>
      </c>
      <c r="G52">
        <f>SUMIF(INDIRECT("HNSW_Summary!A:A"),C52,INDEX(INDIRECT("HNSW_Summary!A:Z"),0,MATCH("OpBalance",INDIRECT("HNSW_Summary!1:1"),0)))</f>
        <v/>
      </c>
      <c r="H52">
        <f>SUMIF(INDIRECT("HNSW_Summary!A:A"),C52,INDEX(INDIRECT("HNSW_Summary!A:Z"),0,MATCH("Repayments",INDIRECT("HNSW_Summary!1:1"),0)))</f>
        <v/>
      </c>
      <c r="I52">
        <f>SUMIF(INDIRECT("HNSW_Summary!A:A"),C52,INDEX(INDIRECT("HNSW_Summary!A:Z"),0,MATCH("Interest",INDIRECT("HNSW_Summary!1:1"),0)))</f>
        <v/>
      </c>
      <c r="J52">
        <f>SUMIF(INDIRECT("HNSW_Summary!A:A"),C52,INDEX(INDIRECT("HNSW_Summary!A:Z"),0,MATCH("ClBalance",INDIRECT("HNSW_Summary!1:1"),0)))</f>
        <v/>
      </c>
      <c r="L52">
        <f>SUMIF(INDIRECT("HNSW_Summary!A:A"),C52,INDEX(INDIRECT("HNSW_Summary!A:Z"),0,MATCH("MinRepayments",INDIRECT("HNSW_Summary!1:1"),0)))</f>
        <v/>
      </c>
      <c r="M52">
        <f>SUMIF(INDIRECT("HNSW_Summary!A:A"),C52,INDEX(INDIRECT("HNSW_Summary!A:Z"),0,MATCH("UnderOver",INDIRECT("HNSW_Summary!1:1"),0)))</f>
        <v/>
      </c>
      <c r="V52">
        <f>IF(D03_Number_of_Loans&gt;=36,FALSE,TRUE)</f>
        <v/>
      </c>
    </row>
    <row r="53">
      <c r="D53">
        <f>IF(C53=E53, HYPERLINK("#'" &amp; VLOOKUP(C53,INDIRECT("HNSW_Summary!$A:$B"),2,0) &amp; "'!A1", "}"), "}")</f>
        <v/>
      </c>
      <c r="E53">
        <f>VLOOKUP(C53,INDIRECT("HNSW_Summary!$A:$B"),1,0)</f>
        <v/>
      </c>
      <c r="F53">
        <f>IFERROR(INDEX(INDIRECT("HNSW_Summary!A:Z"),MATCH(C53,INDIRECT("HNSW_Summary!A:A"), 0),MATCH("Director",INDIRECT("HNSW_Summary!1:1"),0)),"")</f>
        <v/>
      </c>
      <c r="G53">
        <f>SUMIF(INDIRECT("HNSW_Summary!A:A"),C53,INDEX(INDIRECT("HNSW_Summary!A:Z"),0,MATCH("OpBalance",INDIRECT("HNSW_Summary!1:1"),0)))</f>
        <v/>
      </c>
      <c r="H53">
        <f>SUMIF(INDIRECT("HNSW_Summary!A:A"),C53,INDEX(INDIRECT("HNSW_Summary!A:Z"),0,MATCH("Repayments",INDIRECT("HNSW_Summary!1:1"),0)))</f>
        <v/>
      </c>
      <c r="I53">
        <f>SUMIF(INDIRECT("HNSW_Summary!A:A"),C53,INDEX(INDIRECT("HNSW_Summary!A:Z"),0,MATCH("Interest",INDIRECT("HNSW_Summary!1:1"),0)))</f>
        <v/>
      </c>
      <c r="J53">
        <f>SUMIF(INDIRECT("HNSW_Summary!A:A"),C53,INDEX(INDIRECT("HNSW_Summary!A:Z"),0,MATCH("ClBalance",INDIRECT("HNSW_Summary!1:1"),0)))</f>
        <v/>
      </c>
      <c r="L53">
        <f>SUMIF(INDIRECT("HNSW_Summary!A:A"),C53,INDEX(INDIRECT("HNSW_Summary!A:Z"),0,MATCH("MinRepayments",INDIRECT("HNSW_Summary!1:1"),0)))</f>
        <v/>
      </c>
      <c r="M53">
        <f>SUMIF(INDIRECT("HNSW_Summary!A:A"),C53,INDEX(INDIRECT("HNSW_Summary!A:Z"),0,MATCH("UnderOver",INDIRECT("HNSW_Summary!1:1"),0)))</f>
        <v/>
      </c>
      <c r="V53">
        <f>IF(D03_Number_of_Loans&gt;=37,FALSE,TRUE)</f>
        <v/>
      </c>
    </row>
    <row r="54">
      <c r="D54">
        <f>IF(C54=E54, HYPERLINK("#'" &amp; VLOOKUP(C54,INDIRECT("HNSW_Summary!$A:$B"),2,0) &amp; "'!A1", "}"), "}")</f>
        <v/>
      </c>
      <c r="E54">
        <f>VLOOKUP(C54,INDIRECT("HNSW_Summary!$A:$B"),1,0)</f>
        <v/>
      </c>
      <c r="F54">
        <f>IFERROR(INDEX(INDIRECT("HNSW_Summary!A:Z"),MATCH(C54,INDIRECT("HNSW_Summary!A:A"), 0),MATCH("Director",INDIRECT("HNSW_Summary!1:1"),0)),"")</f>
        <v/>
      </c>
      <c r="G54">
        <f>SUMIF(INDIRECT("HNSW_Summary!A:A"),C54,INDEX(INDIRECT("HNSW_Summary!A:Z"),0,MATCH("OpBalance",INDIRECT("HNSW_Summary!1:1"),0)))</f>
        <v/>
      </c>
      <c r="H54">
        <f>SUMIF(INDIRECT("HNSW_Summary!A:A"),C54,INDEX(INDIRECT("HNSW_Summary!A:Z"),0,MATCH("Repayments",INDIRECT("HNSW_Summary!1:1"),0)))</f>
        <v/>
      </c>
      <c r="I54">
        <f>SUMIF(INDIRECT("HNSW_Summary!A:A"),C54,INDEX(INDIRECT("HNSW_Summary!A:Z"),0,MATCH("Interest",INDIRECT("HNSW_Summary!1:1"),0)))</f>
        <v/>
      </c>
      <c r="J54">
        <f>SUMIF(INDIRECT("HNSW_Summary!A:A"),C54,INDEX(INDIRECT("HNSW_Summary!A:Z"),0,MATCH("ClBalance",INDIRECT("HNSW_Summary!1:1"),0)))</f>
        <v/>
      </c>
      <c r="L54">
        <f>SUMIF(INDIRECT("HNSW_Summary!A:A"),C54,INDEX(INDIRECT("HNSW_Summary!A:Z"),0,MATCH("MinRepayments",INDIRECT("HNSW_Summary!1:1"),0)))</f>
        <v/>
      </c>
      <c r="M54">
        <f>SUMIF(INDIRECT("HNSW_Summary!A:A"),C54,INDEX(INDIRECT("HNSW_Summary!A:Z"),0,MATCH("UnderOver",INDIRECT("HNSW_Summary!1:1"),0)))</f>
        <v/>
      </c>
      <c r="V54">
        <f>IF(D03_Number_of_Loans&gt;=38,FALSE,TRUE)</f>
        <v/>
      </c>
    </row>
    <row r="55">
      <c r="D55">
        <f>IF(C55=E55, HYPERLINK("#'" &amp; VLOOKUP(C55,INDIRECT("HNSW_Summary!$A:$B"),2,0) &amp; "'!A1", "}"), "}")</f>
        <v/>
      </c>
      <c r="E55">
        <f>VLOOKUP(C55,INDIRECT("HNSW_Summary!$A:$B"),1,0)</f>
        <v/>
      </c>
      <c r="F55">
        <f>IFERROR(INDEX(INDIRECT("HNSW_Summary!A:Z"),MATCH(C55,INDIRECT("HNSW_Summary!A:A"), 0),MATCH("Director",INDIRECT("HNSW_Summary!1:1"),0)),"")</f>
        <v/>
      </c>
      <c r="G55">
        <f>SUMIF(INDIRECT("HNSW_Summary!A:A"),C55,INDEX(INDIRECT("HNSW_Summary!A:Z"),0,MATCH("OpBalance",INDIRECT("HNSW_Summary!1:1"),0)))</f>
        <v/>
      </c>
      <c r="H55">
        <f>SUMIF(INDIRECT("HNSW_Summary!A:A"),C55,INDEX(INDIRECT("HNSW_Summary!A:Z"),0,MATCH("Repayments",INDIRECT("HNSW_Summary!1:1"),0)))</f>
        <v/>
      </c>
      <c r="I55">
        <f>SUMIF(INDIRECT("HNSW_Summary!A:A"),C55,INDEX(INDIRECT("HNSW_Summary!A:Z"),0,MATCH("Interest",INDIRECT("HNSW_Summary!1:1"),0)))</f>
        <v/>
      </c>
      <c r="J55">
        <f>SUMIF(INDIRECT("HNSW_Summary!A:A"),C55,INDEX(INDIRECT("HNSW_Summary!A:Z"),0,MATCH("ClBalance",INDIRECT("HNSW_Summary!1:1"),0)))</f>
        <v/>
      </c>
      <c r="L55">
        <f>SUMIF(INDIRECT("HNSW_Summary!A:A"),C55,INDEX(INDIRECT("HNSW_Summary!A:Z"),0,MATCH("MinRepayments",INDIRECT("HNSW_Summary!1:1"),0)))</f>
        <v/>
      </c>
      <c r="M55">
        <f>SUMIF(INDIRECT("HNSW_Summary!A:A"),C55,INDEX(INDIRECT("HNSW_Summary!A:Z"),0,MATCH("UnderOver",INDIRECT("HNSW_Summary!1:1"),0)))</f>
        <v/>
      </c>
      <c r="V55">
        <f>IF(D03_Number_of_Loans&gt;=39,FALSE,TRUE)</f>
        <v/>
      </c>
    </row>
    <row r="56">
      <c r="D56">
        <f>IF(C56=E56, HYPERLINK("#'" &amp; VLOOKUP(C56,INDIRECT("HNSW_Summary!$A:$B"),2,0) &amp; "'!A1", "}"), "}")</f>
        <v/>
      </c>
      <c r="E56">
        <f>VLOOKUP(C56,INDIRECT("HNSW_Summary!$A:$B"),1,0)</f>
        <v/>
      </c>
      <c r="F56">
        <f>IFERROR(INDEX(INDIRECT("HNSW_Summary!A:Z"),MATCH(C56,INDIRECT("HNSW_Summary!A:A"), 0),MATCH("Director",INDIRECT("HNSW_Summary!1:1"),0)),"")</f>
        <v/>
      </c>
      <c r="G56">
        <f>SUMIF(INDIRECT("HNSW_Summary!A:A"),C56,INDEX(INDIRECT("HNSW_Summary!A:Z"),0,MATCH("OpBalance",INDIRECT("HNSW_Summary!1:1"),0)))</f>
        <v/>
      </c>
      <c r="H56">
        <f>SUMIF(INDIRECT("HNSW_Summary!A:A"),C56,INDEX(INDIRECT("HNSW_Summary!A:Z"),0,MATCH("Repayments",INDIRECT("HNSW_Summary!1:1"),0)))</f>
        <v/>
      </c>
      <c r="I56">
        <f>SUMIF(INDIRECT("HNSW_Summary!A:A"),C56,INDEX(INDIRECT("HNSW_Summary!A:Z"),0,MATCH("Interest",INDIRECT("HNSW_Summary!1:1"),0)))</f>
        <v/>
      </c>
      <c r="J56">
        <f>SUMIF(INDIRECT("HNSW_Summary!A:A"),C56,INDEX(INDIRECT("HNSW_Summary!A:Z"),0,MATCH("ClBalance",INDIRECT("HNSW_Summary!1:1"),0)))</f>
        <v/>
      </c>
      <c r="L56">
        <f>SUMIF(INDIRECT("HNSW_Summary!A:A"),C56,INDEX(INDIRECT("HNSW_Summary!A:Z"),0,MATCH("MinRepayments",INDIRECT("HNSW_Summary!1:1"),0)))</f>
        <v/>
      </c>
      <c r="M56">
        <f>SUMIF(INDIRECT("HNSW_Summary!A:A"),C56,INDEX(INDIRECT("HNSW_Summary!A:Z"),0,MATCH("UnderOver",INDIRECT("HNSW_Summary!1:1"),0)))</f>
        <v/>
      </c>
      <c r="V56">
        <f>IF(D03_Number_of_Loans&gt;=40,FALSE,TRUE)</f>
        <v/>
      </c>
    </row>
    <row r="57">
      <c r="D57">
        <f>IF(C57=E57, HYPERLINK("#'" &amp; VLOOKUP(C57,INDIRECT("HNSW_Summary!$A:$B"),2,0) &amp; "'!A1", "}"), "}")</f>
        <v/>
      </c>
      <c r="E57">
        <f>VLOOKUP(C57,INDIRECT("HNSW_Summary!$A:$B"),1,0)</f>
        <v/>
      </c>
      <c r="F57">
        <f>IFERROR(INDEX(INDIRECT("HNSW_Summary!A:Z"),MATCH(C57,INDIRECT("HNSW_Summary!A:A"), 0),MATCH("Director",INDIRECT("HNSW_Summary!1:1"),0)),"")</f>
        <v/>
      </c>
      <c r="G57">
        <f>SUMIF(INDIRECT("HNSW_Summary!A:A"),C57,INDEX(INDIRECT("HNSW_Summary!A:Z"),0,MATCH("OpBalance",INDIRECT("HNSW_Summary!1:1"),0)))</f>
        <v/>
      </c>
      <c r="H57">
        <f>SUMIF(INDIRECT("HNSW_Summary!A:A"),C57,INDEX(INDIRECT("HNSW_Summary!A:Z"),0,MATCH("Repayments",INDIRECT("HNSW_Summary!1:1"),0)))</f>
        <v/>
      </c>
      <c r="I57">
        <f>SUMIF(INDIRECT("HNSW_Summary!A:A"),C57,INDEX(INDIRECT("HNSW_Summary!A:Z"),0,MATCH("Interest",INDIRECT("HNSW_Summary!1:1"),0)))</f>
        <v/>
      </c>
      <c r="J57">
        <f>SUMIF(INDIRECT("HNSW_Summary!A:A"),C57,INDEX(INDIRECT("HNSW_Summary!A:Z"),0,MATCH("ClBalance",INDIRECT("HNSW_Summary!1:1"),0)))</f>
        <v/>
      </c>
      <c r="L57">
        <f>SUMIF(INDIRECT("HNSW_Summary!A:A"),C57,INDEX(INDIRECT("HNSW_Summary!A:Z"),0,MATCH("MinRepayments",INDIRECT("HNSW_Summary!1:1"),0)))</f>
        <v/>
      </c>
      <c r="M57">
        <f>SUMIF(INDIRECT("HNSW_Summary!A:A"),C57,INDEX(INDIRECT("HNSW_Summary!A:Z"),0,MATCH("UnderOver",INDIRECT("HNSW_Summary!1:1"),0)))</f>
        <v/>
      </c>
      <c r="V57">
        <f>IF(D03_Number_of_Loans&gt;=41,FALSE,TRUE)</f>
        <v/>
      </c>
    </row>
    <row r="58">
      <c r="D58">
        <f>IF(C58=E58, HYPERLINK("#'" &amp; VLOOKUP(C58,INDIRECT("HNSW_Summary!$A:$B"),2,0) &amp; "'!A1", "}"), "}")</f>
        <v/>
      </c>
      <c r="E58">
        <f>VLOOKUP(C58,INDIRECT("HNSW_Summary!$A:$B"),1,0)</f>
        <v/>
      </c>
      <c r="F58">
        <f>IFERROR(INDEX(INDIRECT("HNSW_Summary!A:Z"),MATCH(C58,INDIRECT("HNSW_Summary!A:A"), 0),MATCH("Director",INDIRECT("HNSW_Summary!1:1"),0)),"")</f>
        <v/>
      </c>
      <c r="G58">
        <f>SUMIF(INDIRECT("HNSW_Summary!A:A"),C58,INDEX(INDIRECT("HNSW_Summary!A:Z"),0,MATCH("OpBalance",INDIRECT("HNSW_Summary!1:1"),0)))</f>
        <v/>
      </c>
      <c r="H58">
        <f>SUMIF(INDIRECT("HNSW_Summary!A:A"),C58,INDEX(INDIRECT("HNSW_Summary!A:Z"),0,MATCH("Repayments",INDIRECT("HNSW_Summary!1:1"),0)))</f>
        <v/>
      </c>
      <c r="I58">
        <f>SUMIF(INDIRECT("HNSW_Summary!A:A"),C58,INDEX(INDIRECT("HNSW_Summary!A:Z"),0,MATCH("Interest",INDIRECT("HNSW_Summary!1:1"),0)))</f>
        <v/>
      </c>
      <c r="J58">
        <f>SUMIF(INDIRECT("HNSW_Summary!A:A"),C58,INDEX(INDIRECT("HNSW_Summary!A:Z"),0,MATCH("ClBalance",INDIRECT("HNSW_Summary!1:1"),0)))</f>
        <v/>
      </c>
      <c r="L58">
        <f>SUMIF(INDIRECT("HNSW_Summary!A:A"),C58,INDEX(INDIRECT("HNSW_Summary!A:Z"),0,MATCH("MinRepayments",INDIRECT("HNSW_Summary!1:1"),0)))</f>
        <v/>
      </c>
      <c r="M58">
        <f>SUMIF(INDIRECT("HNSW_Summary!A:A"),C58,INDEX(INDIRECT("HNSW_Summary!A:Z"),0,MATCH("UnderOver",INDIRECT("HNSW_Summary!1:1"),0)))</f>
        <v/>
      </c>
      <c r="V58">
        <f>IF(D03_Number_of_Loans&gt;=42,FALSE,TRUE)</f>
        <v/>
      </c>
    </row>
    <row r="59">
      <c r="D59">
        <f>IF(C59=E59, HYPERLINK("#'" &amp; VLOOKUP(C59,INDIRECT("HNSW_Summary!$A:$B"),2,0) &amp; "'!A1", "}"), "}")</f>
        <v/>
      </c>
      <c r="E59">
        <f>VLOOKUP(C59,INDIRECT("HNSW_Summary!$A:$B"),1,0)</f>
        <v/>
      </c>
      <c r="F59">
        <f>IFERROR(INDEX(INDIRECT("HNSW_Summary!A:Z"),MATCH(C59,INDIRECT("HNSW_Summary!A:A"), 0),MATCH("Director",INDIRECT("HNSW_Summary!1:1"),0)),"")</f>
        <v/>
      </c>
      <c r="G59">
        <f>SUMIF(INDIRECT("HNSW_Summary!A:A"),C59,INDEX(INDIRECT("HNSW_Summary!A:Z"),0,MATCH("OpBalance",INDIRECT("HNSW_Summary!1:1"),0)))</f>
        <v/>
      </c>
      <c r="H59">
        <f>SUMIF(INDIRECT("HNSW_Summary!A:A"),C59,INDEX(INDIRECT("HNSW_Summary!A:Z"),0,MATCH("Repayments",INDIRECT("HNSW_Summary!1:1"),0)))</f>
        <v/>
      </c>
      <c r="I59">
        <f>SUMIF(INDIRECT("HNSW_Summary!A:A"),C59,INDEX(INDIRECT("HNSW_Summary!A:Z"),0,MATCH("Interest",INDIRECT("HNSW_Summary!1:1"),0)))</f>
        <v/>
      </c>
      <c r="J59">
        <f>SUMIF(INDIRECT("HNSW_Summary!A:A"),C59,INDEX(INDIRECT("HNSW_Summary!A:Z"),0,MATCH("ClBalance",INDIRECT("HNSW_Summary!1:1"),0)))</f>
        <v/>
      </c>
      <c r="L59">
        <f>SUMIF(INDIRECT("HNSW_Summary!A:A"),C59,INDEX(INDIRECT("HNSW_Summary!A:Z"),0,MATCH("MinRepayments",INDIRECT("HNSW_Summary!1:1"),0)))</f>
        <v/>
      </c>
      <c r="M59">
        <f>SUMIF(INDIRECT("HNSW_Summary!A:A"),C59,INDEX(INDIRECT("HNSW_Summary!A:Z"),0,MATCH("UnderOver",INDIRECT("HNSW_Summary!1:1"),0)))</f>
        <v/>
      </c>
      <c r="V59">
        <f>IF(D03_Number_of_Loans&gt;=43,FALSE,TRUE)</f>
        <v/>
      </c>
    </row>
    <row r="60">
      <c r="D60">
        <f>IF(C60=E60, HYPERLINK("#'" &amp; VLOOKUP(C60,INDIRECT("HNSW_Summary!$A:$B"),2,0) &amp; "'!A1", "}"), "}")</f>
        <v/>
      </c>
      <c r="E60">
        <f>VLOOKUP(C60,INDIRECT("HNSW_Summary!$A:$B"),1,0)</f>
        <v/>
      </c>
      <c r="F60">
        <f>IFERROR(INDEX(INDIRECT("HNSW_Summary!A:Z"),MATCH(C60,INDIRECT("HNSW_Summary!A:A"), 0),MATCH("Director",INDIRECT("HNSW_Summary!1:1"),0)),"")</f>
        <v/>
      </c>
      <c r="G60">
        <f>SUMIF(INDIRECT("HNSW_Summary!A:A"),C60,INDEX(INDIRECT("HNSW_Summary!A:Z"),0,MATCH("OpBalance",INDIRECT("HNSW_Summary!1:1"),0)))</f>
        <v/>
      </c>
      <c r="H60">
        <f>SUMIF(INDIRECT("HNSW_Summary!A:A"),C60,INDEX(INDIRECT("HNSW_Summary!A:Z"),0,MATCH("Repayments",INDIRECT("HNSW_Summary!1:1"),0)))</f>
        <v/>
      </c>
      <c r="I60">
        <f>SUMIF(INDIRECT("HNSW_Summary!A:A"),C60,INDEX(INDIRECT("HNSW_Summary!A:Z"),0,MATCH("Interest",INDIRECT("HNSW_Summary!1:1"),0)))</f>
        <v/>
      </c>
      <c r="J60">
        <f>SUMIF(INDIRECT("HNSW_Summary!A:A"),C60,INDEX(INDIRECT("HNSW_Summary!A:Z"),0,MATCH("ClBalance",INDIRECT("HNSW_Summary!1:1"),0)))</f>
        <v/>
      </c>
      <c r="L60">
        <f>SUMIF(INDIRECT("HNSW_Summary!A:A"),C60,INDEX(INDIRECT("HNSW_Summary!A:Z"),0,MATCH("MinRepayments",INDIRECT("HNSW_Summary!1:1"),0)))</f>
        <v/>
      </c>
      <c r="M60">
        <f>SUMIF(INDIRECT("HNSW_Summary!A:A"),C60,INDEX(INDIRECT("HNSW_Summary!A:Z"),0,MATCH("UnderOver",INDIRECT("HNSW_Summary!1:1"),0)))</f>
        <v/>
      </c>
      <c r="V60">
        <f>IF(D03_Number_of_Loans&gt;=44,FALSE,TRUE)</f>
        <v/>
      </c>
    </row>
    <row r="61">
      <c r="D61">
        <f>IF(C61=E61, HYPERLINK("#'" &amp; VLOOKUP(C61,INDIRECT("HNSW_Summary!$A:$B"),2,0) &amp; "'!A1", "}"), "}")</f>
        <v/>
      </c>
      <c r="E61">
        <f>VLOOKUP(C61,INDIRECT("HNSW_Summary!$A:$B"),1,0)</f>
        <v/>
      </c>
      <c r="F61">
        <f>IFERROR(INDEX(INDIRECT("HNSW_Summary!A:Z"),MATCH(C61,INDIRECT("HNSW_Summary!A:A"), 0),MATCH("Director",INDIRECT("HNSW_Summary!1:1"),0)),"")</f>
        <v/>
      </c>
      <c r="G61">
        <f>SUMIF(INDIRECT("HNSW_Summary!A:A"),C61,INDEX(INDIRECT("HNSW_Summary!A:Z"),0,MATCH("OpBalance",INDIRECT("HNSW_Summary!1:1"),0)))</f>
        <v/>
      </c>
      <c r="H61">
        <f>SUMIF(INDIRECT("HNSW_Summary!A:A"),C61,INDEX(INDIRECT("HNSW_Summary!A:Z"),0,MATCH("Repayments",INDIRECT("HNSW_Summary!1:1"),0)))</f>
        <v/>
      </c>
      <c r="I61">
        <f>SUMIF(INDIRECT("HNSW_Summary!A:A"),C61,INDEX(INDIRECT("HNSW_Summary!A:Z"),0,MATCH("Interest",INDIRECT("HNSW_Summary!1:1"),0)))</f>
        <v/>
      </c>
      <c r="J61">
        <f>SUMIF(INDIRECT("HNSW_Summary!A:A"),C61,INDEX(INDIRECT("HNSW_Summary!A:Z"),0,MATCH("ClBalance",INDIRECT("HNSW_Summary!1:1"),0)))</f>
        <v/>
      </c>
      <c r="L61">
        <f>SUMIF(INDIRECT("HNSW_Summary!A:A"),C61,INDEX(INDIRECT("HNSW_Summary!A:Z"),0,MATCH("MinRepayments",INDIRECT("HNSW_Summary!1:1"),0)))</f>
        <v/>
      </c>
      <c r="M61">
        <f>SUMIF(INDIRECT("HNSW_Summary!A:A"),C61,INDEX(INDIRECT("HNSW_Summary!A:Z"),0,MATCH("UnderOver",INDIRECT("HNSW_Summary!1:1"),0)))</f>
        <v/>
      </c>
      <c r="V61">
        <f>IF(D03_Number_of_Loans&gt;=45,FALSE,TRUE)</f>
        <v/>
      </c>
    </row>
    <row r="62">
      <c r="D62">
        <f>IF(C62=E62, HYPERLINK("#'" &amp; VLOOKUP(C62,INDIRECT("HNSW_Summary!$A:$B"),2,0) &amp; "'!A1", "}"), "}")</f>
        <v/>
      </c>
      <c r="E62">
        <f>VLOOKUP(C62,INDIRECT("HNSW_Summary!$A:$B"),1,0)</f>
        <v/>
      </c>
      <c r="F62">
        <f>IFERROR(INDEX(INDIRECT("HNSW_Summary!A:Z"),MATCH(C62,INDIRECT("HNSW_Summary!A:A"), 0),MATCH("Director",INDIRECT("HNSW_Summary!1:1"),0)),"")</f>
        <v/>
      </c>
      <c r="G62">
        <f>SUMIF(INDIRECT("HNSW_Summary!A:A"),C62,INDEX(INDIRECT("HNSW_Summary!A:Z"),0,MATCH("OpBalance",INDIRECT("HNSW_Summary!1:1"),0)))</f>
        <v/>
      </c>
      <c r="H62">
        <f>SUMIF(INDIRECT("HNSW_Summary!A:A"),C62,INDEX(INDIRECT("HNSW_Summary!A:Z"),0,MATCH("Repayments",INDIRECT("HNSW_Summary!1:1"),0)))</f>
        <v/>
      </c>
      <c r="I62">
        <f>SUMIF(INDIRECT("HNSW_Summary!A:A"),C62,INDEX(INDIRECT("HNSW_Summary!A:Z"),0,MATCH("Interest",INDIRECT("HNSW_Summary!1:1"),0)))</f>
        <v/>
      </c>
      <c r="J62">
        <f>SUMIF(INDIRECT("HNSW_Summary!A:A"),C62,INDEX(INDIRECT("HNSW_Summary!A:Z"),0,MATCH("ClBalance",INDIRECT("HNSW_Summary!1:1"),0)))</f>
        <v/>
      </c>
      <c r="L62">
        <f>SUMIF(INDIRECT("HNSW_Summary!A:A"),C62,INDEX(INDIRECT("HNSW_Summary!A:Z"),0,MATCH("MinRepayments",INDIRECT("HNSW_Summary!1:1"),0)))</f>
        <v/>
      </c>
      <c r="M62">
        <f>SUMIF(INDIRECT("HNSW_Summary!A:A"),C62,INDEX(INDIRECT("HNSW_Summary!A:Z"),0,MATCH("UnderOver",INDIRECT("HNSW_Summary!1:1"),0)))</f>
        <v/>
      </c>
      <c r="V62">
        <f>IF(D03_Number_of_Loans&gt;=46,FALSE,TRUE)</f>
        <v/>
      </c>
    </row>
    <row r="63">
      <c r="D63">
        <f>IF(C63=E63, HYPERLINK("#'" &amp; VLOOKUP(C63,INDIRECT("HNSW_Summary!$A:$B"),2,0) &amp; "'!A1", "}"), "}")</f>
        <v/>
      </c>
      <c r="E63">
        <f>VLOOKUP(C63,INDIRECT("HNSW_Summary!$A:$B"),1,0)</f>
        <v/>
      </c>
      <c r="F63">
        <f>IFERROR(INDEX(INDIRECT("HNSW_Summary!A:Z"),MATCH(C63,INDIRECT("HNSW_Summary!A:A"), 0),MATCH("Director",INDIRECT("HNSW_Summary!1:1"),0)),"")</f>
        <v/>
      </c>
      <c r="G63">
        <f>SUMIF(INDIRECT("HNSW_Summary!A:A"),C63,INDEX(INDIRECT("HNSW_Summary!A:Z"),0,MATCH("OpBalance",INDIRECT("HNSW_Summary!1:1"),0)))</f>
        <v/>
      </c>
      <c r="H63">
        <f>SUMIF(INDIRECT("HNSW_Summary!A:A"),C63,INDEX(INDIRECT("HNSW_Summary!A:Z"),0,MATCH("Repayments",INDIRECT("HNSW_Summary!1:1"),0)))</f>
        <v/>
      </c>
      <c r="I63">
        <f>SUMIF(INDIRECT("HNSW_Summary!A:A"),C63,INDEX(INDIRECT("HNSW_Summary!A:Z"),0,MATCH("Interest",INDIRECT("HNSW_Summary!1:1"),0)))</f>
        <v/>
      </c>
      <c r="J63">
        <f>SUMIF(INDIRECT("HNSW_Summary!A:A"),C63,INDEX(INDIRECT("HNSW_Summary!A:Z"),0,MATCH("ClBalance",INDIRECT("HNSW_Summary!1:1"),0)))</f>
        <v/>
      </c>
      <c r="L63">
        <f>SUMIF(INDIRECT("HNSW_Summary!A:A"),C63,INDEX(INDIRECT("HNSW_Summary!A:Z"),0,MATCH("MinRepayments",INDIRECT("HNSW_Summary!1:1"),0)))</f>
        <v/>
      </c>
      <c r="M63">
        <f>SUMIF(INDIRECT("HNSW_Summary!A:A"),C63,INDEX(INDIRECT("HNSW_Summary!A:Z"),0,MATCH("UnderOver",INDIRECT("HNSW_Summary!1:1"),0)))</f>
        <v/>
      </c>
      <c r="V63">
        <f>IF(D03_Number_of_Loans&gt;=47,FALSE,TRUE)</f>
        <v/>
      </c>
    </row>
    <row r="64">
      <c r="D64">
        <f>IF(C64=E64, HYPERLINK("#'" &amp; VLOOKUP(C64,INDIRECT("HNSW_Summary!$A:$B"),2,0) &amp; "'!A1", "}"), "}")</f>
        <v/>
      </c>
      <c r="E64">
        <f>VLOOKUP(C64,INDIRECT("HNSW_Summary!$A:$B"),1,0)</f>
        <v/>
      </c>
      <c r="F64">
        <f>IFERROR(INDEX(INDIRECT("HNSW_Summary!A:Z"),MATCH(C64,INDIRECT("HNSW_Summary!A:A"), 0),MATCH("Director",INDIRECT("HNSW_Summary!1:1"),0)),"")</f>
        <v/>
      </c>
      <c r="G64">
        <f>SUMIF(INDIRECT("HNSW_Summary!A:A"),C64,INDEX(INDIRECT("HNSW_Summary!A:Z"),0,MATCH("OpBalance",INDIRECT("HNSW_Summary!1:1"),0)))</f>
        <v/>
      </c>
      <c r="H64">
        <f>SUMIF(INDIRECT("HNSW_Summary!A:A"),C64,INDEX(INDIRECT("HNSW_Summary!A:Z"),0,MATCH("Repayments",INDIRECT("HNSW_Summary!1:1"),0)))</f>
        <v/>
      </c>
      <c r="I64">
        <f>SUMIF(INDIRECT("HNSW_Summary!A:A"),C64,INDEX(INDIRECT("HNSW_Summary!A:Z"),0,MATCH("Interest",INDIRECT("HNSW_Summary!1:1"),0)))</f>
        <v/>
      </c>
      <c r="J64">
        <f>SUMIF(INDIRECT("HNSW_Summary!A:A"),C64,INDEX(INDIRECT("HNSW_Summary!A:Z"),0,MATCH("ClBalance",INDIRECT("HNSW_Summary!1:1"),0)))</f>
        <v/>
      </c>
      <c r="L64">
        <f>SUMIF(INDIRECT("HNSW_Summary!A:A"),C64,INDEX(INDIRECT("HNSW_Summary!A:Z"),0,MATCH("MinRepayments",INDIRECT("HNSW_Summary!1:1"),0)))</f>
        <v/>
      </c>
      <c r="M64">
        <f>SUMIF(INDIRECT("HNSW_Summary!A:A"),C64,INDEX(INDIRECT("HNSW_Summary!A:Z"),0,MATCH("UnderOver",INDIRECT("HNSW_Summary!1:1"),0)))</f>
        <v/>
      </c>
      <c r="V64">
        <f>IF(D03_Number_of_Loans&gt;=48,FALSE,TRUE)</f>
        <v/>
      </c>
    </row>
    <row r="65">
      <c r="D65">
        <f>IF(C65=E65, HYPERLINK("#'" &amp; VLOOKUP(C65,INDIRECT("HNSW_Summary!$A:$B"),2,0) &amp; "'!A1", "}"), "}")</f>
        <v/>
      </c>
      <c r="E65">
        <f>VLOOKUP(C65,INDIRECT("HNSW_Summary!$A:$B"),1,0)</f>
        <v/>
      </c>
      <c r="F65">
        <f>IFERROR(INDEX(INDIRECT("HNSW_Summary!A:Z"),MATCH(C65,INDIRECT("HNSW_Summary!A:A"), 0),MATCH("Director",INDIRECT("HNSW_Summary!1:1"),0)),"")</f>
        <v/>
      </c>
      <c r="G65">
        <f>SUMIF(INDIRECT("HNSW_Summary!A:A"),C65,INDEX(INDIRECT("HNSW_Summary!A:Z"),0,MATCH("OpBalance",INDIRECT("HNSW_Summary!1:1"),0)))</f>
        <v/>
      </c>
      <c r="H65">
        <f>SUMIF(INDIRECT("HNSW_Summary!A:A"),C65,INDEX(INDIRECT("HNSW_Summary!A:Z"),0,MATCH("Repayments",INDIRECT("HNSW_Summary!1:1"),0)))</f>
        <v/>
      </c>
      <c r="I65">
        <f>SUMIF(INDIRECT("HNSW_Summary!A:A"),C65,INDEX(INDIRECT("HNSW_Summary!A:Z"),0,MATCH("Interest",INDIRECT("HNSW_Summary!1:1"),0)))</f>
        <v/>
      </c>
      <c r="J65">
        <f>SUMIF(INDIRECT("HNSW_Summary!A:A"),C65,INDEX(INDIRECT("HNSW_Summary!A:Z"),0,MATCH("ClBalance",INDIRECT("HNSW_Summary!1:1"),0)))</f>
        <v/>
      </c>
      <c r="L65">
        <f>SUMIF(INDIRECT("HNSW_Summary!A:A"),C65,INDEX(INDIRECT("HNSW_Summary!A:Z"),0,MATCH("MinRepayments",INDIRECT("HNSW_Summary!1:1"),0)))</f>
        <v/>
      </c>
      <c r="M65">
        <f>SUMIF(INDIRECT("HNSW_Summary!A:A"),C65,INDEX(INDIRECT("HNSW_Summary!A:Z"),0,MATCH("UnderOver",INDIRECT("HNSW_Summary!1:1"),0)))</f>
        <v/>
      </c>
      <c r="V65">
        <f>IF(D03_Number_of_Loans&gt;=49,FALSE,TRUE)</f>
        <v/>
      </c>
    </row>
    <row r="66">
      <c r="D66">
        <f>IF(C66=E66, HYPERLINK("#'" &amp; VLOOKUP(C66,INDIRECT("HNSW_Summary!$A:$B"),2,0) &amp; "'!A1", "}"), "}")</f>
        <v/>
      </c>
      <c r="E66">
        <f>VLOOKUP(C66,INDIRECT("HNSW_Summary!$A:$B"),1,0)</f>
        <v/>
      </c>
      <c r="F66">
        <f>IFERROR(INDEX(INDIRECT("HNSW_Summary!A:Z"),MATCH(C66,INDIRECT("HNSW_Summary!A:A"), 0),MATCH("Director",INDIRECT("HNSW_Summary!1:1"),0)),"")</f>
        <v/>
      </c>
      <c r="G66">
        <f>SUMIF(INDIRECT("HNSW_Summary!A:A"),C66,INDEX(INDIRECT("HNSW_Summary!A:Z"),0,MATCH("OpBalance",INDIRECT("HNSW_Summary!1:1"),0)))</f>
        <v/>
      </c>
      <c r="H66">
        <f>SUMIF(INDIRECT("HNSW_Summary!A:A"),C66,INDEX(INDIRECT("HNSW_Summary!A:Z"),0,MATCH("Repayments",INDIRECT("HNSW_Summary!1:1"),0)))</f>
        <v/>
      </c>
      <c r="I66">
        <f>SUMIF(INDIRECT("HNSW_Summary!A:A"),C66,INDEX(INDIRECT("HNSW_Summary!A:Z"),0,MATCH("Interest",INDIRECT("HNSW_Summary!1:1"),0)))</f>
        <v/>
      </c>
      <c r="J66">
        <f>SUMIF(INDIRECT("HNSW_Summary!A:A"),C66,INDEX(INDIRECT("HNSW_Summary!A:Z"),0,MATCH("ClBalance",INDIRECT("HNSW_Summary!1:1"),0)))</f>
        <v/>
      </c>
      <c r="L66">
        <f>SUMIF(INDIRECT("HNSW_Summary!A:A"),C66,INDEX(INDIRECT("HNSW_Summary!A:Z"),0,MATCH("MinRepayments",INDIRECT("HNSW_Summary!1:1"),0)))</f>
        <v/>
      </c>
      <c r="M66">
        <f>SUMIF(INDIRECT("HNSW_Summary!A:A"),C66,INDEX(INDIRECT("HNSW_Summary!A:Z"),0,MATCH("UnderOver",INDIRECT("HNSW_Summary!1:1"),0)))</f>
        <v/>
      </c>
      <c r="V66">
        <f>IF(D03_Number_of_Loans&gt;=50,FALSE,TRUE)</f>
        <v/>
      </c>
    </row>
    <row r="67"/>
    <row r="68"/>
    <row r="69">
      <c r="B69" t="inlineStr">
        <is>
          <t>Summary by Director/Borrower</t>
        </is>
      </c>
      <c r="H69" t="inlineStr">
        <is>
          <t>P Update Summary Table</t>
        </is>
      </c>
    </row>
    <row r="70"/>
    <row r="71">
      <c r="I71" t="inlineStr">
        <is>
          <t xml:space="preserve">   Number of Directors (Max. 10) *</t>
        </is>
      </c>
      <c r="J71" t="n">
        <v>1</v>
      </c>
      <c r="L71" t="inlineStr">
        <is>
          <t>P  Update Display</t>
        </is>
      </c>
    </row>
    <row r="72"/>
    <row r="73">
      <c r="C73">
        <f>IFERROR(_xlfn.UNIQUE(F17:F66),"")</f>
        <v/>
      </c>
      <c r="G73">
        <f>SUMIF($F$17:$F$67,$C73,INDEX(INDIRECT("A17:M66"),0,MATCH("Opening Balance",INDIRECT("15:15"),0)))</f>
        <v/>
      </c>
      <c r="H73">
        <f>SUMIF($F$17:$F$67,$C73,INDEX(INDIRECT("A17:M66"),0,MATCH("Actual Payments",INDIRECT("15:15"),0)))</f>
        <v/>
      </c>
      <c r="I73">
        <f>SUMIF($F$17:$F$67,$C73,INDEX(INDIRECT("A17:M66"),0,MATCH("Interest",INDIRECT("15:15"),0)))</f>
        <v/>
      </c>
      <c r="J73">
        <f>SUMIF($F$17:$F$67,$C73,INDEX(INDIRECT("A17:M66"),0,MATCH("Closing Balance",INDIRECT("15:15"),0)))</f>
        <v/>
      </c>
      <c r="V73">
        <f>IF(D03_Number_of_Directors&gt;=1,FALSE,TRUE)</f>
        <v/>
      </c>
    </row>
    <row r="74">
      <c r="C74" t="inlineStr">
        <is>
          <t>=</t>
        </is>
      </c>
      <c r="G74">
        <f>SUMIF($F$17:$F$67,$C74,INDEX(INDIRECT("A17:M66"),0,MATCH("Opening Balance",INDIRECT("15:15"),0)))</f>
        <v/>
      </c>
      <c r="H74">
        <f>SUMIF($F$17:$F$67,$C74,INDEX(INDIRECT("A17:M66"),0,MATCH("Actual Payments",INDIRECT("15:15"),0)))</f>
        <v/>
      </c>
      <c r="I74">
        <f>SUMIF($F$17:$F$67,$C74,INDEX(INDIRECT("A17:M66"),0,MATCH("Interest",INDIRECT("15:15"),0)))</f>
        <v/>
      </c>
      <c r="J74">
        <f>SUMIF($F$17:$F$67,$C74,INDEX(INDIRECT("A17:M66"),0,MATCH("Closing Balance",INDIRECT("15:15"),0)))</f>
        <v/>
      </c>
      <c r="V74">
        <f>IF(D03_Number_of_Directors&gt;=2,FALSE,TRUE)</f>
        <v/>
      </c>
    </row>
    <row r="75">
      <c r="G75">
        <f>SUMIF($F$17:$F$67,$C75,INDEX(INDIRECT("A17:M66"),0,MATCH("Opening Balance",INDIRECT("15:15"),0)))</f>
        <v/>
      </c>
      <c r="H75">
        <f>SUMIF($F$17:$F$67,$C75,INDEX(INDIRECT("A17:M66"),0,MATCH("Actual Payments",INDIRECT("15:15"),0)))</f>
        <v/>
      </c>
      <c r="I75">
        <f>SUMIF($F$17:$F$67,$C75,INDEX(INDIRECT("A17:M66"),0,MATCH("Interest",INDIRECT("15:15"),0)))</f>
        <v/>
      </c>
      <c r="J75">
        <f>SUMIF($F$17:$F$67,$C75,INDEX(INDIRECT("A17:M66"),0,MATCH("Closing Balance",INDIRECT("15:15"),0)))</f>
        <v/>
      </c>
      <c r="V75">
        <f>IF(D03_Number_of_Directors&gt;=3,FALSE,TRUE)</f>
        <v/>
      </c>
    </row>
    <row r="76">
      <c r="G76">
        <f>SUMIF($F$17:$F$67,$C76,INDEX(INDIRECT("A17:M66"),0,MATCH("Opening Balance",INDIRECT("15:15"),0)))</f>
        <v/>
      </c>
      <c r="H76">
        <f>SUMIF($F$17:$F$67,$C76,INDEX(INDIRECT("A17:M66"),0,MATCH("Actual Payments",INDIRECT("15:15"),0)))</f>
        <v/>
      </c>
      <c r="I76">
        <f>SUMIF($F$17:$F$67,$C76,INDEX(INDIRECT("A17:M66"),0,MATCH("Interest",INDIRECT("15:15"),0)))</f>
        <v/>
      </c>
      <c r="J76">
        <f>SUMIF($F$17:$F$67,$C76,INDEX(INDIRECT("A17:M66"),0,MATCH("Closing Balance",INDIRECT("15:15"),0)))</f>
        <v/>
      </c>
      <c r="V76">
        <f>IF(D03_Number_of_Directors&gt;=4,FALSE,TRUE)</f>
        <v/>
      </c>
    </row>
    <row r="77">
      <c r="G77">
        <f>SUMIF($F$17:$F$67,$C77,INDEX(INDIRECT("A17:M66"),0,MATCH("Opening Balance",INDIRECT("15:15"),0)))</f>
        <v/>
      </c>
      <c r="H77">
        <f>SUMIF($F$17:$F$67,$C77,INDEX(INDIRECT("A17:M66"),0,MATCH("Actual Payments",INDIRECT("15:15"),0)))</f>
        <v/>
      </c>
      <c r="I77">
        <f>SUMIF($F$17:$F$67,$C77,INDEX(INDIRECT("A17:M66"),0,MATCH("Interest",INDIRECT("15:15"),0)))</f>
        <v/>
      </c>
      <c r="J77">
        <f>SUMIF($F$17:$F$67,$C77,INDEX(INDIRECT("A17:M66"),0,MATCH("Closing Balance",INDIRECT("15:15"),0)))</f>
        <v/>
      </c>
      <c r="V77">
        <f>IF(D03_Number_of_Directors&gt;=5,FALSE,TRUE)</f>
        <v/>
      </c>
    </row>
    <row r="78">
      <c r="G78">
        <f>SUMIF($F$17:$F$67,$C78,INDEX(INDIRECT("A17:M66"),0,MATCH("Opening Balance",INDIRECT("15:15"),0)))</f>
        <v/>
      </c>
      <c r="H78">
        <f>SUMIF($F$17:$F$67,$C78,INDEX(INDIRECT("A17:M66"),0,MATCH("Actual Payments",INDIRECT("15:15"),0)))</f>
        <v/>
      </c>
      <c r="I78">
        <f>SUMIF($F$17:$F$67,$C78,INDEX(INDIRECT("A17:M66"),0,MATCH("Interest",INDIRECT("15:15"),0)))</f>
        <v/>
      </c>
      <c r="J78">
        <f>SUMIF($F$17:$F$67,$C78,INDEX(INDIRECT("A17:M66"),0,MATCH("Closing Balance",INDIRECT("15:15"),0)))</f>
        <v/>
      </c>
      <c r="V78">
        <f>IF(D03_Number_of_Directors&gt;=6,FALSE,TRUE)</f>
        <v/>
      </c>
    </row>
    <row r="79">
      <c r="G79">
        <f>SUMIF($F$17:$F$67,$C79,INDEX(INDIRECT("A17:M66"),0,MATCH("Opening Balance",INDIRECT("15:15"),0)))</f>
        <v/>
      </c>
      <c r="H79">
        <f>SUMIF($F$17:$F$67,$C79,INDEX(INDIRECT("A17:M66"),0,MATCH("Actual Payments",INDIRECT("15:15"),0)))</f>
        <v/>
      </c>
      <c r="I79">
        <f>SUMIF($F$17:$F$67,$C79,INDEX(INDIRECT("A17:M66"),0,MATCH("Interest",INDIRECT("15:15"),0)))</f>
        <v/>
      </c>
      <c r="J79">
        <f>SUMIF($F$17:$F$67,$C79,INDEX(INDIRECT("A17:M66"),0,MATCH("Closing Balance",INDIRECT("15:15"),0)))</f>
        <v/>
      </c>
      <c r="V79">
        <f>IF(D03_Number_of_Directors&gt;=7,FALSE,TRUE)</f>
        <v/>
      </c>
    </row>
    <row r="80">
      <c r="G80">
        <f>SUMIF($F$17:$F$67,$C80,INDEX(INDIRECT("A17:M66"),0,MATCH("Opening Balance",INDIRECT("15:15"),0)))</f>
        <v/>
      </c>
      <c r="H80">
        <f>SUMIF($F$17:$F$67,$C80,INDEX(INDIRECT("A17:M66"),0,MATCH("Actual Payments",INDIRECT("15:15"),0)))</f>
        <v/>
      </c>
      <c r="I80">
        <f>SUMIF($F$17:$F$67,$C80,INDEX(INDIRECT("A17:M66"),0,MATCH("Interest",INDIRECT("15:15"),0)))</f>
        <v/>
      </c>
      <c r="J80">
        <f>SUMIF($F$17:$F$67,$C80,INDEX(INDIRECT("A17:M66"),0,MATCH("Closing Balance",INDIRECT("15:15"),0)))</f>
        <v/>
      </c>
      <c r="V80">
        <f>IF(D03_Number_of_Directors&gt;=8,FALSE,TRUE)</f>
        <v/>
      </c>
    </row>
    <row r="81">
      <c r="G81">
        <f>SUMIF($F$17:$F$67,$C81,INDEX(INDIRECT("A17:M66"),0,MATCH("Opening Balance",INDIRECT("15:15"),0)))</f>
        <v/>
      </c>
      <c r="H81">
        <f>SUMIF($F$17:$F$67,$C81,INDEX(INDIRECT("A17:M66"),0,MATCH("Actual Payments",INDIRECT("15:15"),0)))</f>
        <v/>
      </c>
      <c r="I81">
        <f>SUMIF($F$17:$F$67,$C81,INDEX(INDIRECT("A17:M66"),0,MATCH("Interest",INDIRECT("15:15"),0)))</f>
        <v/>
      </c>
      <c r="J81">
        <f>SUMIF($F$17:$F$67,$C81,INDEX(INDIRECT("A17:M66"),0,MATCH("Closing Balance",INDIRECT("15:15"),0)))</f>
        <v/>
      </c>
      <c r="V81">
        <f>IF(D03_Number_of_Directors&gt;=9,FALSE,TRUE)</f>
        <v/>
      </c>
    </row>
    <row r="82">
      <c r="G82">
        <f>SUMIF($F$17:$F$67,$C82,INDEX(INDIRECT("A17:M66"),0,MATCH("Opening Balance",INDIRECT("15:15"),0)))</f>
        <v/>
      </c>
      <c r="H82">
        <f>SUMIF($F$17:$F$67,$C82,INDEX(INDIRECT("A17:M66"),0,MATCH("Actual Payments",INDIRECT("15:15"),0)))</f>
        <v/>
      </c>
      <c r="I82">
        <f>SUMIF($F$17:$F$67,$C82,INDEX(INDIRECT("A17:M66"),0,MATCH("Interest",INDIRECT("15:15"),0)))</f>
        <v/>
      </c>
      <c r="J82">
        <f>SUMIF($F$17:$F$67,$C82,INDEX(INDIRECT("A17:M66"),0,MATCH("Closing Balance",INDIRECT("15:15"),0)))</f>
        <v/>
      </c>
      <c r="V82">
        <f>IF(D03_Number_of_Directors&gt;=10,FALSE,TRUE)</f>
        <v/>
      </c>
    </row>
    <row r="83"/>
    <row r="84"/>
    <row r="85">
      <c r="B85" t="inlineStr">
        <is>
          <t>Total Division 7A and UPE Held on Sub-Trust Loans</t>
        </is>
      </c>
    </row>
    <row r="86"/>
    <row r="87">
      <c r="C87" t="inlineStr">
        <is>
          <t>Total Division 7A Loans</t>
        </is>
      </c>
      <c r="G87">
        <f>SUMIF(INDEX(INDIRECT("HNSW_Summary!A:Z"), 0, MATCH("TemplateId", INDIRECT("HNSW_Summary!1:1"), 0)), "5843ca72-ff96-4333-a63b-a8c3ea30f161", INDEX(INDIRECT("HNSW_Summary!A:Z"), 0, MATCH("OpBalance", INDIRECT("HNSW_Summary!1:1"), 0)))</f>
        <v/>
      </c>
      <c r="H87">
        <f>SUMIF(INDEX(INDIRECT("HNSW_Summary!A:Z"), 0, MATCH("TemplateId", INDIRECT("HNSW_Summary!1:1"), 0)), "5843ca72-ff96-4333-a63b-a8c3ea30f161", INDEX(INDIRECT("HNSW_Summary!A:Z"), 0, MATCH("Repayments", INDIRECT("HNSW_Summary!1:1"), 0)))</f>
        <v/>
      </c>
      <c r="I87">
        <f>SUMIF(INDEX(INDIRECT("HNSW_Summary!A:Z"), 0, MATCH("TemplateId", INDIRECT("HNSW_Summary!1:1"), 0)), "5843ca72-ff96-4333-a63b-a8c3ea30f161", INDEX(INDIRECT("HNSW_Summary!A:Z"), 0, MATCH("Interest", INDIRECT("HNSW_Summary!1:1"), 0)))</f>
        <v/>
      </c>
      <c r="J87">
        <f>SUMIF(INDEX(INDIRECT("HNSW_Summary!A:Z"), 0, MATCH("TemplateId", INDIRECT("HNSW_Summary!1:1"), 0)), "5843ca72-ff96-4333-a63b-a8c3ea30f161", INDEX(INDIRECT("HNSW_Summary!A:Z"), 0, MATCH("ClBalance", INDIRECT("HNSW_Summary!1:1"), 0)))</f>
        <v/>
      </c>
    </row>
    <row r="88">
      <c r="C88" t="inlineStr">
        <is>
          <t>Total UPE Held on Sub-Trust (PS LA 2010/4)</t>
        </is>
      </c>
      <c r="G88">
        <f>SUMIF(INDEX(INDIRECT("HNSW_Summary!A:Z"), 0, MATCH("TemplateId", INDIRECT("HNSW_Summary!1:1"), 0)), "7668b802-3f9b-4d52-bd4e-592cd4b27494", INDEX(INDIRECT("HNSW_Summary!A:Z"), 0, MATCH("OpBalance", INDIRECT("HNSW_Summary!1:1"), 0)))</f>
        <v/>
      </c>
      <c r="H88">
        <f>SUMIF(INDEX(INDIRECT("HNSW_Summary!A:Z"), 0, MATCH("TemplateId", INDIRECT("HNSW_Summary!1:1"), 0)), "7668b802-3f9b-4d52-bd4e-592cd4b27494", INDEX(INDIRECT("HNSW_Summary!A:Z"), 0, MATCH("Repayments", INDIRECT("HNSW_Summary!1:1"), 0)))</f>
        <v/>
      </c>
      <c r="I88">
        <f>SUMIF(INDEX(INDIRECT("HNSW_Summary!A:Z"), 0, MATCH("TemplateId", INDIRECT("HNSW_Summary!1:1"), 0)), "7668b802-3f9b-4d52-bd4e-592cd4b27494", INDEX(INDIRECT("HNSW_Summary!A:Z"), 0, MATCH("Interest", INDIRECT("HNSW_Summary!1:1"), 0)))</f>
        <v/>
      </c>
      <c r="J88">
        <f>SUMIF(INDEX(INDIRECT("HNSW_Summary!A:Z"), 0, MATCH("TemplateId", INDIRECT("HNSW_Summary!1:1"), 0)), "7668b802-3f9b-4d52-bd4e-592cd4b27494", INDEX(INDIRECT("HNSW_Summary!A:Z"), 0, MATCH("ClBalance", INDIRECT("HNSW_Summary!1:1"), 0)))</f>
        <v/>
      </c>
    </row>
    <row r="89"/>
    <row r="90">
      <c r="C90" t="inlineStr">
        <is>
          <t>Total Loans</t>
        </is>
      </c>
      <c r="G90">
        <f>SUM(G87:G88)</f>
        <v/>
      </c>
      <c r="H90">
        <f>SUM(H87:H88)</f>
        <v/>
      </c>
      <c r="I90">
        <f>SUM(I87:I88)</f>
        <v/>
      </c>
      <c r="J90">
        <f>SUM(J87:J88)</f>
        <v/>
      </c>
    </row>
    <row r="91"/>
    <row r="9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2024-11-27T09:01:24Z</dcterms:created>
  <dcterms:modified xmlns:dcterms="http://purl.org/dc/terms/" xmlns:xsi="http://www.w3.org/2001/XMLSchema-instance" xsi:type="dcterms:W3CDTF">2024-11-27T09:01:24Z</dcterms:modified>
</cp:coreProperties>
</file>